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externalLinks/externalLink5.xml" ContentType="application/vnd.openxmlformats-officedocument.spreadsheetml.externalLink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4.xml" ContentType="application/vnd.openxmlformats-officedocument.spreadsheetml.externalLink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9095" windowHeight="11760" firstSheet="50" activeTab="54"/>
  </bookViews>
  <sheets>
    <sheet name="JANUARY, 2016" sheetId="1" r:id="rId1"/>
    <sheet name="FEBRUARY, 2016" sheetId="10" r:id="rId2"/>
    <sheet name="MARCH, 2016." sheetId="13" r:id="rId3"/>
    <sheet name="APRIL, 2016" sheetId="15" r:id="rId4"/>
    <sheet name="MAY, 2016" sheetId="17" r:id="rId5"/>
    <sheet name="JUNE, 2016" sheetId="19" r:id="rId6"/>
    <sheet name="JULY, 2016" sheetId="22" r:id="rId7"/>
    <sheet name="AUGUST, 2016" sheetId="23" r:id="rId8"/>
    <sheet name="SEPTEMBER, 2016" sheetId="26" r:id="rId9"/>
    <sheet name="OCTOBER, 2016" sheetId="29" r:id="rId10"/>
    <sheet name="NOVEMBER, 2016" sheetId="32" r:id="rId11"/>
    <sheet name="DECEMBER, 2016" sheetId="33" r:id="rId12"/>
    <sheet name="BVN 2" sheetId="49" r:id="rId13"/>
    <sheet name="JANUARY, 2017" sheetId="36" r:id="rId14"/>
    <sheet name="FEBRUARY, 2017" sheetId="38" r:id="rId15"/>
    <sheet name="MARCH, 2017" sheetId="40" r:id="rId16"/>
    <sheet name="APRIL, 2017" sheetId="42" r:id="rId17"/>
    <sheet name="MAY, 2017" sheetId="45" r:id="rId18"/>
    <sheet name="JUNE, 2017" sheetId="47" r:id="rId19"/>
    <sheet name="JUNE CORRECT, 2017" sheetId="51" r:id="rId20"/>
    <sheet name="JULY, 2017" sheetId="52" r:id="rId21"/>
    <sheet name="AUGUST, 2017" sheetId="53" r:id="rId22"/>
    <sheet name="SEPTEMBER, 2017" sheetId="54" r:id="rId23"/>
    <sheet name="OCTOBER, 2017" sheetId="55" r:id="rId24"/>
    <sheet name="NOVEMBER, 2017" sheetId="56" r:id="rId25"/>
    <sheet name="DECEMBER, 2017" sheetId="58" r:id="rId26"/>
    <sheet name="JANUARY, 2018" sheetId="59" r:id="rId27"/>
    <sheet name="FEBRUARY, 2018" sheetId="61" r:id="rId28"/>
    <sheet name="MARCH, 2018" sheetId="63" r:id="rId29"/>
    <sheet name="APRIL, 2018" sheetId="65" r:id="rId30"/>
    <sheet name="MAY, 2018" sheetId="66" r:id="rId31"/>
    <sheet name="JUNE, 2018" sheetId="67" r:id="rId32"/>
    <sheet name="JULY, 2018" sheetId="68" r:id="rId33"/>
    <sheet name="AUGUST, 2018" sheetId="70" r:id="rId34"/>
    <sheet name="SEPTEMBER, 2018" sheetId="71" r:id="rId35"/>
    <sheet name="OCTOBER, 2018" sheetId="72" r:id="rId36"/>
    <sheet name="NOVEMBER, 2018" sheetId="74" r:id="rId37"/>
    <sheet name="DECEMBER, 2018" sheetId="75" r:id="rId38"/>
    <sheet name="JANUARY, 2019" sheetId="76" r:id="rId39"/>
    <sheet name="FEBRUARY, 2019" sheetId="77" r:id="rId40"/>
    <sheet name="MARCH, 2019" sheetId="78" r:id="rId41"/>
    <sheet name="APRIL, 2019" sheetId="81" r:id="rId42"/>
    <sheet name="MAY, 2019" sheetId="83" r:id="rId43"/>
    <sheet name="JUNE, 2019" sheetId="84" r:id="rId44"/>
    <sheet name="JULY, 2019" sheetId="85" r:id="rId45"/>
    <sheet name="AUGUST, 2019" sheetId="86" r:id="rId46"/>
    <sheet name="SEPTEMBER, 2019" sheetId="87" r:id="rId47"/>
    <sheet name="OCTOMBER, 2019" sheetId="88" r:id="rId48"/>
    <sheet name="NOVEMBER, 2019" sheetId="89" r:id="rId49"/>
    <sheet name="DECEMBER, 2019" sheetId="90" r:id="rId50"/>
    <sheet name="JANUARY, 2020" sheetId="91" r:id="rId51"/>
    <sheet name="FEBRUARY, 2020" sheetId="92" r:id="rId52"/>
    <sheet name="MARCH, 2020" sheetId="93" r:id="rId53"/>
    <sheet name="APRIL, 2020" sheetId="94" r:id="rId54"/>
    <sheet name="MAY, 2020" sheetId="95" r:id="rId55"/>
  </sheets>
  <externalReferences>
    <externalReference r:id="rId56"/>
    <externalReference r:id="rId57"/>
    <externalReference r:id="rId58"/>
    <externalReference r:id="rId59"/>
    <externalReference r:id="rId60"/>
  </externalReferences>
  <definedNames>
    <definedName name="ALLOWANCE1">'[1]Validation Sheet'!$A$2:$A$5</definedName>
    <definedName name="augustfinal2018">'[2]Bank list'!$A$2:$A$21</definedName>
    <definedName name="Bank_List">'[3]Bank list'!$A$2:$A$21</definedName>
    <definedName name="DEDUCTIONS">'[4]Validation Sheet'!$A$2:$A$11</definedName>
    <definedName name="END">'[5]Validation Sheet'!$D$2:$D$122</definedName>
    <definedName name="_xlnm.Print_Area" localSheetId="3">'APRIL, 2016'!$B$3:$M$228</definedName>
    <definedName name="_xlnm.Print_Area" localSheetId="16">'APRIL, 2017'!$A$3:$M$124</definedName>
    <definedName name="_xlnm.Print_Area" localSheetId="29">'APRIL, 2018'!$A$3:$M$157</definedName>
    <definedName name="_xlnm.Print_Area" localSheetId="41">'APRIL, 2019'!$C$2:$S$151</definedName>
    <definedName name="_xlnm.Print_Area" localSheetId="53">'APRIL, 2020'!$E$127:$U$174</definedName>
    <definedName name="_xlnm.Print_Area" localSheetId="7">'AUGUST, 2016'!$B$3:$M$163</definedName>
    <definedName name="_xlnm.Print_Area" localSheetId="21">'AUGUST, 2017'!$A$3:$M$130</definedName>
    <definedName name="_xlnm.Print_Area" localSheetId="33">'AUGUST, 2018'!$B$3:$P$136</definedName>
    <definedName name="_xlnm.Print_Area" localSheetId="45">'AUGUST, 2019'!$D$2:$T$168</definedName>
    <definedName name="_xlnm.Print_Area" localSheetId="12">'BVN 2'!$A$31:$L$44</definedName>
    <definedName name="_xlnm.Print_Area" localSheetId="11">'DECEMBER, 2016'!$A$3:$L$156</definedName>
    <definedName name="_xlnm.Print_Area" localSheetId="25">'DECEMBER, 2017'!$A$3:$M$134</definedName>
    <definedName name="_xlnm.Print_Area" localSheetId="37">'DECEMBER, 2018'!$C$3:$Q$147</definedName>
    <definedName name="_xlnm.Print_Area" localSheetId="49">'DECEMBER, 2019'!$E$2:$U$171</definedName>
    <definedName name="_xlnm.Print_Area" localSheetId="1">'FEBRUARY, 2016'!$B$2:$M$199</definedName>
    <definedName name="_xlnm.Print_Area" localSheetId="14">'FEBRUARY, 2017'!$A$3:$L$136</definedName>
    <definedName name="_xlnm.Print_Area" localSheetId="27">'FEBRUARY, 2018'!$A$105:$M$158</definedName>
    <definedName name="_xlnm.Print_Area" localSheetId="39">'FEBRUARY, 2019'!$C$3:$Q$131</definedName>
    <definedName name="_xlnm.Print_Area" localSheetId="51">'FEBRUARY, 2020'!$E$2:$U$187</definedName>
    <definedName name="_xlnm.Print_Area" localSheetId="0">'JANUARY, 2016'!$B$1:$M$188</definedName>
    <definedName name="_xlnm.Print_Area" localSheetId="13">'JANUARY, 2017'!$A$3:$L$139</definedName>
    <definedName name="_xlnm.Print_Area" localSheetId="26">'JANUARY, 2018'!$A$3:$M$146</definedName>
    <definedName name="_xlnm.Print_Area" localSheetId="38">'JANUARY, 2019'!$C$3:$Q$132</definedName>
    <definedName name="_xlnm.Print_Area" localSheetId="50">'JANUARY, 2020'!$E$2:$U$189</definedName>
    <definedName name="_xlnm.Print_Area" localSheetId="6">'JULY, 2016'!$B$3:$M$192</definedName>
    <definedName name="_xlnm.Print_Area" localSheetId="20">'JULY, 2017'!$A$3:$M$139</definedName>
    <definedName name="_xlnm.Print_Area" localSheetId="32">'JULY, 2018'!$C$3:$Q$136</definedName>
    <definedName name="_xlnm.Print_Area" localSheetId="44">'JULY, 2019'!$D$2:$T$167</definedName>
    <definedName name="_xlnm.Print_Area" localSheetId="19">'JUNE CORRECT, 2017'!$A$3:$M$141</definedName>
    <definedName name="_xlnm.Print_Area" localSheetId="5">'JUNE, 2016'!$B$3:$M$187</definedName>
    <definedName name="_xlnm.Print_Area" localSheetId="18">'JUNE, 2017'!$A$3:$M$145</definedName>
    <definedName name="_xlnm.Print_Area" localSheetId="31">'JUNE, 2018'!$C$3:$Q$139</definedName>
    <definedName name="_xlnm.Print_Area" localSheetId="43">'JUNE, 2019'!$D$2:$T$161</definedName>
    <definedName name="_xlnm.Print_Area" localSheetId="2">'MARCH, 2016.'!$B$3:$M$219</definedName>
    <definedName name="_xlnm.Print_Area" localSheetId="15">'MARCH, 2017'!$A$3:$L$132</definedName>
    <definedName name="_xlnm.Print_Area" localSheetId="28">'MARCH, 2018'!$A$105:$M$158</definedName>
    <definedName name="_xlnm.Print_Area" localSheetId="40">'MARCH, 2019'!$C$104:$Q$151</definedName>
    <definedName name="_xlnm.Print_Area" localSheetId="52">'MARCH, 2020'!$D$2:$T$187</definedName>
    <definedName name="_xlnm.Print_Area" localSheetId="4">'MAY, 2016'!$B$3:$M$209</definedName>
    <definedName name="_xlnm.Print_Area" localSheetId="17">'MAY, 2017'!$A$3:$M$130</definedName>
    <definedName name="_xlnm.Print_Area" localSheetId="30">'MAY, 2018'!$B$3:$P$140</definedName>
    <definedName name="_xlnm.Print_Area" localSheetId="42">'MAY, 2019'!$C$2:$S$160</definedName>
    <definedName name="_xlnm.Print_Area" localSheetId="54">'MAY, 2020'!$D$1:$T$172</definedName>
    <definedName name="_xlnm.Print_Area" localSheetId="10">'NOVEMBER, 2016'!$A$3:$L$160</definedName>
    <definedName name="_xlnm.Print_Area" localSheetId="24">'NOVEMBER, 2017'!$A$3:$M$134</definedName>
    <definedName name="_xlnm.Print_Area" localSheetId="36">'NOVEMBER, 2018'!$C$3:$Q$135</definedName>
    <definedName name="_xlnm.Print_Area" localSheetId="48">'NOVEMBER, 2019'!$C$2:$S$177</definedName>
    <definedName name="_xlnm.Print_Area" localSheetId="9">'OCTOBER, 2016'!$A$3:$L$161</definedName>
    <definedName name="_xlnm.Print_Area" localSheetId="23">'OCTOBER, 2017'!$A$3:$M$134</definedName>
    <definedName name="_xlnm.Print_Area" localSheetId="35">'OCTOBER, 2018'!$B$3:$P$137</definedName>
    <definedName name="_xlnm.Print_Area" localSheetId="47">'OCTOMBER, 2019'!$D$2:$T$184</definedName>
    <definedName name="_xlnm.Print_Area" localSheetId="8">'SEPTEMBER, 2016'!$A$3:$L$169</definedName>
    <definedName name="_xlnm.Print_Area" localSheetId="22">'SEPTEMBER, 2017'!$A$3:$M$133</definedName>
    <definedName name="_xlnm.Print_Area" localSheetId="34">'SEPTEMBER, 2018'!$B$3:$P$140</definedName>
    <definedName name="_xlnm.Print_Area" localSheetId="46">'SEPTEMBER, 2019'!$D$1:$T$168</definedName>
    <definedName name="START1">'[4]Validation Sheet'!$C$2:$C$3</definedName>
  </definedNames>
  <calcPr calcId="124519"/>
</workbook>
</file>

<file path=xl/calcChain.xml><?xml version="1.0" encoding="utf-8"?>
<calcChain xmlns="http://schemas.openxmlformats.org/spreadsheetml/2006/main">
  <c r="L174" i="94"/>
  <c r="M174"/>
  <c r="I187" i="93"/>
  <c r="K187"/>
  <c r="H187"/>
  <c r="G187"/>
  <c r="R167" i="95"/>
  <c r="Q167"/>
  <c r="R166"/>
  <c r="Q166"/>
  <c r="M166"/>
  <c r="L166"/>
  <c r="O166" s="1"/>
  <c r="I166"/>
  <c r="M167"/>
  <c r="L167"/>
  <c r="O167" s="1"/>
  <c r="I167"/>
  <c r="H172"/>
  <c r="G172"/>
  <c r="R171"/>
  <c r="Q171"/>
  <c r="M171"/>
  <c r="L171"/>
  <c r="O171" s="1"/>
  <c r="I171"/>
  <c r="S171" s="1"/>
  <c r="R170"/>
  <c r="Q170"/>
  <c r="M170"/>
  <c r="L170"/>
  <c r="O170" s="1"/>
  <c r="I170"/>
  <c r="S170" s="1"/>
  <c r="R169"/>
  <c r="Q169"/>
  <c r="M169"/>
  <c r="L169"/>
  <c r="O169" s="1"/>
  <c r="I169"/>
  <c r="S169" s="1"/>
  <c r="R168"/>
  <c r="Q168"/>
  <c r="M168"/>
  <c r="L168"/>
  <c r="O168" s="1"/>
  <c r="I168"/>
  <c r="S168" s="1"/>
  <c r="R36"/>
  <c r="Q36"/>
  <c r="M36"/>
  <c r="L36"/>
  <c r="O36" s="1"/>
  <c r="I36"/>
  <c r="S36" s="1"/>
  <c r="R11"/>
  <c r="Q11"/>
  <c r="M11"/>
  <c r="L11"/>
  <c r="O11" s="1"/>
  <c r="I11"/>
  <c r="S11" s="1"/>
  <c r="R63"/>
  <c r="Q63"/>
  <c r="M63"/>
  <c r="L63"/>
  <c r="O63" s="1"/>
  <c r="I63"/>
  <c r="S63" s="1"/>
  <c r="R49"/>
  <c r="Q49"/>
  <c r="M49"/>
  <c r="L49"/>
  <c r="O49" s="1"/>
  <c r="I49"/>
  <c r="S49" s="1"/>
  <c r="R82"/>
  <c r="Q82"/>
  <c r="M82"/>
  <c r="L82"/>
  <c r="O82" s="1"/>
  <c r="I82"/>
  <c r="S82" s="1"/>
  <c r="R113"/>
  <c r="Q113"/>
  <c r="M113"/>
  <c r="L113"/>
  <c r="O113" s="1"/>
  <c r="I113"/>
  <c r="S113" s="1"/>
  <c r="R163"/>
  <c r="Q163"/>
  <c r="M163"/>
  <c r="L163"/>
  <c r="O163" s="1"/>
  <c r="I163"/>
  <c r="S163" s="1"/>
  <c r="R111"/>
  <c r="Q111"/>
  <c r="M111"/>
  <c r="L111"/>
  <c r="O111" s="1"/>
  <c r="I111"/>
  <c r="S111" s="1"/>
  <c r="R165"/>
  <c r="Q165"/>
  <c r="M165"/>
  <c r="L165"/>
  <c r="O165" s="1"/>
  <c r="I165"/>
  <c r="S165" s="1"/>
  <c r="R164"/>
  <c r="Q164"/>
  <c r="M164"/>
  <c r="L164"/>
  <c r="O164" s="1"/>
  <c r="I164"/>
  <c r="S164" s="1"/>
  <c r="R162"/>
  <c r="T172" s="1"/>
  <c r="Q162"/>
  <c r="M162"/>
  <c r="L162"/>
  <c r="O162" s="1"/>
  <c r="I162"/>
  <c r="S162" s="1"/>
  <c r="R161"/>
  <c r="Q161"/>
  <c r="M161"/>
  <c r="L161"/>
  <c r="O161" s="1"/>
  <c r="I161"/>
  <c r="S161" s="1"/>
  <c r="R160"/>
  <c r="Q160"/>
  <c r="M160"/>
  <c r="L160"/>
  <c r="O160" s="1"/>
  <c r="I160"/>
  <c r="S160" s="1"/>
  <c r="R159"/>
  <c r="Q159"/>
  <c r="M159"/>
  <c r="L159"/>
  <c r="O159" s="1"/>
  <c r="I159"/>
  <c r="S159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O156" s="1"/>
  <c r="I156"/>
  <c r="S156" s="1"/>
  <c r="R155"/>
  <c r="Q155"/>
  <c r="M155"/>
  <c r="L155"/>
  <c r="O155" s="1"/>
  <c r="I155"/>
  <c r="S155" s="1"/>
  <c r="R154"/>
  <c r="Q154"/>
  <c r="M154"/>
  <c r="L154"/>
  <c r="O154" s="1"/>
  <c r="I154"/>
  <c r="S154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4"/>
  <c r="Q144"/>
  <c r="M144"/>
  <c r="L144"/>
  <c r="O144" s="1"/>
  <c r="I144"/>
  <c r="S144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2"/>
  <c r="Q112"/>
  <c r="M112"/>
  <c r="L112"/>
  <c r="O112" s="1"/>
  <c r="I112"/>
  <c r="S112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I94"/>
  <c r="S94" s="1"/>
  <c r="R93"/>
  <c r="Q93"/>
  <c r="M93"/>
  <c r="L93"/>
  <c r="O93" s="1"/>
  <c r="I93"/>
  <c r="S93" s="1"/>
  <c r="R92"/>
  <c r="Q92"/>
  <c r="M92"/>
  <c r="L92"/>
  <c r="O92" s="1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5"/>
  <c r="Q75"/>
  <c r="M75"/>
  <c r="L75"/>
  <c r="O75" s="1"/>
  <c r="I75"/>
  <c r="S75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8"/>
  <c r="Q48"/>
  <c r="M48"/>
  <c r="L48"/>
  <c r="O48" s="1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4"/>
  <c r="Q44"/>
  <c r="M44"/>
  <c r="L44"/>
  <c r="O44" s="1"/>
  <c r="I44"/>
  <c r="S44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L38"/>
  <c r="O38" s="1"/>
  <c r="I38"/>
  <c r="S38" s="1"/>
  <c r="R37"/>
  <c r="Q37"/>
  <c r="M37"/>
  <c r="L37"/>
  <c r="O37" s="1"/>
  <c r="I37"/>
  <c r="S37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1"/>
  <c r="Q31"/>
  <c r="M31"/>
  <c r="L31"/>
  <c r="O31" s="1"/>
  <c r="I31"/>
  <c r="S31" s="1"/>
  <c r="R30"/>
  <c r="Q30"/>
  <c r="M30"/>
  <c r="L30"/>
  <c r="O30" s="1"/>
  <c r="I30"/>
  <c r="S30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R172" s="1"/>
  <c r="Q5"/>
  <c r="M5"/>
  <c r="M172" s="1"/>
  <c r="L5"/>
  <c r="L172" s="1"/>
  <c r="I5"/>
  <c r="I172" s="1"/>
  <c r="I174" i="94"/>
  <c r="H174"/>
  <c r="N166"/>
  <c r="M166"/>
  <c r="O166" s="1"/>
  <c r="N165"/>
  <c r="M165"/>
  <c r="O165" s="1"/>
  <c r="N169"/>
  <c r="M169"/>
  <c r="O169" s="1"/>
  <c r="N164"/>
  <c r="M164"/>
  <c r="O164" s="1"/>
  <c r="S164"/>
  <c r="S165"/>
  <c r="S166"/>
  <c r="S167"/>
  <c r="S168"/>
  <c r="S169"/>
  <c r="R162"/>
  <c r="R163"/>
  <c r="R164"/>
  <c r="R165"/>
  <c r="R166"/>
  <c r="R167"/>
  <c r="R168"/>
  <c r="R169"/>
  <c r="J169"/>
  <c r="N168"/>
  <c r="M168"/>
  <c r="O168" s="1"/>
  <c r="J168"/>
  <c r="N167"/>
  <c r="M167"/>
  <c r="P167" s="1"/>
  <c r="J167"/>
  <c r="J166"/>
  <c r="J165"/>
  <c r="J164"/>
  <c r="S173"/>
  <c r="R173"/>
  <c r="N173"/>
  <c r="M173"/>
  <c r="P173" s="1"/>
  <c r="J173"/>
  <c r="T173" s="1"/>
  <c r="S172"/>
  <c r="R172"/>
  <c r="N172"/>
  <c r="M172"/>
  <c r="P172" s="1"/>
  <c r="J172"/>
  <c r="T172" s="1"/>
  <c r="S171"/>
  <c r="R171"/>
  <c r="N171"/>
  <c r="M171"/>
  <c r="P171" s="1"/>
  <c r="J171"/>
  <c r="T171" s="1"/>
  <c r="S170"/>
  <c r="R170"/>
  <c r="N170"/>
  <c r="M170"/>
  <c r="P170" s="1"/>
  <c r="J170"/>
  <c r="T170" s="1"/>
  <c r="S163"/>
  <c r="N163"/>
  <c r="M163"/>
  <c r="O163" s="1"/>
  <c r="J163"/>
  <c r="S162"/>
  <c r="N162"/>
  <c r="M162"/>
  <c r="J162"/>
  <c r="S161"/>
  <c r="R161"/>
  <c r="N161"/>
  <c r="M161"/>
  <c r="P161" s="1"/>
  <c r="J161"/>
  <c r="T161" s="1"/>
  <c r="S160"/>
  <c r="R160"/>
  <c r="N160"/>
  <c r="M160"/>
  <c r="P160" s="1"/>
  <c r="J160"/>
  <c r="T160" s="1"/>
  <c r="S159"/>
  <c r="R159"/>
  <c r="N159"/>
  <c r="M159"/>
  <c r="P159" s="1"/>
  <c r="J159"/>
  <c r="T159" s="1"/>
  <c r="S158"/>
  <c r="R158"/>
  <c r="N158"/>
  <c r="M158"/>
  <c r="P158" s="1"/>
  <c r="J158"/>
  <c r="T158" s="1"/>
  <c r="S157"/>
  <c r="R157"/>
  <c r="N157"/>
  <c r="M157"/>
  <c r="P157" s="1"/>
  <c r="J157"/>
  <c r="T157" s="1"/>
  <c r="S156"/>
  <c r="R156"/>
  <c r="N156"/>
  <c r="M156"/>
  <c r="P156" s="1"/>
  <c r="J156"/>
  <c r="T156" s="1"/>
  <c r="S155"/>
  <c r="R155"/>
  <c r="N155"/>
  <c r="M155"/>
  <c r="P155" s="1"/>
  <c r="J155"/>
  <c r="T155" s="1"/>
  <c r="S154"/>
  <c r="R154"/>
  <c r="N154"/>
  <c r="M154"/>
  <c r="P154" s="1"/>
  <c r="J154"/>
  <c r="T154" s="1"/>
  <c r="S153"/>
  <c r="R153"/>
  <c r="N153"/>
  <c r="M153"/>
  <c r="P153" s="1"/>
  <c r="J153"/>
  <c r="T153" s="1"/>
  <c r="S152"/>
  <c r="R152"/>
  <c r="N152"/>
  <c r="M152"/>
  <c r="P152" s="1"/>
  <c r="J152"/>
  <c r="T152" s="1"/>
  <c r="S151"/>
  <c r="R151"/>
  <c r="N151"/>
  <c r="M151"/>
  <c r="P151" s="1"/>
  <c r="J151"/>
  <c r="T151" s="1"/>
  <c r="S150"/>
  <c r="R150"/>
  <c r="N150"/>
  <c r="M150"/>
  <c r="P150" s="1"/>
  <c r="J150"/>
  <c r="T150" s="1"/>
  <c r="S149"/>
  <c r="R149"/>
  <c r="N149"/>
  <c r="M149"/>
  <c r="P149" s="1"/>
  <c r="J149"/>
  <c r="T149" s="1"/>
  <c r="S148"/>
  <c r="R148"/>
  <c r="N148"/>
  <c r="M148"/>
  <c r="P148" s="1"/>
  <c r="J148"/>
  <c r="T148" s="1"/>
  <c r="S147"/>
  <c r="R147"/>
  <c r="N147"/>
  <c r="M147"/>
  <c r="P147" s="1"/>
  <c r="J147"/>
  <c r="T147" s="1"/>
  <c r="S146"/>
  <c r="R146"/>
  <c r="N146"/>
  <c r="M146"/>
  <c r="P146" s="1"/>
  <c r="J146"/>
  <c r="T146" s="1"/>
  <c r="S145"/>
  <c r="R145"/>
  <c r="N145"/>
  <c r="M145"/>
  <c r="P145" s="1"/>
  <c r="J145"/>
  <c r="T145" s="1"/>
  <c r="S144"/>
  <c r="R144"/>
  <c r="N144"/>
  <c r="M144"/>
  <c r="P144" s="1"/>
  <c r="J144"/>
  <c r="T144" s="1"/>
  <c r="S143"/>
  <c r="R143"/>
  <c r="N143"/>
  <c r="M143"/>
  <c r="P143" s="1"/>
  <c r="J143"/>
  <c r="S142"/>
  <c r="R142"/>
  <c r="N142"/>
  <c r="M142"/>
  <c r="P142" s="1"/>
  <c r="J142"/>
  <c r="T142" s="1"/>
  <c r="S141"/>
  <c r="R141"/>
  <c r="N141"/>
  <c r="M141"/>
  <c r="P141" s="1"/>
  <c r="J141"/>
  <c r="T141" s="1"/>
  <c r="S140"/>
  <c r="R140"/>
  <c r="N140"/>
  <c r="M140"/>
  <c r="P140" s="1"/>
  <c r="J140"/>
  <c r="T140" s="1"/>
  <c r="S139"/>
  <c r="R139"/>
  <c r="N139"/>
  <c r="M139"/>
  <c r="P139" s="1"/>
  <c r="J139"/>
  <c r="T139" s="1"/>
  <c r="S138"/>
  <c r="R138"/>
  <c r="N138"/>
  <c r="M138"/>
  <c r="P138" s="1"/>
  <c r="J138"/>
  <c r="T138" s="1"/>
  <c r="S137"/>
  <c r="R137"/>
  <c r="N137"/>
  <c r="M137"/>
  <c r="P137" s="1"/>
  <c r="J137"/>
  <c r="T137" s="1"/>
  <c r="S136"/>
  <c r="R136"/>
  <c r="N136"/>
  <c r="M136"/>
  <c r="P136" s="1"/>
  <c r="J136"/>
  <c r="T136" s="1"/>
  <c r="S135"/>
  <c r="R135"/>
  <c r="N135"/>
  <c r="M135"/>
  <c r="P135" s="1"/>
  <c r="J135"/>
  <c r="T135" s="1"/>
  <c r="S134"/>
  <c r="R134"/>
  <c r="N134"/>
  <c r="M134"/>
  <c r="P134" s="1"/>
  <c r="J134"/>
  <c r="T134" s="1"/>
  <c r="S133"/>
  <c r="R133"/>
  <c r="N133"/>
  <c r="M133"/>
  <c r="P133" s="1"/>
  <c r="J133"/>
  <c r="T133" s="1"/>
  <c r="S132"/>
  <c r="R132"/>
  <c r="N132"/>
  <c r="M132"/>
  <c r="P132" s="1"/>
  <c r="J132"/>
  <c r="T132" s="1"/>
  <c r="S131"/>
  <c r="R131"/>
  <c r="N131"/>
  <c r="M131"/>
  <c r="P131" s="1"/>
  <c r="J131"/>
  <c r="T131" s="1"/>
  <c r="S130"/>
  <c r="R130"/>
  <c r="N130"/>
  <c r="M130"/>
  <c r="P130" s="1"/>
  <c r="J130"/>
  <c r="T130" s="1"/>
  <c r="S129"/>
  <c r="R129"/>
  <c r="N129"/>
  <c r="M129"/>
  <c r="P129" s="1"/>
  <c r="J129"/>
  <c r="T129" s="1"/>
  <c r="S128"/>
  <c r="R128"/>
  <c r="N128"/>
  <c r="M128"/>
  <c r="P128" s="1"/>
  <c r="J128"/>
  <c r="T128" s="1"/>
  <c r="S127"/>
  <c r="R127"/>
  <c r="N127"/>
  <c r="M127"/>
  <c r="P127" s="1"/>
  <c r="J127"/>
  <c r="T127" s="1"/>
  <c r="S126"/>
  <c r="R126"/>
  <c r="N126"/>
  <c r="M126"/>
  <c r="P126" s="1"/>
  <c r="J126"/>
  <c r="T126" s="1"/>
  <c r="S125"/>
  <c r="R125"/>
  <c r="N125"/>
  <c r="M125"/>
  <c r="P125" s="1"/>
  <c r="J125"/>
  <c r="T125" s="1"/>
  <c r="S124"/>
  <c r="R124"/>
  <c r="N124"/>
  <c r="M124"/>
  <c r="P124" s="1"/>
  <c r="J124"/>
  <c r="S123"/>
  <c r="R123"/>
  <c r="N123"/>
  <c r="M123"/>
  <c r="P123" s="1"/>
  <c r="J123"/>
  <c r="T123" s="1"/>
  <c r="S122"/>
  <c r="R122"/>
  <c r="N122"/>
  <c r="M122"/>
  <c r="P122" s="1"/>
  <c r="J122"/>
  <c r="T122" s="1"/>
  <c r="S121"/>
  <c r="R121"/>
  <c r="N121"/>
  <c r="M121"/>
  <c r="P121" s="1"/>
  <c r="J121"/>
  <c r="T121" s="1"/>
  <c r="S120"/>
  <c r="R120"/>
  <c r="N120"/>
  <c r="M120"/>
  <c r="P120" s="1"/>
  <c r="J120"/>
  <c r="T120" s="1"/>
  <c r="S119"/>
  <c r="R119"/>
  <c r="N119"/>
  <c r="M119"/>
  <c r="P119" s="1"/>
  <c r="J119"/>
  <c r="T119" s="1"/>
  <c r="S118"/>
  <c r="R118"/>
  <c r="N118"/>
  <c r="M118"/>
  <c r="P118" s="1"/>
  <c r="J118"/>
  <c r="T118" s="1"/>
  <c r="S117"/>
  <c r="R117"/>
  <c r="N117"/>
  <c r="M117"/>
  <c r="P117" s="1"/>
  <c r="J117"/>
  <c r="T117" s="1"/>
  <c r="S116"/>
  <c r="R116"/>
  <c r="N116"/>
  <c r="M116"/>
  <c r="P116" s="1"/>
  <c r="J116"/>
  <c r="T116" s="1"/>
  <c r="S115"/>
  <c r="R115"/>
  <c r="N115"/>
  <c r="M115"/>
  <c r="P115" s="1"/>
  <c r="J115"/>
  <c r="T115" s="1"/>
  <c r="S114"/>
  <c r="R114"/>
  <c r="N114"/>
  <c r="M114"/>
  <c r="P114" s="1"/>
  <c r="J114"/>
  <c r="T114" s="1"/>
  <c r="S113"/>
  <c r="R113"/>
  <c r="N113"/>
  <c r="M113"/>
  <c r="P113" s="1"/>
  <c r="J113"/>
  <c r="T113" s="1"/>
  <c r="S112"/>
  <c r="R112"/>
  <c r="N112"/>
  <c r="M112"/>
  <c r="P112" s="1"/>
  <c r="J112"/>
  <c r="T112" s="1"/>
  <c r="S111"/>
  <c r="R111"/>
  <c r="N111"/>
  <c r="M111"/>
  <c r="P111" s="1"/>
  <c r="J111"/>
  <c r="T111" s="1"/>
  <c r="S110"/>
  <c r="R110"/>
  <c r="N110"/>
  <c r="M110"/>
  <c r="P110" s="1"/>
  <c r="J110"/>
  <c r="T110" s="1"/>
  <c r="S109"/>
  <c r="R109"/>
  <c r="N109"/>
  <c r="M109"/>
  <c r="P109" s="1"/>
  <c r="J109"/>
  <c r="T109" s="1"/>
  <c r="S108"/>
  <c r="R108"/>
  <c r="N108"/>
  <c r="M108"/>
  <c r="P108" s="1"/>
  <c r="J108"/>
  <c r="T108" s="1"/>
  <c r="S107"/>
  <c r="R107"/>
  <c r="N107"/>
  <c r="M107"/>
  <c r="P107" s="1"/>
  <c r="J107"/>
  <c r="T107" s="1"/>
  <c r="S106"/>
  <c r="R106"/>
  <c r="N106"/>
  <c r="M106"/>
  <c r="P106" s="1"/>
  <c r="J106"/>
  <c r="T106" s="1"/>
  <c r="S105"/>
  <c r="R105"/>
  <c r="N105"/>
  <c r="M105"/>
  <c r="P105" s="1"/>
  <c r="J105"/>
  <c r="T105" s="1"/>
  <c r="S104"/>
  <c r="R104"/>
  <c r="N104"/>
  <c r="M104"/>
  <c r="P104" s="1"/>
  <c r="J104"/>
  <c r="T104" s="1"/>
  <c r="S103"/>
  <c r="R103"/>
  <c r="N103"/>
  <c r="M103"/>
  <c r="P103" s="1"/>
  <c r="J103"/>
  <c r="T103" s="1"/>
  <c r="S102"/>
  <c r="R102"/>
  <c r="N102"/>
  <c r="M102"/>
  <c r="J102"/>
  <c r="T102" s="1"/>
  <c r="S101"/>
  <c r="R101"/>
  <c r="N101"/>
  <c r="M101"/>
  <c r="J101"/>
  <c r="T101" s="1"/>
  <c r="S100"/>
  <c r="R100"/>
  <c r="N100"/>
  <c r="M100"/>
  <c r="P100" s="1"/>
  <c r="J100"/>
  <c r="T100" s="1"/>
  <c r="S99"/>
  <c r="R99"/>
  <c r="N99"/>
  <c r="M99"/>
  <c r="J99"/>
  <c r="T99" s="1"/>
  <c r="S98"/>
  <c r="R98"/>
  <c r="N98"/>
  <c r="M98"/>
  <c r="P98" s="1"/>
  <c r="J98"/>
  <c r="T98" s="1"/>
  <c r="S97"/>
  <c r="R97"/>
  <c r="N97"/>
  <c r="M97"/>
  <c r="J97"/>
  <c r="T97" s="1"/>
  <c r="S96"/>
  <c r="R96"/>
  <c r="N96"/>
  <c r="M96"/>
  <c r="P96" s="1"/>
  <c r="J96"/>
  <c r="S95"/>
  <c r="R95"/>
  <c r="N95"/>
  <c r="M95"/>
  <c r="J95"/>
  <c r="T95" s="1"/>
  <c r="S94"/>
  <c r="R94"/>
  <c r="N94"/>
  <c r="M94"/>
  <c r="J94"/>
  <c r="T94" s="1"/>
  <c r="S93"/>
  <c r="R93"/>
  <c r="N93"/>
  <c r="M93"/>
  <c r="P93" s="1"/>
  <c r="J93"/>
  <c r="T93" s="1"/>
  <c r="S92"/>
  <c r="R92"/>
  <c r="N92"/>
  <c r="M92"/>
  <c r="J92"/>
  <c r="T92" s="1"/>
  <c r="S91"/>
  <c r="R91"/>
  <c r="N91"/>
  <c r="M91"/>
  <c r="P91" s="1"/>
  <c r="J91"/>
  <c r="T91" s="1"/>
  <c r="S90"/>
  <c r="R90"/>
  <c r="N90"/>
  <c r="M90"/>
  <c r="J90"/>
  <c r="T90" s="1"/>
  <c r="S89"/>
  <c r="R89"/>
  <c r="N89"/>
  <c r="M89"/>
  <c r="P89" s="1"/>
  <c r="J89"/>
  <c r="T89" s="1"/>
  <c r="S88"/>
  <c r="R88"/>
  <c r="N88"/>
  <c r="M88"/>
  <c r="J88"/>
  <c r="T88" s="1"/>
  <c r="S87"/>
  <c r="R87"/>
  <c r="N87"/>
  <c r="M87"/>
  <c r="P87" s="1"/>
  <c r="J87"/>
  <c r="T87" s="1"/>
  <c r="S86"/>
  <c r="R86"/>
  <c r="N86"/>
  <c r="M86"/>
  <c r="J86"/>
  <c r="T86" s="1"/>
  <c r="S85"/>
  <c r="R85"/>
  <c r="N85"/>
  <c r="M85"/>
  <c r="P85" s="1"/>
  <c r="J85"/>
  <c r="T85" s="1"/>
  <c r="S84"/>
  <c r="R84"/>
  <c r="N84"/>
  <c r="M84"/>
  <c r="J84"/>
  <c r="T84" s="1"/>
  <c r="S83"/>
  <c r="R83"/>
  <c r="N83"/>
  <c r="M83"/>
  <c r="P83" s="1"/>
  <c r="J83"/>
  <c r="T83" s="1"/>
  <c r="S82"/>
  <c r="R82"/>
  <c r="N82"/>
  <c r="M82"/>
  <c r="J82"/>
  <c r="T82" s="1"/>
  <c r="S81"/>
  <c r="R81"/>
  <c r="N81"/>
  <c r="M81"/>
  <c r="P81" s="1"/>
  <c r="J81"/>
  <c r="T81" s="1"/>
  <c r="S80"/>
  <c r="R80"/>
  <c r="N80"/>
  <c r="M80"/>
  <c r="J80"/>
  <c r="T80" s="1"/>
  <c r="S79"/>
  <c r="R79"/>
  <c r="N79"/>
  <c r="M79"/>
  <c r="P79" s="1"/>
  <c r="J79"/>
  <c r="T79" s="1"/>
  <c r="S78"/>
  <c r="R78"/>
  <c r="N78"/>
  <c r="M78"/>
  <c r="J78"/>
  <c r="T78" s="1"/>
  <c r="S77"/>
  <c r="R77"/>
  <c r="N77"/>
  <c r="M77"/>
  <c r="P77" s="1"/>
  <c r="J77"/>
  <c r="T77" s="1"/>
  <c r="S76"/>
  <c r="R76"/>
  <c r="N76"/>
  <c r="M76"/>
  <c r="J76"/>
  <c r="T76" s="1"/>
  <c r="S75"/>
  <c r="R75"/>
  <c r="N75"/>
  <c r="M75"/>
  <c r="P75" s="1"/>
  <c r="J75"/>
  <c r="T75" s="1"/>
  <c r="S74"/>
  <c r="R74"/>
  <c r="N74"/>
  <c r="M74"/>
  <c r="P74" s="1"/>
  <c r="J74"/>
  <c r="T74" s="1"/>
  <c r="S73"/>
  <c r="R73"/>
  <c r="N73"/>
  <c r="M73"/>
  <c r="P73" s="1"/>
  <c r="J73"/>
  <c r="T73" s="1"/>
  <c r="S72"/>
  <c r="R72"/>
  <c r="N72"/>
  <c r="M72"/>
  <c r="P72" s="1"/>
  <c r="J72"/>
  <c r="T72" s="1"/>
  <c r="S71"/>
  <c r="R71"/>
  <c r="N71"/>
  <c r="M71"/>
  <c r="J71"/>
  <c r="T71" s="1"/>
  <c r="S70"/>
  <c r="R70"/>
  <c r="N70"/>
  <c r="M70"/>
  <c r="J70"/>
  <c r="T70" s="1"/>
  <c r="S69"/>
  <c r="R69"/>
  <c r="N69"/>
  <c r="M69"/>
  <c r="P69" s="1"/>
  <c r="J69"/>
  <c r="T69" s="1"/>
  <c r="S68"/>
  <c r="R68"/>
  <c r="N68"/>
  <c r="M68"/>
  <c r="P68" s="1"/>
  <c r="J68"/>
  <c r="T68" s="1"/>
  <c r="S67"/>
  <c r="R67"/>
  <c r="N67"/>
  <c r="M67"/>
  <c r="J67"/>
  <c r="T67" s="1"/>
  <c r="S66"/>
  <c r="R66"/>
  <c r="N66"/>
  <c r="M66"/>
  <c r="P66" s="1"/>
  <c r="J66"/>
  <c r="T66" s="1"/>
  <c r="S65"/>
  <c r="R65"/>
  <c r="N65"/>
  <c r="M65"/>
  <c r="P65" s="1"/>
  <c r="J65"/>
  <c r="S64"/>
  <c r="R64"/>
  <c r="N64"/>
  <c r="M64"/>
  <c r="P64" s="1"/>
  <c r="J64"/>
  <c r="T64" s="1"/>
  <c r="S63"/>
  <c r="R63"/>
  <c r="N63"/>
  <c r="M63"/>
  <c r="J63"/>
  <c r="T63" s="1"/>
  <c r="S62"/>
  <c r="R62"/>
  <c r="N62"/>
  <c r="M62"/>
  <c r="P62" s="1"/>
  <c r="J62"/>
  <c r="T62" s="1"/>
  <c r="S61"/>
  <c r="R61"/>
  <c r="N61"/>
  <c r="M61"/>
  <c r="P61" s="1"/>
  <c r="J61"/>
  <c r="T61" s="1"/>
  <c r="S60"/>
  <c r="R60"/>
  <c r="N60"/>
  <c r="M60"/>
  <c r="J60"/>
  <c r="T60" s="1"/>
  <c r="S59"/>
  <c r="R59"/>
  <c r="N59"/>
  <c r="M59"/>
  <c r="P59" s="1"/>
  <c r="J59"/>
  <c r="T59" s="1"/>
  <c r="S58"/>
  <c r="R58"/>
  <c r="N58"/>
  <c r="M58"/>
  <c r="P58" s="1"/>
  <c r="J58"/>
  <c r="T58" s="1"/>
  <c r="S57"/>
  <c r="R57"/>
  <c r="N57"/>
  <c r="M57"/>
  <c r="J57"/>
  <c r="T57" s="1"/>
  <c r="S56"/>
  <c r="R56"/>
  <c r="N56"/>
  <c r="M56"/>
  <c r="J56"/>
  <c r="T56" s="1"/>
  <c r="S55"/>
  <c r="R55"/>
  <c r="N55"/>
  <c r="M55"/>
  <c r="P55" s="1"/>
  <c r="J55"/>
  <c r="T55" s="1"/>
  <c r="S54"/>
  <c r="R54"/>
  <c r="N54"/>
  <c r="M54"/>
  <c r="P54" s="1"/>
  <c r="J54"/>
  <c r="T54" s="1"/>
  <c r="S53"/>
  <c r="R53"/>
  <c r="N53"/>
  <c r="M53"/>
  <c r="P53" s="1"/>
  <c r="J53"/>
  <c r="T53" s="1"/>
  <c r="S52"/>
  <c r="R52"/>
  <c r="N52"/>
  <c r="M52"/>
  <c r="P52" s="1"/>
  <c r="J52"/>
  <c r="T52" s="1"/>
  <c r="S51"/>
  <c r="R51"/>
  <c r="N51"/>
  <c r="M51"/>
  <c r="P51" s="1"/>
  <c r="J51"/>
  <c r="T51" s="1"/>
  <c r="S50"/>
  <c r="R50"/>
  <c r="N50"/>
  <c r="M50"/>
  <c r="J50"/>
  <c r="S49"/>
  <c r="R49"/>
  <c r="N49"/>
  <c r="M49"/>
  <c r="J49"/>
  <c r="T49" s="1"/>
  <c r="S48"/>
  <c r="R48"/>
  <c r="N48"/>
  <c r="M48"/>
  <c r="P48" s="1"/>
  <c r="J48"/>
  <c r="T48" s="1"/>
  <c r="S47"/>
  <c r="R47"/>
  <c r="N47"/>
  <c r="M47"/>
  <c r="P47" s="1"/>
  <c r="J47"/>
  <c r="T47" s="1"/>
  <c r="S46"/>
  <c r="R46"/>
  <c r="N46"/>
  <c r="M46"/>
  <c r="P46" s="1"/>
  <c r="J46"/>
  <c r="T46" s="1"/>
  <c r="S45"/>
  <c r="R45"/>
  <c r="N45"/>
  <c r="M45"/>
  <c r="P45" s="1"/>
  <c r="J45"/>
  <c r="T45" s="1"/>
  <c r="S44"/>
  <c r="R44"/>
  <c r="N44"/>
  <c r="M44"/>
  <c r="J44"/>
  <c r="T44" s="1"/>
  <c r="S43"/>
  <c r="R43"/>
  <c r="N43"/>
  <c r="M43"/>
  <c r="P43" s="1"/>
  <c r="J43"/>
  <c r="T43" s="1"/>
  <c r="S42"/>
  <c r="R42"/>
  <c r="N42"/>
  <c r="M42"/>
  <c r="J42"/>
  <c r="T42" s="1"/>
  <c r="S41"/>
  <c r="R41"/>
  <c r="N41"/>
  <c r="M41"/>
  <c r="P41" s="1"/>
  <c r="J41"/>
  <c r="T41" s="1"/>
  <c r="S40"/>
  <c r="R40"/>
  <c r="N40"/>
  <c r="M40"/>
  <c r="J40"/>
  <c r="T40" s="1"/>
  <c r="S39"/>
  <c r="R39"/>
  <c r="N39"/>
  <c r="M39"/>
  <c r="P39" s="1"/>
  <c r="J39"/>
  <c r="T39" s="1"/>
  <c r="S38"/>
  <c r="R38"/>
  <c r="N38"/>
  <c r="M38"/>
  <c r="J38"/>
  <c r="T38" s="1"/>
  <c r="S37"/>
  <c r="R37"/>
  <c r="N37"/>
  <c r="M37"/>
  <c r="P37" s="1"/>
  <c r="J37"/>
  <c r="T37" s="1"/>
  <c r="S36"/>
  <c r="R36"/>
  <c r="N36"/>
  <c r="M36"/>
  <c r="P36" s="1"/>
  <c r="J36"/>
  <c r="T36" s="1"/>
  <c r="S35"/>
  <c r="R35"/>
  <c r="N35"/>
  <c r="M35"/>
  <c r="P35" s="1"/>
  <c r="J35"/>
  <c r="T35" s="1"/>
  <c r="S34"/>
  <c r="R34"/>
  <c r="N34"/>
  <c r="M34"/>
  <c r="J34"/>
  <c r="T34" s="1"/>
  <c r="S33"/>
  <c r="R33"/>
  <c r="N33"/>
  <c r="M33"/>
  <c r="P33" s="1"/>
  <c r="J33"/>
  <c r="T33" s="1"/>
  <c r="S32"/>
  <c r="R32"/>
  <c r="N32"/>
  <c r="M32"/>
  <c r="J32"/>
  <c r="T32" s="1"/>
  <c r="S31"/>
  <c r="R31"/>
  <c r="N31"/>
  <c r="M31"/>
  <c r="J31"/>
  <c r="S30"/>
  <c r="R30"/>
  <c r="N30"/>
  <c r="M30"/>
  <c r="P30" s="1"/>
  <c r="J30"/>
  <c r="T30" s="1"/>
  <c r="S29"/>
  <c r="R29"/>
  <c r="N29"/>
  <c r="M29"/>
  <c r="J29"/>
  <c r="T29" s="1"/>
  <c r="S28"/>
  <c r="R28"/>
  <c r="N28"/>
  <c r="M28"/>
  <c r="P28" s="1"/>
  <c r="J28"/>
  <c r="T28" s="1"/>
  <c r="S27"/>
  <c r="R27"/>
  <c r="N27"/>
  <c r="M27"/>
  <c r="J27"/>
  <c r="T27" s="1"/>
  <c r="S26"/>
  <c r="R26"/>
  <c r="N26"/>
  <c r="M26"/>
  <c r="P26" s="1"/>
  <c r="J26"/>
  <c r="T26" s="1"/>
  <c r="S25"/>
  <c r="R25"/>
  <c r="N25"/>
  <c r="M25"/>
  <c r="P25" s="1"/>
  <c r="J25"/>
  <c r="T25" s="1"/>
  <c r="S24"/>
  <c r="R24"/>
  <c r="N24"/>
  <c r="M24"/>
  <c r="J24"/>
  <c r="T24" s="1"/>
  <c r="S23"/>
  <c r="R23"/>
  <c r="N23"/>
  <c r="M23"/>
  <c r="P23" s="1"/>
  <c r="J23"/>
  <c r="T23" s="1"/>
  <c r="S22"/>
  <c r="R22"/>
  <c r="N22"/>
  <c r="M22"/>
  <c r="P22" s="1"/>
  <c r="J22"/>
  <c r="T22" s="1"/>
  <c r="S21"/>
  <c r="R21"/>
  <c r="N21"/>
  <c r="M21"/>
  <c r="J21"/>
  <c r="T21" s="1"/>
  <c r="S20"/>
  <c r="R20"/>
  <c r="N20"/>
  <c r="M20"/>
  <c r="P20" s="1"/>
  <c r="J20"/>
  <c r="T20" s="1"/>
  <c r="S19"/>
  <c r="R19"/>
  <c r="N19"/>
  <c r="M19"/>
  <c r="J19"/>
  <c r="T19" s="1"/>
  <c r="S18"/>
  <c r="R18"/>
  <c r="N18"/>
  <c r="M18"/>
  <c r="P18" s="1"/>
  <c r="J18"/>
  <c r="T18" s="1"/>
  <c r="S17"/>
  <c r="R17"/>
  <c r="N17"/>
  <c r="M17"/>
  <c r="P17" s="1"/>
  <c r="J17"/>
  <c r="T17" s="1"/>
  <c r="S16"/>
  <c r="R16"/>
  <c r="N16"/>
  <c r="M16"/>
  <c r="J16"/>
  <c r="T16" s="1"/>
  <c r="S15"/>
  <c r="R15"/>
  <c r="N15"/>
  <c r="M15"/>
  <c r="P15" s="1"/>
  <c r="J15"/>
  <c r="T15" s="1"/>
  <c r="S14"/>
  <c r="R14"/>
  <c r="N14"/>
  <c r="M14"/>
  <c r="P14" s="1"/>
  <c r="J14"/>
  <c r="T14" s="1"/>
  <c r="S13"/>
  <c r="R13"/>
  <c r="N13"/>
  <c r="M13"/>
  <c r="P13" s="1"/>
  <c r="J13"/>
  <c r="T13" s="1"/>
  <c r="S12"/>
  <c r="R12"/>
  <c r="N12"/>
  <c r="M12"/>
  <c r="J12"/>
  <c r="T12" s="1"/>
  <c r="S11"/>
  <c r="R11"/>
  <c r="N11"/>
  <c r="M11"/>
  <c r="P11" s="1"/>
  <c r="J11"/>
  <c r="T11" s="1"/>
  <c r="S10"/>
  <c r="R10"/>
  <c r="N10"/>
  <c r="M10"/>
  <c r="J10"/>
  <c r="T10" s="1"/>
  <c r="S9"/>
  <c r="R9"/>
  <c r="N9"/>
  <c r="M9"/>
  <c r="P9" s="1"/>
  <c r="J9"/>
  <c r="T9" s="1"/>
  <c r="S8"/>
  <c r="R8"/>
  <c r="N8"/>
  <c r="M8"/>
  <c r="J8"/>
  <c r="T8" s="1"/>
  <c r="S7"/>
  <c r="R7"/>
  <c r="N7"/>
  <c r="M7"/>
  <c r="J7"/>
  <c r="T7" s="1"/>
  <c r="S6"/>
  <c r="R6"/>
  <c r="N6"/>
  <c r="M6"/>
  <c r="J6"/>
  <c r="T6" s="1"/>
  <c r="S5"/>
  <c r="R5"/>
  <c r="N5"/>
  <c r="M5"/>
  <c r="P5" s="1"/>
  <c r="J5"/>
  <c r="T5" s="1"/>
  <c r="R182" i="93"/>
  <c r="R181"/>
  <c r="M182"/>
  <c r="M181"/>
  <c r="L181"/>
  <c r="O181" s="1"/>
  <c r="L182"/>
  <c r="O182" s="1"/>
  <c r="I182"/>
  <c r="I181"/>
  <c r="R186"/>
  <c r="Q186"/>
  <c r="M186"/>
  <c r="L186"/>
  <c r="O186" s="1"/>
  <c r="I186"/>
  <c r="R185"/>
  <c r="Q185"/>
  <c r="M185"/>
  <c r="L185"/>
  <c r="O185" s="1"/>
  <c r="I185"/>
  <c r="S185" s="1"/>
  <c r="R184"/>
  <c r="Q184"/>
  <c r="M184"/>
  <c r="L184"/>
  <c r="O184" s="1"/>
  <c r="I184"/>
  <c r="S184" s="1"/>
  <c r="R183"/>
  <c r="Q183"/>
  <c r="M183"/>
  <c r="L183"/>
  <c r="O183" s="1"/>
  <c r="I183"/>
  <c r="S183" s="1"/>
  <c r="R34"/>
  <c r="Q34"/>
  <c r="M34"/>
  <c r="L34"/>
  <c r="O34" s="1"/>
  <c r="I34"/>
  <c r="S34" s="1"/>
  <c r="R180"/>
  <c r="Q180"/>
  <c r="M180"/>
  <c r="L180"/>
  <c r="O180" s="1"/>
  <c r="I180"/>
  <c r="S180" s="1"/>
  <c r="R179"/>
  <c r="Q179"/>
  <c r="M179"/>
  <c r="L179"/>
  <c r="O179" s="1"/>
  <c r="I179"/>
  <c r="S179" s="1"/>
  <c r="R178"/>
  <c r="Q178"/>
  <c r="M178"/>
  <c r="L178"/>
  <c r="O178" s="1"/>
  <c r="I178"/>
  <c r="S178" s="1"/>
  <c r="R177"/>
  <c r="Q177"/>
  <c r="M177"/>
  <c r="L177"/>
  <c r="O177" s="1"/>
  <c r="I177"/>
  <c r="S177" s="1"/>
  <c r="R176"/>
  <c r="Q176"/>
  <c r="M176"/>
  <c r="L176"/>
  <c r="O176" s="1"/>
  <c r="I176"/>
  <c r="S176" s="1"/>
  <c r="R175"/>
  <c r="Q175"/>
  <c r="M175"/>
  <c r="L175"/>
  <c r="O175" s="1"/>
  <c r="I175"/>
  <c r="S175" s="1"/>
  <c r="R174"/>
  <c r="Q174"/>
  <c r="M174"/>
  <c r="L174"/>
  <c r="O174" s="1"/>
  <c r="I174"/>
  <c r="S174" s="1"/>
  <c r="R173"/>
  <c r="Q173"/>
  <c r="M173"/>
  <c r="L173"/>
  <c r="O173" s="1"/>
  <c r="I173"/>
  <c r="S173" s="1"/>
  <c r="R172"/>
  <c r="Q172"/>
  <c r="M172"/>
  <c r="L172"/>
  <c r="I172"/>
  <c r="S172" s="1"/>
  <c r="R171"/>
  <c r="Q171"/>
  <c r="M171"/>
  <c r="L171"/>
  <c r="O171" s="1"/>
  <c r="I171"/>
  <c r="S171" s="1"/>
  <c r="R170"/>
  <c r="Q170"/>
  <c r="M170"/>
  <c r="L170"/>
  <c r="O170" s="1"/>
  <c r="I170"/>
  <c r="S170" s="1"/>
  <c r="R169"/>
  <c r="Q169"/>
  <c r="M169"/>
  <c r="L169"/>
  <c r="O169" s="1"/>
  <c r="I169"/>
  <c r="S169" s="1"/>
  <c r="R168"/>
  <c r="Q168"/>
  <c r="M168"/>
  <c r="L168"/>
  <c r="I168"/>
  <c r="S168" s="1"/>
  <c r="R167"/>
  <c r="Q167"/>
  <c r="M167"/>
  <c r="L167"/>
  <c r="O167" s="1"/>
  <c r="I167"/>
  <c r="S167" s="1"/>
  <c r="R166"/>
  <c r="Q166"/>
  <c r="M166"/>
  <c r="L166"/>
  <c r="O166" s="1"/>
  <c r="I166"/>
  <c r="S166" s="1"/>
  <c r="R165"/>
  <c r="Q165"/>
  <c r="M165"/>
  <c r="L165"/>
  <c r="O165" s="1"/>
  <c r="I165"/>
  <c r="S165" s="1"/>
  <c r="R164"/>
  <c r="Q164"/>
  <c r="M164"/>
  <c r="L164"/>
  <c r="O164" s="1"/>
  <c r="I164"/>
  <c r="S164" s="1"/>
  <c r="R163"/>
  <c r="Q163"/>
  <c r="M163"/>
  <c r="L163"/>
  <c r="O163" s="1"/>
  <c r="I163"/>
  <c r="S163" s="1"/>
  <c r="R162"/>
  <c r="Q162"/>
  <c r="M162"/>
  <c r="L162"/>
  <c r="O162" s="1"/>
  <c r="I162"/>
  <c r="S162" s="1"/>
  <c r="R161"/>
  <c r="Q161"/>
  <c r="M161"/>
  <c r="L161"/>
  <c r="O161" s="1"/>
  <c r="I161"/>
  <c r="S161" s="1"/>
  <c r="R160"/>
  <c r="Q160"/>
  <c r="M160"/>
  <c r="L160"/>
  <c r="O160" s="1"/>
  <c r="I160"/>
  <c r="S160" s="1"/>
  <c r="R159"/>
  <c r="Q159"/>
  <c r="M159"/>
  <c r="L159"/>
  <c r="O159" s="1"/>
  <c r="I159"/>
  <c r="S159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I156"/>
  <c r="S156" s="1"/>
  <c r="R155"/>
  <c r="Q155"/>
  <c r="M155"/>
  <c r="L155"/>
  <c r="O155" s="1"/>
  <c r="I155"/>
  <c r="S155" s="1"/>
  <c r="R154"/>
  <c r="Q154"/>
  <c r="M154"/>
  <c r="L154"/>
  <c r="I154"/>
  <c r="S154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4"/>
  <c r="Q144"/>
  <c r="M144"/>
  <c r="L144"/>
  <c r="I144"/>
  <c r="S144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R92"/>
  <c r="Q92"/>
  <c r="M92"/>
  <c r="L92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5"/>
  <c r="Q75"/>
  <c r="M75"/>
  <c r="L75"/>
  <c r="O75" s="1"/>
  <c r="I75"/>
  <c r="S75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N60" s="1"/>
  <c r="I60"/>
  <c r="R59"/>
  <c r="Q59"/>
  <c r="M59"/>
  <c r="L59"/>
  <c r="N59" s="1"/>
  <c r="I59"/>
  <c r="R58"/>
  <c r="Q58"/>
  <c r="M58"/>
  <c r="L58"/>
  <c r="N58" s="1"/>
  <c r="I58"/>
  <c r="R57"/>
  <c r="Q57"/>
  <c r="M57"/>
  <c r="L57"/>
  <c r="N57" s="1"/>
  <c r="I57"/>
  <c r="R56"/>
  <c r="Q56"/>
  <c r="M56"/>
  <c r="L56"/>
  <c r="N56" s="1"/>
  <c r="I56"/>
  <c r="R55"/>
  <c r="Q55"/>
  <c r="M55"/>
  <c r="L55"/>
  <c r="N55" s="1"/>
  <c r="I55"/>
  <c r="R54"/>
  <c r="Q54"/>
  <c r="M54"/>
  <c r="L54"/>
  <c r="N54" s="1"/>
  <c r="I54"/>
  <c r="R53"/>
  <c r="Q53"/>
  <c r="M53"/>
  <c r="L53"/>
  <c r="N53" s="1"/>
  <c r="I53"/>
  <c r="R52"/>
  <c r="Q52"/>
  <c r="M52"/>
  <c r="L52"/>
  <c r="N52" s="1"/>
  <c r="I52"/>
  <c r="R51"/>
  <c r="Q51"/>
  <c r="M51"/>
  <c r="L51"/>
  <c r="N51" s="1"/>
  <c r="I51"/>
  <c r="R50"/>
  <c r="Q50"/>
  <c r="M50"/>
  <c r="L50"/>
  <c r="N50" s="1"/>
  <c r="I50"/>
  <c r="R49"/>
  <c r="Q49"/>
  <c r="M49"/>
  <c r="L49"/>
  <c r="N49" s="1"/>
  <c r="I49"/>
  <c r="R48"/>
  <c r="Q48"/>
  <c r="M48"/>
  <c r="L48"/>
  <c r="N48" s="1"/>
  <c r="I48"/>
  <c r="R47"/>
  <c r="Q47"/>
  <c r="M47"/>
  <c r="L47"/>
  <c r="N47" s="1"/>
  <c r="I47"/>
  <c r="R46"/>
  <c r="Q46"/>
  <c r="M46"/>
  <c r="L46"/>
  <c r="N46" s="1"/>
  <c r="I46"/>
  <c r="R45"/>
  <c r="Q45"/>
  <c r="M45"/>
  <c r="L45"/>
  <c r="N45" s="1"/>
  <c r="I45"/>
  <c r="R44"/>
  <c r="Q44"/>
  <c r="M44"/>
  <c r="L44"/>
  <c r="N44" s="1"/>
  <c r="I44"/>
  <c r="R43"/>
  <c r="Q43"/>
  <c r="M43"/>
  <c r="L43"/>
  <c r="N43" s="1"/>
  <c r="I43"/>
  <c r="R42"/>
  <c r="Q42"/>
  <c r="M42"/>
  <c r="L42"/>
  <c r="N42" s="1"/>
  <c r="I42"/>
  <c r="R41"/>
  <c r="Q41"/>
  <c r="M41"/>
  <c r="L41"/>
  <c r="N41" s="1"/>
  <c r="I41"/>
  <c r="R40"/>
  <c r="Q40"/>
  <c r="M40"/>
  <c r="L40"/>
  <c r="N40" s="1"/>
  <c r="I40"/>
  <c r="R39"/>
  <c r="Q39"/>
  <c r="M39"/>
  <c r="L39"/>
  <c r="N39" s="1"/>
  <c r="I39"/>
  <c r="R38"/>
  <c r="Q38"/>
  <c r="M38"/>
  <c r="L38"/>
  <c r="N38" s="1"/>
  <c r="I38"/>
  <c r="R37"/>
  <c r="Q37"/>
  <c r="M37"/>
  <c r="L37"/>
  <c r="N37" s="1"/>
  <c r="I37"/>
  <c r="R36"/>
  <c r="Q36"/>
  <c r="M36"/>
  <c r="L36"/>
  <c r="N36" s="1"/>
  <c r="I36"/>
  <c r="R35"/>
  <c r="Q35"/>
  <c r="M35"/>
  <c r="L35"/>
  <c r="N35" s="1"/>
  <c r="I35"/>
  <c r="R33"/>
  <c r="Q33"/>
  <c r="M33"/>
  <c r="L33"/>
  <c r="N33" s="1"/>
  <c r="I33"/>
  <c r="R32"/>
  <c r="Q32"/>
  <c r="M32"/>
  <c r="L32"/>
  <c r="N32" s="1"/>
  <c r="I32"/>
  <c r="R31"/>
  <c r="Q31"/>
  <c r="M31"/>
  <c r="L31"/>
  <c r="N31" s="1"/>
  <c r="I31"/>
  <c r="R30"/>
  <c r="Q30"/>
  <c r="M30"/>
  <c r="L30"/>
  <c r="N30" s="1"/>
  <c r="I30"/>
  <c r="R29"/>
  <c r="Q29"/>
  <c r="M29"/>
  <c r="L29"/>
  <c r="N29" s="1"/>
  <c r="I29"/>
  <c r="R28"/>
  <c r="Q28"/>
  <c r="M28"/>
  <c r="L28"/>
  <c r="N28" s="1"/>
  <c r="I28"/>
  <c r="R27"/>
  <c r="Q27"/>
  <c r="M27"/>
  <c r="L27"/>
  <c r="N27" s="1"/>
  <c r="I27"/>
  <c r="R26"/>
  <c r="Q26"/>
  <c r="M26"/>
  <c r="L26"/>
  <c r="N26" s="1"/>
  <c r="I26"/>
  <c r="R25"/>
  <c r="Q25"/>
  <c r="M25"/>
  <c r="L25"/>
  <c r="N25" s="1"/>
  <c r="I25"/>
  <c r="R24"/>
  <c r="Q24"/>
  <c r="M24"/>
  <c r="L24"/>
  <c r="N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Q5"/>
  <c r="M5"/>
  <c r="L5"/>
  <c r="I5"/>
  <c r="I187" i="92"/>
  <c r="R182"/>
  <c r="S182"/>
  <c r="N182"/>
  <c r="M182"/>
  <c r="O182" s="1"/>
  <c r="J182"/>
  <c r="L187"/>
  <c r="H187"/>
  <c r="S186"/>
  <c r="R186"/>
  <c r="N186"/>
  <c r="M186"/>
  <c r="P186" s="1"/>
  <c r="J186"/>
  <c r="T186" s="1"/>
  <c r="S185"/>
  <c r="R185"/>
  <c r="N185"/>
  <c r="M185"/>
  <c r="P185" s="1"/>
  <c r="J185"/>
  <c r="T185" s="1"/>
  <c r="S184"/>
  <c r="R184"/>
  <c r="N184"/>
  <c r="M184"/>
  <c r="P184" s="1"/>
  <c r="J184"/>
  <c r="T184" s="1"/>
  <c r="S183"/>
  <c r="R183"/>
  <c r="N183"/>
  <c r="M183"/>
  <c r="J183"/>
  <c r="T183" s="1"/>
  <c r="S43"/>
  <c r="R43"/>
  <c r="N43"/>
  <c r="M43"/>
  <c r="P43" s="1"/>
  <c r="J43"/>
  <c r="T43" s="1"/>
  <c r="S126"/>
  <c r="R126"/>
  <c r="N126"/>
  <c r="M126"/>
  <c r="P126" s="1"/>
  <c r="J126"/>
  <c r="T126" s="1"/>
  <c r="S29"/>
  <c r="R29"/>
  <c r="N29"/>
  <c r="M29"/>
  <c r="P29" s="1"/>
  <c r="J29"/>
  <c r="T29" s="1"/>
  <c r="S159"/>
  <c r="R159"/>
  <c r="N159"/>
  <c r="M159"/>
  <c r="P159" s="1"/>
  <c r="J159"/>
  <c r="T159" s="1"/>
  <c r="S138"/>
  <c r="R138"/>
  <c r="N138"/>
  <c r="M138"/>
  <c r="P138" s="1"/>
  <c r="J138"/>
  <c r="T138" s="1"/>
  <c r="S131"/>
  <c r="R131"/>
  <c r="N131"/>
  <c r="M131"/>
  <c r="P131" s="1"/>
  <c r="J131"/>
  <c r="T131" s="1"/>
  <c r="S8"/>
  <c r="R8"/>
  <c r="N8"/>
  <c r="M8"/>
  <c r="P8" s="1"/>
  <c r="J8"/>
  <c r="T8" s="1"/>
  <c r="S62"/>
  <c r="R62"/>
  <c r="N62"/>
  <c r="M62"/>
  <c r="P62" s="1"/>
  <c r="J62"/>
  <c r="T62" s="1"/>
  <c r="S58"/>
  <c r="R58"/>
  <c r="N58"/>
  <c r="M58"/>
  <c r="P58" s="1"/>
  <c r="J58"/>
  <c r="T58" s="1"/>
  <c r="S56"/>
  <c r="R56"/>
  <c r="N56"/>
  <c r="M56"/>
  <c r="P56" s="1"/>
  <c r="J56"/>
  <c r="T56" s="1"/>
  <c r="S12"/>
  <c r="R12"/>
  <c r="N12"/>
  <c r="M12"/>
  <c r="P12" s="1"/>
  <c r="J12"/>
  <c r="T12" s="1"/>
  <c r="S33"/>
  <c r="R33"/>
  <c r="N33"/>
  <c r="M33"/>
  <c r="P33" s="1"/>
  <c r="J33"/>
  <c r="T33" s="1"/>
  <c r="S164"/>
  <c r="R164"/>
  <c r="N164"/>
  <c r="M164"/>
  <c r="P164" s="1"/>
  <c r="J164"/>
  <c r="T164" s="1"/>
  <c r="S135"/>
  <c r="R135"/>
  <c r="N135"/>
  <c r="M135"/>
  <c r="P135" s="1"/>
  <c r="J135"/>
  <c r="T135" s="1"/>
  <c r="S70"/>
  <c r="R70"/>
  <c r="N70"/>
  <c r="M70"/>
  <c r="P70" s="1"/>
  <c r="J70"/>
  <c r="S150"/>
  <c r="R150"/>
  <c r="N150"/>
  <c r="M150"/>
  <c r="P150" s="1"/>
  <c r="J150"/>
  <c r="T150" s="1"/>
  <c r="S32"/>
  <c r="R32"/>
  <c r="N32"/>
  <c r="M32"/>
  <c r="P32" s="1"/>
  <c r="J32"/>
  <c r="T32" s="1"/>
  <c r="S116"/>
  <c r="R116"/>
  <c r="N116"/>
  <c r="M116"/>
  <c r="P116" s="1"/>
  <c r="J116"/>
  <c r="T116" s="1"/>
  <c r="S16"/>
  <c r="R16"/>
  <c r="N16"/>
  <c r="M16"/>
  <c r="P16" s="1"/>
  <c r="J16"/>
  <c r="S79"/>
  <c r="R79"/>
  <c r="N79"/>
  <c r="M79"/>
  <c r="P79" s="1"/>
  <c r="J79"/>
  <c r="T79" s="1"/>
  <c r="S156"/>
  <c r="R156"/>
  <c r="N156"/>
  <c r="M156"/>
  <c r="P156" s="1"/>
  <c r="J156"/>
  <c r="T156" s="1"/>
  <c r="S181"/>
  <c r="R181"/>
  <c r="N181"/>
  <c r="M181"/>
  <c r="P181" s="1"/>
  <c r="J181"/>
  <c r="T181" s="1"/>
  <c r="S180"/>
  <c r="R180"/>
  <c r="N180"/>
  <c r="M180"/>
  <c r="P180" s="1"/>
  <c r="J180"/>
  <c r="T180" s="1"/>
  <c r="S179"/>
  <c r="R179"/>
  <c r="N179"/>
  <c r="M179"/>
  <c r="P179" s="1"/>
  <c r="J179"/>
  <c r="T179" s="1"/>
  <c r="S178"/>
  <c r="R178"/>
  <c r="N178"/>
  <c r="M178"/>
  <c r="P178" s="1"/>
  <c r="J178"/>
  <c r="T178" s="1"/>
  <c r="S177"/>
  <c r="R177"/>
  <c r="N177"/>
  <c r="M177"/>
  <c r="P177" s="1"/>
  <c r="J177"/>
  <c r="T177" s="1"/>
  <c r="S176"/>
  <c r="R176"/>
  <c r="N176"/>
  <c r="M176"/>
  <c r="P176" s="1"/>
  <c r="J176"/>
  <c r="T176" s="1"/>
  <c r="S175"/>
  <c r="R175"/>
  <c r="N175"/>
  <c r="M175"/>
  <c r="P175" s="1"/>
  <c r="J175"/>
  <c r="T175" s="1"/>
  <c r="S174"/>
  <c r="R174"/>
  <c r="N174"/>
  <c r="M174"/>
  <c r="P174" s="1"/>
  <c r="J174"/>
  <c r="T174" s="1"/>
  <c r="S173"/>
  <c r="R173"/>
  <c r="N173"/>
  <c r="M173"/>
  <c r="P173" s="1"/>
  <c r="J173"/>
  <c r="T173" s="1"/>
  <c r="S172"/>
  <c r="R172"/>
  <c r="N172"/>
  <c r="M172"/>
  <c r="P172" s="1"/>
  <c r="J172"/>
  <c r="T172" s="1"/>
  <c r="S171"/>
  <c r="R171"/>
  <c r="N171"/>
  <c r="M171"/>
  <c r="P171" s="1"/>
  <c r="J171"/>
  <c r="T171" s="1"/>
  <c r="S170"/>
  <c r="R170"/>
  <c r="N170"/>
  <c r="M170"/>
  <c r="P170" s="1"/>
  <c r="J170"/>
  <c r="T170" s="1"/>
  <c r="S169"/>
  <c r="R169"/>
  <c r="N169"/>
  <c r="M169"/>
  <c r="P169" s="1"/>
  <c r="J169"/>
  <c r="T169" s="1"/>
  <c r="S168"/>
  <c r="R168"/>
  <c r="N168"/>
  <c r="M168"/>
  <c r="P168" s="1"/>
  <c r="J168"/>
  <c r="T168" s="1"/>
  <c r="S167"/>
  <c r="R167"/>
  <c r="N167"/>
  <c r="M167"/>
  <c r="P167" s="1"/>
  <c r="J167"/>
  <c r="T167" s="1"/>
  <c r="S166"/>
  <c r="R166"/>
  <c r="N166"/>
  <c r="M166"/>
  <c r="P166" s="1"/>
  <c r="J166"/>
  <c r="T166" s="1"/>
  <c r="S165"/>
  <c r="R165"/>
  <c r="N165"/>
  <c r="M165"/>
  <c r="P165" s="1"/>
  <c r="J165"/>
  <c r="T165" s="1"/>
  <c r="S163"/>
  <c r="R163"/>
  <c r="N163"/>
  <c r="M163"/>
  <c r="P163" s="1"/>
  <c r="J163"/>
  <c r="T163" s="1"/>
  <c r="S162"/>
  <c r="R162"/>
  <c r="N162"/>
  <c r="M162"/>
  <c r="P162" s="1"/>
  <c r="J162"/>
  <c r="T162" s="1"/>
  <c r="S161"/>
  <c r="R161"/>
  <c r="N161"/>
  <c r="M161"/>
  <c r="P161" s="1"/>
  <c r="J161"/>
  <c r="T161" s="1"/>
  <c r="S160"/>
  <c r="R160"/>
  <c r="N160"/>
  <c r="M160"/>
  <c r="P160" s="1"/>
  <c r="J160"/>
  <c r="T160" s="1"/>
  <c r="S158"/>
  <c r="R158"/>
  <c r="N158"/>
  <c r="M158"/>
  <c r="P158" s="1"/>
  <c r="J158"/>
  <c r="T158" s="1"/>
  <c r="S157"/>
  <c r="R157"/>
  <c r="N157"/>
  <c r="M157"/>
  <c r="P157" s="1"/>
  <c r="J157"/>
  <c r="T157" s="1"/>
  <c r="S155"/>
  <c r="R155"/>
  <c r="N155"/>
  <c r="M155"/>
  <c r="P155" s="1"/>
  <c r="J155"/>
  <c r="T155" s="1"/>
  <c r="S154"/>
  <c r="R154"/>
  <c r="N154"/>
  <c r="M154"/>
  <c r="P154" s="1"/>
  <c r="J154"/>
  <c r="T154" s="1"/>
  <c r="S153"/>
  <c r="R153"/>
  <c r="N153"/>
  <c r="M153"/>
  <c r="P153" s="1"/>
  <c r="J153"/>
  <c r="T153" s="1"/>
  <c r="S152"/>
  <c r="R152"/>
  <c r="N152"/>
  <c r="M152"/>
  <c r="P152" s="1"/>
  <c r="J152"/>
  <c r="T152" s="1"/>
  <c r="S151"/>
  <c r="R151"/>
  <c r="N151"/>
  <c r="M151"/>
  <c r="P151" s="1"/>
  <c r="J151"/>
  <c r="T151" s="1"/>
  <c r="S149"/>
  <c r="R149"/>
  <c r="N149"/>
  <c r="M149"/>
  <c r="P149" s="1"/>
  <c r="J149"/>
  <c r="T149" s="1"/>
  <c r="S148"/>
  <c r="R148"/>
  <c r="N148"/>
  <c r="M148"/>
  <c r="P148" s="1"/>
  <c r="J148"/>
  <c r="T148" s="1"/>
  <c r="S147"/>
  <c r="R147"/>
  <c r="N147"/>
  <c r="M147"/>
  <c r="P147" s="1"/>
  <c r="J147"/>
  <c r="T147" s="1"/>
  <c r="S146"/>
  <c r="R146"/>
  <c r="N146"/>
  <c r="M146"/>
  <c r="P146" s="1"/>
  <c r="J146"/>
  <c r="T146" s="1"/>
  <c r="S145"/>
  <c r="R145"/>
  <c r="N145"/>
  <c r="M145"/>
  <c r="P145" s="1"/>
  <c r="J145"/>
  <c r="T145" s="1"/>
  <c r="S144"/>
  <c r="R144"/>
  <c r="N144"/>
  <c r="M144"/>
  <c r="P144" s="1"/>
  <c r="J144"/>
  <c r="T144" s="1"/>
  <c r="S143"/>
  <c r="R143"/>
  <c r="N143"/>
  <c r="M143"/>
  <c r="P143" s="1"/>
  <c r="J143"/>
  <c r="T143" s="1"/>
  <c r="S142"/>
  <c r="R142"/>
  <c r="N142"/>
  <c r="M142"/>
  <c r="P142" s="1"/>
  <c r="J142"/>
  <c r="T142" s="1"/>
  <c r="S141"/>
  <c r="R141"/>
  <c r="N141"/>
  <c r="M141"/>
  <c r="P141" s="1"/>
  <c r="J141"/>
  <c r="T141" s="1"/>
  <c r="S140"/>
  <c r="R140"/>
  <c r="N140"/>
  <c r="M140"/>
  <c r="P140" s="1"/>
  <c r="J140"/>
  <c r="T140" s="1"/>
  <c r="S139"/>
  <c r="R139"/>
  <c r="N139"/>
  <c r="M139"/>
  <c r="P139" s="1"/>
  <c r="J139"/>
  <c r="T139" s="1"/>
  <c r="S137"/>
  <c r="R137"/>
  <c r="N137"/>
  <c r="M137"/>
  <c r="P137" s="1"/>
  <c r="J137"/>
  <c r="T137" s="1"/>
  <c r="S136"/>
  <c r="R136"/>
  <c r="N136"/>
  <c r="M136"/>
  <c r="P136" s="1"/>
  <c r="J136"/>
  <c r="T136" s="1"/>
  <c r="S134"/>
  <c r="R134"/>
  <c r="N134"/>
  <c r="M134"/>
  <c r="P134" s="1"/>
  <c r="J134"/>
  <c r="T134" s="1"/>
  <c r="S133"/>
  <c r="R133"/>
  <c r="N133"/>
  <c r="M133"/>
  <c r="P133" s="1"/>
  <c r="J133"/>
  <c r="T133" s="1"/>
  <c r="S132"/>
  <c r="R132"/>
  <c r="N132"/>
  <c r="M132"/>
  <c r="P132" s="1"/>
  <c r="J132"/>
  <c r="T132" s="1"/>
  <c r="S130"/>
  <c r="R130"/>
  <c r="N130"/>
  <c r="M130"/>
  <c r="P130" s="1"/>
  <c r="J130"/>
  <c r="T130" s="1"/>
  <c r="S129"/>
  <c r="R129"/>
  <c r="N129"/>
  <c r="M129"/>
  <c r="P129" s="1"/>
  <c r="J129"/>
  <c r="T129" s="1"/>
  <c r="S128"/>
  <c r="R128"/>
  <c r="N128"/>
  <c r="M128"/>
  <c r="P128" s="1"/>
  <c r="J128"/>
  <c r="T128" s="1"/>
  <c r="S127"/>
  <c r="R127"/>
  <c r="N127"/>
  <c r="M127"/>
  <c r="P127" s="1"/>
  <c r="J127"/>
  <c r="T127" s="1"/>
  <c r="S125"/>
  <c r="R125"/>
  <c r="N125"/>
  <c r="M125"/>
  <c r="P125" s="1"/>
  <c r="J125"/>
  <c r="T125" s="1"/>
  <c r="S124"/>
  <c r="R124"/>
  <c r="N124"/>
  <c r="M124"/>
  <c r="P124" s="1"/>
  <c r="J124"/>
  <c r="T124" s="1"/>
  <c r="S123"/>
  <c r="R123"/>
  <c r="N123"/>
  <c r="M123"/>
  <c r="P123" s="1"/>
  <c r="J123"/>
  <c r="T123" s="1"/>
  <c r="S122"/>
  <c r="R122"/>
  <c r="N122"/>
  <c r="M122"/>
  <c r="P122" s="1"/>
  <c r="J122"/>
  <c r="T122" s="1"/>
  <c r="S121"/>
  <c r="R121"/>
  <c r="N121"/>
  <c r="M121"/>
  <c r="P121" s="1"/>
  <c r="J121"/>
  <c r="T121" s="1"/>
  <c r="S120"/>
  <c r="R120"/>
  <c r="N120"/>
  <c r="M120"/>
  <c r="P120" s="1"/>
  <c r="J120"/>
  <c r="T120" s="1"/>
  <c r="S119"/>
  <c r="R119"/>
  <c r="N119"/>
  <c r="M119"/>
  <c r="P119" s="1"/>
  <c r="J119"/>
  <c r="T119" s="1"/>
  <c r="S118"/>
  <c r="R118"/>
  <c r="N118"/>
  <c r="M118"/>
  <c r="P118" s="1"/>
  <c r="J118"/>
  <c r="T118" s="1"/>
  <c r="S117"/>
  <c r="R117"/>
  <c r="N117"/>
  <c r="M117"/>
  <c r="P117" s="1"/>
  <c r="J117"/>
  <c r="T117" s="1"/>
  <c r="S115"/>
  <c r="R115"/>
  <c r="N115"/>
  <c r="M115"/>
  <c r="P115" s="1"/>
  <c r="J115"/>
  <c r="T115" s="1"/>
  <c r="S114"/>
  <c r="R114"/>
  <c r="N114"/>
  <c r="M114"/>
  <c r="P114" s="1"/>
  <c r="J114"/>
  <c r="T114" s="1"/>
  <c r="S113"/>
  <c r="R113"/>
  <c r="N113"/>
  <c r="M113"/>
  <c r="P113" s="1"/>
  <c r="J113"/>
  <c r="T113" s="1"/>
  <c r="S112"/>
  <c r="R112"/>
  <c r="N112"/>
  <c r="M112"/>
  <c r="P112" s="1"/>
  <c r="J112"/>
  <c r="T112" s="1"/>
  <c r="S111"/>
  <c r="R111"/>
  <c r="N111"/>
  <c r="M111"/>
  <c r="P111" s="1"/>
  <c r="J111"/>
  <c r="T111" s="1"/>
  <c r="S110"/>
  <c r="R110"/>
  <c r="N110"/>
  <c r="M110"/>
  <c r="P110" s="1"/>
  <c r="J110"/>
  <c r="T110" s="1"/>
  <c r="S109"/>
  <c r="R109"/>
  <c r="N109"/>
  <c r="M109"/>
  <c r="P109" s="1"/>
  <c r="J109"/>
  <c r="T109" s="1"/>
  <c r="S108"/>
  <c r="R108"/>
  <c r="N108"/>
  <c r="M108"/>
  <c r="P108" s="1"/>
  <c r="J108"/>
  <c r="T108" s="1"/>
  <c r="S107"/>
  <c r="R107"/>
  <c r="N107"/>
  <c r="M107"/>
  <c r="P107" s="1"/>
  <c r="J107"/>
  <c r="T107" s="1"/>
  <c r="S106"/>
  <c r="R106"/>
  <c r="N106"/>
  <c r="M106"/>
  <c r="P106" s="1"/>
  <c r="J106"/>
  <c r="T106" s="1"/>
  <c r="S105"/>
  <c r="R105"/>
  <c r="N105"/>
  <c r="M105"/>
  <c r="P105" s="1"/>
  <c r="J105"/>
  <c r="T105" s="1"/>
  <c r="S104"/>
  <c r="R104"/>
  <c r="N104"/>
  <c r="M104"/>
  <c r="P104" s="1"/>
  <c r="J104"/>
  <c r="T104" s="1"/>
  <c r="S103"/>
  <c r="R103"/>
  <c r="N103"/>
  <c r="M103"/>
  <c r="P103" s="1"/>
  <c r="J103"/>
  <c r="T103" s="1"/>
  <c r="S102"/>
  <c r="R102"/>
  <c r="N102"/>
  <c r="M102"/>
  <c r="P102" s="1"/>
  <c r="J102"/>
  <c r="T102" s="1"/>
  <c r="S101"/>
  <c r="R101"/>
  <c r="N101"/>
  <c r="M101"/>
  <c r="P101" s="1"/>
  <c r="J101"/>
  <c r="T101" s="1"/>
  <c r="S100"/>
  <c r="R100"/>
  <c r="N100"/>
  <c r="M100"/>
  <c r="P100" s="1"/>
  <c r="J100"/>
  <c r="T100" s="1"/>
  <c r="S99"/>
  <c r="R99"/>
  <c r="N99"/>
  <c r="M99"/>
  <c r="P99" s="1"/>
  <c r="J99"/>
  <c r="T99" s="1"/>
  <c r="S98"/>
  <c r="R98"/>
  <c r="N98"/>
  <c r="M98"/>
  <c r="P98" s="1"/>
  <c r="J98"/>
  <c r="T98" s="1"/>
  <c r="S97"/>
  <c r="R97"/>
  <c r="N97"/>
  <c r="M97"/>
  <c r="P97" s="1"/>
  <c r="J97"/>
  <c r="T97" s="1"/>
  <c r="S96"/>
  <c r="R96"/>
  <c r="N96"/>
  <c r="M96"/>
  <c r="P96" s="1"/>
  <c r="J96"/>
  <c r="T96" s="1"/>
  <c r="S95"/>
  <c r="R95"/>
  <c r="N95"/>
  <c r="M95"/>
  <c r="P95" s="1"/>
  <c r="J95"/>
  <c r="T95" s="1"/>
  <c r="S94"/>
  <c r="R94"/>
  <c r="N94"/>
  <c r="M94"/>
  <c r="P94" s="1"/>
  <c r="J94"/>
  <c r="T94" s="1"/>
  <c r="S93"/>
  <c r="R93"/>
  <c r="N93"/>
  <c r="M93"/>
  <c r="P93" s="1"/>
  <c r="J93"/>
  <c r="T93" s="1"/>
  <c r="S92"/>
  <c r="R92"/>
  <c r="N92"/>
  <c r="M92"/>
  <c r="P92" s="1"/>
  <c r="J92"/>
  <c r="T92" s="1"/>
  <c r="S91"/>
  <c r="R91"/>
  <c r="N91"/>
  <c r="M91"/>
  <c r="P91" s="1"/>
  <c r="J91"/>
  <c r="T91" s="1"/>
  <c r="S90"/>
  <c r="R90"/>
  <c r="N90"/>
  <c r="M90"/>
  <c r="P90" s="1"/>
  <c r="J90"/>
  <c r="T90" s="1"/>
  <c r="S89"/>
  <c r="R89"/>
  <c r="N89"/>
  <c r="M89"/>
  <c r="P89" s="1"/>
  <c r="J89"/>
  <c r="T89" s="1"/>
  <c r="S88"/>
  <c r="R88"/>
  <c r="N88"/>
  <c r="M88"/>
  <c r="P88" s="1"/>
  <c r="J88"/>
  <c r="T88" s="1"/>
  <c r="S87"/>
  <c r="R87"/>
  <c r="N87"/>
  <c r="M87"/>
  <c r="P87" s="1"/>
  <c r="J87"/>
  <c r="T87" s="1"/>
  <c r="S86"/>
  <c r="R86"/>
  <c r="N86"/>
  <c r="M86"/>
  <c r="P86" s="1"/>
  <c r="J86"/>
  <c r="T86" s="1"/>
  <c r="S85"/>
  <c r="R85"/>
  <c r="N85"/>
  <c r="M85"/>
  <c r="P85" s="1"/>
  <c r="J85"/>
  <c r="T85" s="1"/>
  <c r="S84"/>
  <c r="R84"/>
  <c r="N84"/>
  <c r="M84"/>
  <c r="P84" s="1"/>
  <c r="J84"/>
  <c r="T84" s="1"/>
  <c r="S83"/>
  <c r="R83"/>
  <c r="N83"/>
  <c r="M83"/>
  <c r="P83" s="1"/>
  <c r="J83"/>
  <c r="T83" s="1"/>
  <c r="S82"/>
  <c r="R82"/>
  <c r="N82"/>
  <c r="M82"/>
  <c r="P82" s="1"/>
  <c r="J82"/>
  <c r="T82" s="1"/>
  <c r="S81"/>
  <c r="R81"/>
  <c r="N81"/>
  <c r="M81"/>
  <c r="P81" s="1"/>
  <c r="J81"/>
  <c r="T81" s="1"/>
  <c r="S80"/>
  <c r="R80"/>
  <c r="N80"/>
  <c r="M80"/>
  <c r="P80" s="1"/>
  <c r="J80"/>
  <c r="T80" s="1"/>
  <c r="S78"/>
  <c r="R78"/>
  <c r="N78"/>
  <c r="M78"/>
  <c r="P78" s="1"/>
  <c r="J78"/>
  <c r="T78" s="1"/>
  <c r="S77"/>
  <c r="R77"/>
  <c r="N77"/>
  <c r="M77"/>
  <c r="P77" s="1"/>
  <c r="J77"/>
  <c r="T77" s="1"/>
  <c r="S76"/>
  <c r="R76"/>
  <c r="N76"/>
  <c r="M76"/>
  <c r="P76" s="1"/>
  <c r="J76"/>
  <c r="T76" s="1"/>
  <c r="S75"/>
  <c r="R75"/>
  <c r="N75"/>
  <c r="M75"/>
  <c r="P75" s="1"/>
  <c r="J75"/>
  <c r="T75" s="1"/>
  <c r="S74"/>
  <c r="R74"/>
  <c r="N74"/>
  <c r="M74"/>
  <c r="P74" s="1"/>
  <c r="J74"/>
  <c r="T74" s="1"/>
  <c r="S73"/>
  <c r="R73"/>
  <c r="N73"/>
  <c r="M73"/>
  <c r="P73" s="1"/>
  <c r="J73"/>
  <c r="T73" s="1"/>
  <c r="S72"/>
  <c r="R72"/>
  <c r="N72"/>
  <c r="M72"/>
  <c r="P72" s="1"/>
  <c r="J72"/>
  <c r="T72" s="1"/>
  <c r="S71"/>
  <c r="R71"/>
  <c r="N71"/>
  <c r="M71"/>
  <c r="P71" s="1"/>
  <c r="J71"/>
  <c r="T71" s="1"/>
  <c r="S69"/>
  <c r="R69"/>
  <c r="N69"/>
  <c r="M69"/>
  <c r="P69" s="1"/>
  <c r="J69"/>
  <c r="T69" s="1"/>
  <c r="S68"/>
  <c r="R68"/>
  <c r="N68"/>
  <c r="M68"/>
  <c r="P68" s="1"/>
  <c r="J68"/>
  <c r="T68" s="1"/>
  <c r="S67"/>
  <c r="R67"/>
  <c r="N67"/>
  <c r="M67"/>
  <c r="P67" s="1"/>
  <c r="J67"/>
  <c r="T67" s="1"/>
  <c r="S66"/>
  <c r="R66"/>
  <c r="N66"/>
  <c r="M66"/>
  <c r="P66" s="1"/>
  <c r="J66"/>
  <c r="T66" s="1"/>
  <c r="S65"/>
  <c r="R65"/>
  <c r="N65"/>
  <c r="M65"/>
  <c r="P65" s="1"/>
  <c r="J65"/>
  <c r="T65" s="1"/>
  <c r="S64"/>
  <c r="R64"/>
  <c r="N64"/>
  <c r="M64"/>
  <c r="P64" s="1"/>
  <c r="J64"/>
  <c r="T64" s="1"/>
  <c r="S63"/>
  <c r="R63"/>
  <c r="N63"/>
  <c r="M63"/>
  <c r="P63" s="1"/>
  <c r="J63"/>
  <c r="T63" s="1"/>
  <c r="S61"/>
  <c r="R61"/>
  <c r="N61"/>
  <c r="M61"/>
  <c r="P61" s="1"/>
  <c r="J61"/>
  <c r="T61" s="1"/>
  <c r="S60"/>
  <c r="R60"/>
  <c r="N60"/>
  <c r="M60"/>
  <c r="P60" s="1"/>
  <c r="J60"/>
  <c r="T60" s="1"/>
  <c r="S59"/>
  <c r="R59"/>
  <c r="N59"/>
  <c r="M59"/>
  <c r="P59" s="1"/>
  <c r="J59"/>
  <c r="T59" s="1"/>
  <c r="S57"/>
  <c r="R57"/>
  <c r="N57"/>
  <c r="M57"/>
  <c r="P57" s="1"/>
  <c r="J57"/>
  <c r="T57" s="1"/>
  <c r="S55"/>
  <c r="R55"/>
  <c r="N55"/>
  <c r="M55"/>
  <c r="P55" s="1"/>
  <c r="J55"/>
  <c r="T55" s="1"/>
  <c r="S54"/>
  <c r="R54"/>
  <c r="N54"/>
  <c r="M54"/>
  <c r="P54" s="1"/>
  <c r="J54"/>
  <c r="T54" s="1"/>
  <c r="S53"/>
  <c r="R53"/>
  <c r="N53"/>
  <c r="M53"/>
  <c r="P53" s="1"/>
  <c r="J53"/>
  <c r="T53" s="1"/>
  <c r="S52"/>
  <c r="R52"/>
  <c r="N52"/>
  <c r="M52"/>
  <c r="P52" s="1"/>
  <c r="J52"/>
  <c r="T52" s="1"/>
  <c r="S51"/>
  <c r="R51"/>
  <c r="N51"/>
  <c r="M51"/>
  <c r="P51" s="1"/>
  <c r="J51"/>
  <c r="T51" s="1"/>
  <c r="S50"/>
  <c r="R50"/>
  <c r="N50"/>
  <c r="M50"/>
  <c r="P50" s="1"/>
  <c r="J50"/>
  <c r="T50" s="1"/>
  <c r="S49"/>
  <c r="R49"/>
  <c r="N49"/>
  <c r="M49"/>
  <c r="P49" s="1"/>
  <c r="J49"/>
  <c r="T49" s="1"/>
  <c r="S48"/>
  <c r="R48"/>
  <c r="N48"/>
  <c r="M48"/>
  <c r="P48" s="1"/>
  <c r="J48"/>
  <c r="T48" s="1"/>
  <c r="S47"/>
  <c r="R47"/>
  <c r="N47"/>
  <c r="M47"/>
  <c r="P47" s="1"/>
  <c r="J47"/>
  <c r="T47" s="1"/>
  <c r="S46"/>
  <c r="R46"/>
  <c r="N46"/>
  <c r="M46"/>
  <c r="P46" s="1"/>
  <c r="J46"/>
  <c r="T46" s="1"/>
  <c r="S45"/>
  <c r="R45"/>
  <c r="N45"/>
  <c r="M45"/>
  <c r="P45" s="1"/>
  <c r="J45"/>
  <c r="T45" s="1"/>
  <c r="S44"/>
  <c r="R44"/>
  <c r="N44"/>
  <c r="M44"/>
  <c r="P44" s="1"/>
  <c r="J44"/>
  <c r="T44" s="1"/>
  <c r="S42"/>
  <c r="R42"/>
  <c r="N42"/>
  <c r="M42"/>
  <c r="P42" s="1"/>
  <c r="J42"/>
  <c r="T42" s="1"/>
  <c r="S41"/>
  <c r="R41"/>
  <c r="N41"/>
  <c r="M41"/>
  <c r="P41" s="1"/>
  <c r="J41"/>
  <c r="T41" s="1"/>
  <c r="S40"/>
  <c r="R40"/>
  <c r="N40"/>
  <c r="M40"/>
  <c r="P40" s="1"/>
  <c r="J40"/>
  <c r="T40" s="1"/>
  <c r="S39"/>
  <c r="R39"/>
  <c r="N39"/>
  <c r="M39"/>
  <c r="P39" s="1"/>
  <c r="J39"/>
  <c r="T39" s="1"/>
  <c r="S38"/>
  <c r="R38"/>
  <c r="N38"/>
  <c r="M38"/>
  <c r="P38" s="1"/>
  <c r="J38"/>
  <c r="T38" s="1"/>
  <c r="S37"/>
  <c r="R37"/>
  <c r="N37"/>
  <c r="M37"/>
  <c r="P37" s="1"/>
  <c r="J37"/>
  <c r="T37" s="1"/>
  <c r="S36"/>
  <c r="R36"/>
  <c r="N36"/>
  <c r="M36"/>
  <c r="P36" s="1"/>
  <c r="J36"/>
  <c r="T36" s="1"/>
  <c r="S35"/>
  <c r="R35"/>
  <c r="N35"/>
  <c r="M35"/>
  <c r="P35" s="1"/>
  <c r="J35"/>
  <c r="T35" s="1"/>
  <c r="S34"/>
  <c r="R34"/>
  <c r="N34"/>
  <c r="M34"/>
  <c r="P34" s="1"/>
  <c r="J34"/>
  <c r="T34" s="1"/>
  <c r="S31"/>
  <c r="R31"/>
  <c r="N31"/>
  <c r="M31"/>
  <c r="P31" s="1"/>
  <c r="J31"/>
  <c r="T31" s="1"/>
  <c r="S30"/>
  <c r="R30"/>
  <c r="N30"/>
  <c r="M30"/>
  <c r="P30" s="1"/>
  <c r="J30"/>
  <c r="T30" s="1"/>
  <c r="S28"/>
  <c r="R28"/>
  <c r="N28"/>
  <c r="M28"/>
  <c r="P28" s="1"/>
  <c r="J28"/>
  <c r="T28" s="1"/>
  <c r="S27"/>
  <c r="R27"/>
  <c r="N27"/>
  <c r="M27"/>
  <c r="P27" s="1"/>
  <c r="J27"/>
  <c r="T27" s="1"/>
  <c r="S26"/>
  <c r="R26"/>
  <c r="N26"/>
  <c r="M26"/>
  <c r="P26" s="1"/>
  <c r="J26"/>
  <c r="T26" s="1"/>
  <c r="S25"/>
  <c r="R25"/>
  <c r="N25"/>
  <c r="M25"/>
  <c r="P25" s="1"/>
  <c r="J25"/>
  <c r="T25" s="1"/>
  <c r="S24"/>
  <c r="R24"/>
  <c r="N24"/>
  <c r="M24"/>
  <c r="P24" s="1"/>
  <c r="J24"/>
  <c r="T24" s="1"/>
  <c r="S23"/>
  <c r="R23"/>
  <c r="N23"/>
  <c r="M23"/>
  <c r="P23" s="1"/>
  <c r="J23"/>
  <c r="T23" s="1"/>
  <c r="S22"/>
  <c r="R22"/>
  <c r="N22"/>
  <c r="M22"/>
  <c r="P22" s="1"/>
  <c r="J22"/>
  <c r="T22" s="1"/>
  <c r="S21"/>
  <c r="R21"/>
  <c r="N21"/>
  <c r="M21"/>
  <c r="P21" s="1"/>
  <c r="J21"/>
  <c r="T21" s="1"/>
  <c r="S20"/>
  <c r="R20"/>
  <c r="N20"/>
  <c r="M20"/>
  <c r="P20" s="1"/>
  <c r="J20"/>
  <c r="T20" s="1"/>
  <c r="S19"/>
  <c r="R19"/>
  <c r="N19"/>
  <c r="M19"/>
  <c r="P19" s="1"/>
  <c r="J19"/>
  <c r="T19" s="1"/>
  <c r="S18"/>
  <c r="R18"/>
  <c r="N18"/>
  <c r="M18"/>
  <c r="P18" s="1"/>
  <c r="J18"/>
  <c r="T18" s="1"/>
  <c r="S17"/>
  <c r="R17"/>
  <c r="N17"/>
  <c r="M17"/>
  <c r="P17" s="1"/>
  <c r="J17"/>
  <c r="T17" s="1"/>
  <c r="S15"/>
  <c r="R15"/>
  <c r="N15"/>
  <c r="M15"/>
  <c r="P15" s="1"/>
  <c r="J15"/>
  <c r="T15" s="1"/>
  <c r="S14"/>
  <c r="R14"/>
  <c r="N14"/>
  <c r="M14"/>
  <c r="P14" s="1"/>
  <c r="J14"/>
  <c r="T14" s="1"/>
  <c r="S13"/>
  <c r="R13"/>
  <c r="N13"/>
  <c r="M13"/>
  <c r="P13" s="1"/>
  <c r="J13"/>
  <c r="T13" s="1"/>
  <c r="S11"/>
  <c r="R11"/>
  <c r="N11"/>
  <c r="M11"/>
  <c r="P11" s="1"/>
  <c r="J11"/>
  <c r="T11" s="1"/>
  <c r="S10"/>
  <c r="R10"/>
  <c r="N10"/>
  <c r="M10"/>
  <c r="J10"/>
  <c r="T10" s="1"/>
  <c r="S9"/>
  <c r="R9"/>
  <c r="N9"/>
  <c r="M9"/>
  <c r="P9" s="1"/>
  <c r="J9"/>
  <c r="T9" s="1"/>
  <c r="S7"/>
  <c r="R7"/>
  <c r="N7"/>
  <c r="M7"/>
  <c r="P7" s="1"/>
  <c r="J7"/>
  <c r="T7" s="1"/>
  <c r="S6"/>
  <c r="R6"/>
  <c r="N6"/>
  <c r="M6"/>
  <c r="P6" s="1"/>
  <c r="J6"/>
  <c r="T6" s="1"/>
  <c r="S5"/>
  <c r="R5"/>
  <c r="N5"/>
  <c r="M5"/>
  <c r="J5"/>
  <c r="L189" i="91"/>
  <c r="H189"/>
  <c r="I189"/>
  <c r="R188"/>
  <c r="S188"/>
  <c r="N188"/>
  <c r="M188"/>
  <c r="P188" s="1"/>
  <c r="J188"/>
  <c r="T188" s="1"/>
  <c r="S184"/>
  <c r="S164"/>
  <c r="S165"/>
  <c r="S166"/>
  <c r="S167"/>
  <c r="S168"/>
  <c r="S169"/>
  <c r="S170"/>
  <c r="S171"/>
  <c r="S172"/>
  <c r="S173"/>
  <c r="S174"/>
  <c r="S175"/>
  <c r="S176"/>
  <c r="S177"/>
  <c r="S178"/>
  <c r="S179"/>
  <c r="T179"/>
  <c r="S180"/>
  <c r="S181"/>
  <c r="S182"/>
  <c r="N182"/>
  <c r="M182"/>
  <c r="P182" s="1"/>
  <c r="N181"/>
  <c r="M181"/>
  <c r="N176"/>
  <c r="M176"/>
  <c r="P176" s="1"/>
  <c r="N175"/>
  <c r="M175"/>
  <c r="N174"/>
  <c r="M174"/>
  <c r="P174" s="1"/>
  <c r="N173"/>
  <c r="M173"/>
  <c r="N172"/>
  <c r="M172"/>
  <c r="P172" s="1"/>
  <c r="N171"/>
  <c r="M171"/>
  <c r="N170"/>
  <c r="M170"/>
  <c r="P170" s="1"/>
  <c r="R184"/>
  <c r="N184"/>
  <c r="M184"/>
  <c r="P184"/>
  <c r="N180"/>
  <c r="M180"/>
  <c r="P180" s="1"/>
  <c r="N179"/>
  <c r="M179"/>
  <c r="N178"/>
  <c r="M178"/>
  <c r="P178" s="1"/>
  <c r="J178"/>
  <c r="J180"/>
  <c r="T180" s="1"/>
  <c r="J179"/>
  <c r="J170"/>
  <c r="T170" s="1"/>
  <c r="J171"/>
  <c r="T171" s="1"/>
  <c r="J172"/>
  <c r="T172" s="1"/>
  <c r="J173"/>
  <c r="T173" s="1"/>
  <c r="J174"/>
  <c r="T174" s="1"/>
  <c r="J175"/>
  <c r="T175" s="1"/>
  <c r="J176"/>
  <c r="T176" s="1"/>
  <c r="J177"/>
  <c r="T177" s="1"/>
  <c r="J181"/>
  <c r="T181" s="1"/>
  <c r="J182"/>
  <c r="J183"/>
  <c r="J184"/>
  <c r="T184" s="1"/>
  <c r="M165"/>
  <c r="P165" s="1"/>
  <c r="N165"/>
  <c r="O165"/>
  <c r="M166"/>
  <c r="P166" s="1"/>
  <c r="N166"/>
  <c r="O166"/>
  <c r="M167"/>
  <c r="P167" s="1"/>
  <c r="N167"/>
  <c r="O167"/>
  <c r="M168"/>
  <c r="P168" s="1"/>
  <c r="N168"/>
  <c r="O168"/>
  <c r="M169"/>
  <c r="P169" s="1"/>
  <c r="N169"/>
  <c r="O169"/>
  <c r="N164"/>
  <c r="M164"/>
  <c r="O164"/>
  <c r="J164"/>
  <c r="J165"/>
  <c r="T165" s="1"/>
  <c r="J166"/>
  <c r="J167"/>
  <c r="T167" s="1"/>
  <c r="J168"/>
  <c r="J169"/>
  <c r="T169" s="1"/>
  <c r="R164"/>
  <c r="P164" s="1"/>
  <c r="R165"/>
  <c r="R166"/>
  <c r="R167"/>
  <c r="R168"/>
  <c r="R169"/>
  <c r="R170"/>
  <c r="R171"/>
  <c r="R172"/>
  <c r="R173"/>
  <c r="R174"/>
  <c r="R175"/>
  <c r="R176"/>
  <c r="R177"/>
  <c r="R178"/>
  <c r="R179"/>
  <c r="R180"/>
  <c r="R181"/>
  <c r="R182"/>
  <c r="N177"/>
  <c r="M177"/>
  <c r="P177"/>
  <c r="R163"/>
  <c r="S163"/>
  <c r="N163"/>
  <c r="M163"/>
  <c r="O163" s="1"/>
  <c r="J163"/>
  <c r="P163"/>
  <c r="R183"/>
  <c r="S183"/>
  <c r="N183"/>
  <c r="M183"/>
  <c r="P183" s="1"/>
  <c r="S166" i="95" l="1"/>
  <c r="S167"/>
  <c r="N166"/>
  <c r="N167"/>
  <c r="K172"/>
  <c r="O94"/>
  <c r="N94"/>
  <c r="N5"/>
  <c r="O5"/>
  <c r="O172" s="1"/>
  <c r="S5"/>
  <c r="S172" s="1"/>
  <c r="N6"/>
  <c r="N7"/>
  <c r="N8"/>
  <c r="N9"/>
  <c r="N10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7"/>
  <c r="N38"/>
  <c r="N39"/>
  <c r="N40"/>
  <c r="N41"/>
  <c r="N42"/>
  <c r="N43"/>
  <c r="N44"/>
  <c r="N45"/>
  <c r="N46"/>
  <c r="N47"/>
  <c r="N48"/>
  <c r="N50"/>
  <c r="N51"/>
  <c r="N52"/>
  <c r="N53"/>
  <c r="N54"/>
  <c r="N55"/>
  <c r="N56"/>
  <c r="N57"/>
  <c r="N58"/>
  <c r="N59"/>
  <c r="N60"/>
  <c r="N61"/>
  <c r="N62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3"/>
  <c r="N84"/>
  <c r="N85"/>
  <c r="N86"/>
  <c r="N87"/>
  <c r="N88"/>
  <c r="N89"/>
  <c r="N90"/>
  <c r="N91"/>
  <c r="N92"/>
  <c r="N93"/>
  <c r="N95"/>
  <c r="N96"/>
  <c r="N97"/>
  <c r="N98"/>
  <c r="N99"/>
  <c r="N100"/>
  <c r="N101"/>
  <c r="N102"/>
  <c r="N103"/>
  <c r="N104"/>
  <c r="N105"/>
  <c r="N106"/>
  <c r="N107"/>
  <c r="N108"/>
  <c r="N109"/>
  <c r="N110"/>
  <c r="N112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160"/>
  <c r="N161"/>
  <c r="N162"/>
  <c r="N164"/>
  <c r="N165"/>
  <c r="N111"/>
  <c r="N163"/>
  <c r="N113"/>
  <c r="N82"/>
  <c r="N49"/>
  <c r="N63"/>
  <c r="N11"/>
  <c r="N36"/>
  <c r="N168"/>
  <c r="N169"/>
  <c r="N170"/>
  <c r="N171"/>
  <c r="O167" i="94"/>
  <c r="N174"/>
  <c r="S174"/>
  <c r="P166"/>
  <c r="T168"/>
  <c r="T166"/>
  <c r="T164"/>
  <c r="P168"/>
  <c r="T169"/>
  <c r="T167"/>
  <c r="T165"/>
  <c r="P165"/>
  <c r="J174"/>
  <c r="P169"/>
  <c r="P164"/>
  <c r="P162"/>
  <c r="T65"/>
  <c r="T96"/>
  <c r="T124"/>
  <c r="T143"/>
  <c r="T31"/>
  <c r="T50"/>
  <c r="T162"/>
  <c r="T163"/>
  <c r="P163"/>
  <c r="O5"/>
  <c r="P7"/>
  <c r="O7"/>
  <c r="O9"/>
  <c r="O11"/>
  <c r="O13"/>
  <c r="O15"/>
  <c r="O17"/>
  <c r="P19"/>
  <c r="O19"/>
  <c r="P21"/>
  <c r="O21"/>
  <c r="O23"/>
  <c r="O25"/>
  <c r="O26"/>
  <c r="O28"/>
  <c r="O30"/>
  <c r="O33"/>
  <c r="O37"/>
  <c r="O39"/>
  <c r="O41"/>
  <c r="O43"/>
  <c r="O45"/>
  <c r="O47"/>
  <c r="P49"/>
  <c r="O49"/>
  <c r="O51"/>
  <c r="O53"/>
  <c r="O55"/>
  <c r="P57"/>
  <c r="O57"/>
  <c r="O59"/>
  <c r="O61"/>
  <c r="O64"/>
  <c r="O66"/>
  <c r="O68"/>
  <c r="P70"/>
  <c r="O70"/>
  <c r="P71"/>
  <c r="O71"/>
  <c r="O72"/>
  <c r="O74"/>
  <c r="P76"/>
  <c r="O76"/>
  <c r="P78"/>
  <c r="O78"/>
  <c r="P80"/>
  <c r="O80"/>
  <c r="P82"/>
  <c r="O82"/>
  <c r="P84"/>
  <c r="O84"/>
  <c r="P86"/>
  <c r="O86"/>
  <c r="P88"/>
  <c r="O88"/>
  <c r="P90"/>
  <c r="O90"/>
  <c r="P92"/>
  <c r="O92"/>
  <c r="P94"/>
  <c r="O94"/>
  <c r="P95"/>
  <c r="O95"/>
  <c r="P97"/>
  <c r="O97"/>
  <c r="P99"/>
  <c r="O99"/>
  <c r="P101"/>
  <c r="O101"/>
  <c r="P102"/>
  <c r="O102"/>
  <c r="P6"/>
  <c r="O6"/>
  <c r="P8"/>
  <c r="O8"/>
  <c r="P10"/>
  <c r="O10"/>
  <c r="P12"/>
  <c r="O12"/>
  <c r="O14"/>
  <c r="P16"/>
  <c r="O16"/>
  <c r="O18"/>
  <c r="O20"/>
  <c r="O22"/>
  <c r="P24"/>
  <c r="O24"/>
  <c r="P27"/>
  <c r="O27"/>
  <c r="P29"/>
  <c r="O29"/>
  <c r="P31"/>
  <c r="O31"/>
  <c r="P32"/>
  <c r="O32"/>
  <c r="P34"/>
  <c r="O34"/>
  <c r="O35"/>
  <c r="O36"/>
  <c r="P38"/>
  <c r="O38"/>
  <c r="P40"/>
  <c r="O40"/>
  <c r="P42"/>
  <c r="O42"/>
  <c r="P44"/>
  <c r="O44"/>
  <c r="O46"/>
  <c r="O48"/>
  <c r="P50"/>
  <c r="O50"/>
  <c r="O52"/>
  <c r="O54"/>
  <c r="P56"/>
  <c r="O56"/>
  <c r="O58"/>
  <c r="P60"/>
  <c r="O60"/>
  <c r="O62"/>
  <c r="P63"/>
  <c r="O63"/>
  <c r="O65"/>
  <c r="P67"/>
  <c r="O67"/>
  <c r="O69"/>
  <c r="O73"/>
  <c r="O75"/>
  <c r="O77"/>
  <c r="O79"/>
  <c r="O81"/>
  <c r="O83"/>
  <c r="O85"/>
  <c r="O87"/>
  <c r="O89"/>
  <c r="O91"/>
  <c r="O93"/>
  <c r="O96"/>
  <c r="O98"/>
  <c r="O100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70"/>
  <c r="O171"/>
  <c r="O172"/>
  <c r="O173"/>
  <c r="N181" i="93"/>
  <c r="S182"/>
  <c r="N182"/>
  <c r="S181"/>
  <c r="O69"/>
  <c r="O104"/>
  <c r="O154"/>
  <c r="O156"/>
  <c r="O92"/>
  <c r="S93"/>
  <c r="O144"/>
  <c r="O168"/>
  <c r="O172"/>
  <c r="S186"/>
  <c r="L187"/>
  <c r="R187"/>
  <c r="O5"/>
  <c r="O25"/>
  <c r="O26"/>
  <c r="O27"/>
  <c r="O28"/>
  <c r="O29"/>
  <c r="O30"/>
  <c r="O31"/>
  <c r="O32"/>
  <c r="O33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M187"/>
  <c r="S25"/>
  <c r="S26"/>
  <c r="S27"/>
  <c r="S28"/>
  <c r="S29"/>
  <c r="S30"/>
  <c r="S31"/>
  <c r="S32"/>
  <c r="S33"/>
  <c r="S35"/>
  <c r="S36"/>
  <c r="S37"/>
  <c r="S38"/>
  <c r="S39"/>
  <c r="S40"/>
  <c r="S41"/>
  <c r="S42"/>
  <c r="S43"/>
  <c r="S44"/>
  <c r="S45"/>
  <c r="S46"/>
  <c r="S47"/>
  <c r="S48"/>
  <c r="S49"/>
  <c r="S50"/>
  <c r="S51"/>
  <c r="S52"/>
  <c r="S53"/>
  <c r="S54"/>
  <c r="S55"/>
  <c r="S56"/>
  <c r="S57"/>
  <c r="S58"/>
  <c r="S59"/>
  <c r="S60"/>
  <c r="N5"/>
  <c r="S5"/>
  <c r="N6"/>
  <c r="N7"/>
  <c r="N8"/>
  <c r="N9"/>
  <c r="N10"/>
  <c r="N11"/>
  <c r="N12"/>
  <c r="N13"/>
  <c r="N14"/>
  <c r="N15"/>
  <c r="N16"/>
  <c r="N17"/>
  <c r="N18"/>
  <c r="N19"/>
  <c r="N20"/>
  <c r="N21"/>
  <c r="N22"/>
  <c r="N23"/>
  <c r="O24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160"/>
  <c r="N161"/>
  <c r="N162"/>
  <c r="N163"/>
  <c r="N164"/>
  <c r="N165"/>
  <c r="N166"/>
  <c r="N167"/>
  <c r="N168"/>
  <c r="N169"/>
  <c r="N170"/>
  <c r="N171"/>
  <c r="N172"/>
  <c r="N173"/>
  <c r="N174"/>
  <c r="N175"/>
  <c r="N176"/>
  <c r="N177"/>
  <c r="N178"/>
  <c r="N179"/>
  <c r="N180"/>
  <c r="N34"/>
  <c r="N183"/>
  <c r="N184"/>
  <c r="N185"/>
  <c r="N186"/>
  <c r="T16" i="92"/>
  <c r="P182"/>
  <c r="P179" i="91"/>
  <c r="P171"/>
  <c r="P173"/>
  <c r="P175"/>
  <c r="P181"/>
  <c r="T163"/>
  <c r="T168"/>
  <c r="T166"/>
  <c r="T164"/>
  <c r="T182"/>
  <c r="T178"/>
  <c r="T182" i="92"/>
  <c r="T70"/>
  <c r="P183"/>
  <c r="J187"/>
  <c r="N187"/>
  <c r="S187"/>
  <c r="M187"/>
  <c r="T5"/>
  <c r="T187" s="1"/>
  <c r="P10"/>
  <c r="O10"/>
  <c r="O11"/>
  <c r="O13"/>
  <c r="O14"/>
  <c r="O15"/>
  <c r="O17"/>
  <c r="O18"/>
  <c r="O19"/>
  <c r="O20"/>
  <c r="O21"/>
  <c r="O22"/>
  <c r="O23"/>
  <c r="O24"/>
  <c r="O25"/>
  <c r="O26"/>
  <c r="O27"/>
  <c r="O28"/>
  <c r="O30"/>
  <c r="O31"/>
  <c r="O34"/>
  <c r="O35"/>
  <c r="O36"/>
  <c r="O37"/>
  <c r="O38"/>
  <c r="O39"/>
  <c r="O40"/>
  <c r="O41"/>
  <c r="O42"/>
  <c r="O44"/>
  <c r="O45"/>
  <c r="O46"/>
  <c r="O47"/>
  <c r="O48"/>
  <c r="O49"/>
  <c r="O50"/>
  <c r="O51"/>
  <c r="O52"/>
  <c r="O53"/>
  <c r="O54"/>
  <c r="O55"/>
  <c r="O57"/>
  <c r="O59"/>
  <c r="O60"/>
  <c r="O61"/>
  <c r="O63"/>
  <c r="O64"/>
  <c r="O65"/>
  <c r="O66"/>
  <c r="O67"/>
  <c r="O68"/>
  <c r="O69"/>
  <c r="O71"/>
  <c r="O72"/>
  <c r="O73"/>
  <c r="O74"/>
  <c r="O75"/>
  <c r="O76"/>
  <c r="O77"/>
  <c r="O78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7"/>
  <c r="O118"/>
  <c r="O119"/>
  <c r="O120"/>
  <c r="O121"/>
  <c r="O122"/>
  <c r="O123"/>
  <c r="O124"/>
  <c r="O125"/>
  <c r="O127"/>
  <c r="O128"/>
  <c r="O129"/>
  <c r="O130"/>
  <c r="O132"/>
  <c r="O133"/>
  <c r="O134"/>
  <c r="O136"/>
  <c r="O137"/>
  <c r="O139"/>
  <c r="O140"/>
  <c r="O141"/>
  <c r="O142"/>
  <c r="O143"/>
  <c r="O144"/>
  <c r="O145"/>
  <c r="O146"/>
  <c r="O147"/>
  <c r="O148"/>
  <c r="O149"/>
  <c r="O151"/>
  <c r="O152"/>
  <c r="O153"/>
  <c r="O154"/>
  <c r="O155"/>
  <c r="O157"/>
  <c r="O158"/>
  <c r="O160"/>
  <c r="O161"/>
  <c r="O162"/>
  <c r="O163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56"/>
  <c r="O79"/>
  <c r="O16"/>
  <c r="O116"/>
  <c r="O32"/>
  <c r="O150"/>
  <c r="O70"/>
  <c r="O135"/>
  <c r="O164"/>
  <c r="O33"/>
  <c r="O12"/>
  <c r="O56"/>
  <c r="O58"/>
  <c r="O62"/>
  <c r="O8"/>
  <c r="O131"/>
  <c r="O138"/>
  <c r="O159"/>
  <c r="O29"/>
  <c r="O126"/>
  <c r="O43"/>
  <c r="O183"/>
  <c r="O184"/>
  <c r="O185"/>
  <c r="O186"/>
  <c r="O5"/>
  <c r="O6"/>
  <c r="O7"/>
  <c r="O9"/>
  <c r="P5"/>
  <c r="P187" s="1"/>
  <c r="O188" i="91"/>
  <c r="O181"/>
  <c r="O182"/>
  <c r="O170"/>
  <c r="O171"/>
  <c r="O172"/>
  <c r="O173"/>
  <c r="O174"/>
  <c r="O175"/>
  <c r="O176"/>
  <c r="O184"/>
  <c r="O179"/>
  <c r="O180"/>
  <c r="O178"/>
  <c r="T183"/>
  <c r="O177"/>
  <c r="O183"/>
  <c r="N172" i="95" l="1"/>
  <c r="P174" i="94"/>
  <c r="T174"/>
  <c r="O174"/>
  <c r="O187" i="93"/>
  <c r="S187"/>
  <c r="N187"/>
  <c r="O187" i="92"/>
  <c r="S187" i="91"/>
  <c r="R187"/>
  <c r="N187"/>
  <c r="M187"/>
  <c r="P187" s="1"/>
  <c r="J187"/>
  <c r="T187" s="1"/>
  <c r="S186"/>
  <c r="R186"/>
  <c r="N186"/>
  <c r="M186"/>
  <c r="P186" s="1"/>
  <c r="J186"/>
  <c r="T186" s="1"/>
  <c r="S185"/>
  <c r="R185"/>
  <c r="N185"/>
  <c r="M185"/>
  <c r="P185" s="1"/>
  <c r="J185"/>
  <c r="T185" s="1"/>
  <c r="S8"/>
  <c r="R8"/>
  <c r="N8"/>
  <c r="M8"/>
  <c r="P8" s="1"/>
  <c r="J8"/>
  <c r="T8" s="1"/>
  <c r="S162"/>
  <c r="R162"/>
  <c r="N162"/>
  <c r="M162"/>
  <c r="P162" s="1"/>
  <c r="J162"/>
  <c r="T162" s="1"/>
  <c r="S161"/>
  <c r="R161"/>
  <c r="N161"/>
  <c r="M161"/>
  <c r="P161" s="1"/>
  <c r="J161"/>
  <c r="T161" s="1"/>
  <c r="S160"/>
  <c r="R160"/>
  <c r="N160"/>
  <c r="M160"/>
  <c r="P160" s="1"/>
  <c r="J160"/>
  <c r="T160" s="1"/>
  <c r="S159"/>
  <c r="R159"/>
  <c r="N159"/>
  <c r="M159"/>
  <c r="P159" s="1"/>
  <c r="J159"/>
  <c r="T159" s="1"/>
  <c r="S158"/>
  <c r="R158"/>
  <c r="N158"/>
  <c r="M158"/>
  <c r="P158" s="1"/>
  <c r="J158"/>
  <c r="T158" s="1"/>
  <c r="S157"/>
  <c r="R157"/>
  <c r="N157"/>
  <c r="M157"/>
  <c r="P157" s="1"/>
  <c r="J157"/>
  <c r="T157" s="1"/>
  <c r="S156"/>
  <c r="R156"/>
  <c r="N156"/>
  <c r="M156"/>
  <c r="P156" s="1"/>
  <c r="J156"/>
  <c r="T156" s="1"/>
  <c r="S155"/>
  <c r="R155"/>
  <c r="N155"/>
  <c r="M155"/>
  <c r="P155" s="1"/>
  <c r="J155"/>
  <c r="T155" s="1"/>
  <c r="S154"/>
  <c r="R154"/>
  <c r="N154"/>
  <c r="M154"/>
  <c r="P154" s="1"/>
  <c r="J154"/>
  <c r="T154" s="1"/>
  <c r="S153"/>
  <c r="R153"/>
  <c r="N153"/>
  <c r="M153"/>
  <c r="P153" s="1"/>
  <c r="J153"/>
  <c r="T153" s="1"/>
  <c r="S152"/>
  <c r="R152"/>
  <c r="N152"/>
  <c r="M152"/>
  <c r="P152" s="1"/>
  <c r="J152"/>
  <c r="T152" s="1"/>
  <c r="S151"/>
  <c r="R151"/>
  <c r="N151"/>
  <c r="M151"/>
  <c r="P151" s="1"/>
  <c r="J151"/>
  <c r="T151" s="1"/>
  <c r="S150"/>
  <c r="R150"/>
  <c r="N150"/>
  <c r="M150"/>
  <c r="P150" s="1"/>
  <c r="J150"/>
  <c r="T150" s="1"/>
  <c r="S149"/>
  <c r="R149"/>
  <c r="N149"/>
  <c r="M149"/>
  <c r="P149" s="1"/>
  <c r="J149"/>
  <c r="T149" s="1"/>
  <c r="S148"/>
  <c r="R148"/>
  <c r="N148"/>
  <c r="M148"/>
  <c r="P148" s="1"/>
  <c r="J148"/>
  <c r="T148" s="1"/>
  <c r="S147"/>
  <c r="R147"/>
  <c r="N147"/>
  <c r="M147"/>
  <c r="P147" s="1"/>
  <c r="J147"/>
  <c r="T147" s="1"/>
  <c r="S146"/>
  <c r="R146"/>
  <c r="N146"/>
  <c r="M146"/>
  <c r="P146" s="1"/>
  <c r="J146"/>
  <c r="T146" s="1"/>
  <c r="S145"/>
  <c r="R145"/>
  <c r="N145"/>
  <c r="M145"/>
  <c r="P145" s="1"/>
  <c r="J145"/>
  <c r="T145" s="1"/>
  <c r="S144"/>
  <c r="R144"/>
  <c r="N144"/>
  <c r="M144"/>
  <c r="P144" s="1"/>
  <c r="J144"/>
  <c r="T144" s="1"/>
  <c r="S143"/>
  <c r="R143"/>
  <c r="N143"/>
  <c r="M143"/>
  <c r="P143" s="1"/>
  <c r="J143"/>
  <c r="T143" s="1"/>
  <c r="S142"/>
  <c r="R142"/>
  <c r="N142"/>
  <c r="M142"/>
  <c r="P142" s="1"/>
  <c r="J142"/>
  <c r="T142" s="1"/>
  <c r="S141"/>
  <c r="R141"/>
  <c r="N141"/>
  <c r="M141"/>
  <c r="P141" s="1"/>
  <c r="J141"/>
  <c r="T141" s="1"/>
  <c r="S140"/>
  <c r="R140"/>
  <c r="N140"/>
  <c r="M140"/>
  <c r="P140" s="1"/>
  <c r="J140"/>
  <c r="T140" s="1"/>
  <c r="S139"/>
  <c r="R139"/>
  <c r="N139"/>
  <c r="M139"/>
  <c r="P139" s="1"/>
  <c r="J139"/>
  <c r="T139" s="1"/>
  <c r="S138"/>
  <c r="R138"/>
  <c r="N138"/>
  <c r="M138"/>
  <c r="P138" s="1"/>
  <c r="J138"/>
  <c r="T138" s="1"/>
  <c r="S137"/>
  <c r="R137"/>
  <c r="N137"/>
  <c r="M137"/>
  <c r="P137" s="1"/>
  <c r="J137"/>
  <c r="T137" s="1"/>
  <c r="S136"/>
  <c r="R136"/>
  <c r="N136"/>
  <c r="M136"/>
  <c r="P136" s="1"/>
  <c r="J136"/>
  <c r="T136" s="1"/>
  <c r="S135"/>
  <c r="R135"/>
  <c r="N135"/>
  <c r="M135"/>
  <c r="P135" s="1"/>
  <c r="J135"/>
  <c r="T135" s="1"/>
  <c r="S134"/>
  <c r="R134"/>
  <c r="N134"/>
  <c r="M134"/>
  <c r="P134" s="1"/>
  <c r="J134"/>
  <c r="T134" s="1"/>
  <c r="S133"/>
  <c r="R133"/>
  <c r="N133"/>
  <c r="M133"/>
  <c r="P133" s="1"/>
  <c r="J133"/>
  <c r="T133" s="1"/>
  <c r="S132"/>
  <c r="R132"/>
  <c r="N132"/>
  <c r="M132"/>
  <c r="P132" s="1"/>
  <c r="J132"/>
  <c r="T132" s="1"/>
  <c r="S131"/>
  <c r="R131"/>
  <c r="N131"/>
  <c r="M131"/>
  <c r="P131" s="1"/>
  <c r="J131"/>
  <c r="T131" s="1"/>
  <c r="S130"/>
  <c r="R130"/>
  <c r="N130"/>
  <c r="M130"/>
  <c r="P130" s="1"/>
  <c r="J130"/>
  <c r="T130" s="1"/>
  <c r="S129"/>
  <c r="R129"/>
  <c r="N129"/>
  <c r="M129"/>
  <c r="P129" s="1"/>
  <c r="J129"/>
  <c r="T129" s="1"/>
  <c r="S128"/>
  <c r="R128"/>
  <c r="N128"/>
  <c r="M128"/>
  <c r="P128" s="1"/>
  <c r="J128"/>
  <c r="T128" s="1"/>
  <c r="S127"/>
  <c r="R127"/>
  <c r="N127"/>
  <c r="M127"/>
  <c r="P127" s="1"/>
  <c r="J127"/>
  <c r="T127" s="1"/>
  <c r="S126"/>
  <c r="R126"/>
  <c r="N126"/>
  <c r="M126"/>
  <c r="P126" s="1"/>
  <c r="J126"/>
  <c r="T126" s="1"/>
  <c r="S125"/>
  <c r="R125"/>
  <c r="N125"/>
  <c r="M125"/>
  <c r="P125" s="1"/>
  <c r="J125"/>
  <c r="T125" s="1"/>
  <c r="S124"/>
  <c r="R124"/>
  <c r="N124"/>
  <c r="M124"/>
  <c r="P124" s="1"/>
  <c r="J124"/>
  <c r="T124" s="1"/>
  <c r="S123"/>
  <c r="R123"/>
  <c r="N123"/>
  <c r="M123"/>
  <c r="P123" s="1"/>
  <c r="J123"/>
  <c r="T123" s="1"/>
  <c r="S122"/>
  <c r="R122"/>
  <c r="N122"/>
  <c r="M122"/>
  <c r="P122" s="1"/>
  <c r="J122"/>
  <c r="T122" s="1"/>
  <c r="S121"/>
  <c r="R121"/>
  <c r="N121"/>
  <c r="M121"/>
  <c r="P121" s="1"/>
  <c r="J121"/>
  <c r="T121" s="1"/>
  <c r="S120"/>
  <c r="R120"/>
  <c r="N120"/>
  <c r="M120"/>
  <c r="P120" s="1"/>
  <c r="J120"/>
  <c r="T120" s="1"/>
  <c r="S119"/>
  <c r="R119"/>
  <c r="N119"/>
  <c r="M119"/>
  <c r="P119" s="1"/>
  <c r="J119"/>
  <c r="T119" s="1"/>
  <c r="S118"/>
  <c r="R118"/>
  <c r="N118"/>
  <c r="M118"/>
  <c r="P118" s="1"/>
  <c r="J118"/>
  <c r="T118" s="1"/>
  <c r="S117"/>
  <c r="R117"/>
  <c r="N117"/>
  <c r="M117"/>
  <c r="P117" s="1"/>
  <c r="J117"/>
  <c r="T117" s="1"/>
  <c r="S116"/>
  <c r="R116"/>
  <c r="N116"/>
  <c r="M116"/>
  <c r="P116" s="1"/>
  <c r="J116"/>
  <c r="T116" s="1"/>
  <c r="S115"/>
  <c r="R115"/>
  <c r="N115"/>
  <c r="M115"/>
  <c r="P115" s="1"/>
  <c r="J115"/>
  <c r="T115" s="1"/>
  <c r="S114"/>
  <c r="R114"/>
  <c r="N114"/>
  <c r="M114"/>
  <c r="P114" s="1"/>
  <c r="J114"/>
  <c r="T114" s="1"/>
  <c r="S113"/>
  <c r="R113"/>
  <c r="N113"/>
  <c r="M113"/>
  <c r="P113" s="1"/>
  <c r="J113"/>
  <c r="T113" s="1"/>
  <c r="S112"/>
  <c r="R112"/>
  <c r="N112"/>
  <c r="M112"/>
  <c r="P112" s="1"/>
  <c r="J112"/>
  <c r="T112" s="1"/>
  <c r="S111"/>
  <c r="R111"/>
  <c r="N111"/>
  <c r="M111"/>
  <c r="P111" s="1"/>
  <c r="J111"/>
  <c r="T111" s="1"/>
  <c r="S110"/>
  <c r="R110"/>
  <c r="N110"/>
  <c r="M110"/>
  <c r="P110" s="1"/>
  <c r="J110"/>
  <c r="T110" s="1"/>
  <c r="S109"/>
  <c r="R109"/>
  <c r="N109"/>
  <c r="M109"/>
  <c r="P109" s="1"/>
  <c r="J109"/>
  <c r="T109" s="1"/>
  <c r="S108"/>
  <c r="R108"/>
  <c r="N108"/>
  <c r="M108"/>
  <c r="P108" s="1"/>
  <c r="J108"/>
  <c r="T108" s="1"/>
  <c r="S107"/>
  <c r="R107"/>
  <c r="N107"/>
  <c r="M107"/>
  <c r="P107" s="1"/>
  <c r="J107"/>
  <c r="T107" s="1"/>
  <c r="S106"/>
  <c r="R106"/>
  <c r="N106"/>
  <c r="M106"/>
  <c r="P106" s="1"/>
  <c r="J106"/>
  <c r="T106" s="1"/>
  <c r="S105"/>
  <c r="R105"/>
  <c r="N105"/>
  <c r="M105"/>
  <c r="P105" s="1"/>
  <c r="J105"/>
  <c r="T105" s="1"/>
  <c r="S104"/>
  <c r="R104"/>
  <c r="N104"/>
  <c r="M104"/>
  <c r="P104" s="1"/>
  <c r="J104"/>
  <c r="T104" s="1"/>
  <c r="S103"/>
  <c r="R103"/>
  <c r="N103"/>
  <c r="M103"/>
  <c r="P103" s="1"/>
  <c r="J103"/>
  <c r="T103" s="1"/>
  <c r="S102"/>
  <c r="R102"/>
  <c r="N102"/>
  <c r="M102"/>
  <c r="P102" s="1"/>
  <c r="J102"/>
  <c r="T102" s="1"/>
  <c r="S101"/>
  <c r="R101"/>
  <c r="N101"/>
  <c r="M101"/>
  <c r="P101" s="1"/>
  <c r="J101"/>
  <c r="T101" s="1"/>
  <c r="S100"/>
  <c r="R100"/>
  <c r="N100"/>
  <c r="M100"/>
  <c r="P100" s="1"/>
  <c r="J100"/>
  <c r="T100" s="1"/>
  <c r="S99"/>
  <c r="R99"/>
  <c r="N99"/>
  <c r="M99"/>
  <c r="P99" s="1"/>
  <c r="J99"/>
  <c r="T99" s="1"/>
  <c r="S98"/>
  <c r="R98"/>
  <c r="N98"/>
  <c r="M98"/>
  <c r="P98" s="1"/>
  <c r="J98"/>
  <c r="T98" s="1"/>
  <c r="S97"/>
  <c r="R97"/>
  <c r="N97"/>
  <c r="M97"/>
  <c r="P97" s="1"/>
  <c r="J97"/>
  <c r="T97" s="1"/>
  <c r="S96"/>
  <c r="R96"/>
  <c r="N96"/>
  <c r="M96"/>
  <c r="P96" s="1"/>
  <c r="J96"/>
  <c r="T96" s="1"/>
  <c r="S95"/>
  <c r="R95"/>
  <c r="N95"/>
  <c r="M95"/>
  <c r="P95" s="1"/>
  <c r="J95"/>
  <c r="T95" s="1"/>
  <c r="S94"/>
  <c r="R94"/>
  <c r="N94"/>
  <c r="M94"/>
  <c r="P94" s="1"/>
  <c r="J94"/>
  <c r="T94" s="1"/>
  <c r="S93"/>
  <c r="R93"/>
  <c r="N93"/>
  <c r="M93"/>
  <c r="P93" s="1"/>
  <c r="J93"/>
  <c r="T93" s="1"/>
  <c r="S92"/>
  <c r="R92"/>
  <c r="N92"/>
  <c r="M92"/>
  <c r="P92" s="1"/>
  <c r="J92"/>
  <c r="T92" s="1"/>
  <c r="S91"/>
  <c r="R91"/>
  <c r="N91"/>
  <c r="M91"/>
  <c r="P91" s="1"/>
  <c r="J91"/>
  <c r="T91" s="1"/>
  <c r="S90"/>
  <c r="R90"/>
  <c r="N90"/>
  <c r="M90"/>
  <c r="P90" s="1"/>
  <c r="J90"/>
  <c r="T90" s="1"/>
  <c r="S89"/>
  <c r="R89"/>
  <c r="N89"/>
  <c r="M89"/>
  <c r="P89" s="1"/>
  <c r="J89"/>
  <c r="T89" s="1"/>
  <c r="S88"/>
  <c r="R88"/>
  <c r="N88"/>
  <c r="M88"/>
  <c r="J88"/>
  <c r="T88" s="1"/>
  <c r="S87"/>
  <c r="R87"/>
  <c r="N87"/>
  <c r="M87"/>
  <c r="P87" s="1"/>
  <c r="J87"/>
  <c r="T87" s="1"/>
  <c r="S86"/>
  <c r="R86"/>
  <c r="N86"/>
  <c r="M86"/>
  <c r="P86" s="1"/>
  <c r="J86"/>
  <c r="T86" s="1"/>
  <c r="S85"/>
  <c r="R85"/>
  <c r="N85"/>
  <c r="M85"/>
  <c r="P85" s="1"/>
  <c r="J85"/>
  <c r="T85" s="1"/>
  <c r="S84"/>
  <c r="R84"/>
  <c r="N84"/>
  <c r="M84"/>
  <c r="P84" s="1"/>
  <c r="J84"/>
  <c r="T84" s="1"/>
  <c r="S83"/>
  <c r="R83"/>
  <c r="N83"/>
  <c r="M83"/>
  <c r="P83" s="1"/>
  <c r="J83"/>
  <c r="T83" s="1"/>
  <c r="S82"/>
  <c r="R82"/>
  <c r="N82"/>
  <c r="M82"/>
  <c r="P82" s="1"/>
  <c r="J82"/>
  <c r="T82" s="1"/>
  <c r="S81"/>
  <c r="R81"/>
  <c r="N81"/>
  <c r="M81"/>
  <c r="P81" s="1"/>
  <c r="J81"/>
  <c r="T81" s="1"/>
  <c r="S80"/>
  <c r="R80"/>
  <c r="N80"/>
  <c r="M80"/>
  <c r="P80" s="1"/>
  <c r="J80"/>
  <c r="T80" s="1"/>
  <c r="S79"/>
  <c r="R79"/>
  <c r="N79"/>
  <c r="M79"/>
  <c r="P79" s="1"/>
  <c r="J79"/>
  <c r="T79" s="1"/>
  <c r="S78"/>
  <c r="R78"/>
  <c r="N78"/>
  <c r="M78"/>
  <c r="P78" s="1"/>
  <c r="J78"/>
  <c r="T78" s="1"/>
  <c r="S77"/>
  <c r="R77"/>
  <c r="N77"/>
  <c r="M77"/>
  <c r="P77" s="1"/>
  <c r="J77"/>
  <c r="T77" s="1"/>
  <c r="S76"/>
  <c r="R76"/>
  <c r="N76"/>
  <c r="M76"/>
  <c r="P76" s="1"/>
  <c r="J76"/>
  <c r="T76" s="1"/>
  <c r="S75"/>
  <c r="R75"/>
  <c r="N75"/>
  <c r="M75"/>
  <c r="P75" s="1"/>
  <c r="J75"/>
  <c r="T75" s="1"/>
  <c r="S74"/>
  <c r="R74"/>
  <c r="N74"/>
  <c r="M74"/>
  <c r="P74" s="1"/>
  <c r="J74"/>
  <c r="T74" s="1"/>
  <c r="S73"/>
  <c r="R73"/>
  <c r="N73"/>
  <c r="M73"/>
  <c r="P73" s="1"/>
  <c r="J73"/>
  <c r="T73" s="1"/>
  <c r="S72"/>
  <c r="R72"/>
  <c r="N72"/>
  <c r="M72"/>
  <c r="P72" s="1"/>
  <c r="J72"/>
  <c r="T72" s="1"/>
  <c r="S71"/>
  <c r="R71"/>
  <c r="N71"/>
  <c r="M71"/>
  <c r="P71" s="1"/>
  <c r="J71"/>
  <c r="T71" s="1"/>
  <c r="S70"/>
  <c r="R70"/>
  <c r="N70"/>
  <c r="M70"/>
  <c r="P70" s="1"/>
  <c r="J70"/>
  <c r="T70" s="1"/>
  <c r="S69"/>
  <c r="R69"/>
  <c r="N69"/>
  <c r="M69"/>
  <c r="P69" s="1"/>
  <c r="J69"/>
  <c r="T69" s="1"/>
  <c r="S68"/>
  <c r="R68"/>
  <c r="N68"/>
  <c r="M68"/>
  <c r="P68" s="1"/>
  <c r="J68"/>
  <c r="T68" s="1"/>
  <c r="S67"/>
  <c r="R67"/>
  <c r="N67"/>
  <c r="M67"/>
  <c r="P67" s="1"/>
  <c r="J67"/>
  <c r="T67" s="1"/>
  <c r="S66"/>
  <c r="R66"/>
  <c r="N66"/>
  <c r="M66"/>
  <c r="P66" s="1"/>
  <c r="J66"/>
  <c r="T66" s="1"/>
  <c r="S65"/>
  <c r="R65"/>
  <c r="N65"/>
  <c r="M65"/>
  <c r="P65" s="1"/>
  <c r="J65"/>
  <c r="T65" s="1"/>
  <c r="S64"/>
  <c r="R64"/>
  <c r="N64"/>
  <c r="M64"/>
  <c r="P64" s="1"/>
  <c r="J64"/>
  <c r="T64" s="1"/>
  <c r="S63"/>
  <c r="R63"/>
  <c r="N63"/>
  <c r="M63"/>
  <c r="P63" s="1"/>
  <c r="J63"/>
  <c r="T63" s="1"/>
  <c r="S62"/>
  <c r="R62"/>
  <c r="N62"/>
  <c r="M62"/>
  <c r="P62" s="1"/>
  <c r="J62"/>
  <c r="T62" s="1"/>
  <c r="S61"/>
  <c r="R61"/>
  <c r="N61"/>
  <c r="M61"/>
  <c r="P61" s="1"/>
  <c r="J61"/>
  <c r="T61" s="1"/>
  <c r="S60"/>
  <c r="R60"/>
  <c r="N60"/>
  <c r="M60"/>
  <c r="P60" s="1"/>
  <c r="J60"/>
  <c r="T60" s="1"/>
  <c r="S59"/>
  <c r="R59"/>
  <c r="N59"/>
  <c r="M59"/>
  <c r="P59" s="1"/>
  <c r="J59"/>
  <c r="T59" s="1"/>
  <c r="S58"/>
  <c r="R58"/>
  <c r="N58"/>
  <c r="M58"/>
  <c r="P58" s="1"/>
  <c r="J58"/>
  <c r="T58" s="1"/>
  <c r="S57"/>
  <c r="R57"/>
  <c r="N57"/>
  <c r="M57"/>
  <c r="P57" s="1"/>
  <c r="J57"/>
  <c r="T57" s="1"/>
  <c r="S56"/>
  <c r="R56"/>
  <c r="N56"/>
  <c r="M56"/>
  <c r="P56" s="1"/>
  <c r="J56"/>
  <c r="T56" s="1"/>
  <c r="S55"/>
  <c r="R55"/>
  <c r="N55"/>
  <c r="M55"/>
  <c r="P55" s="1"/>
  <c r="J55"/>
  <c r="T55" s="1"/>
  <c r="S54"/>
  <c r="R54"/>
  <c r="N54"/>
  <c r="M54"/>
  <c r="P54" s="1"/>
  <c r="J54"/>
  <c r="T54" s="1"/>
  <c r="S53"/>
  <c r="R53"/>
  <c r="N53"/>
  <c r="M53"/>
  <c r="P53" s="1"/>
  <c r="J53"/>
  <c r="T53" s="1"/>
  <c r="S52"/>
  <c r="R52"/>
  <c r="N52"/>
  <c r="M52"/>
  <c r="P52" s="1"/>
  <c r="J52"/>
  <c r="T52" s="1"/>
  <c r="S51"/>
  <c r="R51"/>
  <c r="N51"/>
  <c r="M51"/>
  <c r="P51" s="1"/>
  <c r="J51"/>
  <c r="T51" s="1"/>
  <c r="S50"/>
  <c r="R50"/>
  <c r="N50"/>
  <c r="M50"/>
  <c r="P50" s="1"/>
  <c r="J50"/>
  <c r="T50" s="1"/>
  <c r="S49"/>
  <c r="R49"/>
  <c r="N49"/>
  <c r="M49"/>
  <c r="P49" s="1"/>
  <c r="J49"/>
  <c r="T49" s="1"/>
  <c r="S48"/>
  <c r="R48"/>
  <c r="N48"/>
  <c r="M48"/>
  <c r="P48" s="1"/>
  <c r="J48"/>
  <c r="T48" s="1"/>
  <c r="S47"/>
  <c r="R47"/>
  <c r="N47"/>
  <c r="M47"/>
  <c r="P47" s="1"/>
  <c r="J47"/>
  <c r="T47" s="1"/>
  <c r="S46"/>
  <c r="R46"/>
  <c r="N46"/>
  <c r="M46"/>
  <c r="P46" s="1"/>
  <c r="J46"/>
  <c r="T46" s="1"/>
  <c r="S45"/>
  <c r="R45"/>
  <c r="N45"/>
  <c r="M45"/>
  <c r="P45" s="1"/>
  <c r="J45"/>
  <c r="T45" s="1"/>
  <c r="S44"/>
  <c r="R44"/>
  <c r="N44"/>
  <c r="M44"/>
  <c r="P44" s="1"/>
  <c r="J44"/>
  <c r="T44" s="1"/>
  <c r="S43"/>
  <c r="R43"/>
  <c r="N43"/>
  <c r="M43"/>
  <c r="P43" s="1"/>
  <c r="J43"/>
  <c r="T43" s="1"/>
  <c r="S42"/>
  <c r="R42"/>
  <c r="N42"/>
  <c r="M42"/>
  <c r="P42" s="1"/>
  <c r="J42"/>
  <c r="T42" s="1"/>
  <c r="S41"/>
  <c r="R41"/>
  <c r="N41"/>
  <c r="M41"/>
  <c r="P41" s="1"/>
  <c r="J41"/>
  <c r="T41" s="1"/>
  <c r="S40"/>
  <c r="R40"/>
  <c r="N40"/>
  <c r="M40"/>
  <c r="P40" s="1"/>
  <c r="J40"/>
  <c r="T40" s="1"/>
  <c r="S39"/>
  <c r="R39"/>
  <c r="N39"/>
  <c r="M39"/>
  <c r="P39" s="1"/>
  <c r="J39"/>
  <c r="T39" s="1"/>
  <c r="S38"/>
  <c r="R38"/>
  <c r="N38"/>
  <c r="M38"/>
  <c r="P38" s="1"/>
  <c r="J38"/>
  <c r="T38" s="1"/>
  <c r="S37"/>
  <c r="R37"/>
  <c r="N37"/>
  <c r="M37"/>
  <c r="P37" s="1"/>
  <c r="J37"/>
  <c r="T37" s="1"/>
  <c r="S36"/>
  <c r="R36"/>
  <c r="N36"/>
  <c r="M36"/>
  <c r="P36" s="1"/>
  <c r="J36"/>
  <c r="T36" s="1"/>
  <c r="S35"/>
  <c r="R35"/>
  <c r="N35"/>
  <c r="M35"/>
  <c r="P35" s="1"/>
  <c r="J35"/>
  <c r="T35" s="1"/>
  <c r="S34"/>
  <c r="R34"/>
  <c r="N34"/>
  <c r="M34"/>
  <c r="P34" s="1"/>
  <c r="J34"/>
  <c r="T34" s="1"/>
  <c r="S33"/>
  <c r="R33"/>
  <c r="N33"/>
  <c r="M33"/>
  <c r="P33" s="1"/>
  <c r="J33"/>
  <c r="T33" s="1"/>
  <c r="S32"/>
  <c r="R32"/>
  <c r="N32"/>
  <c r="M32"/>
  <c r="P32" s="1"/>
  <c r="J32"/>
  <c r="T32" s="1"/>
  <c r="S31"/>
  <c r="R31"/>
  <c r="N31"/>
  <c r="M31"/>
  <c r="P31" s="1"/>
  <c r="J31"/>
  <c r="T31" s="1"/>
  <c r="S30"/>
  <c r="R30"/>
  <c r="N30"/>
  <c r="M30"/>
  <c r="P30" s="1"/>
  <c r="J30"/>
  <c r="T30" s="1"/>
  <c r="S29"/>
  <c r="R29"/>
  <c r="N29"/>
  <c r="M29"/>
  <c r="P29" s="1"/>
  <c r="J29"/>
  <c r="T29" s="1"/>
  <c r="S28"/>
  <c r="R28"/>
  <c r="N28"/>
  <c r="M28"/>
  <c r="P28" s="1"/>
  <c r="J28"/>
  <c r="T28" s="1"/>
  <c r="S27"/>
  <c r="R27"/>
  <c r="N27"/>
  <c r="M27"/>
  <c r="P27" s="1"/>
  <c r="J27"/>
  <c r="T27" s="1"/>
  <c r="S26"/>
  <c r="R26"/>
  <c r="N26"/>
  <c r="M26"/>
  <c r="P26" s="1"/>
  <c r="J26"/>
  <c r="T26" s="1"/>
  <c r="S25"/>
  <c r="R25"/>
  <c r="N25"/>
  <c r="M25"/>
  <c r="P25" s="1"/>
  <c r="J25"/>
  <c r="T25" s="1"/>
  <c r="S24"/>
  <c r="R24"/>
  <c r="N24"/>
  <c r="M24"/>
  <c r="P24" s="1"/>
  <c r="J24"/>
  <c r="T24" s="1"/>
  <c r="S23"/>
  <c r="R23"/>
  <c r="N23"/>
  <c r="M23"/>
  <c r="P23" s="1"/>
  <c r="J23"/>
  <c r="T23" s="1"/>
  <c r="S22"/>
  <c r="R22"/>
  <c r="N22"/>
  <c r="M22"/>
  <c r="P22" s="1"/>
  <c r="J22"/>
  <c r="T22" s="1"/>
  <c r="S21"/>
  <c r="R21"/>
  <c r="N21"/>
  <c r="M21"/>
  <c r="P21" s="1"/>
  <c r="J21"/>
  <c r="T21" s="1"/>
  <c r="S20"/>
  <c r="R20"/>
  <c r="N20"/>
  <c r="M20"/>
  <c r="P20" s="1"/>
  <c r="J20"/>
  <c r="T20" s="1"/>
  <c r="S19"/>
  <c r="R19"/>
  <c r="N19"/>
  <c r="M19"/>
  <c r="P19" s="1"/>
  <c r="J19"/>
  <c r="T19" s="1"/>
  <c r="S18"/>
  <c r="R18"/>
  <c r="N18"/>
  <c r="M18"/>
  <c r="P18" s="1"/>
  <c r="J18"/>
  <c r="T18" s="1"/>
  <c r="S17"/>
  <c r="R17"/>
  <c r="N17"/>
  <c r="M17"/>
  <c r="P17" s="1"/>
  <c r="J17"/>
  <c r="T17" s="1"/>
  <c r="S16"/>
  <c r="R16"/>
  <c r="N16"/>
  <c r="M16"/>
  <c r="P16" s="1"/>
  <c r="J16"/>
  <c r="T16" s="1"/>
  <c r="S15"/>
  <c r="R15"/>
  <c r="N15"/>
  <c r="M15"/>
  <c r="P15" s="1"/>
  <c r="J15"/>
  <c r="T15" s="1"/>
  <c r="S14"/>
  <c r="R14"/>
  <c r="N14"/>
  <c r="M14"/>
  <c r="P14" s="1"/>
  <c r="J14"/>
  <c r="T14" s="1"/>
  <c r="S13"/>
  <c r="R13"/>
  <c r="N13"/>
  <c r="M13"/>
  <c r="P13" s="1"/>
  <c r="J13"/>
  <c r="T13" s="1"/>
  <c r="S12"/>
  <c r="R12"/>
  <c r="N12"/>
  <c r="M12"/>
  <c r="P12" s="1"/>
  <c r="J12"/>
  <c r="T12" s="1"/>
  <c r="S11"/>
  <c r="R11"/>
  <c r="N11"/>
  <c r="M11"/>
  <c r="P11" s="1"/>
  <c r="J11"/>
  <c r="T11" s="1"/>
  <c r="S10"/>
  <c r="R10"/>
  <c r="N10"/>
  <c r="M10"/>
  <c r="P10" s="1"/>
  <c r="J10"/>
  <c r="T10" s="1"/>
  <c r="S9"/>
  <c r="R9"/>
  <c r="N9"/>
  <c r="M9"/>
  <c r="P9" s="1"/>
  <c r="J9"/>
  <c r="T9" s="1"/>
  <c r="S7"/>
  <c r="R7"/>
  <c r="N7"/>
  <c r="M7"/>
  <c r="P7" s="1"/>
  <c r="J7"/>
  <c r="T7" s="1"/>
  <c r="S6"/>
  <c r="R6"/>
  <c r="N6"/>
  <c r="M6"/>
  <c r="P6" s="1"/>
  <c r="J6"/>
  <c r="T6" s="1"/>
  <c r="S5"/>
  <c r="R5"/>
  <c r="N5"/>
  <c r="N189" s="1"/>
  <c r="M5"/>
  <c r="M189" s="1"/>
  <c r="J5"/>
  <c r="J189" s="1"/>
  <c r="J177" i="89"/>
  <c r="G177"/>
  <c r="F177"/>
  <c r="L171" i="90"/>
  <c r="I171"/>
  <c r="H171"/>
  <c r="S167"/>
  <c r="R167"/>
  <c r="M167"/>
  <c r="O167" s="1"/>
  <c r="N167"/>
  <c r="P167"/>
  <c r="J167"/>
  <c r="T167" s="1"/>
  <c r="S170"/>
  <c r="R170"/>
  <c r="N170"/>
  <c r="M170"/>
  <c r="P170" s="1"/>
  <c r="J170"/>
  <c r="T170" s="1"/>
  <c r="S169"/>
  <c r="R169"/>
  <c r="N169"/>
  <c r="M169"/>
  <c r="P169" s="1"/>
  <c r="J169"/>
  <c r="T169" s="1"/>
  <c r="S168"/>
  <c r="R168"/>
  <c r="N168"/>
  <c r="M168"/>
  <c r="P168" s="1"/>
  <c r="J168"/>
  <c r="T168" s="1"/>
  <c r="S114"/>
  <c r="R114"/>
  <c r="N114"/>
  <c r="M114"/>
  <c r="P114" s="1"/>
  <c r="J114"/>
  <c r="T114" s="1"/>
  <c r="S166"/>
  <c r="R166"/>
  <c r="N166"/>
  <c r="M166"/>
  <c r="P166" s="1"/>
  <c r="J166"/>
  <c r="T166" s="1"/>
  <c r="S165"/>
  <c r="R165"/>
  <c r="N165"/>
  <c r="M165"/>
  <c r="P165" s="1"/>
  <c r="J165"/>
  <c r="T165" s="1"/>
  <c r="S164"/>
  <c r="R164"/>
  <c r="N164"/>
  <c r="M164"/>
  <c r="P164" s="1"/>
  <c r="J164"/>
  <c r="T164" s="1"/>
  <c r="S163"/>
  <c r="R163"/>
  <c r="N163"/>
  <c r="M163"/>
  <c r="P163" s="1"/>
  <c r="J163"/>
  <c r="T163" s="1"/>
  <c r="S162"/>
  <c r="R162"/>
  <c r="N162"/>
  <c r="M162"/>
  <c r="P162" s="1"/>
  <c r="J162"/>
  <c r="T162" s="1"/>
  <c r="S161"/>
  <c r="R161"/>
  <c r="N161"/>
  <c r="M161"/>
  <c r="P161" s="1"/>
  <c r="J161"/>
  <c r="T161" s="1"/>
  <c r="S160"/>
  <c r="R160"/>
  <c r="N160"/>
  <c r="M160"/>
  <c r="P160" s="1"/>
  <c r="J160"/>
  <c r="T160" s="1"/>
  <c r="S159"/>
  <c r="R159"/>
  <c r="N159"/>
  <c r="M159"/>
  <c r="P159" s="1"/>
  <c r="J159"/>
  <c r="T159" s="1"/>
  <c r="S158"/>
  <c r="R158"/>
  <c r="N158"/>
  <c r="M158"/>
  <c r="P158" s="1"/>
  <c r="J158"/>
  <c r="T158" s="1"/>
  <c r="S157"/>
  <c r="R157"/>
  <c r="N157"/>
  <c r="M157"/>
  <c r="P157" s="1"/>
  <c r="J157"/>
  <c r="T157" s="1"/>
  <c r="S156"/>
  <c r="R156"/>
  <c r="N156"/>
  <c r="M156"/>
  <c r="P156" s="1"/>
  <c r="J156"/>
  <c r="T156" s="1"/>
  <c r="S155"/>
  <c r="R155"/>
  <c r="N155"/>
  <c r="M155"/>
  <c r="P155" s="1"/>
  <c r="J155"/>
  <c r="T155" s="1"/>
  <c r="S154"/>
  <c r="R154"/>
  <c r="N154"/>
  <c r="M154"/>
  <c r="P154" s="1"/>
  <c r="J154"/>
  <c r="T154" s="1"/>
  <c r="S153"/>
  <c r="R153"/>
  <c r="N153"/>
  <c r="M153"/>
  <c r="P153" s="1"/>
  <c r="J153"/>
  <c r="T153" s="1"/>
  <c r="S152"/>
  <c r="R152"/>
  <c r="N152"/>
  <c r="M152"/>
  <c r="P152" s="1"/>
  <c r="J152"/>
  <c r="T152" s="1"/>
  <c r="S151"/>
  <c r="R151"/>
  <c r="N151"/>
  <c r="M151"/>
  <c r="P151" s="1"/>
  <c r="J151"/>
  <c r="T151" s="1"/>
  <c r="S150"/>
  <c r="R150"/>
  <c r="N150"/>
  <c r="M150"/>
  <c r="P150" s="1"/>
  <c r="J150"/>
  <c r="T150" s="1"/>
  <c r="S149"/>
  <c r="R149"/>
  <c r="N149"/>
  <c r="M149"/>
  <c r="P149" s="1"/>
  <c r="J149"/>
  <c r="T149" s="1"/>
  <c r="S148"/>
  <c r="R148"/>
  <c r="N148"/>
  <c r="M148"/>
  <c r="P148" s="1"/>
  <c r="J148"/>
  <c r="T148" s="1"/>
  <c r="S147"/>
  <c r="R147"/>
  <c r="N147"/>
  <c r="M147"/>
  <c r="P147" s="1"/>
  <c r="J147"/>
  <c r="T147" s="1"/>
  <c r="S146"/>
  <c r="R146"/>
  <c r="N146"/>
  <c r="M146"/>
  <c r="P146" s="1"/>
  <c r="J146"/>
  <c r="T146" s="1"/>
  <c r="S145"/>
  <c r="R145"/>
  <c r="N145"/>
  <c r="M145"/>
  <c r="P145" s="1"/>
  <c r="J145"/>
  <c r="T145" s="1"/>
  <c r="S144"/>
  <c r="R144"/>
  <c r="N144"/>
  <c r="M144"/>
  <c r="P144" s="1"/>
  <c r="J144"/>
  <c r="T144" s="1"/>
  <c r="S143"/>
  <c r="R143"/>
  <c r="N143"/>
  <c r="M143"/>
  <c r="P143" s="1"/>
  <c r="J143"/>
  <c r="T143" s="1"/>
  <c r="S142"/>
  <c r="R142"/>
  <c r="N142"/>
  <c r="M142"/>
  <c r="P142" s="1"/>
  <c r="J142"/>
  <c r="T142" s="1"/>
  <c r="S141"/>
  <c r="R141"/>
  <c r="N141"/>
  <c r="M141"/>
  <c r="P141" s="1"/>
  <c r="J141"/>
  <c r="T141" s="1"/>
  <c r="S140"/>
  <c r="R140"/>
  <c r="N140"/>
  <c r="M140"/>
  <c r="P140" s="1"/>
  <c r="J140"/>
  <c r="T140" s="1"/>
  <c r="S139"/>
  <c r="R139"/>
  <c r="N139"/>
  <c r="M139"/>
  <c r="P139" s="1"/>
  <c r="J139"/>
  <c r="T139" s="1"/>
  <c r="S138"/>
  <c r="R138"/>
  <c r="N138"/>
  <c r="M138"/>
  <c r="P138" s="1"/>
  <c r="J138"/>
  <c r="T138" s="1"/>
  <c r="S137"/>
  <c r="R137"/>
  <c r="N137"/>
  <c r="M137"/>
  <c r="P137" s="1"/>
  <c r="J137"/>
  <c r="T137" s="1"/>
  <c r="S136"/>
  <c r="R136"/>
  <c r="N136"/>
  <c r="M136"/>
  <c r="P136" s="1"/>
  <c r="J136"/>
  <c r="T136" s="1"/>
  <c r="S135"/>
  <c r="R135"/>
  <c r="N135"/>
  <c r="M135"/>
  <c r="P135" s="1"/>
  <c r="J135"/>
  <c r="T135" s="1"/>
  <c r="S134"/>
  <c r="R134"/>
  <c r="N134"/>
  <c r="M134"/>
  <c r="P134" s="1"/>
  <c r="J134"/>
  <c r="T134" s="1"/>
  <c r="S133"/>
  <c r="R133"/>
  <c r="N133"/>
  <c r="M133"/>
  <c r="P133" s="1"/>
  <c r="J133"/>
  <c r="T133" s="1"/>
  <c r="S132"/>
  <c r="R132"/>
  <c r="N132"/>
  <c r="M132"/>
  <c r="P132" s="1"/>
  <c r="J132"/>
  <c r="T132" s="1"/>
  <c r="S131"/>
  <c r="R131"/>
  <c r="N131"/>
  <c r="M131"/>
  <c r="P131" s="1"/>
  <c r="J131"/>
  <c r="T131" s="1"/>
  <c r="S130"/>
  <c r="R130"/>
  <c r="N130"/>
  <c r="M130"/>
  <c r="P130" s="1"/>
  <c r="J130"/>
  <c r="T130" s="1"/>
  <c r="S129"/>
  <c r="R129"/>
  <c r="N129"/>
  <c r="M129"/>
  <c r="P129" s="1"/>
  <c r="J129"/>
  <c r="T129" s="1"/>
  <c r="S128"/>
  <c r="R128"/>
  <c r="N128"/>
  <c r="M128"/>
  <c r="P128" s="1"/>
  <c r="J128"/>
  <c r="T128" s="1"/>
  <c r="S127"/>
  <c r="R127"/>
  <c r="N127"/>
  <c r="M127"/>
  <c r="P127" s="1"/>
  <c r="J127"/>
  <c r="T127" s="1"/>
  <c r="S126"/>
  <c r="R126"/>
  <c r="N126"/>
  <c r="M126"/>
  <c r="P126" s="1"/>
  <c r="J126"/>
  <c r="T126" s="1"/>
  <c r="S125"/>
  <c r="R125"/>
  <c r="N125"/>
  <c r="M125"/>
  <c r="P125" s="1"/>
  <c r="J125"/>
  <c r="T125" s="1"/>
  <c r="S124"/>
  <c r="R124"/>
  <c r="N124"/>
  <c r="M124"/>
  <c r="P124" s="1"/>
  <c r="J124"/>
  <c r="T124" s="1"/>
  <c r="S123"/>
  <c r="R123"/>
  <c r="N123"/>
  <c r="M123"/>
  <c r="P123" s="1"/>
  <c r="J123"/>
  <c r="T123" s="1"/>
  <c r="S122"/>
  <c r="R122"/>
  <c r="N122"/>
  <c r="M122"/>
  <c r="P122" s="1"/>
  <c r="J122"/>
  <c r="T122" s="1"/>
  <c r="S121"/>
  <c r="R121"/>
  <c r="N121"/>
  <c r="M121"/>
  <c r="P121" s="1"/>
  <c r="J121"/>
  <c r="T121" s="1"/>
  <c r="S120"/>
  <c r="R120"/>
  <c r="N120"/>
  <c r="M120"/>
  <c r="P120" s="1"/>
  <c r="J120"/>
  <c r="T120" s="1"/>
  <c r="S119"/>
  <c r="R119"/>
  <c r="N119"/>
  <c r="M119"/>
  <c r="P119" s="1"/>
  <c r="J119"/>
  <c r="T119" s="1"/>
  <c r="S118"/>
  <c r="R118"/>
  <c r="N118"/>
  <c r="M118"/>
  <c r="P118" s="1"/>
  <c r="J118"/>
  <c r="T118" s="1"/>
  <c r="S117"/>
  <c r="R117"/>
  <c r="N117"/>
  <c r="M117"/>
  <c r="P117" s="1"/>
  <c r="J117"/>
  <c r="T117" s="1"/>
  <c r="S116"/>
  <c r="R116"/>
  <c r="N116"/>
  <c r="M116"/>
  <c r="P116" s="1"/>
  <c r="J116"/>
  <c r="T116" s="1"/>
  <c r="S115"/>
  <c r="R115"/>
  <c r="N115"/>
  <c r="M115"/>
  <c r="P115" s="1"/>
  <c r="J115"/>
  <c r="T115" s="1"/>
  <c r="S113"/>
  <c r="R113"/>
  <c r="N113"/>
  <c r="M113"/>
  <c r="P113" s="1"/>
  <c r="J113"/>
  <c r="T113" s="1"/>
  <c r="S112"/>
  <c r="R112"/>
  <c r="N112"/>
  <c r="M112"/>
  <c r="P112" s="1"/>
  <c r="J112"/>
  <c r="T112" s="1"/>
  <c r="S111"/>
  <c r="R111"/>
  <c r="N111"/>
  <c r="M111"/>
  <c r="P111" s="1"/>
  <c r="J111"/>
  <c r="T111" s="1"/>
  <c r="S110"/>
  <c r="R110"/>
  <c r="N110"/>
  <c r="M110"/>
  <c r="P110" s="1"/>
  <c r="J110"/>
  <c r="T110" s="1"/>
  <c r="S109"/>
  <c r="R109"/>
  <c r="N109"/>
  <c r="M109"/>
  <c r="P109" s="1"/>
  <c r="J109"/>
  <c r="T109" s="1"/>
  <c r="S108"/>
  <c r="R108"/>
  <c r="N108"/>
  <c r="M108"/>
  <c r="P108" s="1"/>
  <c r="J108"/>
  <c r="T108" s="1"/>
  <c r="S107"/>
  <c r="R107"/>
  <c r="N107"/>
  <c r="M107"/>
  <c r="P107" s="1"/>
  <c r="J107"/>
  <c r="T107" s="1"/>
  <c r="S106"/>
  <c r="R106"/>
  <c r="N106"/>
  <c r="M106"/>
  <c r="P106" s="1"/>
  <c r="J106"/>
  <c r="T106" s="1"/>
  <c r="S105"/>
  <c r="R105"/>
  <c r="N105"/>
  <c r="M105"/>
  <c r="P105" s="1"/>
  <c r="J105"/>
  <c r="T105" s="1"/>
  <c r="S104"/>
  <c r="R104"/>
  <c r="N104"/>
  <c r="M104"/>
  <c r="P104" s="1"/>
  <c r="J104"/>
  <c r="T104" s="1"/>
  <c r="S103"/>
  <c r="R103"/>
  <c r="N103"/>
  <c r="M103"/>
  <c r="P103" s="1"/>
  <c r="J103"/>
  <c r="T103" s="1"/>
  <c r="S102"/>
  <c r="R102"/>
  <c r="N102"/>
  <c r="M102"/>
  <c r="P102" s="1"/>
  <c r="J102"/>
  <c r="T102" s="1"/>
  <c r="S101"/>
  <c r="R101"/>
  <c r="N101"/>
  <c r="M101"/>
  <c r="J101"/>
  <c r="T101" s="1"/>
  <c r="S100"/>
  <c r="R100"/>
  <c r="N100"/>
  <c r="M100"/>
  <c r="P100" s="1"/>
  <c r="J100"/>
  <c r="T100" s="1"/>
  <c r="S99"/>
  <c r="R99"/>
  <c r="N99"/>
  <c r="M99"/>
  <c r="P99" s="1"/>
  <c r="J99"/>
  <c r="T99" s="1"/>
  <c r="S98"/>
  <c r="R98"/>
  <c r="N98"/>
  <c r="M98"/>
  <c r="P98" s="1"/>
  <c r="J98"/>
  <c r="T98" s="1"/>
  <c r="S97"/>
  <c r="R97"/>
  <c r="N97"/>
  <c r="M97"/>
  <c r="P97" s="1"/>
  <c r="J97"/>
  <c r="T97" s="1"/>
  <c r="S96"/>
  <c r="R96"/>
  <c r="N96"/>
  <c r="M96"/>
  <c r="P96" s="1"/>
  <c r="J96"/>
  <c r="T96" s="1"/>
  <c r="S95"/>
  <c r="R95"/>
  <c r="N95"/>
  <c r="M95"/>
  <c r="P95" s="1"/>
  <c r="J95"/>
  <c r="T95" s="1"/>
  <c r="S94"/>
  <c r="R94"/>
  <c r="N94"/>
  <c r="M94"/>
  <c r="P94" s="1"/>
  <c r="J94"/>
  <c r="T94" s="1"/>
  <c r="S93"/>
  <c r="R93"/>
  <c r="N93"/>
  <c r="M93"/>
  <c r="P93" s="1"/>
  <c r="J93"/>
  <c r="T93" s="1"/>
  <c r="S92"/>
  <c r="R92"/>
  <c r="N92"/>
  <c r="M92"/>
  <c r="P92" s="1"/>
  <c r="J92"/>
  <c r="T92" s="1"/>
  <c r="S91"/>
  <c r="R91"/>
  <c r="N91"/>
  <c r="M91"/>
  <c r="P91" s="1"/>
  <c r="J91"/>
  <c r="T91" s="1"/>
  <c r="S90"/>
  <c r="R90"/>
  <c r="N90"/>
  <c r="M90"/>
  <c r="P90" s="1"/>
  <c r="J90"/>
  <c r="T90" s="1"/>
  <c r="S89"/>
  <c r="R89"/>
  <c r="N89"/>
  <c r="M89"/>
  <c r="P89" s="1"/>
  <c r="J89"/>
  <c r="T89" s="1"/>
  <c r="S88"/>
  <c r="R88"/>
  <c r="N88"/>
  <c r="M88"/>
  <c r="P88" s="1"/>
  <c r="J88"/>
  <c r="T88" s="1"/>
  <c r="S87"/>
  <c r="R87"/>
  <c r="N87"/>
  <c r="M87"/>
  <c r="P87" s="1"/>
  <c r="J87"/>
  <c r="T87" s="1"/>
  <c r="S86"/>
  <c r="R86"/>
  <c r="N86"/>
  <c r="M86"/>
  <c r="P86" s="1"/>
  <c r="J86"/>
  <c r="T86" s="1"/>
  <c r="S85"/>
  <c r="R85"/>
  <c r="N85"/>
  <c r="M85"/>
  <c r="P85" s="1"/>
  <c r="J85"/>
  <c r="T85" s="1"/>
  <c r="S84"/>
  <c r="R84"/>
  <c r="N84"/>
  <c r="M84"/>
  <c r="P84" s="1"/>
  <c r="J84"/>
  <c r="T84" s="1"/>
  <c r="S83"/>
  <c r="R83"/>
  <c r="N83"/>
  <c r="M83"/>
  <c r="P83" s="1"/>
  <c r="J83"/>
  <c r="T83" s="1"/>
  <c r="S82"/>
  <c r="R82"/>
  <c r="N82"/>
  <c r="M82"/>
  <c r="P82" s="1"/>
  <c r="J82"/>
  <c r="T82" s="1"/>
  <c r="S81"/>
  <c r="R81"/>
  <c r="N81"/>
  <c r="M81"/>
  <c r="P81" s="1"/>
  <c r="J81"/>
  <c r="T81" s="1"/>
  <c r="S80"/>
  <c r="R80"/>
  <c r="N80"/>
  <c r="M80"/>
  <c r="P80" s="1"/>
  <c r="J80"/>
  <c r="T80" s="1"/>
  <c r="S79"/>
  <c r="R79"/>
  <c r="N79"/>
  <c r="M79"/>
  <c r="P79" s="1"/>
  <c r="J79"/>
  <c r="T79" s="1"/>
  <c r="S78"/>
  <c r="R78"/>
  <c r="N78"/>
  <c r="M78"/>
  <c r="P78" s="1"/>
  <c r="J78"/>
  <c r="T78" s="1"/>
  <c r="S77"/>
  <c r="R77"/>
  <c r="N77"/>
  <c r="M77"/>
  <c r="P77" s="1"/>
  <c r="J77"/>
  <c r="T77" s="1"/>
  <c r="S76"/>
  <c r="R76"/>
  <c r="N76"/>
  <c r="M76"/>
  <c r="P76" s="1"/>
  <c r="J76"/>
  <c r="T76" s="1"/>
  <c r="S75"/>
  <c r="R75"/>
  <c r="N75"/>
  <c r="M75"/>
  <c r="P75" s="1"/>
  <c r="J75"/>
  <c r="T75" s="1"/>
  <c r="S74"/>
  <c r="R74"/>
  <c r="N74"/>
  <c r="M74"/>
  <c r="P74" s="1"/>
  <c r="J74"/>
  <c r="T74" s="1"/>
  <c r="S73"/>
  <c r="R73"/>
  <c r="N73"/>
  <c r="M73"/>
  <c r="P73" s="1"/>
  <c r="J73"/>
  <c r="T73" s="1"/>
  <c r="S72"/>
  <c r="R72"/>
  <c r="N72"/>
  <c r="M72"/>
  <c r="P72" s="1"/>
  <c r="J72"/>
  <c r="T72" s="1"/>
  <c r="S71"/>
  <c r="R71"/>
  <c r="N71"/>
  <c r="M71"/>
  <c r="P71" s="1"/>
  <c r="J71"/>
  <c r="T71" s="1"/>
  <c r="S70"/>
  <c r="R70"/>
  <c r="N70"/>
  <c r="M70"/>
  <c r="P70" s="1"/>
  <c r="J70"/>
  <c r="T70" s="1"/>
  <c r="S69"/>
  <c r="R69"/>
  <c r="N69"/>
  <c r="M69"/>
  <c r="P69" s="1"/>
  <c r="J69"/>
  <c r="T69" s="1"/>
  <c r="S68"/>
  <c r="R68"/>
  <c r="N68"/>
  <c r="M68"/>
  <c r="P68" s="1"/>
  <c r="J68"/>
  <c r="T68" s="1"/>
  <c r="S67"/>
  <c r="R67"/>
  <c r="N67"/>
  <c r="M67"/>
  <c r="P67" s="1"/>
  <c r="J67"/>
  <c r="T67" s="1"/>
  <c r="S66"/>
  <c r="R66"/>
  <c r="N66"/>
  <c r="M66"/>
  <c r="P66" s="1"/>
  <c r="J66"/>
  <c r="T66" s="1"/>
  <c r="S65"/>
  <c r="R65"/>
  <c r="N65"/>
  <c r="M65"/>
  <c r="P65" s="1"/>
  <c r="J65"/>
  <c r="T65" s="1"/>
  <c r="S64"/>
  <c r="R64"/>
  <c r="N64"/>
  <c r="M64"/>
  <c r="P64" s="1"/>
  <c r="J64"/>
  <c r="T64" s="1"/>
  <c r="S63"/>
  <c r="R63"/>
  <c r="N63"/>
  <c r="M63"/>
  <c r="P63" s="1"/>
  <c r="J63"/>
  <c r="T63" s="1"/>
  <c r="S62"/>
  <c r="R62"/>
  <c r="N62"/>
  <c r="M62"/>
  <c r="P62" s="1"/>
  <c r="J62"/>
  <c r="T62" s="1"/>
  <c r="S61"/>
  <c r="R61"/>
  <c r="N61"/>
  <c r="M61"/>
  <c r="P61" s="1"/>
  <c r="J61"/>
  <c r="T61" s="1"/>
  <c r="S60"/>
  <c r="R60"/>
  <c r="N60"/>
  <c r="M60"/>
  <c r="P60" s="1"/>
  <c r="J60"/>
  <c r="T60" s="1"/>
  <c r="S59"/>
  <c r="R59"/>
  <c r="N59"/>
  <c r="M59"/>
  <c r="P59" s="1"/>
  <c r="J59"/>
  <c r="T59" s="1"/>
  <c r="S58"/>
  <c r="R58"/>
  <c r="N58"/>
  <c r="M58"/>
  <c r="P58" s="1"/>
  <c r="J58"/>
  <c r="T58" s="1"/>
  <c r="S57"/>
  <c r="R57"/>
  <c r="N57"/>
  <c r="M57"/>
  <c r="P57" s="1"/>
  <c r="J57"/>
  <c r="T57" s="1"/>
  <c r="S56"/>
  <c r="R56"/>
  <c r="N56"/>
  <c r="M56"/>
  <c r="P56" s="1"/>
  <c r="J56"/>
  <c r="T56" s="1"/>
  <c r="S55"/>
  <c r="R55"/>
  <c r="N55"/>
  <c r="M55"/>
  <c r="P55" s="1"/>
  <c r="J55"/>
  <c r="T55" s="1"/>
  <c r="S54"/>
  <c r="R54"/>
  <c r="N54"/>
  <c r="M54"/>
  <c r="P54" s="1"/>
  <c r="J54"/>
  <c r="T54" s="1"/>
  <c r="S53"/>
  <c r="R53"/>
  <c r="N53"/>
  <c r="M53"/>
  <c r="P53" s="1"/>
  <c r="J53"/>
  <c r="T53" s="1"/>
  <c r="S52"/>
  <c r="R52"/>
  <c r="N52"/>
  <c r="M52"/>
  <c r="P52" s="1"/>
  <c r="J52"/>
  <c r="T52" s="1"/>
  <c r="S51"/>
  <c r="R51"/>
  <c r="N51"/>
  <c r="M51"/>
  <c r="P51" s="1"/>
  <c r="J51"/>
  <c r="T51" s="1"/>
  <c r="S50"/>
  <c r="R50"/>
  <c r="N50"/>
  <c r="M50"/>
  <c r="P50" s="1"/>
  <c r="J50"/>
  <c r="T50" s="1"/>
  <c r="S49"/>
  <c r="R49"/>
  <c r="N49"/>
  <c r="M49"/>
  <c r="P49" s="1"/>
  <c r="J49"/>
  <c r="T49" s="1"/>
  <c r="S48"/>
  <c r="R48"/>
  <c r="N48"/>
  <c r="M48"/>
  <c r="P48" s="1"/>
  <c r="J48"/>
  <c r="T48" s="1"/>
  <c r="S47"/>
  <c r="R47"/>
  <c r="N47"/>
  <c r="M47"/>
  <c r="P47" s="1"/>
  <c r="J47"/>
  <c r="T47" s="1"/>
  <c r="S46"/>
  <c r="R46"/>
  <c r="N46"/>
  <c r="M46"/>
  <c r="P46" s="1"/>
  <c r="J46"/>
  <c r="T46" s="1"/>
  <c r="S45"/>
  <c r="R45"/>
  <c r="N45"/>
  <c r="M45"/>
  <c r="P45" s="1"/>
  <c r="J45"/>
  <c r="T45" s="1"/>
  <c r="S44"/>
  <c r="R44"/>
  <c r="N44"/>
  <c r="M44"/>
  <c r="P44" s="1"/>
  <c r="J44"/>
  <c r="T44" s="1"/>
  <c r="S43"/>
  <c r="R43"/>
  <c r="N43"/>
  <c r="M43"/>
  <c r="P43" s="1"/>
  <c r="J43"/>
  <c r="T43" s="1"/>
  <c r="S42"/>
  <c r="R42"/>
  <c r="N42"/>
  <c r="M42"/>
  <c r="P42" s="1"/>
  <c r="J42"/>
  <c r="T42" s="1"/>
  <c r="S41"/>
  <c r="R41"/>
  <c r="N41"/>
  <c r="M41"/>
  <c r="P41" s="1"/>
  <c r="J41"/>
  <c r="T41" s="1"/>
  <c r="S40"/>
  <c r="R40"/>
  <c r="N40"/>
  <c r="M40"/>
  <c r="P40" s="1"/>
  <c r="J40"/>
  <c r="T40" s="1"/>
  <c r="S39"/>
  <c r="R39"/>
  <c r="N39"/>
  <c r="M39"/>
  <c r="P39" s="1"/>
  <c r="J39"/>
  <c r="T39" s="1"/>
  <c r="S38"/>
  <c r="R38"/>
  <c r="N38"/>
  <c r="M38"/>
  <c r="P38" s="1"/>
  <c r="J38"/>
  <c r="T38" s="1"/>
  <c r="S37"/>
  <c r="R37"/>
  <c r="N37"/>
  <c r="M37"/>
  <c r="P37" s="1"/>
  <c r="J37"/>
  <c r="T37" s="1"/>
  <c r="S36"/>
  <c r="R36"/>
  <c r="N36"/>
  <c r="M36"/>
  <c r="P36" s="1"/>
  <c r="J36"/>
  <c r="T36" s="1"/>
  <c r="S35"/>
  <c r="R35"/>
  <c r="N35"/>
  <c r="M35"/>
  <c r="P35" s="1"/>
  <c r="J35"/>
  <c r="T35" s="1"/>
  <c r="S34"/>
  <c r="R34"/>
  <c r="N34"/>
  <c r="M34"/>
  <c r="P34" s="1"/>
  <c r="J34"/>
  <c r="T34" s="1"/>
  <c r="S33"/>
  <c r="R33"/>
  <c r="N33"/>
  <c r="M33"/>
  <c r="P33" s="1"/>
  <c r="J33"/>
  <c r="T33" s="1"/>
  <c r="S32"/>
  <c r="R32"/>
  <c r="N32"/>
  <c r="M32"/>
  <c r="P32" s="1"/>
  <c r="J32"/>
  <c r="T32" s="1"/>
  <c r="S31"/>
  <c r="R31"/>
  <c r="N31"/>
  <c r="M31"/>
  <c r="P31" s="1"/>
  <c r="J31"/>
  <c r="T31" s="1"/>
  <c r="S30"/>
  <c r="R30"/>
  <c r="N30"/>
  <c r="M30"/>
  <c r="P30" s="1"/>
  <c r="J30"/>
  <c r="T30" s="1"/>
  <c r="S29"/>
  <c r="R29"/>
  <c r="N29"/>
  <c r="M29"/>
  <c r="P29" s="1"/>
  <c r="J29"/>
  <c r="T29" s="1"/>
  <c r="S28"/>
  <c r="R28"/>
  <c r="N28"/>
  <c r="M28"/>
  <c r="P28" s="1"/>
  <c r="J28"/>
  <c r="T28" s="1"/>
  <c r="S27"/>
  <c r="R27"/>
  <c r="N27"/>
  <c r="M27"/>
  <c r="P27" s="1"/>
  <c r="J27"/>
  <c r="T27" s="1"/>
  <c r="S26"/>
  <c r="R26"/>
  <c r="N26"/>
  <c r="M26"/>
  <c r="P26" s="1"/>
  <c r="J26"/>
  <c r="T26" s="1"/>
  <c r="S25"/>
  <c r="R25"/>
  <c r="N25"/>
  <c r="M25"/>
  <c r="P25" s="1"/>
  <c r="J25"/>
  <c r="T25" s="1"/>
  <c r="S24"/>
  <c r="R24"/>
  <c r="N24"/>
  <c r="M24"/>
  <c r="P24" s="1"/>
  <c r="J24"/>
  <c r="T24" s="1"/>
  <c r="S23"/>
  <c r="R23"/>
  <c r="N23"/>
  <c r="M23"/>
  <c r="P23" s="1"/>
  <c r="J23"/>
  <c r="T23" s="1"/>
  <c r="S22"/>
  <c r="R22"/>
  <c r="N22"/>
  <c r="M22"/>
  <c r="P22" s="1"/>
  <c r="J22"/>
  <c r="T22" s="1"/>
  <c r="S21"/>
  <c r="R21"/>
  <c r="N21"/>
  <c r="M21"/>
  <c r="P21" s="1"/>
  <c r="J21"/>
  <c r="T21" s="1"/>
  <c r="S20"/>
  <c r="R20"/>
  <c r="N20"/>
  <c r="M20"/>
  <c r="P20" s="1"/>
  <c r="J20"/>
  <c r="T20" s="1"/>
  <c r="S19"/>
  <c r="R19"/>
  <c r="N19"/>
  <c r="M19"/>
  <c r="P19" s="1"/>
  <c r="J19"/>
  <c r="T19" s="1"/>
  <c r="S18"/>
  <c r="R18"/>
  <c r="N18"/>
  <c r="M18"/>
  <c r="P18" s="1"/>
  <c r="J18"/>
  <c r="T18" s="1"/>
  <c r="S17"/>
  <c r="R17"/>
  <c r="N17"/>
  <c r="M17"/>
  <c r="P17" s="1"/>
  <c r="J17"/>
  <c r="T17" s="1"/>
  <c r="S16"/>
  <c r="R16"/>
  <c r="N16"/>
  <c r="M16"/>
  <c r="P16" s="1"/>
  <c r="J16"/>
  <c r="T16" s="1"/>
  <c r="S15"/>
  <c r="R15"/>
  <c r="N15"/>
  <c r="M15"/>
  <c r="P15" s="1"/>
  <c r="J15"/>
  <c r="T15" s="1"/>
  <c r="S14"/>
  <c r="R14"/>
  <c r="N14"/>
  <c r="M14"/>
  <c r="P14" s="1"/>
  <c r="J14"/>
  <c r="T14" s="1"/>
  <c r="S13"/>
  <c r="R13"/>
  <c r="N13"/>
  <c r="M13"/>
  <c r="P13" s="1"/>
  <c r="J13"/>
  <c r="T13" s="1"/>
  <c r="S12"/>
  <c r="R12"/>
  <c r="N12"/>
  <c r="M12"/>
  <c r="P12" s="1"/>
  <c r="J12"/>
  <c r="T12" s="1"/>
  <c r="S11"/>
  <c r="R11"/>
  <c r="N11"/>
  <c r="M11"/>
  <c r="P11" s="1"/>
  <c r="J11"/>
  <c r="T11" s="1"/>
  <c r="S10"/>
  <c r="R10"/>
  <c r="N10"/>
  <c r="M10"/>
  <c r="P10" s="1"/>
  <c r="J10"/>
  <c r="T10" s="1"/>
  <c r="S9"/>
  <c r="R9"/>
  <c r="N9"/>
  <c r="M9"/>
  <c r="P9" s="1"/>
  <c r="J9"/>
  <c r="T9" s="1"/>
  <c r="S8"/>
  <c r="R8"/>
  <c r="N8"/>
  <c r="M8"/>
  <c r="P8" s="1"/>
  <c r="J8"/>
  <c r="T8" s="1"/>
  <c r="S7"/>
  <c r="R7"/>
  <c r="N7"/>
  <c r="M7"/>
  <c r="P7" s="1"/>
  <c r="J7"/>
  <c r="T7" s="1"/>
  <c r="S6"/>
  <c r="R6"/>
  <c r="N6"/>
  <c r="M6"/>
  <c r="P6" s="1"/>
  <c r="J6"/>
  <c r="T6" s="1"/>
  <c r="S5"/>
  <c r="S171" s="1"/>
  <c r="R5"/>
  <c r="N5"/>
  <c r="N171" s="1"/>
  <c r="M5"/>
  <c r="M171" s="1"/>
  <c r="J5"/>
  <c r="J171" s="1"/>
  <c r="Q173" i="89"/>
  <c r="P173"/>
  <c r="L173"/>
  <c r="K173"/>
  <c r="N173" s="1"/>
  <c r="H173"/>
  <c r="R173" s="1"/>
  <c r="Q176"/>
  <c r="P176"/>
  <c r="L176"/>
  <c r="K176"/>
  <c r="N176" s="1"/>
  <c r="H176"/>
  <c r="R176" s="1"/>
  <c r="Q175"/>
  <c r="P175"/>
  <c r="L175"/>
  <c r="K175"/>
  <c r="N175" s="1"/>
  <c r="H175"/>
  <c r="R175" s="1"/>
  <c r="Q174"/>
  <c r="P174"/>
  <c r="L174"/>
  <c r="K174"/>
  <c r="N174" s="1"/>
  <c r="H174"/>
  <c r="R174" s="1"/>
  <c r="Q127"/>
  <c r="P127"/>
  <c r="L127"/>
  <c r="K127"/>
  <c r="N127" s="1"/>
  <c r="H127"/>
  <c r="R127" s="1"/>
  <c r="Q98"/>
  <c r="P98"/>
  <c r="L98"/>
  <c r="K98"/>
  <c r="N98" s="1"/>
  <c r="H98"/>
  <c r="R98" s="1"/>
  <c r="Q8"/>
  <c r="P8"/>
  <c r="L8"/>
  <c r="K8"/>
  <c r="N8" s="1"/>
  <c r="H8"/>
  <c r="R8" s="1"/>
  <c r="Q118"/>
  <c r="P118"/>
  <c r="L118"/>
  <c r="K118"/>
  <c r="N118" s="1"/>
  <c r="H118"/>
  <c r="R118" s="1"/>
  <c r="Q144"/>
  <c r="P144"/>
  <c r="L144"/>
  <c r="K144"/>
  <c r="N144" s="1"/>
  <c r="H144"/>
  <c r="R144" s="1"/>
  <c r="Q150"/>
  <c r="P150"/>
  <c r="L150"/>
  <c r="K150"/>
  <c r="N150" s="1"/>
  <c r="H150"/>
  <c r="R150" s="1"/>
  <c r="Q135"/>
  <c r="P135"/>
  <c r="L135"/>
  <c r="K135"/>
  <c r="N135" s="1"/>
  <c r="H135"/>
  <c r="R135" s="1"/>
  <c r="Q114"/>
  <c r="P114"/>
  <c r="L114"/>
  <c r="K114"/>
  <c r="N114" s="1"/>
  <c r="H114"/>
  <c r="R114" s="1"/>
  <c r="Q89"/>
  <c r="P89"/>
  <c r="L89"/>
  <c r="K89"/>
  <c r="N89" s="1"/>
  <c r="H89"/>
  <c r="R89" s="1"/>
  <c r="Q88"/>
  <c r="P88"/>
  <c r="L88"/>
  <c r="K88"/>
  <c r="N88" s="1"/>
  <c r="H88"/>
  <c r="R88" s="1"/>
  <c r="Q77"/>
  <c r="P77"/>
  <c r="L77"/>
  <c r="K77"/>
  <c r="N77" s="1"/>
  <c r="H77"/>
  <c r="R77" s="1"/>
  <c r="Q74"/>
  <c r="P74"/>
  <c r="L74"/>
  <c r="K74"/>
  <c r="N74" s="1"/>
  <c r="H74"/>
  <c r="R74" s="1"/>
  <c r="Q51"/>
  <c r="P51"/>
  <c r="L51"/>
  <c r="K51"/>
  <c r="N51" s="1"/>
  <c r="H51"/>
  <c r="R51" s="1"/>
  <c r="Q50"/>
  <c r="P50"/>
  <c r="L50"/>
  <c r="K50"/>
  <c r="N50" s="1"/>
  <c r="H50"/>
  <c r="R50" s="1"/>
  <c r="Q24"/>
  <c r="P24"/>
  <c r="L24"/>
  <c r="K24"/>
  <c r="N24" s="1"/>
  <c r="H24"/>
  <c r="R24" s="1"/>
  <c r="Q19"/>
  <c r="P19"/>
  <c r="L19"/>
  <c r="K19"/>
  <c r="N19" s="1"/>
  <c r="H19"/>
  <c r="R19" s="1"/>
  <c r="Q13"/>
  <c r="P13"/>
  <c r="L13"/>
  <c r="K13"/>
  <c r="N13" s="1"/>
  <c r="H13"/>
  <c r="R13" s="1"/>
  <c r="Q12"/>
  <c r="P12"/>
  <c r="L12"/>
  <c r="K12"/>
  <c r="N12" s="1"/>
  <c r="H12"/>
  <c r="R12" s="1"/>
  <c r="Q172"/>
  <c r="P172"/>
  <c r="L172"/>
  <c r="K172"/>
  <c r="N172" s="1"/>
  <c r="H172"/>
  <c r="R172" s="1"/>
  <c r="Q171"/>
  <c r="P171"/>
  <c r="L171"/>
  <c r="K171"/>
  <c r="N171" s="1"/>
  <c r="H171"/>
  <c r="R171" s="1"/>
  <c r="Q170"/>
  <c r="P170"/>
  <c r="L170"/>
  <c r="K170"/>
  <c r="N170" s="1"/>
  <c r="H170"/>
  <c r="R170" s="1"/>
  <c r="Q169"/>
  <c r="P169"/>
  <c r="L169"/>
  <c r="K169"/>
  <c r="N169" s="1"/>
  <c r="H169"/>
  <c r="R169" s="1"/>
  <c r="Q168"/>
  <c r="P168"/>
  <c r="L168"/>
  <c r="K168"/>
  <c r="N168" s="1"/>
  <c r="H168"/>
  <c r="R168" s="1"/>
  <c r="Q167"/>
  <c r="P167"/>
  <c r="L167"/>
  <c r="K167"/>
  <c r="N167" s="1"/>
  <c r="H167"/>
  <c r="R167" s="1"/>
  <c r="Q166"/>
  <c r="P166"/>
  <c r="L166"/>
  <c r="K166"/>
  <c r="N166" s="1"/>
  <c r="H166"/>
  <c r="R166" s="1"/>
  <c r="Q165"/>
  <c r="P165"/>
  <c r="L165"/>
  <c r="K165"/>
  <c r="N165" s="1"/>
  <c r="H165"/>
  <c r="R165" s="1"/>
  <c r="Q164"/>
  <c r="P164"/>
  <c r="L164"/>
  <c r="K164"/>
  <c r="N164" s="1"/>
  <c r="H164"/>
  <c r="R164" s="1"/>
  <c r="Q163"/>
  <c r="P163"/>
  <c r="L163"/>
  <c r="K163"/>
  <c r="N163" s="1"/>
  <c r="H163"/>
  <c r="R163" s="1"/>
  <c r="Q162"/>
  <c r="P162"/>
  <c r="L162"/>
  <c r="K162"/>
  <c r="N162" s="1"/>
  <c r="H162"/>
  <c r="R162" s="1"/>
  <c r="Q161"/>
  <c r="P161"/>
  <c r="L161"/>
  <c r="K161"/>
  <c r="N161" s="1"/>
  <c r="H161"/>
  <c r="R161" s="1"/>
  <c r="Q160"/>
  <c r="P160"/>
  <c r="L160"/>
  <c r="K160"/>
  <c r="N160" s="1"/>
  <c r="H160"/>
  <c r="R160" s="1"/>
  <c r="Q159"/>
  <c r="P159"/>
  <c r="L159"/>
  <c r="K159"/>
  <c r="N159" s="1"/>
  <c r="H159"/>
  <c r="R159" s="1"/>
  <c r="Q158"/>
  <c r="P158"/>
  <c r="L158"/>
  <c r="K158"/>
  <c r="N158" s="1"/>
  <c r="H158"/>
  <c r="R158" s="1"/>
  <c r="Q157"/>
  <c r="P157"/>
  <c r="L157"/>
  <c r="K157"/>
  <c r="N157" s="1"/>
  <c r="H157"/>
  <c r="R157" s="1"/>
  <c r="Q156"/>
  <c r="P156"/>
  <c r="L156"/>
  <c r="K156"/>
  <c r="N156" s="1"/>
  <c r="H156"/>
  <c r="R156" s="1"/>
  <c r="Q155"/>
  <c r="P155"/>
  <c r="L155"/>
  <c r="K155"/>
  <c r="N155" s="1"/>
  <c r="H155"/>
  <c r="R155" s="1"/>
  <c r="Q154"/>
  <c r="P154"/>
  <c r="L154"/>
  <c r="K154"/>
  <c r="N154" s="1"/>
  <c r="H154"/>
  <c r="R154" s="1"/>
  <c r="Q153"/>
  <c r="P153"/>
  <c r="L153"/>
  <c r="K153"/>
  <c r="N153" s="1"/>
  <c r="H153"/>
  <c r="R153" s="1"/>
  <c r="Q152"/>
  <c r="P152"/>
  <c r="L152"/>
  <c r="K152"/>
  <c r="N152" s="1"/>
  <c r="H152"/>
  <c r="R152" s="1"/>
  <c r="Q151"/>
  <c r="P151"/>
  <c r="L151"/>
  <c r="K151"/>
  <c r="N151" s="1"/>
  <c r="H151"/>
  <c r="R151" s="1"/>
  <c r="Q149"/>
  <c r="P149"/>
  <c r="L149"/>
  <c r="K149"/>
  <c r="N149" s="1"/>
  <c r="H149"/>
  <c r="R149" s="1"/>
  <c r="Q148"/>
  <c r="P148"/>
  <c r="L148"/>
  <c r="K148"/>
  <c r="N148" s="1"/>
  <c r="H148"/>
  <c r="R148" s="1"/>
  <c r="Q147"/>
  <c r="P147"/>
  <c r="L147"/>
  <c r="K147"/>
  <c r="N147" s="1"/>
  <c r="H147"/>
  <c r="R147" s="1"/>
  <c r="Q146"/>
  <c r="P146"/>
  <c r="L146"/>
  <c r="K146"/>
  <c r="N146" s="1"/>
  <c r="H146"/>
  <c r="R146" s="1"/>
  <c r="Q145"/>
  <c r="P145"/>
  <c r="L145"/>
  <c r="K145"/>
  <c r="N145" s="1"/>
  <c r="H145"/>
  <c r="R145" s="1"/>
  <c r="Q143"/>
  <c r="P143"/>
  <c r="L143"/>
  <c r="K143"/>
  <c r="N143" s="1"/>
  <c r="H143"/>
  <c r="R143" s="1"/>
  <c r="Q142"/>
  <c r="P142"/>
  <c r="L142"/>
  <c r="K142"/>
  <c r="N142" s="1"/>
  <c r="H142"/>
  <c r="R142" s="1"/>
  <c r="Q141"/>
  <c r="P141"/>
  <c r="L141"/>
  <c r="K141"/>
  <c r="N141" s="1"/>
  <c r="H141"/>
  <c r="R141" s="1"/>
  <c r="Q140"/>
  <c r="P140"/>
  <c r="L140"/>
  <c r="K140"/>
  <c r="N140" s="1"/>
  <c r="H140"/>
  <c r="R140" s="1"/>
  <c r="Q139"/>
  <c r="P139"/>
  <c r="L139"/>
  <c r="K139"/>
  <c r="N139" s="1"/>
  <c r="H139"/>
  <c r="R139" s="1"/>
  <c r="Q138"/>
  <c r="P138"/>
  <c r="L138"/>
  <c r="K138"/>
  <c r="N138" s="1"/>
  <c r="H138"/>
  <c r="R138" s="1"/>
  <c r="Q137"/>
  <c r="P137"/>
  <c r="L137"/>
  <c r="K137"/>
  <c r="N137" s="1"/>
  <c r="H137"/>
  <c r="R137" s="1"/>
  <c r="Q136"/>
  <c r="P136"/>
  <c r="L136"/>
  <c r="K136"/>
  <c r="N136" s="1"/>
  <c r="H136"/>
  <c r="R136" s="1"/>
  <c r="Q134"/>
  <c r="P134"/>
  <c r="L134"/>
  <c r="K134"/>
  <c r="N134" s="1"/>
  <c r="H134"/>
  <c r="R134" s="1"/>
  <c r="Q133"/>
  <c r="P133"/>
  <c r="L133"/>
  <c r="K133"/>
  <c r="N133" s="1"/>
  <c r="H133"/>
  <c r="R133" s="1"/>
  <c r="Q132"/>
  <c r="P132"/>
  <c r="L132"/>
  <c r="K132"/>
  <c r="N132" s="1"/>
  <c r="H132"/>
  <c r="R132" s="1"/>
  <c r="Q131"/>
  <c r="P131"/>
  <c r="L131"/>
  <c r="K131"/>
  <c r="N131" s="1"/>
  <c r="H131"/>
  <c r="R131" s="1"/>
  <c r="Q130"/>
  <c r="P130"/>
  <c r="L130"/>
  <c r="K130"/>
  <c r="N130" s="1"/>
  <c r="H130"/>
  <c r="R130" s="1"/>
  <c r="Q129"/>
  <c r="P129"/>
  <c r="L129"/>
  <c r="K129"/>
  <c r="N129" s="1"/>
  <c r="H129"/>
  <c r="R129" s="1"/>
  <c r="Q128"/>
  <c r="P128"/>
  <c r="L128"/>
  <c r="K128"/>
  <c r="N128" s="1"/>
  <c r="H128"/>
  <c r="R128" s="1"/>
  <c r="Q126"/>
  <c r="P126"/>
  <c r="L126"/>
  <c r="K126"/>
  <c r="N126" s="1"/>
  <c r="H126"/>
  <c r="R126" s="1"/>
  <c r="Q125"/>
  <c r="P125"/>
  <c r="L125"/>
  <c r="K125"/>
  <c r="N125" s="1"/>
  <c r="H125"/>
  <c r="R125" s="1"/>
  <c r="Q124"/>
  <c r="P124"/>
  <c r="L124"/>
  <c r="K124"/>
  <c r="N124" s="1"/>
  <c r="H124"/>
  <c r="R124" s="1"/>
  <c r="Q123"/>
  <c r="P123"/>
  <c r="L123"/>
  <c r="K123"/>
  <c r="N123" s="1"/>
  <c r="H123"/>
  <c r="R123" s="1"/>
  <c r="Q122"/>
  <c r="P122"/>
  <c r="L122"/>
  <c r="K122"/>
  <c r="N122" s="1"/>
  <c r="H122"/>
  <c r="R122" s="1"/>
  <c r="Q121"/>
  <c r="P121"/>
  <c r="L121"/>
  <c r="K121"/>
  <c r="N121" s="1"/>
  <c r="H121"/>
  <c r="R121" s="1"/>
  <c r="Q120"/>
  <c r="P120"/>
  <c r="L120"/>
  <c r="K120"/>
  <c r="N120" s="1"/>
  <c r="H120"/>
  <c r="R120" s="1"/>
  <c r="Q119"/>
  <c r="P119"/>
  <c r="L119"/>
  <c r="K119"/>
  <c r="N119" s="1"/>
  <c r="H119"/>
  <c r="R119" s="1"/>
  <c r="Q117"/>
  <c r="P117"/>
  <c r="L117"/>
  <c r="K117"/>
  <c r="N117" s="1"/>
  <c r="H117"/>
  <c r="R117" s="1"/>
  <c r="Q116"/>
  <c r="P116"/>
  <c r="L116"/>
  <c r="K116"/>
  <c r="N116" s="1"/>
  <c r="H116"/>
  <c r="R116" s="1"/>
  <c r="Q115"/>
  <c r="P115"/>
  <c r="L115"/>
  <c r="K115"/>
  <c r="N115" s="1"/>
  <c r="H115"/>
  <c r="R115" s="1"/>
  <c r="Q113"/>
  <c r="P113"/>
  <c r="L113"/>
  <c r="K113"/>
  <c r="N113" s="1"/>
  <c r="H113"/>
  <c r="R113" s="1"/>
  <c r="Q112"/>
  <c r="P112"/>
  <c r="L112"/>
  <c r="K112"/>
  <c r="N112" s="1"/>
  <c r="H112"/>
  <c r="R112" s="1"/>
  <c r="Q111"/>
  <c r="P111"/>
  <c r="L111"/>
  <c r="K111"/>
  <c r="N111" s="1"/>
  <c r="H111"/>
  <c r="R111" s="1"/>
  <c r="Q110"/>
  <c r="P110"/>
  <c r="L110"/>
  <c r="K110"/>
  <c r="N110" s="1"/>
  <c r="H110"/>
  <c r="R110" s="1"/>
  <c r="Q109"/>
  <c r="P109"/>
  <c r="L109"/>
  <c r="K109"/>
  <c r="H109"/>
  <c r="R109" s="1"/>
  <c r="Q108"/>
  <c r="P108"/>
  <c r="L108"/>
  <c r="K108"/>
  <c r="N108" s="1"/>
  <c r="H108"/>
  <c r="R108" s="1"/>
  <c r="Q107"/>
  <c r="P107"/>
  <c r="L107"/>
  <c r="K107"/>
  <c r="N107" s="1"/>
  <c r="H107"/>
  <c r="R107" s="1"/>
  <c r="Q106"/>
  <c r="P106"/>
  <c r="L106"/>
  <c r="K106"/>
  <c r="N106" s="1"/>
  <c r="H106"/>
  <c r="R106" s="1"/>
  <c r="Q105"/>
  <c r="P105"/>
  <c r="L105"/>
  <c r="K105"/>
  <c r="N105" s="1"/>
  <c r="H105"/>
  <c r="R105" s="1"/>
  <c r="Q104"/>
  <c r="P104"/>
  <c r="L104"/>
  <c r="K104"/>
  <c r="N104" s="1"/>
  <c r="H104"/>
  <c r="R104" s="1"/>
  <c r="Q103"/>
  <c r="P103"/>
  <c r="L103"/>
  <c r="K103"/>
  <c r="N103" s="1"/>
  <c r="H103"/>
  <c r="R103" s="1"/>
  <c r="Q102"/>
  <c r="P102"/>
  <c r="L102"/>
  <c r="K102"/>
  <c r="N102" s="1"/>
  <c r="H102"/>
  <c r="R102" s="1"/>
  <c r="Q101"/>
  <c r="P101"/>
  <c r="L101"/>
  <c r="K101"/>
  <c r="N101" s="1"/>
  <c r="H101"/>
  <c r="R101" s="1"/>
  <c r="Q100"/>
  <c r="P100"/>
  <c r="L100"/>
  <c r="K100"/>
  <c r="N100" s="1"/>
  <c r="H100"/>
  <c r="R100" s="1"/>
  <c r="Q99"/>
  <c r="P99"/>
  <c r="L99"/>
  <c r="K99"/>
  <c r="N99" s="1"/>
  <c r="H99"/>
  <c r="R99" s="1"/>
  <c r="Q97"/>
  <c r="P97"/>
  <c r="L97"/>
  <c r="K97"/>
  <c r="N97" s="1"/>
  <c r="H97"/>
  <c r="R97" s="1"/>
  <c r="Q96"/>
  <c r="P96"/>
  <c r="L96"/>
  <c r="K96"/>
  <c r="N96" s="1"/>
  <c r="H96"/>
  <c r="R96" s="1"/>
  <c r="Q95"/>
  <c r="P95"/>
  <c r="L95"/>
  <c r="K95"/>
  <c r="N95" s="1"/>
  <c r="H95"/>
  <c r="R95" s="1"/>
  <c r="Q94"/>
  <c r="P94"/>
  <c r="L94"/>
  <c r="K94"/>
  <c r="N94" s="1"/>
  <c r="H94"/>
  <c r="R94" s="1"/>
  <c r="Q93"/>
  <c r="P93"/>
  <c r="L93"/>
  <c r="K93"/>
  <c r="N93" s="1"/>
  <c r="H93"/>
  <c r="R93" s="1"/>
  <c r="Q92"/>
  <c r="P92"/>
  <c r="L92"/>
  <c r="K92"/>
  <c r="N92" s="1"/>
  <c r="H92"/>
  <c r="R92" s="1"/>
  <c r="Q91"/>
  <c r="P91"/>
  <c r="L91"/>
  <c r="K91"/>
  <c r="N91" s="1"/>
  <c r="H91"/>
  <c r="R91" s="1"/>
  <c r="Q90"/>
  <c r="P90"/>
  <c r="L90"/>
  <c r="K90"/>
  <c r="N90" s="1"/>
  <c r="H90"/>
  <c r="R90" s="1"/>
  <c r="Q87"/>
  <c r="P87"/>
  <c r="L87"/>
  <c r="K87"/>
  <c r="N87" s="1"/>
  <c r="H87"/>
  <c r="R87" s="1"/>
  <c r="Q86"/>
  <c r="P86"/>
  <c r="L86"/>
  <c r="K86"/>
  <c r="N86" s="1"/>
  <c r="H86"/>
  <c r="R86" s="1"/>
  <c r="Q85"/>
  <c r="P85"/>
  <c r="L85"/>
  <c r="K85"/>
  <c r="N85" s="1"/>
  <c r="H85"/>
  <c r="R85" s="1"/>
  <c r="Q84"/>
  <c r="P84"/>
  <c r="L84"/>
  <c r="K84"/>
  <c r="N84" s="1"/>
  <c r="H84"/>
  <c r="R84" s="1"/>
  <c r="Q83"/>
  <c r="P83"/>
  <c r="L83"/>
  <c r="K83"/>
  <c r="N83" s="1"/>
  <c r="H83"/>
  <c r="R83" s="1"/>
  <c r="Q82"/>
  <c r="P82"/>
  <c r="L82"/>
  <c r="K82"/>
  <c r="N82" s="1"/>
  <c r="H82"/>
  <c r="R82" s="1"/>
  <c r="Q81"/>
  <c r="P81"/>
  <c r="L81"/>
  <c r="K81"/>
  <c r="N81" s="1"/>
  <c r="H81"/>
  <c r="R81" s="1"/>
  <c r="Q80"/>
  <c r="P80"/>
  <c r="L80"/>
  <c r="K80"/>
  <c r="N80" s="1"/>
  <c r="H80"/>
  <c r="R80" s="1"/>
  <c r="Q79"/>
  <c r="P79"/>
  <c r="L79"/>
  <c r="K79"/>
  <c r="N79" s="1"/>
  <c r="H79"/>
  <c r="R79" s="1"/>
  <c r="Q78"/>
  <c r="P78"/>
  <c r="L78"/>
  <c r="K78"/>
  <c r="N78" s="1"/>
  <c r="H78"/>
  <c r="R78" s="1"/>
  <c r="Q76"/>
  <c r="P76"/>
  <c r="L76"/>
  <c r="K76"/>
  <c r="N76" s="1"/>
  <c r="H76"/>
  <c r="R76" s="1"/>
  <c r="Q75"/>
  <c r="P75"/>
  <c r="L75"/>
  <c r="K75"/>
  <c r="N75" s="1"/>
  <c r="H75"/>
  <c r="R75" s="1"/>
  <c r="Q73"/>
  <c r="P73"/>
  <c r="L73"/>
  <c r="K73"/>
  <c r="N73" s="1"/>
  <c r="H73"/>
  <c r="R73" s="1"/>
  <c r="Q72"/>
  <c r="P72"/>
  <c r="L72"/>
  <c r="K72"/>
  <c r="N72" s="1"/>
  <c r="H72"/>
  <c r="R72" s="1"/>
  <c r="Q71"/>
  <c r="P71"/>
  <c r="L71"/>
  <c r="K71"/>
  <c r="N71" s="1"/>
  <c r="H71"/>
  <c r="R71" s="1"/>
  <c r="Q70"/>
  <c r="P70"/>
  <c r="L70"/>
  <c r="K70"/>
  <c r="N70" s="1"/>
  <c r="H70"/>
  <c r="R70" s="1"/>
  <c r="Q69"/>
  <c r="P69"/>
  <c r="L69"/>
  <c r="K69"/>
  <c r="N69" s="1"/>
  <c r="H69"/>
  <c r="R69" s="1"/>
  <c r="Q68"/>
  <c r="P68"/>
  <c r="L68"/>
  <c r="K68"/>
  <c r="N68" s="1"/>
  <c r="H68"/>
  <c r="R68" s="1"/>
  <c r="Q67"/>
  <c r="P67"/>
  <c r="L67"/>
  <c r="K67"/>
  <c r="N67" s="1"/>
  <c r="H67"/>
  <c r="R67" s="1"/>
  <c r="Q66"/>
  <c r="P66"/>
  <c r="L66"/>
  <c r="K66"/>
  <c r="N66" s="1"/>
  <c r="H66"/>
  <c r="R66" s="1"/>
  <c r="Q65"/>
  <c r="P65"/>
  <c r="L65"/>
  <c r="K65"/>
  <c r="N65" s="1"/>
  <c r="H65"/>
  <c r="R65" s="1"/>
  <c r="Q64"/>
  <c r="P64"/>
  <c r="L64"/>
  <c r="K64"/>
  <c r="N64" s="1"/>
  <c r="H64"/>
  <c r="R64" s="1"/>
  <c r="Q63"/>
  <c r="P63"/>
  <c r="L63"/>
  <c r="K63"/>
  <c r="N63" s="1"/>
  <c r="H63"/>
  <c r="R63" s="1"/>
  <c r="Q62"/>
  <c r="P62"/>
  <c r="L62"/>
  <c r="K62"/>
  <c r="N62" s="1"/>
  <c r="H62"/>
  <c r="R62" s="1"/>
  <c r="Q61"/>
  <c r="P61"/>
  <c r="L61"/>
  <c r="K61"/>
  <c r="N61" s="1"/>
  <c r="H61"/>
  <c r="R61" s="1"/>
  <c r="Q60"/>
  <c r="P60"/>
  <c r="L60"/>
  <c r="K60"/>
  <c r="N60" s="1"/>
  <c r="H60"/>
  <c r="R60" s="1"/>
  <c r="Q59"/>
  <c r="P59"/>
  <c r="L59"/>
  <c r="K59"/>
  <c r="N59" s="1"/>
  <c r="H59"/>
  <c r="R59" s="1"/>
  <c r="Q58"/>
  <c r="P58"/>
  <c r="L58"/>
  <c r="K58"/>
  <c r="N58" s="1"/>
  <c r="H58"/>
  <c r="R58" s="1"/>
  <c r="Q57"/>
  <c r="P57"/>
  <c r="L57"/>
  <c r="K57"/>
  <c r="N57" s="1"/>
  <c r="H57"/>
  <c r="R57" s="1"/>
  <c r="Q56"/>
  <c r="P56"/>
  <c r="L56"/>
  <c r="K56"/>
  <c r="N56" s="1"/>
  <c r="H56"/>
  <c r="R56" s="1"/>
  <c r="Q55"/>
  <c r="P55"/>
  <c r="L55"/>
  <c r="K55"/>
  <c r="N55" s="1"/>
  <c r="H55"/>
  <c r="R55" s="1"/>
  <c r="Q54"/>
  <c r="P54"/>
  <c r="L54"/>
  <c r="K54"/>
  <c r="N54" s="1"/>
  <c r="H54"/>
  <c r="R54" s="1"/>
  <c r="Q53"/>
  <c r="P53"/>
  <c r="L53"/>
  <c r="K53"/>
  <c r="N53" s="1"/>
  <c r="H53"/>
  <c r="R53" s="1"/>
  <c r="Q52"/>
  <c r="P52"/>
  <c r="L52"/>
  <c r="K52"/>
  <c r="N52" s="1"/>
  <c r="H52"/>
  <c r="R52" s="1"/>
  <c r="Q49"/>
  <c r="P49"/>
  <c r="L49"/>
  <c r="K49"/>
  <c r="N49" s="1"/>
  <c r="H49"/>
  <c r="R49" s="1"/>
  <c r="Q48"/>
  <c r="P48"/>
  <c r="L48"/>
  <c r="K48"/>
  <c r="N48" s="1"/>
  <c r="H48"/>
  <c r="R48" s="1"/>
  <c r="Q47"/>
  <c r="P47"/>
  <c r="L47"/>
  <c r="K47"/>
  <c r="N47" s="1"/>
  <c r="H47"/>
  <c r="R47" s="1"/>
  <c r="Q46"/>
  <c r="P46"/>
  <c r="L46"/>
  <c r="K46"/>
  <c r="N46" s="1"/>
  <c r="H46"/>
  <c r="R46" s="1"/>
  <c r="Q45"/>
  <c r="P45"/>
  <c r="L45"/>
  <c r="K45"/>
  <c r="N45" s="1"/>
  <c r="H45"/>
  <c r="R45" s="1"/>
  <c r="Q44"/>
  <c r="P44"/>
  <c r="L44"/>
  <c r="K44"/>
  <c r="N44" s="1"/>
  <c r="H44"/>
  <c r="R44" s="1"/>
  <c r="Q43"/>
  <c r="P43"/>
  <c r="L43"/>
  <c r="K43"/>
  <c r="N43" s="1"/>
  <c r="H43"/>
  <c r="R43" s="1"/>
  <c r="Q42"/>
  <c r="P42"/>
  <c r="L42"/>
  <c r="K42"/>
  <c r="N42" s="1"/>
  <c r="H42"/>
  <c r="R42" s="1"/>
  <c r="Q41"/>
  <c r="P41"/>
  <c r="L41"/>
  <c r="K41"/>
  <c r="N41" s="1"/>
  <c r="H41"/>
  <c r="R41" s="1"/>
  <c r="Q40"/>
  <c r="P40"/>
  <c r="L40"/>
  <c r="K40"/>
  <c r="N40" s="1"/>
  <c r="H40"/>
  <c r="R40" s="1"/>
  <c r="Q39"/>
  <c r="P39"/>
  <c r="L39"/>
  <c r="K39"/>
  <c r="N39" s="1"/>
  <c r="H39"/>
  <c r="R39" s="1"/>
  <c r="Q38"/>
  <c r="P38"/>
  <c r="L38"/>
  <c r="K38"/>
  <c r="N38" s="1"/>
  <c r="H38"/>
  <c r="R38" s="1"/>
  <c r="Q37"/>
  <c r="P37"/>
  <c r="L37"/>
  <c r="K37"/>
  <c r="N37" s="1"/>
  <c r="H37"/>
  <c r="R37" s="1"/>
  <c r="Q36"/>
  <c r="P36"/>
  <c r="L36"/>
  <c r="K36"/>
  <c r="N36" s="1"/>
  <c r="H36"/>
  <c r="R36" s="1"/>
  <c r="Q35"/>
  <c r="P35"/>
  <c r="L35"/>
  <c r="K35"/>
  <c r="N35" s="1"/>
  <c r="H35"/>
  <c r="R35" s="1"/>
  <c r="Q34"/>
  <c r="P34"/>
  <c r="L34"/>
  <c r="K34"/>
  <c r="N34" s="1"/>
  <c r="H34"/>
  <c r="R34" s="1"/>
  <c r="Q33"/>
  <c r="P33"/>
  <c r="L33"/>
  <c r="K33"/>
  <c r="N33" s="1"/>
  <c r="H33"/>
  <c r="R33" s="1"/>
  <c r="Q32"/>
  <c r="P32"/>
  <c r="L32"/>
  <c r="K32"/>
  <c r="N32" s="1"/>
  <c r="H32"/>
  <c r="R32" s="1"/>
  <c r="Q31"/>
  <c r="P31"/>
  <c r="L31"/>
  <c r="K31"/>
  <c r="N31" s="1"/>
  <c r="H31"/>
  <c r="R31" s="1"/>
  <c r="Q30"/>
  <c r="P30"/>
  <c r="L30"/>
  <c r="K30"/>
  <c r="N30" s="1"/>
  <c r="H30"/>
  <c r="R30" s="1"/>
  <c r="Q29"/>
  <c r="P29"/>
  <c r="L29"/>
  <c r="K29"/>
  <c r="N29" s="1"/>
  <c r="H29"/>
  <c r="R29" s="1"/>
  <c r="Q28"/>
  <c r="P28"/>
  <c r="L28"/>
  <c r="K28"/>
  <c r="N28" s="1"/>
  <c r="H28"/>
  <c r="R28" s="1"/>
  <c r="Q27"/>
  <c r="P27"/>
  <c r="L27"/>
  <c r="K27"/>
  <c r="N27" s="1"/>
  <c r="H27"/>
  <c r="R27" s="1"/>
  <c r="Q26"/>
  <c r="P26"/>
  <c r="L26"/>
  <c r="K26"/>
  <c r="N26" s="1"/>
  <c r="H26"/>
  <c r="R26" s="1"/>
  <c r="Q25"/>
  <c r="P25"/>
  <c r="L25"/>
  <c r="K25"/>
  <c r="N25" s="1"/>
  <c r="H25"/>
  <c r="R25" s="1"/>
  <c r="Q23"/>
  <c r="P23"/>
  <c r="L23"/>
  <c r="K23"/>
  <c r="N23" s="1"/>
  <c r="H23"/>
  <c r="R23" s="1"/>
  <c r="Q22"/>
  <c r="P22"/>
  <c r="L22"/>
  <c r="K22"/>
  <c r="N22" s="1"/>
  <c r="H22"/>
  <c r="R22" s="1"/>
  <c r="Q21"/>
  <c r="P21"/>
  <c r="L21"/>
  <c r="K21"/>
  <c r="N21" s="1"/>
  <c r="H21"/>
  <c r="R21" s="1"/>
  <c r="Q20"/>
  <c r="P20"/>
  <c r="L20"/>
  <c r="K20"/>
  <c r="N20" s="1"/>
  <c r="H20"/>
  <c r="R20" s="1"/>
  <c r="Q18"/>
  <c r="P18"/>
  <c r="L18"/>
  <c r="K18"/>
  <c r="N18" s="1"/>
  <c r="H18"/>
  <c r="R18" s="1"/>
  <c r="Q17"/>
  <c r="P17"/>
  <c r="L17"/>
  <c r="K17"/>
  <c r="N17" s="1"/>
  <c r="H17"/>
  <c r="R17" s="1"/>
  <c r="Q16"/>
  <c r="P16"/>
  <c r="L16"/>
  <c r="K16"/>
  <c r="N16" s="1"/>
  <c r="H16"/>
  <c r="R16" s="1"/>
  <c r="Q15"/>
  <c r="P15"/>
  <c r="L15"/>
  <c r="K15"/>
  <c r="N15" s="1"/>
  <c r="H15"/>
  <c r="R15" s="1"/>
  <c r="Q14"/>
  <c r="P14"/>
  <c r="L14"/>
  <c r="K14"/>
  <c r="N14" s="1"/>
  <c r="H14"/>
  <c r="R14" s="1"/>
  <c r="Q11"/>
  <c r="P11"/>
  <c r="L11"/>
  <c r="K11"/>
  <c r="N11" s="1"/>
  <c r="H11"/>
  <c r="R11" s="1"/>
  <c r="Q10"/>
  <c r="P10"/>
  <c r="L10"/>
  <c r="K10"/>
  <c r="N10" s="1"/>
  <c r="H10"/>
  <c r="R10" s="1"/>
  <c r="Q9"/>
  <c r="P9"/>
  <c r="L9"/>
  <c r="K9"/>
  <c r="N9" s="1"/>
  <c r="H9"/>
  <c r="R9" s="1"/>
  <c r="Q7"/>
  <c r="P7"/>
  <c r="L7"/>
  <c r="K7"/>
  <c r="N7" s="1"/>
  <c r="H7"/>
  <c r="R7" s="1"/>
  <c r="Q6"/>
  <c r="P6"/>
  <c r="L6"/>
  <c r="K6"/>
  <c r="N6" s="1"/>
  <c r="H6"/>
  <c r="R6" s="1"/>
  <c r="Q5"/>
  <c r="Q177" s="1"/>
  <c r="P5"/>
  <c r="L5"/>
  <c r="L177" s="1"/>
  <c r="K5"/>
  <c r="K177" s="1"/>
  <c r="H5"/>
  <c r="H177" s="1"/>
  <c r="K184" i="88"/>
  <c r="H184"/>
  <c r="G184"/>
  <c r="R161"/>
  <c r="R162"/>
  <c r="R163"/>
  <c r="R164"/>
  <c r="R165"/>
  <c r="R166"/>
  <c r="R167"/>
  <c r="R168"/>
  <c r="R169"/>
  <c r="R170"/>
  <c r="R171"/>
  <c r="R172"/>
  <c r="R173"/>
  <c r="R174"/>
  <c r="R175"/>
  <c r="R176"/>
  <c r="R177"/>
  <c r="R178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L164"/>
  <c r="O164" s="1"/>
  <c r="L38"/>
  <c r="N164"/>
  <c r="M161"/>
  <c r="M162"/>
  <c r="M163"/>
  <c r="M164"/>
  <c r="M165"/>
  <c r="M166"/>
  <c r="M167"/>
  <c r="M168"/>
  <c r="M169"/>
  <c r="M170"/>
  <c r="M171"/>
  <c r="M172"/>
  <c r="M173"/>
  <c r="M174"/>
  <c r="M175"/>
  <c r="M176"/>
  <c r="M177"/>
  <c r="M178"/>
  <c r="I161"/>
  <c r="S161" s="1"/>
  <c r="I162"/>
  <c r="S162" s="1"/>
  <c r="I163"/>
  <c r="S163" s="1"/>
  <c r="I164"/>
  <c r="S164" s="1"/>
  <c r="I165"/>
  <c r="S165" s="1"/>
  <c r="I166"/>
  <c r="S166" s="1"/>
  <c r="I167"/>
  <c r="S167" s="1"/>
  <c r="I168"/>
  <c r="S168" s="1"/>
  <c r="I169"/>
  <c r="S169" s="1"/>
  <c r="I170"/>
  <c r="S170" s="1"/>
  <c r="I171"/>
  <c r="S171" s="1"/>
  <c r="I172"/>
  <c r="S172" s="1"/>
  <c r="I173"/>
  <c r="S173" s="1"/>
  <c r="I174"/>
  <c r="S174" s="1"/>
  <c r="I175"/>
  <c r="S175" s="1"/>
  <c r="I176"/>
  <c r="S176" s="1"/>
  <c r="I177"/>
  <c r="S177" s="1"/>
  <c r="I178"/>
  <c r="S178" s="1"/>
  <c r="L161"/>
  <c r="O161" s="1"/>
  <c r="L162"/>
  <c r="O162" s="1"/>
  <c r="L163"/>
  <c r="O163" s="1"/>
  <c r="L165"/>
  <c r="O165" s="1"/>
  <c r="L166"/>
  <c r="O166" s="1"/>
  <c r="L167"/>
  <c r="O167" s="1"/>
  <c r="L168"/>
  <c r="O168" s="1"/>
  <c r="L169"/>
  <c r="O169" s="1"/>
  <c r="L170"/>
  <c r="O170" s="1"/>
  <c r="L171"/>
  <c r="O171" s="1"/>
  <c r="L172"/>
  <c r="O172" s="1"/>
  <c r="L173"/>
  <c r="O173" s="1"/>
  <c r="L174"/>
  <c r="O174" s="1"/>
  <c r="L175"/>
  <c r="O175" s="1"/>
  <c r="L176"/>
  <c r="O176" s="1"/>
  <c r="L177"/>
  <c r="O177" s="1"/>
  <c r="L178"/>
  <c r="O178" s="1"/>
  <c r="L160"/>
  <c r="Q5"/>
  <c r="R183"/>
  <c r="Q183"/>
  <c r="M183"/>
  <c r="L183"/>
  <c r="O183" s="1"/>
  <c r="I183"/>
  <c r="S183" s="1"/>
  <c r="R182"/>
  <c r="Q182"/>
  <c r="M182"/>
  <c r="L182"/>
  <c r="O182" s="1"/>
  <c r="I182"/>
  <c r="S182" s="1"/>
  <c r="R181"/>
  <c r="Q181"/>
  <c r="M181"/>
  <c r="L181"/>
  <c r="O181" s="1"/>
  <c r="I181"/>
  <c r="S181" s="1"/>
  <c r="R180"/>
  <c r="Q180"/>
  <c r="M180"/>
  <c r="L180"/>
  <c r="O180" s="1"/>
  <c r="I180"/>
  <c r="S180" s="1"/>
  <c r="R179"/>
  <c r="Q179"/>
  <c r="M179"/>
  <c r="L179"/>
  <c r="O179" s="1"/>
  <c r="I179"/>
  <c r="S179" s="1"/>
  <c r="R98"/>
  <c r="Q98"/>
  <c r="M98"/>
  <c r="L98"/>
  <c r="O98" s="1"/>
  <c r="I98"/>
  <c r="S98" s="1"/>
  <c r="R160"/>
  <c r="Q160"/>
  <c r="M160"/>
  <c r="I160"/>
  <c r="S160" s="1"/>
  <c r="R159"/>
  <c r="Q159"/>
  <c r="M159"/>
  <c r="L159"/>
  <c r="O159" s="1"/>
  <c r="I159"/>
  <c r="S159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O156" s="1"/>
  <c r="I156"/>
  <c r="S156" s="1"/>
  <c r="R155"/>
  <c r="Q155"/>
  <c r="M155"/>
  <c r="L155"/>
  <c r="O155" s="1"/>
  <c r="I155"/>
  <c r="S155" s="1"/>
  <c r="R154"/>
  <c r="Q154"/>
  <c r="M154"/>
  <c r="L154"/>
  <c r="O154" s="1"/>
  <c r="I154"/>
  <c r="S154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4"/>
  <c r="Q144"/>
  <c r="M144"/>
  <c r="L144"/>
  <c r="O144" s="1"/>
  <c r="I144"/>
  <c r="S144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S93" s="1"/>
  <c r="R92"/>
  <c r="Q92"/>
  <c r="M92"/>
  <c r="L92"/>
  <c r="O92" s="1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5"/>
  <c r="Q75"/>
  <c r="M75"/>
  <c r="L75"/>
  <c r="O75" s="1"/>
  <c r="I75"/>
  <c r="S75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9"/>
  <c r="Q49"/>
  <c r="M49"/>
  <c r="L49"/>
  <c r="O49" s="1"/>
  <c r="I49"/>
  <c r="S49" s="1"/>
  <c r="R48"/>
  <c r="Q48"/>
  <c r="M48"/>
  <c r="L48"/>
  <c r="O48" s="1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4"/>
  <c r="Q44"/>
  <c r="M44"/>
  <c r="L44"/>
  <c r="O44" s="1"/>
  <c r="I44"/>
  <c r="S44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O38"/>
  <c r="I38"/>
  <c r="S38" s="1"/>
  <c r="R37"/>
  <c r="Q37"/>
  <c r="M37"/>
  <c r="L37"/>
  <c r="O37" s="1"/>
  <c r="I37"/>
  <c r="S37" s="1"/>
  <c r="R36"/>
  <c r="Q36"/>
  <c r="M36"/>
  <c r="L36"/>
  <c r="O36" s="1"/>
  <c r="I36"/>
  <c r="S36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1"/>
  <c r="Q31"/>
  <c r="M31"/>
  <c r="L31"/>
  <c r="O31" s="1"/>
  <c r="I31"/>
  <c r="S31" s="1"/>
  <c r="R30"/>
  <c r="Q30"/>
  <c r="M30"/>
  <c r="L30"/>
  <c r="O30" s="1"/>
  <c r="I30"/>
  <c r="S30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R184" s="1"/>
  <c r="M5"/>
  <c r="M184" s="1"/>
  <c r="L5"/>
  <c r="L184" s="1"/>
  <c r="I5"/>
  <c r="I184" s="1"/>
  <c r="K168" i="87"/>
  <c r="H168"/>
  <c r="G168"/>
  <c r="R167"/>
  <c r="Q167"/>
  <c r="M167"/>
  <c r="L167"/>
  <c r="O167" s="1"/>
  <c r="I167"/>
  <c r="S167" s="1"/>
  <c r="R166"/>
  <c r="Q166"/>
  <c r="M166"/>
  <c r="L166"/>
  <c r="O166" s="1"/>
  <c r="I166"/>
  <c r="S166" s="1"/>
  <c r="R165"/>
  <c r="Q165"/>
  <c r="M165"/>
  <c r="L165"/>
  <c r="O165" s="1"/>
  <c r="I165"/>
  <c r="S165" s="1"/>
  <c r="R164"/>
  <c r="Q164"/>
  <c r="M164"/>
  <c r="L164"/>
  <c r="O164" s="1"/>
  <c r="I164"/>
  <c r="S164" s="1"/>
  <c r="R163"/>
  <c r="Q163"/>
  <c r="M163"/>
  <c r="L163"/>
  <c r="O163" s="1"/>
  <c r="I163"/>
  <c r="S163" s="1"/>
  <c r="R162"/>
  <c r="Q162"/>
  <c r="M162"/>
  <c r="L162"/>
  <c r="O162" s="1"/>
  <c r="I162"/>
  <c r="S162" s="1"/>
  <c r="R161"/>
  <c r="Q161"/>
  <c r="M161"/>
  <c r="L161"/>
  <c r="O161" s="1"/>
  <c r="I161"/>
  <c r="S161" s="1"/>
  <c r="R160"/>
  <c r="Q160"/>
  <c r="M160"/>
  <c r="L160"/>
  <c r="O160" s="1"/>
  <c r="I160"/>
  <c r="S160" s="1"/>
  <c r="R159"/>
  <c r="Q159"/>
  <c r="M159"/>
  <c r="L159"/>
  <c r="O159" s="1"/>
  <c r="I159"/>
  <c r="S159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O156" s="1"/>
  <c r="I156"/>
  <c r="S156" s="1"/>
  <c r="R155"/>
  <c r="Q155"/>
  <c r="M155"/>
  <c r="L155"/>
  <c r="O155" s="1"/>
  <c r="I155"/>
  <c r="S155" s="1"/>
  <c r="R154"/>
  <c r="Q154"/>
  <c r="M154"/>
  <c r="L154"/>
  <c r="O154" s="1"/>
  <c r="I154"/>
  <c r="S154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4"/>
  <c r="Q144"/>
  <c r="M144"/>
  <c r="L144"/>
  <c r="O144" s="1"/>
  <c r="I144"/>
  <c r="S144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S93" s="1"/>
  <c r="R92"/>
  <c r="Q92"/>
  <c r="M92"/>
  <c r="L92"/>
  <c r="O92" s="1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5"/>
  <c r="Q75"/>
  <c r="M75"/>
  <c r="L75"/>
  <c r="O75" s="1"/>
  <c r="I75"/>
  <c r="S75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9"/>
  <c r="Q49"/>
  <c r="M49"/>
  <c r="L49"/>
  <c r="O49" s="1"/>
  <c r="I49"/>
  <c r="S49" s="1"/>
  <c r="R48"/>
  <c r="Q48"/>
  <c r="M48"/>
  <c r="L48"/>
  <c r="O48" s="1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4"/>
  <c r="Q44"/>
  <c r="M44"/>
  <c r="L44"/>
  <c r="O44" s="1"/>
  <c r="I44"/>
  <c r="S44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L38"/>
  <c r="O38" s="1"/>
  <c r="I38"/>
  <c r="S38" s="1"/>
  <c r="R37"/>
  <c r="Q37"/>
  <c r="M37"/>
  <c r="L37"/>
  <c r="O37" s="1"/>
  <c r="I37"/>
  <c r="S37" s="1"/>
  <c r="R36"/>
  <c r="Q36"/>
  <c r="M36"/>
  <c r="L36"/>
  <c r="O36" s="1"/>
  <c r="I36"/>
  <c r="S36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1"/>
  <c r="Q31"/>
  <c r="M31"/>
  <c r="L31"/>
  <c r="O31" s="1"/>
  <c r="I31"/>
  <c r="S31" s="1"/>
  <c r="R30"/>
  <c r="Q30"/>
  <c r="M30"/>
  <c r="L30"/>
  <c r="O30" s="1"/>
  <c r="I30"/>
  <c r="S30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R168" s="1"/>
  <c r="Q5"/>
  <c r="M5"/>
  <c r="M168" s="1"/>
  <c r="L5"/>
  <c r="L168" s="1"/>
  <c r="I5"/>
  <c r="I168" s="1"/>
  <c r="K168" i="86"/>
  <c r="R162"/>
  <c r="Q162"/>
  <c r="M162"/>
  <c r="L162"/>
  <c r="N162" s="1"/>
  <c r="I162"/>
  <c r="S162" s="1"/>
  <c r="S189" i="91" l="1"/>
  <c r="P88"/>
  <c r="O88"/>
  <c r="O5"/>
  <c r="P5"/>
  <c r="P189" s="1"/>
  <c r="T5"/>
  <c r="T189" s="1"/>
  <c r="O6"/>
  <c r="O7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8"/>
  <c r="O185"/>
  <c r="O186"/>
  <c r="O187"/>
  <c r="P101" i="90"/>
  <c r="O101"/>
  <c r="O5"/>
  <c r="P5"/>
  <c r="P171" s="1"/>
  <c r="T5"/>
  <c r="T171" s="1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2"/>
  <c r="O103"/>
  <c r="O104"/>
  <c r="O105"/>
  <c r="O106"/>
  <c r="O107"/>
  <c r="O108"/>
  <c r="O109"/>
  <c r="O110"/>
  <c r="O111"/>
  <c r="O112"/>
  <c r="O113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14"/>
  <c r="O168"/>
  <c r="O169"/>
  <c r="O170"/>
  <c r="M173" i="89"/>
  <c r="N109"/>
  <c r="M109"/>
  <c r="M5"/>
  <c r="N5"/>
  <c r="N177" s="1"/>
  <c r="R5"/>
  <c r="R177" s="1"/>
  <c r="M6"/>
  <c r="M7"/>
  <c r="M9"/>
  <c r="M10"/>
  <c r="M11"/>
  <c r="M14"/>
  <c r="M15"/>
  <c r="M16"/>
  <c r="M17"/>
  <c r="M18"/>
  <c r="M20"/>
  <c r="M21"/>
  <c r="M22"/>
  <c r="M23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52"/>
  <c r="M53"/>
  <c r="M54"/>
  <c r="M55"/>
  <c r="M56"/>
  <c r="M57"/>
  <c r="M58"/>
  <c r="M59"/>
  <c r="M60"/>
  <c r="M61"/>
  <c r="M62"/>
  <c r="M63"/>
  <c r="M64"/>
  <c r="M65"/>
  <c r="M66"/>
  <c r="M67"/>
  <c r="M68"/>
  <c r="M69"/>
  <c r="M70"/>
  <c r="M71"/>
  <c r="M72"/>
  <c r="M73"/>
  <c r="M75"/>
  <c r="M76"/>
  <c r="M78"/>
  <c r="M79"/>
  <c r="M80"/>
  <c r="M81"/>
  <c r="M82"/>
  <c r="M83"/>
  <c r="M84"/>
  <c r="M85"/>
  <c r="M86"/>
  <c r="M87"/>
  <c r="M90"/>
  <c r="M91"/>
  <c r="M92"/>
  <c r="M93"/>
  <c r="M94"/>
  <c r="M95"/>
  <c r="M96"/>
  <c r="M97"/>
  <c r="M99"/>
  <c r="M100"/>
  <c r="M101"/>
  <c r="M102"/>
  <c r="M103"/>
  <c r="M104"/>
  <c r="M105"/>
  <c r="M106"/>
  <c r="M107"/>
  <c r="M108"/>
  <c r="M110"/>
  <c r="M111"/>
  <c r="M112"/>
  <c r="M113"/>
  <c r="M115"/>
  <c r="M116"/>
  <c r="M117"/>
  <c r="M119"/>
  <c r="M120"/>
  <c r="M121"/>
  <c r="M122"/>
  <c r="M123"/>
  <c r="M124"/>
  <c r="M125"/>
  <c r="M126"/>
  <c r="M128"/>
  <c r="M129"/>
  <c r="M130"/>
  <c r="M131"/>
  <c r="M132"/>
  <c r="M133"/>
  <c r="M134"/>
  <c r="M136"/>
  <c r="M137"/>
  <c r="M138"/>
  <c r="M139"/>
  <c r="M140"/>
  <c r="M141"/>
  <c r="M142"/>
  <c r="M143"/>
  <c r="M145"/>
  <c r="M146"/>
  <c r="M147"/>
  <c r="M148"/>
  <c r="M149"/>
  <c r="M151"/>
  <c r="M152"/>
  <c r="M153"/>
  <c r="M154"/>
  <c r="M155"/>
  <c r="M156"/>
  <c r="M157"/>
  <c r="M158"/>
  <c r="M159"/>
  <c r="M160"/>
  <c r="M161"/>
  <c r="M162"/>
  <c r="M163"/>
  <c r="M164"/>
  <c r="M165"/>
  <c r="M166"/>
  <c r="M167"/>
  <c r="M168"/>
  <c r="M169"/>
  <c r="M170"/>
  <c r="M171"/>
  <c r="M172"/>
  <c r="M12"/>
  <c r="M13"/>
  <c r="M19"/>
  <c r="M24"/>
  <c r="M50"/>
  <c r="M51"/>
  <c r="M74"/>
  <c r="M77"/>
  <c r="M88"/>
  <c r="M89"/>
  <c r="M114"/>
  <c r="M135"/>
  <c r="M150"/>
  <c r="M144"/>
  <c r="M118"/>
  <c r="M8"/>
  <c r="M98"/>
  <c r="M127"/>
  <c r="M174"/>
  <c r="M175"/>
  <c r="M176"/>
  <c r="O160" i="88"/>
  <c r="N160"/>
  <c r="N178"/>
  <c r="N177"/>
  <c r="N176"/>
  <c r="N175"/>
  <c r="N174"/>
  <c r="N173"/>
  <c r="N172"/>
  <c r="N171"/>
  <c r="N170"/>
  <c r="N169"/>
  <c r="N168"/>
  <c r="N167"/>
  <c r="N166"/>
  <c r="N165"/>
  <c r="N163"/>
  <c r="N162"/>
  <c r="N161"/>
  <c r="O83"/>
  <c r="N83"/>
  <c r="N5"/>
  <c r="O5"/>
  <c r="O184" s="1"/>
  <c r="S5"/>
  <c r="S184" s="1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4"/>
  <c r="N85"/>
  <c r="N86"/>
  <c r="N87"/>
  <c r="N88"/>
  <c r="N89"/>
  <c r="N90"/>
  <c r="N91"/>
  <c r="N92"/>
  <c r="N93"/>
  <c r="N94"/>
  <c r="N95"/>
  <c r="N96"/>
  <c r="N97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98"/>
  <c r="N179"/>
  <c r="N180"/>
  <c r="N181"/>
  <c r="N182"/>
  <c r="N183"/>
  <c r="O85" i="87"/>
  <c r="N85"/>
  <c r="N5"/>
  <c r="O5"/>
  <c r="O168" s="1"/>
  <c r="S5"/>
  <c r="S168" s="1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160"/>
  <c r="N161"/>
  <c r="N162"/>
  <c r="N163"/>
  <c r="N164"/>
  <c r="N165"/>
  <c r="N166"/>
  <c r="N167"/>
  <c r="O162" i="86"/>
  <c r="H168"/>
  <c r="G168"/>
  <c r="R167"/>
  <c r="Q167"/>
  <c r="M167"/>
  <c r="L167"/>
  <c r="O167" s="1"/>
  <c r="I167"/>
  <c r="S167" s="1"/>
  <c r="R166"/>
  <c r="Q166"/>
  <c r="M166"/>
  <c r="L166"/>
  <c r="O166" s="1"/>
  <c r="I166"/>
  <c r="S166" s="1"/>
  <c r="R165"/>
  <c r="Q165"/>
  <c r="M165"/>
  <c r="L165"/>
  <c r="O165" s="1"/>
  <c r="I165"/>
  <c r="S165" s="1"/>
  <c r="R164"/>
  <c r="Q164"/>
  <c r="M164"/>
  <c r="L164"/>
  <c r="O164" s="1"/>
  <c r="I164"/>
  <c r="S164" s="1"/>
  <c r="R163"/>
  <c r="Q163"/>
  <c r="M163"/>
  <c r="L163"/>
  <c r="O163" s="1"/>
  <c r="I163"/>
  <c r="S163" s="1"/>
  <c r="R159"/>
  <c r="Q159"/>
  <c r="M159"/>
  <c r="L159"/>
  <c r="O159" s="1"/>
  <c r="I159"/>
  <c r="S159" s="1"/>
  <c r="R144"/>
  <c r="Q144"/>
  <c r="M144"/>
  <c r="L144"/>
  <c r="O144" s="1"/>
  <c r="I144"/>
  <c r="S144" s="1"/>
  <c r="R140"/>
  <c r="Q140"/>
  <c r="M140"/>
  <c r="L140"/>
  <c r="O140" s="1"/>
  <c r="I140"/>
  <c r="S140" s="1"/>
  <c r="R122"/>
  <c r="Q122"/>
  <c r="M122"/>
  <c r="L122"/>
  <c r="O122" s="1"/>
  <c r="I122"/>
  <c r="S122" s="1"/>
  <c r="R75"/>
  <c r="Q75"/>
  <c r="M75"/>
  <c r="L75"/>
  <c r="O75" s="1"/>
  <c r="I75"/>
  <c r="S75" s="1"/>
  <c r="R44"/>
  <c r="Q44"/>
  <c r="M44"/>
  <c r="L44"/>
  <c r="O44" s="1"/>
  <c r="I44"/>
  <c r="S44" s="1"/>
  <c r="R30"/>
  <c r="Q30"/>
  <c r="M30"/>
  <c r="L30"/>
  <c r="O30" s="1"/>
  <c r="I30"/>
  <c r="S30" s="1"/>
  <c r="R23"/>
  <c r="Q23"/>
  <c r="M23"/>
  <c r="L23"/>
  <c r="O23" s="1"/>
  <c r="I23"/>
  <c r="S23" s="1"/>
  <c r="R161"/>
  <c r="Q161"/>
  <c r="M161"/>
  <c r="L161"/>
  <c r="O161" s="1"/>
  <c r="I161"/>
  <c r="S161" s="1"/>
  <c r="R160"/>
  <c r="Q160"/>
  <c r="M160"/>
  <c r="L160"/>
  <c r="O160" s="1"/>
  <c r="I160"/>
  <c r="S160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O156" s="1"/>
  <c r="I156"/>
  <c r="S156" s="1"/>
  <c r="R155"/>
  <c r="Q155"/>
  <c r="M155"/>
  <c r="L155"/>
  <c r="O155" s="1"/>
  <c r="I155"/>
  <c r="S155" s="1"/>
  <c r="R154"/>
  <c r="Q154"/>
  <c r="M154"/>
  <c r="L154"/>
  <c r="O154" s="1"/>
  <c r="I154"/>
  <c r="S154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S93" s="1"/>
  <c r="R92"/>
  <c r="Q92"/>
  <c r="M92"/>
  <c r="L92"/>
  <c r="O92" s="1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9"/>
  <c r="Q49"/>
  <c r="M49"/>
  <c r="L49"/>
  <c r="O49" s="1"/>
  <c r="I49"/>
  <c r="S49" s="1"/>
  <c r="R48"/>
  <c r="Q48"/>
  <c r="M48"/>
  <c r="L48"/>
  <c r="O48" s="1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L38"/>
  <c r="O38" s="1"/>
  <c r="I38"/>
  <c r="S38" s="1"/>
  <c r="R37"/>
  <c r="Q37"/>
  <c r="M37"/>
  <c r="L37"/>
  <c r="O37" s="1"/>
  <c r="I37"/>
  <c r="S37" s="1"/>
  <c r="R36"/>
  <c r="Q36"/>
  <c r="M36"/>
  <c r="L36"/>
  <c r="O36" s="1"/>
  <c r="I36"/>
  <c r="S36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1"/>
  <c r="Q31"/>
  <c r="M31"/>
  <c r="L31"/>
  <c r="O31" s="1"/>
  <c r="I31"/>
  <c r="S31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R168" s="1"/>
  <c r="Q5"/>
  <c r="M5"/>
  <c r="M168" s="1"/>
  <c r="L5"/>
  <c r="L168" s="1"/>
  <c r="I5"/>
  <c r="I168" s="1"/>
  <c r="O189" i="91" l="1"/>
  <c r="M177" i="89"/>
  <c r="O171" i="90"/>
  <c r="N184" i="88"/>
  <c r="N168" i="87"/>
  <c r="O88" i="86"/>
  <c r="N88"/>
  <c r="N5"/>
  <c r="O5"/>
  <c r="O168" s="1"/>
  <c r="S5"/>
  <c r="S168" s="1"/>
  <c r="N6"/>
  <c r="N7"/>
  <c r="N8"/>
  <c r="N9"/>
  <c r="N10"/>
  <c r="N11"/>
  <c r="N12"/>
  <c r="N13"/>
  <c r="N14"/>
  <c r="N15"/>
  <c r="N16"/>
  <c r="N17"/>
  <c r="N18"/>
  <c r="N19"/>
  <c r="N20"/>
  <c r="N21"/>
  <c r="N22"/>
  <c r="N24"/>
  <c r="N25"/>
  <c r="N26"/>
  <c r="N27"/>
  <c r="N28"/>
  <c r="N29"/>
  <c r="N31"/>
  <c r="N32"/>
  <c r="N33"/>
  <c r="N34"/>
  <c r="N35"/>
  <c r="N36"/>
  <c r="N37"/>
  <c r="N38"/>
  <c r="N39"/>
  <c r="N40"/>
  <c r="N41"/>
  <c r="N42"/>
  <c r="N43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6"/>
  <c r="N77"/>
  <c r="N78"/>
  <c r="N79"/>
  <c r="N80"/>
  <c r="N81"/>
  <c r="N82"/>
  <c r="N83"/>
  <c r="N84"/>
  <c r="N85"/>
  <c r="N86"/>
  <c r="N87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1"/>
  <c r="N142"/>
  <c r="N143"/>
  <c r="N145"/>
  <c r="N146"/>
  <c r="N147"/>
  <c r="N148"/>
  <c r="N149"/>
  <c r="N150"/>
  <c r="N151"/>
  <c r="N152"/>
  <c r="N153"/>
  <c r="N154"/>
  <c r="N155"/>
  <c r="N156"/>
  <c r="N157"/>
  <c r="N158"/>
  <c r="N160"/>
  <c r="N161"/>
  <c r="N23"/>
  <c r="N30"/>
  <c r="N44"/>
  <c r="N75"/>
  <c r="N122"/>
  <c r="N140"/>
  <c r="N144"/>
  <c r="N159"/>
  <c r="N163"/>
  <c r="N164"/>
  <c r="N165"/>
  <c r="N166"/>
  <c r="N167"/>
  <c r="N168" l="1"/>
  <c r="G167" i="85" l="1"/>
  <c r="R154"/>
  <c r="R155"/>
  <c r="R156"/>
  <c r="R157"/>
  <c r="R158"/>
  <c r="R159"/>
  <c r="R160"/>
  <c r="R161"/>
  <c r="Q154"/>
  <c r="Q155"/>
  <c r="Q156"/>
  <c r="Q157"/>
  <c r="Q158"/>
  <c r="Q159"/>
  <c r="Q160"/>
  <c r="Q161"/>
  <c r="Q162"/>
  <c r="Q163"/>
  <c r="Q164"/>
  <c r="Q165"/>
  <c r="Q166"/>
  <c r="M154"/>
  <c r="M155"/>
  <c r="M156"/>
  <c r="M157"/>
  <c r="M158"/>
  <c r="M159"/>
  <c r="M160"/>
  <c r="M161"/>
  <c r="L154"/>
  <c r="O154" s="1"/>
  <c r="L155"/>
  <c r="O155" s="1"/>
  <c r="L156"/>
  <c r="O156" s="1"/>
  <c r="L157"/>
  <c r="O157" s="1"/>
  <c r="L158"/>
  <c r="O158" s="1"/>
  <c r="L159"/>
  <c r="O159" s="1"/>
  <c r="L160"/>
  <c r="O160" s="1"/>
  <c r="L161"/>
  <c r="O161" s="1"/>
  <c r="I157"/>
  <c r="S157" s="1"/>
  <c r="I160"/>
  <c r="S160" s="1"/>
  <c r="I156"/>
  <c r="S156" s="1"/>
  <c r="I155"/>
  <c r="S155" s="1"/>
  <c r="I161"/>
  <c r="S161" s="1"/>
  <c r="I159"/>
  <c r="S159" s="1"/>
  <c r="I158"/>
  <c r="S158" s="1"/>
  <c r="I154"/>
  <c r="S154" s="1"/>
  <c r="K167"/>
  <c r="H167"/>
  <c r="R166"/>
  <c r="M166"/>
  <c r="L166"/>
  <c r="O166" s="1"/>
  <c r="I166"/>
  <c r="S166" s="1"/>
  <c r="R165"/>
  <c r="M165"/>
  <c r="L165"/>
  <c r="O165" s="1"/>
  <c r="I165"/>
  <c r="S165" s="1"/>
  <c r="R164"/>
  <c r="M164"/>
  <c r="L164"/>
  <c r="O164" s="1"/>
  <c r="I164"/>
  <c r="S164" s="1"/>
  <c r="R163"/>
  <c r="M163"/>
  <c r="L163"/>
  <c r="O163" s="1"/>
  <c r="I163"/>
  <c r="S163" s="1"/>
  <c r="R162"/>
  <c r="M162"/>
  <c r="L162"/>
  <c r="O162" s="1"/>
  <c r="I162"/>
  <c r="S162" s="1"/>
  <c r="R75"/>
  <c r="Q75"/>
  <c r="M75"/>
  <c r="L75"/>
  <c r="O75" s="1"/>
  <c r="I75"/>
  <c r="S75" s="1"/>
  <c r="R31"/>
  <c r="Q31"/>
  <c r="M31"/>
  <c r="L31"/>
  <c r="O31" s="1"/>
  <c r="I31"/>
  <c r="S31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4"/>
  <c r="Q144"/>
  <c r="M144"/>
  <c r="L144"/>
  <c r="O144" s="1"/>
  <c r="I144"/>
  <c r="S144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1"/>
  <c r="Q121"/>
  <c r="M121"/>
  <c r="L121"/>
  <c r="O121" s="1"/>
  <c r="I121"/>
  <c r="S121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L115"/>
  <c r="O115" s="1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9"/>
  <c r="Q109"/>
  <c r="M109"/>
  <c r="L109"/>
  <c r="O109" s="1"/>
  <c r="I109"/>
  <c r="S109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S93" s="1"/>
  <c r="R92"/>
  <c r="Q92"/>
  <c r="M92"/>
  <c r="L92"/>
  <c r="O92" s="1"/>
  <c r="I92"/>
  <c r="S92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L89"/>
  <c r="O89" s="1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I79"/>
  <c r="S79" s="1"/>
  <c r="R78"/>
  <c r="Q78"/>
  <c r="M78"/>
  <c r="L78"/>
  <c r="O78" s="1"/>
  <c r="I78"/>
  <c r="S78" s="1"/>
  <c r="R77"/>
  <c r="Q77"/>
  <c r="M77"/>
  <c r="L77"/>
  <c r="O77" s="1"/>
  <c r="I77"/>
  <c r="S77" s="1"/>
  <c r="R76"/>
  <c r="Q76"/>
  <c r="M76"/>
  <c r="L76"/>
  <c r="O76" s="1"/>
  <c r="I76"/>
  <c r="S76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9"/>
  <c r="Q49"/>
  <c r="M49"/>
  <c r="L49"/>
  <c r="O49" s="1"/>
  <c r="I49"/>
  <c r="S49" s="1"/>
  <c r="R48"/>
  <c r="Q48"/>
  <c r="M48"/>
  <c r="L48"/>
  <c r="O48" s="1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4"/>
  <c r="Q44"/>
  <c r="M44"/>
  <c r="L44"/>
  <c r="O44" s="1"/>
  <c r="I44"/>
  <c r="S44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L38"/>
  <c r="O38" s="1"/>
  <c r="I38"/>
  <c r="S38" s="1"/>
  <c r="R37"/>
  <c r="Q37"/>
  <c r="M37"/>
  <c r="L37"/>
  <c r="O37" s="1"/>
  <c r="I37"/>
  <c r="S37" s="1"/>
  <c r="R36"/>
  <c r="Q36"/>
  <c r="M36"/>
  <c r="L36"/>
  <c r="O36" s="1"/>
  <c r="I36"/>
  <c r="S36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0"/>
  <c r="Q30"/>
  <c r="M30"/>
  <c r="L30"/>
  <c r="O30" s="1"/>
  <c r="I30"/>
  <c r="S30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9"/>
  <c r="Q19"/>
  <c r="M19"/>
  <c r="L19"/>
  <c r="O19" s="1"/>
  <c r="I19"/>
  <c r="S19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5"/>
  <c r="Q15"/>
  <c r="M15"/>
  <c r="L15"/>
  <c r="O15" s="1"/>
  <c r="I15"/>
  <c r="S15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9"/>
  <c r="Q9"/>
  <c r="M9"/>
  <c r="L9"/>
  <c r="O9" s="1"/>
  <c r="I9"/>
  <c r="S9" s="1"/>
  <c r="R8"/>
  <c r="Q8"/>
  <c r="M8"/>
  <c r="L8"/>
  <c r="O8" s="1"/>
  <c r="I8"/>
  <c r="S8" s="1"/>
  <c r="R7"/>
  <c r="Q7"/>
  <c r="M7"/>
  <c r="L7"/>
  <c r="O7" s="1"/>
  <c r="I7"/>
  <c r="S7" s="1"/>
  <c r="R6"/>
  <c r="Q6"/>
  <c r="M6"/>
  <c r="L6"/>
  <c r="O6" s="1"/>
  <c r="I6"/>
  <c r="S6" s="1"/>
  <c r="R5"/>
  <c r="R167" s="1"/>
  <c r="Q5"/>
  <c r="M5"/>
  <c r="M167" s="1"/>
  <c r="L5"/>
  <c r="L167" s="1"/>
  <c r="I5"/>
  <c r="I167" s="1"/>
  <c r="G161" i="84"/>
  <c r="R154"/>
  <c r="S154" s="1"/>
  <c r="R155"/>
  <c r="Q154"/>
  <c r="Q155"/>
  <c r="Q5"/>
  <c r="N155"/>
  <c r="M154"/>
  <c r="M155"/>
  <c r="L155"/>
  <c r="O155" s="1"/>
  <c r="L154"/>
  <c r="O154" s="1"/>
  <c r="I154"/>
  <c r="I155"/>
  <c r="L115"/>
  <c r="L89"/>
  <c r="L48"/>
  <c r="L37"/>
  <c r="K161"/>
  <c r="H161"/>
  <c r="R160"/>
  <c r="Q160"/>
  <c r="M160"/>
  <c r="L160"/>
  <c r="O160" s="1"/>
  <c r="I160"/>
  <c r="S160" s="1"/>
  <c r="R159"/>
  <c r="Q159"/>
  <c r="M159"/>
  <c r="L159"/>
  <c r="O159" s="1"/>
  <c r="I159"/>
  <c r="S159" s="1"/>
  <c r="R158"/>
  <c r="Q158"/>
  <c r="M158"/>
  <c r="L158"/>
  <c r="O158" s="1"/>
  <c r="I158"/>
  <c r="S158" s="1"/>
  <c r="R157"/>
  <c r="Q157"/>
  <c r="M157"/>
  <c r="L157"/>
  <c r="O157" s="1"/>
  <c r="I157"/>
  <c r="S157" s="1"/>
  <c r="R156"/>
  <c r="Q156"/>
  <c r="M156"/>
  <c r="L156"/>
  <c r="O156" s="1"/>
  <c r="I156"/>
  <c r="S156" s="1"/>
  <c r="R9"/>
  <c r="Q9"/>
  <c r="M9"/>
  <c r="L9"/>
  <c r="O9" s="1"/>
  <c r="I9"/>
  <c r="S9" s="1"/>
  <c r="R92"/>
  <c r="Q92"/>
  <c r="M92"/>
  <c r="L92"/>
  <c r="O92" s="1"/>
  <c r="I92"/>
  <c r="S92" s="1"/>
  <c r="R19"/>
  <c r="Q19"/>
  <c r="M19"/>
  <c r="L19"/>
  <c r="O19" s="1"/>
  <c r="I19"/>
  <c r="S19" s="1"/>
  <c r="R144"/>
  <c r="Q144"/>
  <c r="M144"/>
  <c r="L144"/>
  <c r="O144" s="1"/>
  <c r="I144"/>
  <c r="S144" s="1"/>
  <c r="R121"/>
  <c r="Q121"/>
  <c r="M121"/>
  <c r="L121"/>
  <c r="O121" s="1"/>
  <c r="I121"/>
  <c r="S121" s="1"/>
  <c r="R37"/>
  <c r="Q37"/>
  <c r="M37"/>
  <c r="O37"/>
  <c r="I37"/>
  <c r="S37" s="1"/>
  <c r="R15"/>
  <c r="Q15"/>
  <c r="M15"/>
  <c r="L15"/>
  <c r="O15" s="1"/>
  <c r="I15"/>
  <c r="S15" s="1"/>
  <c r="R7"/>
  <c r="Q7"/>
  <c r="M7"/>
  <c r="L7"/>
  <c r="O7" s="1"/>
  <c r="I7"/>
  <c r="S7" s="1"/>
  <c r="R109"/>
  <c r="Q109"/>
  <c r="M109"/>
  <c r="L109"/>
  <c r="O109" s="1"/>
  <c r="I109"/>
  <c r="S109" s="1"/>
  <c r="R153"/>
  <c r="Q153"/>
  <c r="M153"/>
  <c r="L153"/>
  <c r="O153" s="1"/>
  <c r="I153"/>
  <c r="S153" s="1"/>
  <c r="R152"/>
  <c r="Q152"/>
  <c r="M152"/>
  <c r="L152"/>
  <c r="O152" s="1"/>
  <c r="I152"/>
  <c r="S152" s="1"/>
  <c r="R151"/>
  <c r="Q151"/>
  <c r="M151"/>
  <c r="L151"/>
  <c r="O151" s="1"/>
  <c r="I151"/>
  <c r="S151" s="1"/>
  <c r="R150"/>
  <c r="Q150"/>
  <c r="M150"/>
  <c r="L150"/>
  <c r="O150" s="1"/>
  <c r="I150"/>
  <c r="S150" s="1"/>
  <c r="R149"/>
  <c r="Q149"/>
  <c r="M149"/>
  <c r="L149"/>
  <c r="O149" s="1"/>
  <c r="I149"/>
  <c r="S149" s="1"/>
  <c r="R148"/>
  <c r="Q148"/>
  <c r="M148"/>
  <c r="L148"/>
  <c r="O148" s="1"/>
  <c r="I148"/>
  <c r="S148" s="1"/>
  <c r="R147"/>
  <c r="Q147"/>
  <c r="M147"/>
  <c r="L147"/>
  <c r="O147" s="1"/>
  <c r="I147"/>
  <c r="S147" s="1"/>
  <c r="R146"/>
  <c r="Q146"/>
  <c r="M146"/>
  <c r="L146"/>
  <c r="O146" s="1"/>
  <c r="I146"/>
  <c r="S146" s="1"/>
  <c r="R145"/>
  <c r="Q145"/>
  <c r="M145"/>
  <c r="L145"/>
  <c r="O145" s="1"/>
  <c r="I145"/>
  <c r="S145" s="1"/>
  <c r="R143"/>
  <c r="Q143"/>
  <c r="M143"/>
  <c r="L143"/>
  <c r="O143" s="1"/>
  <c r="I143"/>
  <c r="S143" s="1"/>
  <c r="R142"/>
  <c r="Q142"/>
  <c r="M142"/>
  <c r="L142"/>
  <c r="O142" s="1"/>
  <c r="I142"/>
  <c r="S142" s="1"/>
  <c r="R141"/>
  <c r="Q141"/>
  <c r="M141"/>
  <c r="L141"/>
  <c r="O141" s="1"/>
  <c r="I141"/>
  <c r="S141" s="1"/>
  <c r="R140"/>
  <c r="Q140"/>
  <c r="M140"/>
  <c r="L140"/>
  <c r="O140" s="1"/>
  <c r="I140"/>
  <c r="S140" s="1"/>
  <c r="R139"/>
  <c r="Q139"/>
  <c r="M139"/>
  <c r="L139"/>
  <c r="O139" s="1"/>
  <c r="I139"/>
  <c r="S139" s="1"/>
  <c r="R138"/>
  <c r="Q138"/>
  <c r="M138"/>
  <c r="L138"/>
  <c r="O138" s="1"/>
  <c r="I138"/>
  <c r="S138" s="1"/>
  <c r="R137"/>
  <c r="Q137"/>
  <c r="M137"/>
  <c r="L137"/>
  <c r="O137" s="1"/>
  <c r="I137"/>
  <c r="S137" s="1"/>
  <c r="R136"/>
  <c r="Q136"/>
  <c r="M136"/>
  <c r="L136"/>
  <c r="O136" s="1"/>
  <c r="I136"/>
  <c r="S136" s="1"/>
  <c r="R135"/>
  <c r="Q135"/>
  <c r="M135"/>
  <c r="L135"/>
  <c r="O135" s="1"/>
  <c r="I135"/>
  <c r="S135" s="1"/>
  <c r="R134"/>
  <c r="Q134"/>
  <c r="M134"/>
  <c r="L134"/>
  <c r="O134" s="1"/>
  <c r="I134"/>
  <c r="S134" s="1"/>
  <c r="R133"/>
  <c r="Q133"/>
  <c r="M133"/>
  <c r="L133"/>
  <c r="O133" s="1"/>
  <c r="I133"/>
  <c r="S133" s="1"/>
  <c r="R132"/>
  <c r="Q132"/>
  <c r="M132"/>
  <c r="L132"/>
  <c r="O132" s="1"/>
  <c r="I132"/>
  <c r="S132" s="1"/>
  <c r="R131"/>
  <c r="Q131"/>
  <c r="M131"/>
  <c r="L131"/>
  <c r="O131" s="1"/>
  <c r="I131"/>
  <c r="S131" s="1"/>
  <c r="R130"/>
  <c r="Q130"/>
  <c r="M130"/>
  <c r="L130"/>
  <c r="O130" s="1"/>
  <c r="I130"/>
  <c r="S130" s="1"/>
  <c r="R129"/>
  <c r="Q129"/>
  <c r="M129"/>
  <c r="L129"/>
  <c r="O129" s="1"/>
  <c r="I129"/>
  <c r="S129" s="1"/>
  <c r="R128"/>
  <c r="Q128"/>
  <c r="M128"/>
  <c r="L128"/>
  <c r="O128" s="1"/>
  <c r="I128"/>
  <c r="S128" s="1"/>
  <c r="R127"/>
  <c r="Q127"/>
  <c r="M127"/>
  <c r="L127"/>
  <c r="O127" s="1"/>
  <c r="I127"/>
  <c r="S127" s="1"/>
  <c r="R126"/>
  <c r="Q126"/>
  <c r="M126"/>
  <c r="L126"/>
  <c r="O126" s="1"/>
  <c r="I126"/>
  <c r="S126" s="1"/>
  <c r="R125"/>
  <c r="Q125"/>
  <c r="M125"/>
  <c r="L125"/>
  <c r="O125" s="1"/>
  <c r="I125"/>
  <c r="S125" s="1"/>
  <c r="R124"/>
  <c r="Q124"/>
  <c r="M124"/>
  <c r="L124"/>
  <c r="O124" s="1"/>
  <c r="I124"/>
  <c r="S124" s="1"/>
  <c r="R123"/>
  <c r="Q123"/>
  <c r="M123"/>
  <c r="L123"/>
  <c r="O123" s="1"/>
  <c r="I123"/>
  <c r="S123" s="1"/>
  <c r="R122"/>
  <c r="Q122"/>
  <c r="M122"/>
  <c r="L122"/>
  <c r="O122" s="1"/>
  <c r="I122"/>
  <c r="S122" s="1"/>
  <c r="R120"/>
  <c r="Q120"/>
  <c r="M120"/>
  <c r="L120"/>
  <c r="O120" s="1"/>
  <c r="I120"/>
  <c r="S120" s="1"/>
  <c r="R119"/>
  <c r="Q119"/>
  <c r="M119"/>
  <c r="L119"/>
  <c r="O119" s="1"/>
  <c r="I119"/>
  <c r="S119" s="1"/>
  <c r="R118"/>
  <c r="Q118"/>
  <c r="M118"/>
  <c r="L118"/>
  <c r="O118" s="1"/>
  <c r="I118"/>
  <c r="S118" s="1"/>
  <c r="R117"/>
  <c r="Q117"/>
  <c r="M117"/>
  <c r="L117"/>
  <c r="O117" s="1"/>
  <c r="I117"/>
  <c r="S117" s="1"/>
  <c r="R116"/>
  <c r="Q116"/>
  <c r="M116"/>
  <c r="L116"/>
  <c r="O116" s="1"/>
  <c r="I116"/>
  <c r="S116" s="1"/>
  <c r="R115"/>
  <c r="Q115"/>
  <c r="M115"/>
  <c r="O115"/>
  <c r="I115"/>
  <c r="S115" s="1"/>
  <c r="R114"/>
  <c r="Q114"/>
  <c r="M114"/>
  <c r="L114"/>
  <c r="O114" s="1"/>
  <c r="I114"/>
  <c r="S114" s="1"/>
  <c r="R113"/>
  <c r="Q113"/>
  <c r="M113"/>
  <c r="L113"/>
  <c r="O113" s="1"/>
  <c r="I113"/>
  <c r="S113" s="1"/>
  <c r="R112"/>
  <c r="Q112"/>
  <c r="M112"/>
  <c r="L112"/>
  <c r="O112" s="1"/>
  <c r="I112"/>
  <c r="S112" s="1"/>
  <c r="R111"/>
  <c r="Q111"/>
  <c r="M111"/>
  <c r="L111"/>
  <c r="O111" s="1"/>
  <c r="I111"/>
  <c r="S111" s="1"/>
  <c r="R110"/>
  <c r="Q110"/>
  <c r="M110"/>
  <c r="L110"/>
  <c r="O110" s="1"/>
  <c r="I110"/>
  <c r="S110" s="1"/>
  <c r="R108"/>
  <c r="Q108"/>
  <c r="M108"/>
  <c r="L108"/>
  <c r="O108" s="1"/>
  <c r="I108"/>
  <c r="S108" s="1"/>
  <c r="R107"/>
  <c r="Q107"/>
  <c r="M107"/>
  <c r="L107"/>
  <c r="O107" s="1"/>
  <c r="I107"/>
  <c r="S107" s="1"/>
  <c r="R106"/>
  <c r="Q106"/>
  <c r="M106"/>
  <c r="L106"/>
  <c r="O106" s="1"/>
  <c r="I106"/>
  <c r="S106" s="1"/>
  <c r="R105"/>
  <c r="Q105"/>
  <c r="M105"/>
  <c r="L105"/>
  <c r="O105" s="1"/>
  <c r="I105"/>
  <c r="S105" s="1"/>
  <c r="R104"/>
  <c r="Q104"/>
  <c r="M104"/>
  <c r="L104"/>
  <c r="O104" s="1"/>
  <c r="I104"/>
  <c r="S104" s="1"/>
  <c r="R103"/>
  <c r="Q103"/>
  <c r="M103"/>
  <c r="L103"/>
  <c r="O103" s="1"/>
  <c r="I103"/>
  <c r="S103" s="1"/>
  <c r="R102"/>
  <c r="Q102"/>
  <c r="M102"/>
  <c r="L102"/>
  <c r="O102" s="1"/>
  <c r="I102"/>
  <c r="S102" s="1"/>
  <c r="R101"/>
  <c r="Q101"/>
  <c r="M101"/>
  <c r="L101"/>
  <c r="O101" s="1"/>
  <c r="I101"/>
  <c r="S101" s="1"/>
  <c r="R100"/>
  <c r="Q100"/>
  <c r="M100"/>
  <c r="L100"/>
  <c r="O100" s="1"/>
  <c r="I100"/>
  <c r="S100" s="1"/>
  <c r="R99"/>
  <c r="Q99"/>
  <c r="M99"/>
  <c r="L99"/>
  <c r="O99" s="1"/>
  <c r="I99"/>
  <c r="S99" s="1"/>
  <c r="R98"/>
  <c r="Q98"/>
  <c r="M98"/>
  <c r="L98"/>
  <c r="O98" s="1"/>
  <c r="I98"/>
  <c r="S98" s="1"/>
  <c r="R97"/>
  <c r="Q97"/>
  <c r="M97"/>
  <c r="L97"/>
  <c r="O97" s="1"/>
  <c r="I97"/>
  <c r="S97" s="1"/>
  <c r="R96"/>
  <c r="Q96"/>
  <c r="M96"/>
  <c r="L96"/>
  <c r="O96" s="1"/>
  <c r="I96"/>
  <c r="S96" s="1"/>
  <c r="R95"/>
  <c r="Q95"/>
  <c r="M95"/>
  <c r="L95"/>
  <c r="O95" s="1"/>
  <c r="I95"/>
  <c r="S95" s="1"/>
  <c r="R94"/>
  <c r="Q94"/>
  <c r="M94"/>
  <c r="L94"/>
  <c r="O94" s="1"/>
  <c r="I94"/>
  <c r="S94" s="1"/>
  <c r="R93"/>
  <c r="Q93"/>
  <c r="M93"/>
  <c r="L93"/>
  <c r="O93" s="1"/>
  <c r="I93"/>
  <c r="S93" s="1"/>
  <c r="R91"/>
  <c r="Q91"/>
  <c r="M91"/>
  <c r="L91"/>
  <c r="O91" s="1"/>
  <c r="I91"/>
  <c r="S91" s="1"/>
  <c r="R90"/>
  <c r="Q90"/>
  <c r="M90"/>
  <c r="L90"/>
  <c r="O90" s="1"/>
  <c r="I90"/>
  <c r="S90" s="1"/>
  <c r="R89"/>
  <c r="Q89"/>
  <c r="M89"/>
  <c r="O89"/>
  <c r="I89"/>
  <c r="S89" s="1"/>
  <c r="R88"/>
  <c r="Q88"/>
  <c r="M88"/>
  <c r="L88"/>
  <c r="O88" s="1"/>
  <c r="I88"/>
  <c r="S88" s="1"/>
  <c r="R87"/>
  <c r="Q87"/>
  <c r="M87"/>
  <c r="L87"/>
  <c r="O87" s="1"/>
  <c r="I87"/>
  <c r="S87" s="1"/>
  <c r="R86"/>
  <c r="Q86"/>
  <c r="M86"/>
  <c r="L86"/>
  <c r="O86" s="1"/>
  <c r="I86"/>
  <c r="S86" s="1"/>
  <c r="R85"/>
  <c r="Q85"/>
  <c r="M85"/>
  <c r="L85"/>
  <c r="O85" s="1"/>
  <c r="I85"/>
  <c r="S85" s="1"/>
  <c r="R84"/>
  <c r="Q84"/>
  <c r="M84"/>
  <c r="L84"/>
  <c r="O84" s="1"/>
  <c r="I84"/>
  <c r="S84" s="1"/>
  <c r="R83"/>
  <c r="Q83"/>
  <c r="M83"/>
  <c r="L83"/>
  <c r="O83" s="1"/>
  <c r="I83"/>
  <c r="S83" s="1"/>
  <c r="R82"/>
  <c r="Q82"/>
  <c r="M82"/>
  <c r="L82"/>
  <c r="O82" s="1"/>
  <c r="I82"/>
  <c r="S82" s="1"/>
  <c r="R81"/>
  <c r="Q81"/>
  <c r="M81"/>
  <c r="L81"/>
  <c r="O81" s="1"/>
  <c r="I81"/>
  <c r="S81" s="1"/>
  <c r="R80"/>
  <c r="Q80"/>
  <c r="M80"/>
  <c r="L80"/>
  <c r="O80" s="1"/>
  <c r="I80"/>
  <c r="S80" s="1"/>
  <c r="R79"/>
  <c r="Q79"/>
  <c r="M79"/>
  <c r="L79"/>
  <c r="O79" s="1"/>
  <c r="I79"/>
  <c r="S79" s="1"/>
  <c r="R78"/>
  <c r="Q78"/>
  <c r="M78"/>
  <c r="L78"/>
  <c r="N78" s="1"/>
  <c r="I78"/>
  <c r="R77"/>
  <c r="Q77"/>
  <c r="M77"/>
  <c r="L77"/>
  <c r="O77" s="1"/>
  <c r="I77"/>
  <c r="S77" s="1"/>
  <c r="R76"/>
  <c r="Q76"/>
  <c r="M76"/>
  <c r="L76"/>
  <c r="O76" s="1"/>
  <c r="I76"/>
  <c r="S76" s="1"/>
  <c r="R75"/>
  <c r="Q75"/>
  <c r="M75"/>
  <c r="L75"/>
  <c r="O75" s="1"/>
  <c r="I75"/>
  <c r="S75" s="1"/>
  <c r="R74"/>
  <c r="Q74"/>
  <c r="M74"/>
  <c r="L74"/>
  <c r="O74" s="1"/>
  <c r="I74"/>
  <c r="S74" s="1"/>
  <c r="R73"/>
  <c r="Q73"/>
  <c r="M73"/>
  <c r="L73"/>
  <c r="O73" s="1"/>
  <c r="I73"/>
  <c r="S73" s="1"/>
  <c r="R72"/>
  <c r="Q72"/>
  <c r="M72"/>
  <c r="L72"/>
  <c r="O72" s="1"/>
  <c r="I72"/>
  <c r="S72" s="1"/>
  <c r="R71"/>
  <c r="Q71"/>
  <c r="M71"/>
  <c r="L71"/>
  <c r="O71" s="1"/>
  <c r="I71"/>
  <c r="S71" s="1"/>
  <c r="R70"/>
  <c r="Q70"/>
  <c r="M70"/>
  <c r="L70"/>
  <c r="O70" s="1"/>
  <c r="I70"/>
  <c r="S70" s="1"/>
  <c r="R69"/>
  <c r="Q69"/>
  <c r="M69"/>
  <c r="L69"/>
  <c r="O69" s="1"/>
  <c r="I69"/>
  <c r="S69" s="1"/>
  <c r="R68"/>
  <c r="Q68"/>
  <c r="M68"/>
  <c r="L68"/>
  <c r="O68" s="1"/>
  <c r="I68"/>
  <c r="S68" s="1"/>
  <c r="R67"/>
  <c r="Q67"/>
  <c r="M67"/>
  <c r="L67"/>
  <c r="O67" s="1"/>
  <c r="I67"/>
  <c r="S67" s="1"/>
  <c r="R66"/>
  <c r="Q66"/>
  <c r="M66"/>
  <c r="L66"/>
  <c r="O66" s="1"/>
  <c r="I66"/>
  <c r="S66" s="1"/>
  <c r="R65"/>
  <c r="Q65"/>
  <c r="M65"/>
  <c r="L65"/>
  <c r="O65" s="1"/>
  <c r="I65"/>
  <c r="S65" s="1"/>
  <c r="R64"/>
  <c r="Q64"/>
  <c r="M64"/>
  <c r="L64"/>
  <c r="O64" s="1"/>
  <c r="I64"/>
  <c r="S64" s="1"/>
  <c r="R63"/>
  <c r="Q63"/>
  <c r="M63"/>
  <c r="L63"/>
  <c r="O63" s="1"/>
  <c r="I63"/>
  <c r="S63" s="1"/>
  <c r="R62"/>
  <c r="Q62"/>
  <c r="M62"/>
  <c r="L62"/>
  <c r="O62" s="1"/>
  <c r="I62"/>
  <c r="S62" s="1"/>
  <c r="R61"/>
  <c r="Q61"/>
  <c r="M61"/>
  <c r="L61"/>
  <c r="O61" s="1"/>
  <c r="I61"/>
  <c r="S61" s="1"/>
  <c r="R60"/>
  <c r="Q60"/>
  <c r="M60"/>
  <c r="L60"/>
  <c r="O60" s="1"/>
  <c r="I60"/>
  <c r="S60" s="1"/>
  <c r="R59"/>
  <c r="Q59"/>
  <c r="M59"/>
  <c r="L59"/>
  <c r="O59" s="1"/>
  <c r="I59"/>
  <c r="S59" s="1"/>
  <c r="R58"/>
  <c r="Q58"/>
  <c r="M58"/>
  <c r="L58"/>
  <c r="O58" s="1"/>
  <c r="I58"/>
  <c r="S58" s="1"/>
  <c r="R57"/>
  <c r="Q57"/>
  <c r="M57"/>
  <c r="L57"/>
  <c r="O57" s="1"/>
  <c r="I57"/>
  <c r="S57" s="1"/>
  <c r="R56"/>
  <c r="Q56"/>
  <c r="M56"/>
  <c r="L56"/>
  <c r="O56" s="1"/>
  <c r="I56"/>
  <c r="S56" s="1"/>
  <c r="R55"/>
  <c r="Q55"/>
  <c r="M55"/>
  <c r="L55"/>
  <c r="O55" s="1"/>
  <c r="I55"/>
  <c r="S55" s="1"/>
  <c r="R54"/>
  <c r="Q54"/>
  <c r="M54"/>
  <c r="L54"/>
  <c r="O54" s="1"/>
  <c r="I54"/>
  <c r="S54" s="1"/>
  <c r="R53"/>
  <c r="Q53"/>
  <c r="M53"/>
  <c r="L53"/>
  <c r="O53" s="1"/>
  <c r="I53"/>
  <c r="S53" s="1"/>
  <c r="R52"/>
  <c r="Q52"/>
  <c r="M52"/>
  <c r="L52"/>
  <c r="O52" s="1"/>
  <c r="I52"/>
  <c r="S52" s="1"/>
  <c r="R51"/>
  <c r="Q51"/>
  <c r="M51"/>
  <c r="L51"/>
  <c r="O51" s="1"/>
  <c r="I51"/>
  <c r="S51" s="1"/>
  <c r="R50"/>
  <c r="Q50"/>
  <c r="M50"/>
  <c r="L50"/>
  <c r="O50" s="1"/>
  <c r="I50"/>
  <c r="S50" s="1"/>
  <c r="R49"/>
  <c r="Q49"/>
  <c r="M49"/>
  <c r="L49"/>
  <c r="O49" s="1"/>
  <c r="I49"/>
  <c r="S49" s="1"/>
  <c r="R48"/>
  <c r="Q48"/>
  <c r="M48"/>
  <c r="O48"/>
  <c r="I48"/>
  <c r="S48" s="1"/>
  <c r="R47"/>
  <c r="Q47"/>
  <c r="M47"/>
  <c r="L47"/>
  <c r="O47" s="1"/>
  <c r="I47"/>
  <c r="S47" s="1"/>
  <c r="R46"/>
  <c r="Q46"/>
  <c r="M46"/>
  <c r="L46"/>
  <c r="O46" s="1"/>
  <c r="I46"/>
  <c r="S46" s="1"/>
  <c r="R45"/>
  <c r="Q45"/>
  <c r="M45"/>
  <c r="L45"/>
  <c r="O45" s="1"/>
  <c r="I45"/>
  <c r="S45" s="1"/>
  <c r="R44"/>
  <c r="Q44"/>
  <c r="M44"/>
  <c r="L44"/>
  <c r="O44" s="1"/>
  <c r="I44"/>
  <c r="S44" s="1"/>
  <c r="R43"/>
  <c r="Q43"/>
  <c r="M43"/>
  <c r="L43"/>
  <c r="O43" s="1"/>
  <c r="I43"/>
  <c r="S43" s="1"/>
  <c r="R42"/>
  <c r="Q42"/>
  <c r="M42"/>
  <c r="L42"/>
  <c r="O42" s="1"/>
  <c r="I42"/>
  <c r="S42" s="1"/>
  <c r="R41"/>
  <c r="Q41"/>
  <c r="M41"/>
  <c r="L41"/>
  <c r="O41" s="1"/>
  <c r="I41"/>
  <c r="S41" s="1"/>
  <c r="R40"/>
  <c r="Q40"/>
  <c r="M40"/>
  <c r="L40"/>
  <c r="O40" s="1"/>
  <c r="I40"/>
  <c r="S40" s="1"/>
  <c r="R39"/>
  <c r="Q39"/>
  <c r="M39"/>
  <c r="L39"/>
  <c r="O39" s="1"/>
  <c r="I39"/>
  <c r="S39" s="1"/>
  <c r="R38"/>
  <c r="Q38"/>
  <c r="M38"/>
  <c r="L38"/>
  <c r="O38" s="1"/>
  <c r="I38"/>
  <c r="S38" s="1"/>
  <c r="R36"/>
  <c r="Q36"/>
  <c r="M36"/>
  <c r="L36"/>
  <c r="O36" s="1"/>
  <c r="I36"/>
  <c r="S36" s="1"/>
  <c r="R35"/>
  <c r="Q35"/>
  <c r="M35"/>
  <c r="L35"/>
  <c r="O35" s="1"/>
  <c r="I35"/>
  <c r="S35" s="1"/>
  <c r="R34"/>
  <c r="Q34"/>
  <c r="M34"/>
  <c r="L34"/>
  <c r="O34" s="1"/>
  <c r="I34"/>
  <c r="S34" s="1"/>
  <c r="R33"/>
  <c r="Q33"/>
  <c r="M33"/>
  <c r="L33"/>
  <c r="O33" s="1"/>
  <c r="I33"/>
  <c r="S33" s="1"/>
  <c r="R32"/>
  <c r="Q32"/>
  <c r="M32"/>
  <c r="L32"/>
  <c r="O32" s="1"/>
  <c r="I32"/>
  <c r="S32" s="1"/>
  <c r="R31"/>
  <c r="Q31"/>
  <c r="M31"/>
  <c r="L31"/>
  <c r="O31" s="1"/>
  <c r="I31"/>
  <c r="S31" s="1"/>
  <c r="R30"/>
  <c r="Q30"/>
  <c r="M30"/>
  <c r="L30"/>
  <c r="O30" s="1"/>
  <c r="I30"/>
  <c r="S30" s="1"/>
  <c r="R29"/>
  <c r="Q29"/>
  <c r="M29"/>
  <c r="L29"/>
  <c r="O29" s="1"/>
  <c r="I29"/>
  <c r="S29" s="1"/>
  <c r="R28"/>
  <c r="Q28"/>
  <c r="M28"/>
  <c r="L28"/>
  <c r="O28" s="1"/>
  <c r="I28"/>
  <c r="S28" s="1"/>
  <c r="R27"/>
  <c r="Q27"/>
  <c r="M27"/>
  <c r="L27"/>
  <c r="O27" s="1"/>
  <c r="I27"/>
  <c r="S27" s="1"/>
  <c r="R26"/>
  <c r="Q26"/>
  <c r="M26"/>
  <c r="L26"/>
  <c r="O26" s="1"/>
  <c r="I26"/>
  <c r="S26" s="1"/>
  <c r="R25"/>
  <c r="Q25"/>
  <c r="M25"/>
  <c r="L25"/>
  <c r="O25" s="1"/>
  <c r="I25"/>
  <c r="S25" s="1"/>
  <c r="R24"/>
  <c r="Q24"/>
  <c r="M24"/>
  <c r="L24"/>
  <c r="O24" s="1"/>
  <c r="I24"/>
  <c r="S24" s="1"/>
  <c r="R23"/>
  <c r="Q23"/>
  <c r="M23"/>
  <c r="L23"/>
  <c r="O23" s="1"/>
  <c r="I23"/>
  <c r="S23" s="1"/>
  <c r="R22"/>
  <c r="Q22"/>
  <c r="M22"/>
  <c r="L22"/>
  <c r="O22" s="1"/>
  <c r="I22"/>
  <c r="S22" s="1"/>
  <c r="R21"/>
  <c r="Q21"/>
  <c r="M21"/>
  <c r="L21"/>
  <c r="O21" s="1"/>
  <c r="I21"/>
  <c r="S21" s="1"/>
  <c r="R20"/>
  <c r="Q20"/>
  <c r="M20"/>
  <c r="L20"/>
  <c r="O20" s="1"/>
  <c r="I20"/>
  <c r="S20" s="1"/>
  <c r="R18"/>
  <c r="Q18"/>
  <c r="M18"/>
  <c r="L18"/>
  <c r="O18" s="1"/>
  <c r="I18"/>
  <c r="S18" s="1"/>
  <c r="R17"/>
  <c r="Q17"/>
  <c r="M17"/>
  <c r="L17"/>
  <c r="O17" s="1"/>
  <c r="I17"/>
  <c r="S17" s="1"/>
  <c r="R16"/>
  <c r="Q16"/>
  <c r="M16"/>
  <c r="L16"/>
  <c r="O16" s="1"/>
  <c r="I16"/>
  <c r="S16" s="1"/>
  <c r="R14"/>
  <c r="Q14"/>
  <c r="M14"/>
  <c r="L14"/>
  <c r="O14" s="1"/>
  <c r="I14"/>
  <c r="S14" s="1"/>
  <c r="R13"/>
  <c r="Q13"/>
  <c r="M13"/>
  <c r="L13"/>
  <c r="O13" s="1"/>
  <c r="I13"/>
  <c r="S13" s="1"/>
  <c r="R12"/>
  <c r="Q12"/>
  <c r="M12"/>
  <c r="L12"/>
  <c r="O12" s="1"/>
  <c r="I12"/>
  <c r="S12" s="1"/>
  <c r="R11"/>
  <c r="Q11"/>
  <c r="M11"/>
  <c r="L11"/>
  <c r="O11" s="1"/>
  <c r="I11"/>
  <c r="S11" s="1"/>
  <c r="R10"/>
  <c r="Q10"/>
  <c r="M10"/>
  <c r="L10"/>
  <c r="O10" s="1"/>
  <c r="I10"/>
  <c r="S10" s="1"/>
  <c r="R8"/>
  <c r="Q8"/>
  <c r="M8"/>
  <c r="L8"/>
  <c r="O8" s="1"/>
  <c r="I8"/>
  <c r="S8" s="1"/>
  <c r="R6"/>
  <c r="Q6"/>
  <c r="M6"/>
  <c r="L6"/>
  <c r="O6" s="1"/>
  <c r="I6"/>
  <c r="S6" s="1"/>
  <c r="R5"/>
  <c r="M5"/>
  <c r="L5"/>
  <c r="I5"/>
  <c r="R146" i="83"/>
  <c r="R151"/>
  <c r="R152"/>
  <c r="R153"/>
  <c r="R154"/>
  <c r="R155"/>
  <c r="R156"/>
  <c r="R157"/>
  <c r="R158"/>
  <c r="R159"/>
  <c r="Q151"/>
  <c r="Q152"/>
  <c r="Q153"/>
  <c r="Q154"/>
  <c r="Q155"/>
  <c r="Q156"/>
  <c r="Q157"/>
  <c r="Q158"/>
  <c r="Q159"/>
  <c r="N151"/>
  <c r="N152"/>
  <c r="N153"/>
  <c r="N154"/>
  <c r="N155"/>
  <c r="N156"/>
  <c r="N157"/>
  <c r="N158"/>
  <c r="N159"/>
  <c r="M151"/>
  <c r="M152"/>
  <c r="M153"/>
  <c r="M154"/>
  <c r="M155"/>
  <c r="M156"/>
  <c r="M157"/>
  <c r="M158"/>
  <c r="M159"/>
  <c r="L151"/>
  <c r="L152"/>
  <c r="L160" s="1"/>
  <c r="L153"/>
  <c r="L154"/>
  <c r="L155"/>
  <c r="L156"/>
  <c r="L157"/>
  <c r="L158"/>
  <c r="L159"/>
  <c r="K152"/>
  <c r="K153"/>
  <c r="K154"/>
  <c r="K155"/>
  <c r="K156"/>
  <c r="K157"/>
  <c r="K158"/>
  <c r="K159"/>
  <c r="K151"/>
  <c r="N160"/>
  <c r="M160"/>
  <c r="K160"/>
  <c r="G160"/>
  <c r="H160"/>
  <c r="F160"/>
  <c r="P151"/>
  <c r="P152"/>
  <c r="P153"/>
  <c r="P154"/>
  <c r="P155"/>
  <c r="P156"/>
  <c r="P157"/>
  <c r="P158"/>
  <c r="P159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5"/>
  <c r="H152"/>
  <c r="H153"/>
  <c r="H154"/>
  <c r="H155"/>
  <c r="H156"/>
  <c r="H157"/>
  <c r="H158"/>
  <c r="H159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5"/>
  <c r="Q150"/>
  <c r="R150" s="1"/>
  <c r="L150"/>
  <c r="K150"/>
  <c r="M150" s="1"/>
  <c r="Q149"/>
  <c r="R149" s="1"/>
  <c r="L149"/>
  <c r="K149"/>
  <c r="M149" s="1"/>
  <c r="Q148"/>
  <c r="R148" s="1"/>
  <c r="L148"/>
  <c r="K148"/>
  <c r="M148" s="1"/>
  <c r="Q147"/>
  <c r="R147" s="1"/>
  <c r="L147"/>
  <c r="K147"/>
  <c r="M147" s="1"/>
  <c r="Q146"/>
  <c r="L146"/>
  <c r="K146"/>
  <c r="M146" s="1"/>
  <c r="Q145"/>
  <c r="R145" s="1"/>
  <c r="L145"/>
  <c r="K145"/>
  <c r="M145" s="1"/>
  <c r="Q144"/>
  <c r="R144" s="1"/>
  <c r="L144"/>
  <c r="K144"/>
  <c r="M144" s="1"/>
  <c r="Q143"/>
  <c r="R143" s="1"/>
  <c r="L143"/>
  <c r="K143"/>
  <c r="M143" s="1"/>
  <c r="Q142"/>
  <c r="R142" s="1"/>
  <c r="L142"/>
  <c r="K142"/>
  <c r="M142" s="1"/>
  <c r="Q141"/>
  <c r="R141" s="1"/>
  <c r="L141"/>
  <c r="K141"/>
  <c r="M141" s="1"/>
  <c r="Q140"/>
  <c r="R140" s="1"/>
  <c r="L140"/>
  <c r="K140"/>
  <c r="M140" s="1"/>
  <c r="Q139"/>
  <c r="L139"/>
  <c r="K139"/>
  <c r="M139" s="1"/>
  <c r="Q138"/>
  <c r="R138" s="1"/>
  <c r="L138"/>
  <c r="K138"/>
  <c r="M138" s="1"/>
  <c r="Q137"/>
  <c r="L137"/>
  <c r="K137"/>
  <c r="M137" s="1"/>
  <c r="Q136"/>
  <c r="R136" s="1"/>
  <c r="L136"/>
  <c r="K136"/>
  <c r="M136" s="1"/>
  <c r="Q135"/>
  <c r="L135"/>
  <c r="K135"/>
  <c r="M135" s="1"/>
  <c r="Q134"/>
  <c r="R134" s="1"/>
  <c r="L134"/>
  <c r="K134"/>
  <c r="M134" s="1"/>
  <c r="Q133"/>
  <c r="R133" s="1"/>
  <c r="L133"/>
  <c r="K133"/>
  <c r="M133" s="1"/>
  <c r="Q132"/>
  <c r="R132" s="1"/>
  <c r="L132"/>
  <c r="K132"/>
  <c r="M132" s="1"/>
  <c r="Q131"/>
  <c r="R131" s="1"/>
  <c r="L131"/>
  <c r="K131"/>
  <c r="M131" s="1"/>
  <c r="Q130"/>
  <c r="R130" s="1"/>
  <c r="L130"/>
  <c r="K130"/>
  <c r="M130" s="1"/>
  <c r="Q129"/>
  <c r="L129"/>
  <c r="K129"/>
  <c r="M129" s="1"/>
  <c r="Q128"/>
  <c r="R128" s="1"/>
  <c r="L128"/>
  <c r="K128"/>
  <c r="N128" s="1"/>
  <c r="Q127"/>
  <c r="R127" s="1"/>
  <c r="L127"/>
  <c r="K127"/>
  <c r="Q126"/>
  <c r="R126" s="1"/>
  <c r="L126"/>
  <c r="K126"/>
  <c r="N126" s="1"/>
  <c r="Q125"/>
  <c r="R125" s="1"/>
  <c r="L125"/>
  <c r="K125"/>
  <c r="Q124"/>
  <c r="R124" s="1"/>
  <c r="L124"/>
  <c r="K124"/>
  <c r="N124" s="1"/>
  <c r="Q123"/>
  <c r="R123" s="1"/>
  <c r="L123"/>
  <c r="K123"/>
  <c r="Q122"/>
  <c r="R122" s="1"/>
  <c r="L122"/>
  <c r="K122"/>
  <c r="N122" s="1"/>
  <c r="Q121"/>
  <c r="R121" s="1"/>
  <c r="L121"/>
  <c r="K121"/>
  <c r="Q120"/>
  <c r="R120" s="1"/>
  <c r="L120"/>
  <c r="K120"/>
  <c r="N120" s="1"/>
  <c r="Q119"/>
  <c r="R119" s="1"/>
  <c r="L119"/>
  <c r="K119"/>
  <c r="Q118"/>
  <c r="R118" s="1"/>
  <c r="L118"/>
  <c r="K118"/>
  <c r="N118" s="1"/>
  <c r="Q117"/>
  <c r="R117" s="1"/>
  <c r="L117"/>
  <c r="K117"/>
  <c r="R116"/>
  <c r="Q116"/>
  <c r="L116"/>
  <c r="K116"/>
  <c r="N116" s="1"/>
  <c r="Q115"/>
  <c r="L115"/>
  <c r="K115"/>
  <c r="N115" s="1"/>
  <c r="Q114"/>
  <c r="R114" s="1"/>
  <c r="L114"/>
  <c r="K114"/>
  <c r="N114" s="1"/>
  <c r="Q113"/>
  <c r="L113"/>
  <c r="K113"/>
  <c r="N113" s="1"/>
  <c r="Q112"/>
  <c r="R112" s="1"/>
  <c r="L112"/>
  <c r="K112"/>
  <c r="N112" s="1"/>
  <c r="Q111"/>
  <c r="L111"/>
  <c r="K111"/>
  <c r="N111" s="1"/>
  <c r="Q110"/>
  <c r="R110" s="1"/>
  <c r="L110"/>
  <c r="K110"/>
  <c r="N110" s="1"/>
  <c r="Q109"/>
  <c r="L109"/>
  <c r="K109"/>
  <c r="N109" s="1"/>
  <c r="Q108"/>
  <c r="R108" s="1"/>
  <c r="L108"/>
  <c r="K108"/>
  <c r="N108" s="1"/>
  <c r="Q107"/>
  <c r="R107" s="1"/>
  <c r="L107"/>
  <c r="K107"/>
  <c r="N107" s="1"/>
  <c r="Q106"/>
  <c r="R106" s="1"/>
  <c r="L106"/>
  <c r="K106"/>
  <c r="N106" s="1"/>
  <c r="Q105"/>
  <c r="L105"/>
  <c r="K105"/>
  <c r="N105" s="1"/>
  <c r="Q104"/>
  <c r="R104" s="1"/>
  <c r="L104"/>
  <c r="K104"/>
  <c r="N104" s="1"/>
  <c r="Q103"/>
  <c r="R103" s="1"/>
  <c r="L103"/>
  <c r="K103"/>
  <c r="N103" s="1"/>
  <c r="Q102"/>
  <c r="R102" s="1"/>
  <c r="L102"/>
  <c r="K102"/>
  <c r="N102" s="1"/>
  <c r="Q101"/>
  <c r="R101" s="1"/>
  <c r="L101"/>
  <c r="K101"/>
  <c r="N101" s="1"/>
  <c r="Q100"/>
  <c r="R100" s="1"/>
  <c r="L100"/>
  <c r="K100"/>
  <c r="N100" s="1"/>
  <c r="Q99"/>
  <c r="R99" s="1"/>
  <c r="L99"/>
  <c r="K99"/>
  <c r="N99" s="1"/>
  <c r="Q98"/>
  <c r="R98" s="1"/>
  <c r="L98"/>
  <c r="K98"/>
  <c r="N98" s="1"/>
  <c r="Q97"/>
  <c r="R97" s="1"/>
  <c r="L97"/>
  <c r="K97"/>
  <c r="N97" s="1"/>
  <c r="Q96"/>
  <c r="R96" s="1"/>
  <c r="L96"/>
  <c r="K96"/>
  <c r="N96" s="1"/>
  <c r="Q95"/>
  <c r="R95" s="1"/>
  <c r="L95"/>
  <c r="K95"/>
  <c r="N95" s="1"/>
  <c r="Q94"/>
  <c r="R94" s="1"/>
  <c r="L94"/>
  <c r="K94"/>
  <c r="N94" s="1"/>
  <c r="Q93"/>
  <c r="R93" s="1"/>
  <c r="L93"/>
  <c r="K93"/>
  <c r="M93" s="1"/>
  <c r="Q92"/>
  <c r="R92" s="1"/>
  <c r="L92"/>
  <c r="K92"/>
  <c r="N92" s="1"/>
  <c r="Q91"/>
  <c r="R91" s="1"/>
  <c r="L91"/>
  <c r="K91"/>
  <c r="N91" s="1"/>
  <c r="Q90"/>
  <c r="R90" s="1"/>
  <c r="L90"/>
  <c r="K90"/>
  <c r="N90" s="1"/>
  <c r="Q89"/>
  <c r="R89" s="1"/>
  <c r="L89"/>
  <c r="K89"/>
  <c r="N89" s="1"/>
  <c r="Q88"/>
  <c r="R88" s="1"/>
  <c r="L88"/>
  <c r="K88"/>
  <c r="N88" s="1"/>
  <c r="Q87"/>
  <c r="L87"/>
  <c r="K87"/>
  <c r="N87" s="1"/>
  <c r="Q86"/>
  <c r="R86" s="1"/>
  <c r="L86"/>
  <c r="K86"/>
  <c r="N86" s="1"/>
  <c r="Q85"/>
  <c r="L85"/>
  <c r="K85"/>
  <c r="N85" s="1"/>
  <c r="Q84"/>
  <c r="R84" s="1"/>
  <c r="L84"/>
  <c r="K84"/>
  <c r="N84" s="1"/>
  <c r="Q83"/>
  <c r="R83" s="1"/>
  <c r="L83"/>
  <c r="K83"/>
  <c r="N83" s="1"/>
  <c r="Q82"/>
  <c r="R82" s="1"/>
  <c r="L82"/>
  <c r="K82"/>
  <c r="N82" s="1"/>
  <c r="Q81"/>
  <c r="R81" s="1"/>
  <c r="L81"/>
  <c r="K81"/>
  <c r="N81" s="1"/>
  <c r="Q80"/>
  <c r="R80" s="1"/>
  <c r="L80"/>
  <c r="K80"/>
  <c r="N80" s="1"/>
  <c r="Q79"/>
  <c r="R79" s="1"/>
  <c r="L79"/>
  <c r="K79"/>
  <c r="N79" s="1"/>
  <c r="Q78"/>
  <c r="R78" s="1"/>
  <c r="L78"/>
  <c r="K78"/>
  <c r="N78" s="1"/>
  <c r="Q77"/>
  <c r="R77" s="1"/>
  <c r="L77"/>
  <c r="K77"/>
  <c r="M77" s="1"/>
  <c r="Q76"/>
  <c r="R76" s="1"/>
  <c r="L76"/>
  <c r="K76"/>
  <c r="N76" s="1"/>
  <c r="Q75"/>
  <c r="R75" s="1"/>
  <c r="L75"/>
  <c r="K75"/>
  <c r="N75" s="1"/>
  <c r="Q74"/>
  <c r="R74" s="1"/>
  <c r="L74"/>
  <c r="K74"/>
  <c r="N74" s="1"/>
  <c r="Q73"/>
  <c r="R73" s="1"/>
  <c r="L73"/>
  <c r="K73"/>
  <c r="N73" s="1"/>
  <c r="Q72"/>
  <c r="R72" s="1"/>
  <c r="L72"/>
  <c r="K72"/>
  <c r="N72" s="1"/>
  <c r="Q71"/>
  <c r="R71" s="1"/>
  <c r="L71"/>
  <c r="K71"/>
  <c r="N71" s="1"/>
  <c r="Q70"/>
  <c r="R70" s="1"/>
  <c r="L70"/>
  <c r="K70"/>
  <c r="N70" s="1"/>
  <c r="Q69"/>
  <c r="R69" s="1"/>
  <c r="L69"/>
  <c r="K69"/>
  <c r="N69" s="1"/>
  <c r="Q68"/>
  <c r="R68" s="1"/>
  <c r="L68"/>
  <c r="K68"/>
  <c r="M68" s="1"/>
  <c r="Q67"/>
  <c r="R67" s="1"/>
  <c r="L67"/>
  <c r="K67"/>
  <c r="N67" s="1"/>
  <c r="Q66"/>
  <c r="R66" s="1"/>
  <c r="L66"/>
  <c r="K66"/>
  <c r="M66" s="1"/>
  <c r="Q65"/>
  <c r="R65" s="1"/>
  <c r="L65"/>
  <c r="K65"/>
  <c r="N65" s="1"/>
  <c r="Q64"/>
  <c r="R64" s="1"/>
  <c r="L64"/>
  <c r="K64"/>
  <c r="N64" s="1"/>
  <c r="Q63"/>
  <c r="L63"/>
  <c r="K63"/>
  <c r="N63" s="1"/>
  <c r="Q62"/>
  <c r="R62" s="1"/>
  <c r="L62"/>
  <c r="K62"/>
  <c r="N62" s="1"/>
  <c r="Q61"/>
  <c r="L61"/>
  <c r="K61"/>
  <c r="N61" s="1"/>
  <c r="Q60"/>
  <c r="R60" s="1"/>
  <c r="L60"/>
  <c r="K60"/>
  <c r="N60" s="1"/>
  <c r="Q59"/>
  <c r="L59"/>
  <c r="K59"/>
  <c r="N59" s="1"/>
  <c r="Q58"/>
  <c r="R58" s="1"/>
  <c r="L58"/>
  <c r="K58"/>
  <c r="N58" s="1"/>
  <c r="Q57"/>
  <c r="L57"/>
  <c r="K57"/>
  <c r="N57" s="1"/>
  <c r="Q56"/>
  <c r="R56" s="1"/>
  <c r="L56"/>
  <c r="K56"/>
  <c r="N56" s="1"/>
  <c r="Q55"/>
  <c r="L55"/>
  <c r="K55"/>
  <c r="N55" s="1"/>
  <c r="Q54"/>
  <c r="R54" s="1"/>
  <c r="L54"/>
  <c r="K54"/>
  <c r="N54" s="1"/>
  <c r="Q53"/>
  <c r="L53"/>
  <c r="K53"/>
  <c r="Q52"/>
  <c r="R52" s="1"/>
  <c r="L52"/>
  <c r="K52"/>
  <c r="N52" s="1"/>
  <c r="Q51"/>
  <c r="L51"/>
  <c r="K51"/>
  <c r="Q50"/>
  <c r="R50" s="1"/>
  <c r="L50"/>
  <c r="K50"/>
  <c r="N50" s="1"/>
  <c r="Q49"/>
  <c r="L49"/>
  <c r="K49"/>
  <c r="Q48"/>
  <c r="R48" s="1"/>
  <c r="L48"/>
  <c r="K48"/>
  <c r="N48" s="1"/>
  <c r="Q47"/>
  <c r="L47"/>
  <c r="K47"/>
  <c r="R46"/>
  <c r="Q46"/>
  <c r="L46"/>
  <c r="K46"/>
  <c r="N46" s="1"/>
  <c r="Q45"/>
  <c r="L45"/>
  <c r="K45"/>
  <c r="N45" s="1"/>
  <c r="Q44"/>
  <c r="R44" s="1"/>
  <c r="L44"/>
  <c r="K44"/>
  <c r="N44" s="1"/>
  <c r="Q43"/>
  <c r="L43"/>
  <c r="K43"/>
  <c r="N43" s="1"/>
  <c r="Q42"/>
  <c r="R42" s="1"/>
  <c r="L42"/>
  <c r="K42"/>
  <c r="N42" s="1"/>
  <c r="Q41"/>
  <c r="L41"/>
  <c r="K41"/>
  <c r="N41" s="1"/>
  <c r="Q40"/>
  <c r="R40" s="1"/>
  <c r="L40"/>
  <c r="K40"/>
  <c r="N40" s="1"/>
  <c r="Q39"/>
  <c r="L39"/>
  <c r="K39"/>
  <c r="N39" s="1"/>
  <c r="Q38"/>
  <c r="R38" s="1"/>
  <c r="L38"/>
  <c r="K38"/>
  <c r="N38" s="1"/>
  <c r="Q37"/>
  <c r="L37"/>
  <c r="K37"/>
  <c r="M37" s="1"/>
  <c r="Q36"/>
  <c r="R36" s="1"/>
  <c r="L36"/>
  <c r="K36"/>
  <c r="M36" s="1"/>
  <c r="Q35"/>
  <c r="L35"/>
  <c r="K35"/>
  <c r="M35" s="1"/>
  <c r="Q34"/>
  <c r="R34" s="1"/>
  <c r="L34"/>
  <c r="K34"/>
  <c r="M34" s="1"/>
  <c r="Q33"/>
  <c r="L33"/>
  <c r="K33"/>
  <c r="M33" s="1"/>
  <c r="R32"/>
  <c r="Q32"/>
  <c r="L32"/>
  <c r="K32"/>
  <c r="N32" s="1"/>
  <c r="Q31"/>
  <c r="L31"/>
  <c r="K31"/>
  <c r="N31" s="1"/>
  <c r="Q30"/>
  <c r="R30" s="1"/>
  <c r="L30"/>
  <c r="K30"/>
  <c r="N30" s="1"/>
  <c r="Q29"/>
  <c r="R29" s="1"/>
  <c r="L29"/>
  <c r="K29"/>
  <c r="N29" s="1"/>
  <c r="Q28"/>
  <c r="R28" s="1"/>
  <c r="L28"/>
  <c r="K28"/>
  <c r="N28" s="1"/>
  <c r="Q27"/>
  <c r="R27" s="1"/>
  <c r="L27"/>
  <c r="K27"/>
  <c r="N27" s="1"/>
  <c r="Q26"/>
  <c r="R26" s="1"/>
  <c r="L26"/>
  <c r="K26"/>
  <c r="N26" s="1"/>
  <c r="Q25"/>
  <c r="R25" s="1"/>
  <c r="L25"/>
  <c r="K25"/>
  <c r="N25" s="1"/>
  <c r="Q24"/>
  <c r="R24" s="1"/>
  <c r="L24"/>
  <c r="K24"/>
  <c r="N24" s="1"/>
  <c r="Q23"/>
  <c r="R23" s="1"/>
  <c r="L23"/>
  <c r="K23"/>
  <c r="N23" s="1"/>
  <c r="Q22"/>
  <c r="R22" s="1"/>
  <c r="L22"/>
  <c r="K22"/>
  <c r="N22" s="1"/>
  <c r="Q21"/>
  <c r="L21"/>
  <c r="K21"/>
  <c r="N21" s="1"/>
  <c r="Q20"/>
  <c r="R20" s="1"/>
  <c r="L20"/>
  <c r="K20"/>
  <c r="N20" s="1"/>
  <c r="Q19"/>
  <c r="R19" s="1"/>
  <c r="L19"/>
  <c r="K19"/>
  <c r="N19" s="1"/>
  <c r="Q18"/>
  <c r="R18" s="1"/>
  <c r="L18"/>
  <c r="K18"/>
  <c r="N18" s="1"/>
  <c r="Q17"/>
  <c r="R17" s="1"/>
  <c r="L17"/>
  <c r="K17"/>
  <c r="N17" s="1"/>
  <c r="Q16"/>
  <c r="R16" s="1"/>
  <c r="L16"/>
  <c r="K16"/>
  <c r="N16" s="1"/>
  <c r="Q15"/>
  <c r="R15" s="1"/>
  <c r="L15"/>
  <c r="K15"/>
  <c r="N15" s="1"/>
  <c r="Q14"/>
  <c r="R14" s="1"/>
  <c r="L14"/>
  <c r="K14"/>
  <c r="N14" s="1"/>
  <c r="Q13"/>
  <c r="R13" s="1"/>
  <c r="L13"/>
  <c r="K13"/>
  <c r="N13" s="1"/>
  <c r="Q12"/>
  <c r="R12" s="1"/>
  <c r="L12"/>
  <c r="K12"/>
  <c r="N12" s="1"/>
  <c r="Q11"/>
  <c r="R11" s="1"/>
  <c r="L11"/>
  <c r="K11"/>
  <c r="N11" s="1"/>
  <c r="Q10"/>
  <c r="R10" s="1"/>
  <c r="L10"/>
  <c r="K10"/>
  <c r="N10" s="1"/>
  <c r="Q9"/>
  <c r="R9" s="1"/>
  <c r="L9"/>
  <c r="K9"/>
  <c r="N9" s="1"/>
  <c r="Q8"/>
  <c r="R8" s="1"/>
  <c r="L8"/>
  <c r="K8"/>
  <c r="N8" s="1"/>
  <c r="Q7"/>
  <c r="R7" s="1"/>
  <c r="L7"/>
  <c r="K7"/>
  <c r="N7" s="1"/>
  <c r="Q6"/>
  <c r="R6" s="1"/>
  <c r="L6"/>
  <c r="K6"/>
  <c r="N6" s="1"/>
  <c r="Q5"/>
  <c r="L5"/>
  <c r="K5"/>
  <c r="H129" i="81"/>
  <c r="G151"/>
  <c r="H151"/>
  <c r="J151"/>
  <c r="F151"/>
  <c r="Q6"/>
  <c r="R6" s="1"/>
  <c r="Q7"/>
  <c r="R7" s="1"/>
  <c r="Q8"/>
  <c r="R8" s="1"/>
  <c r="Q9"/>
  <c r="R9" s="1"/>
  <c r="Q10"/>
  <c r="R10" s="1"/>
  <c r="Q11"/>
  <c r="R11" s="1"/>
  <c r="Q12"/>
  <c r="R12" s="1"/>
  <c r="Q13"/>
  <c r="R13" s="1"/>
  <c r="Q14"/>
  <c r="R14" s="1"/>
  <c r="Q15"/>
  <c r="R15" s="1"/>
  <c r="Q16"/>
  <c r="R16" s="1"/>
  <c r="Q17"/>
  <c r="R17" s="1"/>
  <c r="Q18"/>
  <c r="R18" s="1"/>
  <c r="Q19"/>
  <c r="R19" s="1"/>
  <c r="Q20"/>
  <c r="R20" s="1"/>
  <c r="Q21"/>
  <c r="R21" s="1"/>
  <c r="Q22"/>
  <c r="R22" s="1"/>
  <c r="Q23"/>
  <c r="R23" s="1"/>
  <c r="Q24"/>
  <c r="R24" s="1"/>
  <c r="Q25"/>
  <c r="R25" s="1"/>
  <c r="Q26"/>
  <c r="R26" s="1"/>
  <c r="Q27"/>
  <c r="R27" s="1"/>
  <c r="Q28"/>
  <c r="R28" s="1"/>
  <c r="Q29"/>
  <c r="R29" s="1"/>
  <c r="Q30"/>
  <c r="R30" s="1"/>
  <c r="Q31"/>
  <c r="R31" s="1"/>
  <c r="Q32"/>
  <c r="R32" s="1"/>
  <c r="Q33"/>
  <c r="R33" s="1"/>
  <c r="Q34"/>
  <c r="R34" s="1"/>
  <c r="Q35"/>
  <c r="R35" s="1"/>
  <c r="Q36"/>
  <c r="R36" s="1"/>
  <c r="Q37"/>
  <c r="R37" s="1"/>
  <c r="Q38"/>
  <c r="R38" s="1"/>
  <c r="Q39"/>
  <c r="R39" s="1"/>
  <c r="Q40"/>
  <c r="R40" s="1"/>
  <c r="Q41"/>
  <c r="R41" s="1"/>
  <c r="Q42"/>
  <c r="R42" s="1"/>
  <c r="Q43"/>
  <c r="R43" s="1"/>
  <c r="Q44"/>
  <c r="R44" s="1"/>
  <c r="Q45"/>
  <c r="R45" s="1"/>
  <c r="Q46"/>
  <c r="R46" s="1"/>
  <c r="Q47"/>
  <c r="R47" s="1"/>
  <c r="Q48"/>
  <c r="R48" s="1"/>
  <c r="Q49"/>
  <c r="R49" s="1"/>
  <c r="Q50"/>
  <c r="R50" s="1"/>
  <c r="Q51"/>
  <c r="R51" s="1"/>
  <c r="Q52"/>
  <c r="R52" s="1"/>
  <c r="Q53"/>
  <c r="R53" s="1"/>
  <c r="Q54"/>
  <c r="R54" s="1"/>
  <c r="Q55"/>
  <c r="R55" s="1"/>
  <c r="Q56"/>
  <c r="R56" s="1"/>
  <c r="Q57"/>
  <c r="R57" s="1"/>
  <c r="Q58"/>
  <c r="R58" s="1"/>
  <c r="Q59"/>
  <c r="R59" s="1"/>
  <c r="Q60"/>
  <c r="R60" s="1"/>
  <c r="Q61"/>
  <c r="R61" s="1"/>
  <c r="Q62"/>
  <c r="R62" s="1"/>
  <c r="Q63"/>
  <c r="R63" s="1"/>
  <c r="Q64"/>
  <c r="R64" s="1"/>
  <c r="Q65"/>
  <c r="R65" s="1"/>
  <c r="Q66"/>
  <c r="R66" s="1"/>
  <c r="Q67"/>
  <c r="R67" s="1"/>
  <c r="Q68"/>
  <c r="R68" s="1"/>
  <c r="Q69"/>
  <c r="R69" s="1"/>
  <c r="Q70"/>
  <c r="R70" s="1"/>
  <c r="Q71"/>
  <c r="R71" s="1"/>
  <c r="Q72"/>
  <c r="R72" s="1"/>
  <c r="Q73"/>
  <c r="R73" s="1"/>
  <c r="Q74"/>
  <c r="R74" s="1"/>
  <c r="Q75"/>
  <c r="R75" s="1"/>
  <c r="Q76"/>
  <c r="R76" s="1"/>
  <c r="Q77"/>
  <c r="R77" s="1"/>
  <c r="Q78"/>
  <c r="R78" s="1"/>
  <c r="Q79"/>
  <c r="R79" s="1"/>
  <c r="Q80"/>
  <c r="R80" s="1"/>
  <c r="Q81"/>
  <c r="R81" s="1"/>
  <c r="Q82"/>
  <c r="R82" s="1"/>
  <c r="Q83"/>
  <c r="R83" s="1"/>
  <c r="Q84"/>
  <c r="R84" s="1"/>
  <c r="Q85"/>
  <c r="R85" s="1"/>
  <c r="Q86"/>
  <c r="R86" s="1"/>
  <c r="Q87"/>
  <c r="R87" s="1"/>
  <c r="Q88"/>
  <c r="R88" s="1"/>
  <c r="Q89"/>
  <c r="R89" s="1"/>
  <c r="Q90"/>
  <c r="R90" s="1"/>
  <c r="Q91"/>
  <c r="R91" s="1"/>
  <c r="Q92"/>
  <c r="R92" s="1"/>
  <c r="Q93"/>
  <c r="R93" s="1"/>
  <c r="Q94"/>
  <c r="R94" s="1"/>
  <c r="Q95"/>
  <c r="R95" s="1"/>
  <c r="Q96"/>
  <c r="R96" s="1"/>
  <c r="Q97"/>
  <c r="R97" s="1"/>
  <c r="Q98"/>
  <c r="R98" s="1"/>
  <c r="Q99"/>
  <c r="R99" s="1"/>
  <c r="Q100"/>
  <c r="R100" s="1"/>
  <c r="Q101"/>
  <c r="R101" s="1"/>
  <c r="Q102"/>
  <c r="R102" s="1"/>
  <c r="Q103"/>
  <c r="R103" s="1"/>
  <c r="Q104"/>
  <c r="R104" s="1"/>
  <c r="Q105"/>
  <c r="R105" s="1"/>
  <c r="Q106"/>
  <c r="R106" s="1"/>
  <c r="Q107"/>
  <c r="R107" s="1"/>
  <c r="Q108"/>
  <c r="R108" s="1"/>
  <c r="Q109"/>
  <c r="R109" s="1"/>
  <c r="Q110"/>
  <c r="R110" s="1"/>
  <c r="Q111"/>
  <c r="R111" s="1"/>
  <c r="Q112"/>
  <c r="R112" s="1"/>
  <c r="Q113"/>
  <c r="R113" s="1"/>
  <c r="Q114"/>
  <c r="R114" s="1"/>
  <c r="Q115"/>
  <c r="R115" s="1"/>
  <c r="Q116"/>
  <c r="R116" s="1"/>
  <c r="Q117"/>
  <c r="R117" s="1"/>
  <c r="Q118"/>
  <c r="R118" s="1"/>
  <c r="Q119"/>
  <c r="R119" s="1"/>
  <c r="Q120"/>
  <c r="R120" s="1"/>
  <c r="Q121"/>
  <c r="R121" s="1"/>
  <c r="Q122"/>
  <c r="R122" s="1"/>
  <c r="Q123"/>
  <c r="R123" s="1"/>
  <c r="Q124"/>
  <c r="R124" s="1"/>
  <c r="Q125"/>
  <c r="R125" s="1"/>
  <c r="Q126"/>
  <c r="R126" s="1"/>
  <c r="Q127"/>
  <c r="R127" s="1"/>
  <c r="Q128"/>
  <c r="R128" s="1"/>
  <c r="Q129"/>
  <c r="R129" s="1"/>
  <c r="Q130"/>
  <c r="R130" s="1"/>
  <c r="Q131"/>
  <c r="R131" s="1"/>
  <c r="Q132"/>
  <c r="R132" s="1"/>
  <c r="Q133"/>
  <c r="R133" s="1"/>
  <c r="Q134"/>
  <c r="R134" s="1"/>
  <c r="Q135"/>
  <c r="R135" s="1"/>
  <c r="Q136"/>
  <c r="R136" s="1"/>
  <c r="Q137"/>
  <c r="R137" s="1"/>
  <c r="Q138"/>
  <c r="R138" s="1"/>
  <c r="Q139"/>
  <c r="R139" s="1"/>
  <c r="Q140"/>
  <c r="R140" s="1"/>
  <c r="Q141"/>
  <c r="R141" s="1"/>
  <c r="Q142"/>
  <c r="R142" s="1"/>
  <c r="Q143"/>
  <c r="R143" s="1"/>
  <c r="Q144"/>
  <c r="R144" s="1"/>
  <c r="Q145"/>
  <c r="R145" s="1"/>
  <c r="Q146"/>
  <c r="R146" s="1"/>
  <c r="Q147"/>
  <c r="R147" s="1"/>
  <c r="Q148"/>
  <c r="R148" s="1"/>
  <c r="Q149"/>
  <c r="R149" s="1"/>
  <c r="Q150"/>
  <c r="R150" s="1"/>
  <c r="Q5"/>
  <c r="R5" s="1"/>
  <c r="R151" s="1"/>
  <c r="L150"/>
  <c r="K150"/>
  <c r="N150" s="1"/>
  <c r="L149"/>
  <c r="K149"/>
  <c r="N149" s="1"/>
  <c r="L148"/>
  <c r="K148"/>
  <c r="N148" s="1"/>
  <c r="L147"/>
  <c r="K147"/>
  <c r="N147" s="1"/>
  <c r="L146"/>
  <c r="K146"/>
  <c r="N146" s="1"/>
  <c r="L145"/>
  <c r="K145"/>
  <c r="N145" s="1"/>
  <c r="L144"/>
  <c r="K144"/>
  <c r="N144" s="1"/>
  <c r="L143"/>
  <c r="K143"/>
  <c r="N143" s="1"/>
  <c r="L142"/>
  <c r="K142"/>
  <c r="N142" s="1"/>
  <c r="L141"/>
  <c r="K141"/>
  <c r="N141" s="1"/>
  <c r="L140"/>
  <c r="K140"/>
  <c r="N140" s="1"/>
  <c r="L139"/>
  <c r="K139"/>
  <c r="N139" s="1"/>
  <c r="L138"/>
  <c r="K138"/>
  <c r="N138" s="1"/>
  <c r="L137"/>
  <c r="K137"/>
  <c r="N137" s="1"/>
  <c r="L136"/>
  <c r="K136"/>
  <c r="N136" s="1"/>
  <c r="L135"/>
  <c r="K135"/>
  <c r="N135" s="1"/>
  <c r="L134"/>
  <c r="K134"/>
  <c r="N134" s="1"/>
  <c r="L133"/>
  <c r="K133"/>
  <c r="N133" s="1"/>
  <c r="L132"/>
  <c r="K132"/>
  <c r="N132" s="1"/>
  <c r="L131"/>
  <c r="K131"/>
  <c r="N131" s="1"/>
  <c r="L130"/>
  <c r="K130"/>
  <c r="N130" s="1"/>
  <c r="L129"/>
  <c r="K129"/>
  <c r="N129" s="1"/>
  <c r="L128"/>
  <c r="K128"/>
  <c r="N128" s="1"/>
  <c r="L127"/>
  <c r="K127"/>
  <c r="N127" s="1"/>
  <c r="L126"/>
  <c r="K126"/>
  <c r="N126" s="1"/>
  <c r="L125"/>
  <c r="K125"/>
  <c r="N125" s="1"/>
  <c r="L124"/>
  <c r="K124"/>
  <c r="N124" s="1"/>
  <c r="L123"/>
  <c r="K123"/>
  <c r="N123" s="1"/>
  <c r="L122"/>
  <c r="K122"/>
  <c r="N122" s="1"/>
  <c r="L121"/>
  <c r="K121"/>
  <c r="N121" s="1"/>
  <c r="L120"/>
  <c r="K120"/>
  <c r="N120" s="1"/>
  <c r="L119"/>
  <c r="K119"/>
  <c r="N119" s="1"/>
  <c r="L118"/>
  <c r="K118"/>
  <c r="N118" s="1"/>
  <c r="L117"/>
  <c r="K117"/>
  <c r="N117" s="1"/>
  <c r="L116"/>
  <c r="K116"/>
  <c r="N116" s="1"/>
  <c r="L115"/>
  <c r="K115"/>
  <c r="N115" s="1"/>
  <c r="L114"/>
  <c r="K114"/>
  <c r="N114" s="1"/>
  <c r="L113"/>
  <c r="K113"/>
  <c r="N113" s="1"/>
  <c r="L112"/>
  <c r="K112"/>
  <c r="N112" s="1"/>
  <c r="L111"/>
  <c r="K111"/>
  <c r="N111" s="1"/>
  <c r="L110"/>
  <c r="K110"/>
  <c r="N110" s="1"/>
  <c r="L109"/>
  <c r="K109"/>
  <c r="N109" s="1"/>
  <c r="L108"/>
  <c r="K108"/>
  <c r="N108" s="1"/>
  <c r="L107"/>
  <c r="K107"/>
  <c r="N107" s="1"/>
  <c r="L106"/>
  <c r="K106"/>
  <c r="N106" s="1"/>
  <c r="L105"/>
  <c r="K105"/>
  <c r="N105" s="1"/>
  <c r="L104"/>
  <c r="K104"/>
  <c r="N104" s="1"/>
  <c r="L103"/>
  <c r="K103"/>
  <c r="N103" s="1"/>
  <c r="L102"/>
  <c r="K102"/>
  <c r="N102" s="1"/>
  <c r="L101"/>
  <c r="K101"/>
  <c r="N101" s="1"/>
  <c r="L100"/>
  <c r="K100"/>
  <c r="N100" s="1"/>
  <c r="L99"/>
  <c r="K99"/>
  <c r="N99" s="1"/>
  <c r="L98"/>
  <c r="K98"/>
  <c r="N98" s="1"/>
  <c r="L97"/>
  <c r="K97"/>
  <c r="N97" s="1"/>
  <c r="L96"/>
  <c r="K96"/>
  <c r="N96" s="1"/>
  <c r="L95"/>
  <c r="K95"/>
  <c r="N95" s="1"/>
  <c r="L94"/>
  <c r="K94"/>
  <c r="N94" s="1"/>
  <c r="L93"/>
  <c r="K93"/>
  <c r="N93" s="1"/>
  <c r="L92"/>
  <c r="K92"/>
  <c r="N92" s="1"/>
  <c r="L91"/>
  <c r="K91"/>
  <c r="N91" s="1"/>
  <c r="L90"/>
  <c r="K90"/>
  <c r="N90" s="1"/>
  <c r="L89"/>
  <c r="K89"/>
  <c r="N89" s="1"/>
  <c r="L88"/>
  <c r="K88"/>
  <c r="N88" s="1"/>
  <c r="L87"/>
  <c r="K87"/>
  <c r="N87" s="1"/>
  <c r="L86"/>
  <c r="K86"/>
  <c r="N86" s="1"/>
  <c r="L85"/>
  <c r="K85"/>
  <c r="N85" s="1"/>
  <c r="L84"/>
  <c r="K84"/>
  <c r="N84" s="1"/>
  <c r="L83"/>
  <c r="K83"/>
  <c r="N83" s="1"/>
  <c r="L82"/>
  <c r="K82"/>
  <c r="N82" s="1"/>
  <c r="L81"/>
  <c r="K81"/>
  <c r="N81" s="1"/>
  <c r="L80"/>
  <c r="K80"/>
  <c r="N80" s="1"/>
  <c r="L79"/>
  <c r="K79"/>
  <c r="N79" s="1"/>
  <c r="L78"/>
  <c r="K78"/>
  <c r="N78" s="1"/>
  <c r="L77"/>
  <c r="K77"/>
  <c r="N77" s="1"/>
  <c r="L76"/>
  <c r="K76"/>
  <c r="N76" s="1"/>
  <c r="L75"/>
  <c r="K75"/>
  <c r="N75" s="1"/>
  <c r="L74"/>
  <c r="K74"/>
  <c r="N74" s="1"/>
  <c r="L73"/>
  <c r="K73"/>
  <c r="N73" s="1"/>
  <c r="L72"/>
  <c r="K72"/>
  <c r="N72" s="1"/>
  <c r="L71"/>
  <c r="K71"/>
  <c r="N71" s="1"/>
  <c r="L70"/>
  <c r="K70"/>
  <c r="N70" s="1"/>
  <c r="L69"/>
  <c r="K69"/>
  <c r="N69" s="1"/>
  <c r="L68"/>
  <c r="K68"/>
  <c r="N68" s="1"/>
  <c r="L67"/>
  <c r="K67"/>
  <c r="N67" s="1"/>
  <c r="L66"/>
  <c r="K66"/>
  <c r="N66" s="1"/>
  <c r="L65"/>
  <c r="K65"/>
  <c r="N65" s="1"/>
  <c r="L64"/>
  <c r="K64"/>
  <c r="N64" s="1"/>
  <c r="L63"/>
  <c r="K63"/>
  <c r="N63" s="1"/>
  <c r="L62"/>
  <c r="K62"/>
  <c r="N62" s="1"/>
  <c r="L61"/>
  <c r="K61"/>
  <c r="N61" s="1"/>
  <c r="L60"/>
  <c r="K60"/>
  <c r="N60" s="1"/>
  <c r="L59"/>
  <c r="K59"/>
  <c r="N59" s="1"/>
  <c r="L58"/>
  <c r="K58"/>
  <c r="N58" s="1"/>
  <c r="L57"/>
  <c r="K57"/>
  <c r="N57" s="1"/>
  <c r="L56"/>
  <c r="K56"/>
  <c r="N56" s="1"/>
  <c r="L55"/>
  <c r="K55"/>
  <c r="N55" s="1"/>
  <c r="L54"/>
  <c r="K54"/>
  <c r="N54" s="1"/>
  <c r="L53"/>
  <c r="K53"/>
  <c r="N53" s="1"/>
  <c r="L52"/>
  <c r="K52"/>
  <c r="N52" s="1"/>
  <c r="L51"/>
  <c r="K51"/>
  <c r="N51" s="1"/>
  <c r="L50"/>
  <c r="K50"/>
  <c r="N50" s="1"/>
  <c r="L49"/>
  <c r="K49"/>
  <c r="N49" s="1"/>
  <c r="L48"/>
  <c r="K48"/>
  <c r="N48" s="1"/>
  <c r="L47"/>
  <c r="K47"/>
  <c r="N47" s="1"/>
  <c r="L46"/>
  <c r="K46"/>
  <c r="N46" s="1"/>
  <c r="L45"/>
  <c r="K45"/>
  <c r="N45" s="1"/>
  <c r="L44"/>
  <c r="K44"/>
  <c r="N44" s="1"/>
  <c r="L43"/>
  <c r="K43"/>
  <c r="N43" s="1"/>
  <c r="L42"/>
  <c r="K42"/>
  <c r="N42" s="1"/>
  <c r="L41"/>
  <c r="K41"/>
  <c r="N41" s="1"/>
  <c r="L40"/>
  <c r="K40"/>
  <c r="N40" s="1"/>
  <c r="L39"/>
  <c r="K39"/>
  <c r="N39" s="1"/>
  <c r="L38"/>
  <c r="K38"/>
  <c r="N38" s="1"/>
  <c r="L37"/>
  <c r="K37"/>
  <c r="N37" s="1"/>
  <c r="L36"/>
  <c r="K36"/>
  <c r="N36" s="1"/>
  <c r="L35"/>
  <c r="K35"/>
  <c r="N35" s="1"/>
  <c r="L34"/>
  <c r="K34"/>
  <c r="N34" s="1"/>
  <c r="L33"/>
  <c r="K33"/>
  <c r="N33" s="1"/>
  <c r="L32"/>
  <c r="K32"/>
  <c r="N32" s="1"/>
  <c r="L31"/>
  <c r="K31"/>
  <c r="N31" s="1"/>
  <c r="L30"/>
  <c r="K30"/>
  <c r="N30" s="1"/>
  <c r="L29"/>
  <c r="K29"/>
  <c r="N29" s="1"/>
  <c r="L28"/>
  <c r="K28"/>
  <c r="N28" s="1"/>
  <c r="L27"/>
  <c r="K27"/>
  <c r="N27" s="1"/>
  <c r="L26"/>
  <c r="K26"/>
  <c r="N26" s="1"/>
  <c r="L25"/>
  <c r="K25"/>
  <c r="N25" s="1"/>
  <c r="L24"/>
  <c r="K24"/>
  <c r="N24" s="1"/>
  <c r="L23"/>
  <c r="K23"/>
  <c r="N23" s="1"/>
  <c r="L22"/>
  <c r="K22"/>
  <c r="N22" s="1"/>
  <c r="L21"/>
  <c r="K21"/>
  <c r="N21" s="1"/>
  <c r="L20"/>
  <c r="K20"/>
  <c r="N20" s="1"/>
  <c r="L19"/>
  <c r="K19"/>
  <c r="N19" s="1"/>
  <c r="L18"/>
  <c r="K18"/>
  <c r="N18" s="1"/>
  <c r="L17"/>
  <c r="K17"/>
  <c r="N17" s="1"/>
  <c r="L16"/>
  <c r="K16"/>
  <c r="N16" s="1"/>
  <c r="L15"/>
  <c r="K15"/>
  <c r="N15" s="1"/>
  <c r="L14"/>
  <c r="K14"/>
  <c r="N14" s="1"/>
  <c r="L13"/>
  <c r="K13"/>
  <c r="N13" s="1"/>
  <c r="L12"/>
  <c r="K12"/>
  <c r="N12" s="1"/>
  <c r="L11"/>
  <c r="K11"/>
  <c r="N11" s="1"/>
  <c r="L10"/>
  <c r="K10"/>
  <c r="N10" s="1"/>
  <c r="L9"/>
  <c r="K9"/>
  <c r="N9" s="1"/>
  <c r="L8"/>
  <c r="K8"/>
  <c r="N8" s="1"/>
  <c r="L7"/>
  <c r="K7"/>
  <c r="N7" s="1"/>
  <c r="L6"/>
  <c r="K6"/>
  <c r="N6" s="1"/>
  <c r="L5"/>
  <c r="K5"/>
  <c r="N5" s="1"/>
  <c r="N151" s="1"/>
  <c r="N161" i="85" l="1"/>
  <c r="N160"/>
  <c r="N159"/>
  <c r="N158"/>
  <c r="N157"/>
  <c r="N156"/>
  <c r="N155"/>
  <c r="N154"/>
  <c r="O79"/>
  <c r="N79"/>
  <c r="N5"/>
  <c r="O5"/>
  <c r="O167" s="1"/>
  <c r="S5"/>
  <c r="S167" s="1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6"/>
  <c r="N77"/>
  <c r="N78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31"/>
  <c r="N75"/>
  <c r="N162"/>
  <c r="N163"/>
  <c r="N164"/>
  <c r="N165"/>
  <c r="N166"/>
  <c r="S155" i="84"/>
  <c r="N154"/>
  <c r="L161"/>
  <c r="R161"/>
  <c r="O5"/>
  <c r="O78"/>
  <c r="I161"/>
  <c r="M161"/>
  <c r="S78"/>
  <c r="N5"/>
  <c r="S5"/>
  <c r="S161" s="1"/>
  <c r="N6"/>
  <c r="N8"/>
  <c r="N10"/>
  <c r="N11"/>
  <c r="N12"/>
  <c r="N13"/>
  <c r="N14"/>
  <c r="N16"/>
  <c r="N17"/>
  <c r="N18"/>
  <c r="N20"/>
  <c r="N21"/>
  <c r="N22"/>
  <c r="N23"/>
  <c r="N24"/>
  <c r="N25"/>
  <c r="N26"/>
  <c r="N27"/>
  <c r="N28"/>
  <c r="N29"/>
  <c r="N30"/>
  <c r="N31"/>
  <c r="N32"/>
  <c r="N33"/>
  <c r="N34"/>
  <c r="N35"/>
  <c r="N36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9"/>
  <c r="N80"/>
  <c r="N81"/>
  <c r="N82"/>
  <c r="N83"/>
  <c r="N84"/>
  <c r="N85"/>
  <c r="N86"/>
  <c r="N87"/>
  <c r="N88"/>
  <c r="N89"/>
  <c r="N90"/>
  <c r="N91"/>
  <c r="N93"/>
  <c r="N94"/>
  <c r="N95"/>
  <c r="N96"/>
  <c r="N97"/>
  <c r="N98"/>
  <c r="N99"/>
  <c r="N100"/>
  <c r="N101"/>
  <c r="N102"/>
  <c r="N103"/>
  <c r="N104"/>
  <c r="N105"/>
  <c r="N106"/>
  <c r="N107"/>
  <c r="N108"/>
  <c r="N110"/>
  <c r="N111"/>
  <c r="N112"/>
  <c r="N113"/>
  <c r="N114"/>
  <c r="N115"/>
  <c r="N116"/>
  <c r="N117"/>
  <c r="N118"/>
  <c r="N119"/>
  <c r="N120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5"/>
  <c r="N146"/>
  <c r="N147"/>
  <c r="N148"/>
  <c r="N149"/>
  <c r="N150"/>
  <c r="N151"/>
  <c r="N152"/>
  <c r="N153"/>
  <c r="N109"/>
  <c r="N7"/>
  <c r="N15"/>
  <c r="N37"/>
  <c r="N121"/>
  <c r="N144"/>
  <c r="N19"/>
  <c r="N92"/>
  <c r="N9"/>
  <c r="N156"/>
  <c r="N157"/>
  <c r="N158"/>
  <c r="N159"/>
  <c r="N160"/>
  <c r="Q160" i="83"/>
  <c r="N47"/>
  <c r="N49"/>
  <c r="N51"/>
  <c r="N53"/>
  <c r="N117"/>
  <c r="N119"/>
  <c r="N121"/>
  <c r="N123"/>
  <c r="N125"/>
  <c r="N127"/>
  <c r="R139"/>
  <c r="R135"/>
  <c r="R61"/>
  <c r="R55"/>
  <c r="R53"/>
  <c r="R47"/>
  <c r="R39"/>
  <c r="R37"/>
  <c r="R35"/>
  <c r="R33"/>
  <c r="R21"/>
  <c r="R31"/>
  <c r="R41"/>
  <c r="R43"/>
  <c r="R45"/>
  <c r="R49"/>
  <c r="R51"/>
  <c r="R57"/>
  <c r="R59"/>
  <c r="R63"/>
  <c r="R85"/>
  <c r="R87"/>
  <c r="R105"/>
  <c r="R109"/>
  <c r="R111"/>
  <c r="R113"/>
  <c r="R115"/>
  <c r="R137"/>
  <c r="N34"/>
  <c r="N36"/>
  <c r="N68"/>
  <c r="N93"/>
  <c r="N33"/>
  <c r="N35"/>
  <c r="N37"/>
  <c r="N66"/>
  <c r="N77"/>
  <c r="N140"/>
  <c r="M5"/>
  <c r="M6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8"/>
  <c r="M39"/>
  <c r="M40"/>
  <c r="M41"/>
  <c r="M42"/>
  <c r="M43"/>
  <c r="M44"/>
  <c r="M45"/>
  <c r="M46"/>
  <c r="M47"/>
  <c r="M48"/>
  <c r="M49"/>
  <c r="M50"/>
  <c r="M51"/>
  <c r="M52"/>
  <c r="M53"/>
  <c r="M54"/>
  <c r="M55"/>
  <c r="M56"/>
  <c r="M57"/>
  <c r="M58"/>
  <c r="M59"/>
  <c r="M60"/>
  <c r="M61"/>
  <c r="M62"/>
  <c r="M63"/>
  <c r="M64"/>
  <c r="M65"/>
  <c r="M67"/>
  <c r="M69"/>
  <c r="M70"/>
  <c r="M71"/>
  <c r="M72"/>
  <c r="M73"/>
  <c r="M74"/>
  <c r="M75"/>
  <c r="M76"/>
  <c r="M78"/>
  <c r="M79"/>
  <c r="M80"/>
  <c r="M81"/>
  <c r="M82"/>
  <c r="M83"/>
  <c r="M84"/>
  <c r="M85"/>
  <c r="M86"/>
  <c r="M87"/>
  <c r="M88"/>
  <c r="M89"/>
  <c r="M90"/>
  <c r="M91"/>
  <c r="M92"/>
  <c r="M94"/>
  <c r="M95"/>
  <c r="M96"/>
  <c r="M97"/>
  <c r="M98"/>
  <c r="M99"/>
  <c r="M100"/>
  <c r="M101"/>
  <c r="M102"/>
  <c r="M103"/>
  <c r="M104"/>
  <c r="M105"/>
  <c r="M106"/>
  <c r="M107"/>
  <c r="M108"/>
  <c r="M109"/>
  <c r="M110"/>
  <c r="M111"/>
  <c r="M112"/>
  <c r="M113"/>
  <c r="M114"/>
  <c r="M115"/>
  <c r="M116"/>
  <c r="M117"/>
  <c r="M118"/>
  <c r="M119"/>
  <c r="M120"/>
  <c r="M121"/>
  <c r="M122"/>
  <c r="M123"/>
  <c r="M124"/>
  <c r="M125"/>
  <c r="M126"/>
  <c r="M127"/>
  <c r="M128"/>
  <c r="N129"/>
  <c r="R129"/>
  <c r="N130"/>
  <c r="N131"/>
  <c r="N132"/>
  <c r="N133"/>
  <c r="N134"/>
  <c r="N135"/>
  <c r="N136"/>
  <c r="N137"/>
  <c r="N138"/>
  <c r="N139"/>
  <c r="N141"/>
  <c r="N142"/>
  <c r="N143"/>
  <c r="N144"/>
  <c r="N145"/>
  <c r="N146"/>
  <c r="N147"/>
  <c r="N148"/>
  <c r="N149"/>
  <c r="N150"/>
  <c r="N5"/>
  <c r="R5"/>
  <c r="L151" i="81"/>
  <c r="Q151"/>
  <c r="K151"/>
  <c r="M5"/>
  <c r="M7"/>
  <c r="M9"/>
  <c r="M11"/>
  <c r="M13"/>
  <c r="M15"/>
  <c r="M17"/>
  <c r="M19"/>
  <c r="M21"/>
  <c r="M23"/>
  <c r="M25"/>
  <c r="M27"/>
  <c r="M29"/>
  <c r="M31"/>
  <c r="M33"/>
  <c r="M35"/>
  <c r="M37"/>
  <c r="M39"/>
  <c r="M41"/>
  <c r="M43"/>
  <c r="M45"/>
  <c r="M47"/>
  <c r="M49"/>
  <c r="M51"/>
  <c r="M53"/>
  <c r="M55"/>
  <c r="M57"/>
  <c r="M59"/>
  <c r="M61"/>
  <c r="M63"/>
  <c r="M65"/>
  <c r="M67"/>
  <c r="M69"/>
  <c r="M71"/>
  <c r="M73"/>
  <c r="M75"/>
  <c r="M77"/>
  <c r="M79"/>
  <c r="M81"/>
  <c r="M83"/>
  <c r="M85"/>
  <c r="M87"/>
  <c r="M89"/>
  <c r="M91"/>
  <c r="M93"/>
  <c r="M95"/>
  <c r="M97"/>
  <c r="M99"/>
  <c r="M101"/>
  <c r="M103"/>
  <c r="M105"/>
  <c r="M107"/>
  <c r="M109"/>
  <c r="M111"/>
  <c r="M113"/>
  <c r="M115"/>
  <c r="M117"/>
  <c r="M119"/>
  <c r="M121"/>
  <c r="M123"/>
  <c r="M125"/>
  <c r="M127"/>
  <c r="M129"/>
  <c r="M131"/>
  <c r="M133"/>
  <c r="M135"/>
  <c r="M137"/>
  <c r="M139"/>
  <c r="M141"/>
  <c r="M143"/>
  <c r="M145"/>
  <c r="M147"/>
  <c r="M149"/>
  <c r="M6"/>
  <c r="M8"/>
  <c r="M10"/>
  <c r="M12"/>
  <c r="M14"/>
  <c r="M16"/>
  <c r="M18"/>
  <c r="M20"/>
  <c r="M22"/>
  <c r="M24"/>
  <c r="M26"/>
  <c r="M28"/>
  <c r="M30"/>
  <c r="M32"/>
  <c r="M34"/>
  <c r="M36"/>
  <c r="M38"/>
  <c r="M40"/>
  <c r="M42"/>
  <c r="M44"/>
  <c r="M46"/>
  <c r="M48"/>
  <c r="M50"/>
  <c r="M52"/>
  <c r="M54"/>
  <c r="M56"/>
  <c r="M58"/>
  <c r="M60"/>
  <c r="M62"/>
  <c r="M64"/>
  <c r="M66"/>
  <c r="M68"/>
  <c r="M70"/>
  <c r="M72"/>
  <c r="M74"/>
  <c r="M76"/>
  <c r="M78"/>
  <c r="M80"/>
  <c r="M82"/>
  <c r="M84"/>
  <c r="M86"/>
  <c r="M88"/>
  <c r="M90"/>
  <c r="M92"/>
  <c r="M94"/>
  <c r="M96"/>
  <c r="M98"/>
  <c r="M100"/>
  <c r="M102"/>
  <c r="M104"/>
  <c r="M106"/>
  <c r="M108"/>
  <c r="M110"/>
  <c r="M112"/>
  <c r="M114"/>
  <c r="M116"/>
  <c r="M118"/>
  <c r="M120"/>
  <c r="M122"/>
  <c r="M124"/>
  <c r="M126"/>
  <c r="M128"/>
  <c r="M130"/>
  <c r="M132"/>
  <c r="M134"/>
  <c r="M136"/>
  <c r="M138"/>
  <c r="M140"/>
  <c r="M142"/>
  <c r="M144"/>
  <c r="M146"/>
  <c r="M148"/>
  <c r="M150"/>
  <c r="N167" i="85" l="1"/>
  <c r="O161" i="84"/>
  <c r="N161"/>
  <c r="R160" i="83"/>
  <c r="M151" i="81"/>
  <c r="G151" i="78"/>
  <c r="I151"/>
  <c r="F151"/>
  <c r="L149"/>
  <c r="M149"/>
  <c r="N149"/>
  <c r="M131" i="77"/>
  <c r="L131"/>
  <c r="G131"/>
  <c r="H131"/>
  <c r="I131"/>
  <c r="F131"/>
  <c r="M132" i="76"/>
  <c r="L132"/>
  <c r="G132"/>
  <c r="H132"/>
  <c r="I132"/>
  <c r="F132"/>
  <c r="H145" i="78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L127"/>
  <c r="L128"/>
  <c r="L129"/>
  <c r="L130"/>
  <c r="L131"/>
  <c r="L132"/>
  <c r="L133"/>
  <c r="L134"/>
  <c r="M134" s="1"/>
  <c r="L135"/>
  <c r="M135" s="1"/>
  <c r="L136"/>
  <c r="M136" s="1"/>
  <c r="L137"/>
  <c r="L138"/>
  <c r="L139"/>
  <c r="L140"/>
  <c r="L141"/>
  <c r="L142"/>
  <c r="L143"/>
  <c r="L144"/>
  <c r="L145"/>
  <c r="M145" s="1"/>
  <c r="L126"/>
  <c r="M126"/>
  <c r="N126"/>
  <c r="H141"/>
  <c r="H140"/>
  <c r="H139"/>
  <c r="H138"/>
  <c r="H142"/>
  <c r="H144"/>
  <c r="H143"/>
  <c r="H137"/>
  <c r="H133"/>
  <c r="H132"/>
  <c r="H131"/>
  <c r="H130"/>
  <c r="H129"/>
  <c r="H128"/>
  <c r="H127"/>
  <c r="N150"/>
  <c r="L150"/>
  <c r="M150" s="1"/>
  <c r="N148"/>
  <c r="L148"/>
  <c r="H148"/>
  <c r="M148" s="1"/>
  <c r="N147"/>
  <c r="L147"/>
  <c r="M147" s="1"/>
  <c r="N146"/>
  <c r="L146"/>
  <c r="L151" s="1"/>
  <c r="H146"/>
  <c r="M146" s="1"/>
  <c r="M151" s="1"/>
  <c r="N125"/>
  <c r="L125"/>
  <c r="M125" s="1"/>
  <c r="N124"/>
  <c r="L124"/>
  <c r="H124"/>
  <c r="M124" s="1"/>
  <c r="N123"/>
  <c r="L123"/>
  <c r="H123"/>
  <c r="M123" s="1"/>
  <c r="N122"/>
  <c r="L122"/>
  <c r="H122"/>
  <c r="M122" s="1"/>
  <c r="N121"/>
  <c r="L121"/>
  <c r="M121" s="1"/>
  <c r="N120"/>
  <c r="L120"/>
  <c r="H120"/>
  <c r="M120" s="1"/>
  <c r="N119"/>
  <c r="L119"/>
  <c r="H119"/>
  <c r="M119" s="1"/>
  <c r="N118"/>
  <c r="L118"/>
  <c r="H118"/>
  <c r="M118" s="1"/>
  <c r="N117"/>
  <c r="L117"/>
  <c r="M117" s="1"/>
  <c r="N116"/>
  <c r="L116"/>
  <c r="H116"/>
  <c r="M116" s="1"/>
  <c r="N115"/>
  <c r="L115"/>
  <c r="H115"/>
  <c r="M115" s="1"/>
  <c r="N114"/>
  <c r="L114"/>
  <c r="M114" s="1"/>
  <c r="N113"/>
  <c r="L113"/>
  <c r="H113"/>
  <c r="M113" s="1"/>
  <c r="N112"/>
  <c r="L112"/>
  <c r="H112"/>
  <c r="M112" s="1"/>
  <c r="N111"/>
  <c r="L111"/>
  <c r="M111" s="1"/>
  <c r="N110"/>
  <c r="L110"/>
  <c r="H110"/>
  <c r="M110" s="1"/>
  <c r="N109"/>
  <c r="L109"/>
  <c r="H109"/>
  <c r="M109" s="1"/>
  <c r="N108"/>
  <c r="L108"/>
  <c r="H108"/>
  <c r="M108" s="1"/>
  <c r="N107"/>
  <c r="L107"/>
  <c r="H107"/>
  <c r="M107" s="1"/>
  <c r="N106"/>
  <c r="L106"/>
  <c r="H106"/>
  <c r="M106" s="1"/>
  <c r="N105"/>
  <c r="L105"/>
  <c r="H105"/>
  <c r="M105" s="1"/>
  <c r="N104"/>
  <c r="L104"/>
  <c r="H104"/>
  <c r="M104" s="1"/>
  <c r="N103"/>
  <c r="L103"/>
  <c r="H103"/>
  <c r="M103" s="1"/>
  <c r="N102"/>
  <c r="L102"/>
  <c r="H102"/>
  <c r="M102" s="1"/>
  <c r="N101"/>
  <c r="L101"/>
  <c r="M101" s="1"/>
  <c r="N100"/>
  <c r="L100"/>
  <c r="M100" s="1"/>
  <c r="N99"/>
  <c r="L99"/>
  <c r="H99"/>
  <c r="M99" s="1"/>
  <c r="N98"/>
  <c r="L98"/>
  <c r="H98"/>
  <c r="M98" s="1"/>
  <c r="N97"/>
  <c r="L97"/>
  <c r="H97"/>
  <c r="M97" s="1"/>
  <c r="N96"/>
  <c r="L96"/>
  <c r="H96"/>
  <c r="M96" s="1"/>
  <c r="N95"/>
  <c r="L95"/>
  <c r="H95"/>
  <c r="M95" s="1"/>
  <c r="N94"/>
  <c r="L94"/>
  <c r="M94" s="1"/>
  <c r="N93"/>
  <c r="L93"/>
  <c r="H93"/>
  <c r="M93" s="1"/>
  <c r="N92"/>
  <c r="L92"/>
  <c r="H92"/>
  <c r="M92" s="1"/>
  <c r="N91"/>
  <c r="L91"/>
  <c r="H91"/>
  <c r="M91" s="1"/>
  <c r="N90"/>
  <c r="L90"/>
  <c r="H90"/>
  <c r="M90" s="1"/>
  <c r="N89"/>
  <c r="L89"/>
  <c r="H89"/>
  <c r="M89" s="1"/>
  <c r="N88"/>
  <c r="L88"/>
  <c r="H88"/>
  <c r="M88" s="1"/>
  <c r="N87"/>
  <c r="L87"/>
  <c r="M87" s="1"/>
  <c r="N86"/>
  <c r="L86"/>
  <c r="M86" s="1"/>
  <c r="N85"/>
  <c r="L85"/>
  <c r="H85"/>
  <c r="M85" s="1"/>
  <c r="N84"/>
  <c r="L84"/>
  <c r="H84"/>
  <c r="M84" s="1"/>
  <c r="N83"/>
  <c r="L83"/>
  <c r="M83" s="1"/>
  <c r="N82"/>
  <c r="L82"/>
  <c r="H82"/>
  <c r="M82" s="1"/>
  <c r="N81"/>
  <c r="L81"/>
  <c r="H81"/>
  <c r="M81" s="1"/>
  <c r="N80"/>
  <c r="L80"/>
  <c r="M80" s="1"/>
  <c r="N79"/>
  <c r="L79"/>
  <c r="H79"/>
  <c r="M79" s="1"/>
  <c r="N78"/>
  <c r="L78"/>
  <c r="H78"/>
  <c r="M78" s="1"/>
  <c r="N77"/>
  <c r="L77"/>
  <c r="H77"/>
  <c r="M77" s="1"/>
  <c r="N76"/>
  <c r="L76"/>
  <c r="H76"/>
  <c r="M76" s="1"/>
  <c r="N75"/>
  <c r="L75"/>
  <c r="H75"/>
  <c r="M75" s="1"/>
  <c r="N74"/>
  <c r="L74"/>
  <c r="H74"/>
  <c r="M74" s="1"/>
  <c r="N73"/>
  <c r="L73"/>
  <c r="M73" s="1"/>
  <c r="N72"/>
  <c r="L72"/>
  <c r="H72"/>
  <c r="M72" s="1"/>
  <c r="N71"/>
  <c r="L71"/>
  <c r="H71"/>
  <c r="M71" s="1"/>
  <c r="N70"/>
  <c r="L70"/>
  <c r="H70"/>
  <c r="M70" s="1"/>
  <c r="N69"/>
  <c r="L69"/>
  <c r="H69"/>
  <c r="M69" s="1"/>
  <c r="N68"/>
  <c r="L68"/>
  <c r="M68" s="1"/>
  <c r="N67"/>
  <c r="L67"/>
  <c r="H67"/>
  <c r="M67" s="1"/>
  <c r="N66"/>
  <c r="L66"/>
  <c r="H66"/>
  <c r="M66" s="1"/>
  <c r="N65"/>
  <c r="L65"/>
  <c r="M65" s="1"/>
  <c r="N64"/>
  <c r="L64"/>
  <c r="M64" s="1"/>
  <c r="N63"/>
  <c r="L63"/>
  <c r="H63"/>
  <c r="M63" s="1"/>
  <c r="N62"/>
  <c r="L62"/>
  <c r="H62"/>
  <c r="M62" s="1"/>
  <c r="N61"/>
  <c r="L61"/>
  <c r="H61"/>
  <c r="M61" s="1"/>
  <c r="N60"/>
  <c r="L60"/>
  <c r="H60"/>
  <c r="M60" s="1"/>
  <c r="N59"/>
  <c r="L59"/>
  <c r="H59"/>
  <c r="M59" s="1"/>
  <c r="N58"/>
  <c r="L58"/>
  <c r="M58" s="1"/>
  <c r="N57"/>
  <c r="L57"/>
  <c r="H57"/>
  <c r="M57" s="1"/>
  <c r="N56"/>
  <c r="L56"/>
  <c r="H56"/>
  <c r="M56" s="1"/>
  <c r="N55"/>
  <c r="L55"/>
  <c r="M55" s="1"/>
  <c r="N54"/>
  <c r="L54"/>
  <c r="H54"/>
  <c r="M54" s="1"/>
  <c r="N53"/>
  <c r="L53"/>
  <c r="M53" s="1"/>
  <c r="N52"/>
  <c r="L52"/>
  <c r="H52"/>
  <c r="M52" s="1"/>
  <c r="N51"/>
  <c r="L51"/>
  <c r="H51"/>
  <c r="M51" s="1"/>
  <c r="N50"/>
  <c r="L50"/>
  <c r="H50"/>
  <c r="M50" s="1"/>
  <c r="N49"/>
  <c r="L49"/>
  <c r="H49"/>
  <c r="M49" s="1"/>
  <c r="N48"/>
  <c r="L48"/>
  <c r="H48"/>
  <c r="M48" s="1"/>
  <c r="N47"/>
  <c r="L47"/>
  <c r="M47" s="1"/>
  <c r="N46"/>
  <c r="L46"/>
  <c r="M46" s="1"/>
  <c r="N45"/>
  <c r="L45"/>
  <c r="M45" s="1"/>
  <c r="N44"/>
  <c r="L44"/>
  <c r="M44" s="1"/>
  <c r="N43"/>
  <c r="L43"/>
  <c r="H43"/>
  <c r="M43" s="1"/>
  <c r="N42"/>
  <c r="L42"/>
  <c r="M42" s="1"/>
  <c r="N41"/>
  <c r="L41"/>
  <c r="M41" s="1"/>
  <c r="N40"/>
  <c r="L40"/>
  <c r="M40" s="1"/>
  <c r="N39"/>
  <c r="L39"/>
  <c r="H39"/>
  <c r="M39" s="1"/>
  <c r="N38"/>
  <c r="L38"/>
  <c r="H38"/>
  <c r="M38" s="1"/>
  <c r="N37"/>
  <c r="L37"/>
  <c r="H37"/>
  <c r="M37" s="1"/>
  <c r="N36"/>
  <c r="L36"/>
  <c r="H36"/>
  <c r="M36" s="1"/>
  <c r="N35"/>
  <c r="L35"/>
  <c r="M35" s="1"/>
  <c r="N34"/>
  <c r="L34"/>
  <c r="H34"/>
  <c r="M34" s="1"/>
  <c r="N33"/>
  <c r="L33"/>
  <c r="H33"/>
  <c r="M33" s="1"/>
  <c r="N32"/>
  <c r="L32"/>
  <c r="H32"/>
  <c r="M32" s="1"/>
  <c r="N31"/>
  <c r="L31"/>
  <c r="M31" s="1"/>
  <c r="N30"/>
  <c r="L30"/>
  <c r="M30" s="1"/>
  <c r="N29"/>
  <c r="L29"/>
  <c r="M29" s="1"/>
  <c r="N28"/>
  <c r="L28"/>
  <c r="H28"/>
  <c r="M28" s="1"/>
  <c r="N27"/>
  <c r="L27"/>
  <c r="M27" s="1"/>
  <c r="N26"/>
  <c r="L26"/>
  <c r="H26"/>
  <c r="M26" s="1"/>
  <c r="N25"/>
  <c r="L25"/>
  <c r="M25" s="1"/>
  <c r="N24"/>
  <c r="L24"/>
  <c r="M24" s="1"/>
  <c r="N23"/>
  <c r="L23"/>
  <c r="M23" s="1"/>
  <c r="N22"/>
  <c r="L22"/>
  <c r="H22"/>
  <c r="M22" s="1"/>
  <c r="N21"/>
  <c r="L21"/>
  <c r="M21" s="1"/>
  <c r="N20"/>
  <c r="L20"/>
  <c r="H20"/>
  <c r="M20" s="1"/>
  <c r="N19"/>
  <c r="L19"/>
  <c r="H19"/>
  <c r="M19" s="1"/>
  <c r="N18"/>
  <c r="L18"/>
  <c r="H18"/>
  <c r="M18" s="1"/>
  <c r="N17"/>
  <c r="L17"/>
  <c r="H17"/>
  <c r="M17" s="1"/>
  <c r="N16"/>
  <c r="L16"/>
  <c r="H16"/>
  <c r="M16" s="1"/>
  <c r="N15"/>
  <c r="L15"/>
  <c r="H15"/>
  <c r="M15" s="1"/>
  <c r="N14"/>
  <c r="L14"/>
  <c r="M14" s="1"/>
  <c r="N13"/>
  <c r="L13"/>
  <c r="H13"/>
  <c r="M13" s="1"/>
  <c r="N12"/>
  <c r="L12"/>
  <c r="H12"/>
  <c r="M12" s="1"/>
  <c r="N11"/>
  <c r="L11"/>
  <c r="H11"/>
  <c r="M11" s="1"/>
  <c r="N10"/>
  <c r="L10"/>
  <c r="H10"/>
  <c r="M10" s="1"/>
  <c r="N9"/>
  <c r="L9"/>
  <c r="H9"/>
  <c r="M9" s="1"/>
  <c r="N8"/>
  <c r="L8"/>
  <c r="M8" s="1"/>
  <c r="N7"/>
  <c r="L7"/>
  <c r="H7"/>
  <c r="M7" s="1"/>
  <c r="N6"/>
  <c r="L6"/>
  <c r="H6"/>
  <c r="N130" i="77"/>
  <c r="L130"/>
  <c r="M130" s="1"/>
  <c r="N129"/>
  <c r="L129"/>
  <c r="H129"/>
  <c r="M129" s="1"/>
  <c r="N128"/>
  <c r="L128"/>
  <c r="M128" s="1"/>
  <c r="N127"/>
  <c r="L127"/>
  <c r="H127"/>
  <c r="M127" s="1"/>
  <c r="N66"/>
  <c r="L66"/>
  <c r="H66"/>
  <c r="M66" s="1"/>
  <c r="N93"/>
  <c r="L93"/>
  <c r="H93"/>
  <c r="M93" s="1"/>
  <c r="N126"/>
  <c r="L126"/>
  <c r="M126" s="1"/>
  <c r="N125"/>
  <c r="L125"/>
  <c r="H125"/>
  <c r="M125" s="1"/>
  <c r="N124"/>
  <c r="L124"/>
  <c r="H124"/>
  <c r="M124" s="1"/>
  <c r="N123"/>
  <c r="L123"/>
  <c r="H123"/>
  <c r="M123" s="1"/>
  <c r="N122"/>
  <c r="L122"/>
  <c r="M122" s="1"/>
  <c r="N121"/>
  <c r="L121"/>
  <c r="H121"/>
  <c r="M121" s="1"/>
  <c r="N120"/>
  <c r="L120"/>
  <c r="H120"/>
  <c r="M120" s="1"/>
  <c r="N119"/>
  <c r="L119"/>
  <c r="H119"/>
  <c r="M119" s="1"/>
  <c r="N118"/>
  <c r="L118"/>
  <c r="M118" s="1"/>
  <c r="N117"/>
  <c r="L117"/>
  <c r="H117"/>
  <c r="M117" s="1"/>
  <c r="N116"/>
  <c r="L116"/>
  <c r="H116"/>
  <c r="M116" s="1"/>
  <c r="N115"/>
  <c r="L115"/>
  <c r="M115" s="1"/>
  <c r="N114"/>
  <c r="L114"/>
  <c r="H114"/>
  <c r="M114" s="1"/>
  <c r="N113"/>
  <c r="L113"/>
  <c r="H113"/>
  <c r="M113" s="1"/>
  <c r="N112"/>
  <c r="L112"/>
  <c r="M112" s="1"/>
  <c r="N111"/>
  <c r="L111"/>
  <c r="H111"/>
  <c r="M111" s="1"/>
  <c r="N110"/>
  <c r="L110"/>
  <c r="H110"/>
  <c r="M110" s="1"/>
  <c r="N109"/>
  <c r="L109"/>
  <c r="H109"/>
  <c r="M109" s="1"/>
  <c r="N108"/>
  <c r="L108"/>
  <c r="H108"/>
  <c r="M108" s="1"/>
  <c r="N107"/>
  <c r="L107"/>
  <c r="H107"/>
  <c r="M107" s="1"/>
  <c r="N106"/>
  <c r="L106"/>
  <c r="H106"/>
  <c r="M106" s="1"/>
  <c r="N105"/>
  <c r="L105"/>
  <c r="H105"/>
  <c r="M105" s="1"/>
  <c r="N104"/>
  <c r="L104"/>
  <c r="H104"/>
  <c r="M104" s="1"/>
  <c r="N103"/>
  <c r="L103"/>
  <c r="H103"/>
  <c r="M103" s="1"/>
  <c r="N102"/>
  <c r="L102"/>
  <c r="H102"/>
  <c r="M102" s="1"/>
  <c r="N101"/>
  <c r="L101"/>
  <c r="M101" s="1"/>
  <c r="N100"/>
  <c r="L100"/>
  <c r="M100" s="1"/>
  <c r="N99"/>
  <c r="L99"/>
  <c r="H99"/>
  <c r="M99" s="1"/>
  <c r="N98"/>
  <c r="L98"/>
  <c r="H98"/>
  <c r="M98" s="1"/>
  <c r="N97"/>
  <c r="L97"/>
  <c r="H97"/>
  <c r="M97" s="1"/>
  <c r="N96"/>
  <c r="L96"/>
  <c r="H96"/>
  <c r="M96" s="1"/>
  <c r="N95"/>
  <c r="L95"/>
  <c r="H95"/>
  <c r="M95" s="1"/>
  <c r="N94"/>
  <c r="L94"/>
  <c r="M94" s="1"/>
  <c r="N92"/>
  <c r="L92"/>
  <c r="H92"/>
  <c r="M92" s="1"/>
  <c r="N91"/>
  <c r="L91"/>
  <c r="H91"/>
  <c r="M91" s="1"/>
  <c r="N90"/>
  <c r="L90"/>
  <c r="H90"/>
  <c r="M90" s="1"/>
  <c r="N89"/>
  <c r="L89"/>
  <c r="H89"/>
  <c r="M89" s="1"/>
  <c r="N88"/>
  <c r="L88"/>
  <c r="H88"/>
  <c r="M88" s="1"/>
  <c r="N87"/>
  <c r="L87"/>
  <c r="M87" s="1"/>
  <c r="N86"/>
  <c r="L86"/>
  <c r="M86" s="1"/>
  <c r="N85"/>
  <c r="L85"/>
  <c r="H85"/>
  <c r="M85" s="1"/>
  <c r="N84"/>
  <c r="L84"/>
  <c r="H84"/>
  <c r="M84" s="1"/>
  <c r="N83"/>
  <c r="L83"/>
  <c r="M83" s="1"/>
  <c r="N82"/>
  <c r="L82"/>
  <c r="H82"/>
  <c r="M82" s="1"/>
  <c r="N81"/>
  <c r="L81"/>
  <c r="H81"/>
  <c r="M81" s="1"/>
  <c r="N80"/>
  <c r="L80"/>
  <c r="M80" s="1"/>
  <c r="N79"/>
  <c r="L79"/>
  <c r="H79"/>
  <c r="M79" s="1"/>
  <c r="N78"/>
  <c r="L78"/>
  <c r="H78"/>
  <c r="M78" s="1"/>
  <c r="N77"/>
  <c r="L77"/>
  <c r="H77"/>
  <c r="M77" s="1"/>
  <c r="N76"/>
  <c r="L76"/>
  <c r="H76"/>
  <c r="M76" s="1"/>
  <c r="N75"/>
  <c r="L75"/>
  <c r="H75"/>
  <c r="M75" s="1"/>
  <c r="N74"/>
  <c r="L74"/>
  <c r="H74"/>
  <c r="M74" s="1"/>
  <c r="N73"/>
  <c r="L73"/>
  <c r="M73" s="1"/>
  <c r="N72"/>
  <c r="L72"/>
  <c r="H72"/>
  <c r="M72" s="1"/>
  <c r="N71"/>
  <c r="L71"/>
  <c r="H71"/>
  <c r="M71" s="1"/>
  <c r="N70"/>
  <c r="L70"/>
  <c r="H70"/>
  <c r="M70" s="1"/>
  <c r="N69"/>
  <c r="L69"/>
  <c r="H69"/>
  <c r="M69" s="1"/>
  <c r="N68"/>
  <c r="L68"/>
  <c r="M68" s="1"/>
  <c r="N67"/>
  <c r="L67"/>
  <c r="H67"/>
  <c r="M67" s="1"/>
  <c r="N65"/>
  <c r="L65"/>
  <c r="M65" s="1"/>
  <c r="N64"/>
  <c r="L64"/>
  <c r="M64" s="1"/>
  <c r="N63"/>
  <c r="L63"/>
  <c r="H63"/>
  <c r="M63" s="1"/>
  <c r="N62"/>
  <c r="L62"/>
  <c r="H62"/>
  <c r="M62" s="1"/>
  <c r="N61"/>
  <c r="L61"/>
  <c r="H61"/>
  <c r="M61" s="1"/>
  <c r="N60"/>
  <c r="L60"/>
  <c r="H60"/>
  <c r="M60" s="1"/>
  <c r="N59"/>
  <c r="L59"/>
  <c r="H59"/>
  <c r="M59" s="1"/>
  <c r="N58"/>
  <c r="L58"/>
  <c r="M58" s="1"/>
  <c r="N57"/>
  <c r="L57"/>
  <c r="H57"/>
  <c r="M57" s="1"/>
  <c r="N56"/>
  <c r="L56"/>
  <c r="H56"/>
  <c r="M56" s="1"/>
  <c r="N55"/>
  <c r="L55"/>
  <c r="M55" s="1"/>
  <c r="N54"/>
  <c r="L54"/>
  <c r="H54"/>
  <c r="M54" s="1"/>
  <c r="N53"/>
  <c r="L53"/>
  <c r="M53" s="1"/>
  <c r="N52"/>
  <c r="L52"/>
  <c r="H52"/>
  <c r="M52" s="1"/>
  <c r="N51"/>
  <c r="L51"/>
  <c r="H51"/>
  <c r="M51" s="1"/>
  <c r="N50"/>
  <c r="L50"/>
  <c r="H50"/>
  <c r="M50" s="1"/>
  <c r="N49"/>
  <c r="L49"/>
  <c r="H49"/>
  <c r="M49" s="1"/>
  <c r="N48"/>
  <c r="L48"/>
  <c r="H48"/>
  <c r="M48" s="1"/>
  <c r="N47"/>
  <c r="L47"/>
  <c r="M47" s="1"/>
  <c r="N46"/>
  <c r="L46"/>
  <c r="M46" s="1"/>
  <c r="N45"/>
  <c r="L45"/>
  <c r="M45" s="1"/>
  <c r="N44"/>
  <c r="L44"/>
  <c r="M44" s="1"/>
  <c r="N43"/>
  <c r="L43"/>
  <c r="H43"/>
  <c r="M43" s="1"/>
  <c r="N42"/>
  <c r="L42"/>
  <c r="M42" s="1"/>
  <c r="N41"/>
  <c r="L41"/>
  <c r="M41" s="1"/>
  <c r="N40"/>
  <c r="L40"/>
  <c r="M40" s="1"/>
  <c r="N39"/>
  <c r="L39"/>
  <c r="H39"/>
  <c r="M39" s="1"/>
  <c r="N38"/>
  <c r="L38"/>
  <c r="H38"/>
  <c r="M38" s="1"/>
  <c r="N37"/>
  <c r="L37"/>
  <c r="H37"/>
  <c r="M37" s="1"/>
  <c r="N36"/>
  <c r="L36"/>
  <c r="H36"/>
  <c r="M36" s="1"/>
  <c r="N35"/>
  <c r="L35"/>
  <c r="M35" s="1"/>
  <c r="N34"/>
  <c r="L34"/>
  <c r="H34"/>
  <c r="M34" s="1"/>
  <c r="N33"/>
  <c r="L33"/>
  <c r="H33"/>
  <c r="M33" s="1"/>
  <c r="N32"/>
  <c r="L32"/>
  <c r="H32"/>
  <c r="M32" s="1"/>
  <c r="N31"/>
  <c r="L31"/>
  <c r="M31" s="1"/>
  <c r="N30"/>
  <c r="L30"/>
  <c r="M30" s="1"/>
  <c r="N29"/>
  <c r="L29"/>
  <c r="M29" s="1"/>
  <c r="N28"/>
  <c r="L28"/>
  <c r="H28"/>
  <c r="M28" s="1"/>
  <c r="N27"/>
  <c r="L27"/>
  <c r="M27" s="1"/>
  <c r="N26"/>
  <c r="L26"/>
  <c r="H26"/>
  <c r="M26" s="1"/>
  <c r="N25"/>
  <c r="L25"/>
  <c r="M25" s="1"/>
  <c r="N24"/>
  <c r="L24"/>
  <c r="M24" s="1"/>
  <c r="N23"/>
  <c r="L23"/>
  <c r="M23" s="1"/>
  <c r="N22"/>
  <c r="L22"/>
  <c r="H22"/>
  <c r="M22" s="1"/>
  <c r="N21"/>
  <c r="L21"/>
  <c r="M21" s="1"/>
  <c r="N20"/>
  <c r="L20"/>
  <c r="H20"/>
  <c r="M20" s="1"/>
  <c r="N19"/>
  <c r="L19"/>
  <c r="H19"/>
  <c r="M19" s="1"/>
  <c r="N18"/>
  <c r="L18"/>
  <c r="H18"/>
  <c r="M18" s="1"/>
  <c r="N17"/>
  <c r="L17"/>
  <c r="H17"/>
  <c r="M17" s="1"/>
  <c r="N16"/>
  <c r="L16"/>
  <c r="H16"/>
  <c r="M16" s="1"/>
  <c r="N15"/>
  <c r="L15"/>
  <c r="H15"/>
  <c r="M15" s="1"/>
  <c r="N14"/>
  <c r="L14"/>
  <c r="M14" s="1"/>
  <c r="N13"/>
  <c r="L13"/>
  <c r="H13"/>
  <c r="M13" s="1"/>
  <c r="N12"/>
  <c r="L12"/>
  <c r="H12"/>
  <c r="M12" s="1"/>
  <c r="N11"/>
  <c r="L11"/>
  <c r="H11"/>
  <c r="M11" s="1"/>
  <c r="N10"/>
  <c r="L10"/>
  <c r="H10"/>
  <c r="M10" s="1"/>
  <c r="N9"/>
  <c r="L9"/>
  <c r="H9"/>
  <c r="M9" s="1"/>
  <c r="N8"/>
  <c r="L8"/>
  <c r="M8" s="1"/>
  <c r="N7"/>
  <c r="L7"/>
  <c r="H7"/>
  <c r="M7" s="1"/>
  <c r="N6"/>
  <c r="L6"/>
  <c r="H6"/>
  <c r="J160" i="83" l="1"/>
  <c r="H151" i="78"/>
  <c r="M144"/>
  <c r="M143"/>
  <c r="M142"/>
  <c r="M141"/>
  <c r="M140"/>
  <c r="M139"/>
  <c r="M138"/>
  <c r="M137"/>
  <c r="M133"/>
  <c r="M132"/>
  <c r="M131"/>
  <c r="M130"/>
  <c r="M129"/>
  <c r="M128"/>
  <c r="M127"/>
  <c r="M6"/>
  <c r="M6" i="77"/>
  <c r="L126" i="76" l="1"/>
  <c r="M126"/>
  <c r="N126"/>
  <c r="L127"/>
  <c r="M127"/>
  <c r="N127"/>
  <c r="H127"/>
  <c r="H126"/>
  <c r="N131"/>
  <c r="L131"/>
  <c r="M131" s="1"/>
  <c r="N130"/>
  <c r="L130"/>
  <c r="H130"/>
  <c r="M130" s="1"/>
  <c r="N129"/>
  <c r="L129"/>
  <c r="M129" s="1"/>
  <c r="N128"/>
  <c r="L128"/>
  <c r="H128"/>
  <c r="M128" s="1"/>
  <c r="N82"/>
  <c r="L82"/>
  <c r="H82"/>
  <c r="M82" s="1"/>
  <c r="N107"/>
  <c r="L107"/>
  <c r="H107"/>
  <c r="M107" s="1"/>
  <c r="N33"/>
  <c r="L33"/>
  <c r="H33"/>
  <c r="M33" s="1"/>
  <c r="N17"/>
  <c r="L17"/>
  <c r="H17"/>
  <c r="M17" s="1"/>
  <c r="N108"/>
  <c r="L108"/>
  <c r="H108"/>
  <c r="M108" s="1"/>
  <c r="N106"/>
  <c r="L106"/>
  <c r="H106"/>
  <c r="M106" s="1"/>
  <c r="N15"/>
  <c r="L15"/>
  <c r="M15" s="1"/>
  <c r="N86"/>
  <c r="L86"/>
  <c r="M86" s="1"/>
  <c r="N62"/>
  <c r="L62"/>
  <c r="H62"/>
  <c r="M62" s="1"/>
  <c r="N37"/>
  <c r="L37"/>
  <c r="H37"/>
  <c r="M37" s="1"/>
  <c r="N38"/>
  <c r="L38"/>
  <c r="H38"/>
  <c r="M38" s="1"/>
  <c r="N7"/>
  <c r="L7"/>
  <c r="H7"/>
  <c r="M7" s="1"/>
  <c r="N50"/>
  <c r="L50"/>
  <c r="H50"/>
  <c r="M50" s="1"/>
  <c r="N39"/>
  <c r="L39"/>
  <c r="H39"/>
  <c r="M39" s="1"/>
  <c r="N103"/>
  <c r="L103"/>
  <c r="H103"/>
  <c r="M103" s="1"/>
  <c r="N75"/>
  <c r="L75"/>
  <c r="H75"/>
  <c r="M75" s="1"/>
  <c r="N10"/>
  <c r="L10"/>
  <c r="H10"/>
  <c r="M10" s="1"/>
  <c r="N25"/>
  <c r="L25"/>
  <c r="M25" s="1"/>
  <c r="N105"/>
  <c r="L105"/>
  <c r="H105"/>
  <c r="M105" s="1"/>
  <c r="N22"/>
  <c r="L22"/>
  <c r="M22" s="1"/>
  <c r="N60"/>
  <c r="L60"/>
  <c r="H60"/>
  <c r="M60" s="1"/>
  <c r="N44"/>
  <c r="L44"/>
  <c r="H44"/>
  <c r="M44" s="1"/>
  <c r="N100"/>
  <c r="L100"/>
  <c r="M100" s="1"/>
  <c r="N55"/>
  <c r="L55"/>
  <c r="H55"/>
  <c r="M55" s="1"/>
  <c r="N68"/>
  <c r="L68"/>
  <c r="M68" s="1"/>
  <c r="N42"/>
  <c r="L42"/>
  <c r="M42" s="1"/>
  <c r="N18"/>
  <c r="L18"/>
  <c r="H18"/>
  <c r="M18" s="1"/>
  <c r="N57"/>
  <c r="L57"/>
  <c r="H57"/>
  <c r="M57" s="1"/>
  <c r="N64"/>
  <c r="L64"/>
  <c r="H64"/>
  <c r="M64" s="1"/>
  <c r="N20"/>
  <c r="L20"/>
  <c r="H20"/>
  <c r="M20" s="1"/>
  <c r="N69"/>
  <c r="L69"/>
  <c r="H69"/>
  <c r="M69" s="1"/>
  <c r="N35"/>
  <c r="L35"/>
  <c r="H35"/>
  <c r="M35" s="1"/>
  <c r="N11"/>
  <c r="L11"/>
  <c r="H11"/>
  <c r="M11" s="1"/>
  <c r="N85"/>
  <c r="L85"/>
  <c r="H85"/>
  <c r="M85" s="1"/>
  <c r="N27"/>
  <c r="L27"/>
  <c r="H27"/>
  <c r="M27" s="1"/>
  <c r="N80"/>
  <c r="L80"/>
  <c r="M80" s="1"/>
  <c r="N34"/>
  <c r="L34"/>
  <c r="H34"/>
  <c r="M34" s="1"/>
  <c r="N12"/>
  <c r="L12"/>
  <c r="H12"/>
  <c r="M12" s="1"/>
  <c r="N110"/>
  <c r="L110"/>
  <c r="H110"/>
  <c r="M110" s="1"/>
  <c r="N59"/>
  <c r="L59"/>
  <c r="M59" s="1"/>
  <c r="N24"/>
  <c r="L24"/>
  <c r="M24" s="1"/>
  <c r="N61"/>
  <c r="L61"/>
  <c r="H61"/>
  <c r="M61" s="1"/>
  <c r="N115"/>
  <c r="L115"/>
  <c r="H115"/>
  <c r="M115" s="1"/>
  <c r="N84"/>
  <c r="L84"/>
  <c r="H84"/>
  <c r="M84" s="1"/>
  <c r="N54"/>
  <c r="L54"/>
  <c r="M54" s="1"/>
  <c r="N48"/>
  <c r="L48"/>
  <c r="M48" s="1"/>
  <c r="N96"/>
  <c r="L96"/>
  <c r="H96"/>
  <c r="M96" s="1"/>
  <c r="N77"/>
  <c r="L77"/>
  <c r="H77"/>
  <c r="M77" s="1"/>
  <c r="N67"/>
  <c r="L67"/>
  <c r="H67"/>
  <c r="M67" s="1"/>
  <c r="N19"/>
  <c r="L19"/>
  <c r="H19"/>
  <c r="M19" s="1"/>
  <c r="N56"/>
  <c r="L56"/>
  <c r="M56" s="1"/>
  <c r="N71"/>
  <c r="L71"/>
  <c r="H71"/>
  <c r="M71" s="1"/>
  <c r="N72"/>
  <c r="L72"/>
  <c r="H72"/>
  <c r="M72" s="1"/>
  <c r="N46"/>
  <c r="L46"/>
  <c r="M46" s="1"/>
  <c r="N30"/>
  <c r="L30"/>
  <c r="M30" s="1"/>
  <c r="N97"/>
  <c r="L97"/>
  <c r="H97"/>
  <c r="M97" s="1"/>
  <c r="N118"/>
  <c r="L118"/>
  <c r="H118"/>
  <c r="M118" s="1"/>
  <c r="N90"/>
  <c r="L90"/>
  <c r="H90"/>
  <c r="M90" s="1"/>
  <c r="N31"/>
  <c r="L31"/>
  <c r="M31" s="1"/>
  <c r="N23"/>
  <c r="L23"/>
  <c r="H23"/>
  <c r="M23" s="1"/>
  <c r="N65"/>
  <c r="L65"/>
  <c r="M65" s="1"/>
  <c r="N124"/>
  <c r="L124"/>
  <c r="H124"/>
  <c r="M124" s="1"/>
  <c r="N121"/>
  <c r="L121"/>
  <c r="M121" s="1"/>
  <c r="N119"/>
  <c r="L119"/>
  <c r="H119"/>
  <c r="M119" s="1"/>
  <c r="N88"/>
  <c r="L88"/>
  <c r="H88"/>
  <c r="M88" s="1"/>
  <c r="N83"/>
  <c r="L83"/>
  <c r="M83" s="1"/>
  <c r="N14"/>
  <c r="L14"/>
  <c r="H14"/>
  <c r="M14" s="1"/>
  <c r="N28"/>
  <c r="L28"/>
  <c r="M28" s="1"/>
  <c r="N43"/>
  <c r="L43"/>
  <c r="M43" s="1"/>
  <c r="N74"/>
  <c r="L74"/>
  <c r="H74"/>
  <c r="M74" s="1"/>
  <c r="N21"/>
  <c r="L21"/>
  <c r="H21"/>
  <c r="M21" s="1"/>
  <c r="N66"/>
  <c r="L66"/>
  <c r="M66" s="1"/>
  <c r="N8"/>
  <c r="L8"/>
  <c r="M8" s="1"/>
  <c r="N53"/>
  <c r="L53"/>
  <c r="H53"/>
  <c r="M53" s="1"/>
  <c r="N49"/>
  <c r="L49"/>
  <c r="H49"/>
  <c r="M49" s="1"/>
  <c r="N76"/>
  <c r="L76"/>
  <c r="H76"/>
  <c r="M76" s="1"/>
  <c r="N102"/>
  <c r="L102"/>
  <c r="H102"/>
  <c r="M102" s="1"/>
  <c r="N16"/>
  <c r="L16"/>
  <c r="H16"/>
  <c r="M16" s="1"/>
  <c r="N70"/>
  <c r="L70"/>
  <c r="H70"/>
  <c r="M70" s="1"/>
  <c r="N73"/>
  <c r="L73"/>
  <c r="M73" s="1"/>
  <c r="N125"/>
  <c r="L125"/>
  <c r="M125" s="1"/>
  <c r="N92"/>
  <c r="L92"/>
  <c r="H92"/>
  <c r="M92" s="1"/>
  <c r="N78"/>
  <c r="L78"/>
  <c r="H78"/>
  <c r="M78" s="1"/>
  <c r="N98"/>
  <c r="L98"/>
  <c r="H98"/>
  <c r="M98" s="1"/>
  <c r="N120"/>
  <c r="L120"/>
  <c r="H120"/>
  <c r="M120" s="1"/>
  <c r="N91"/>
  <c r="L91"/>
  <c r="H91"/>
  <c r="M91" s="1"/>
  <c r="N36"/>
  <c r="L36"/>
  <c r="M36" s="1"/>
  <c r="N63"/>
  <c r="L63"/>
  <c r="H63"/>
  <c r="M63" s="1"/>
  <c r="N114"/>
  <c r="L114"/>
  <c r="M114" s="1"/>
  <c r="N101"/>
  <c r="L101"/>
  <c r="H101"/>
  <c r="M101" s="1"/>
  <c r="N32"/>
  <c r="L32"/>
  <c r="M32" s="1"/>
  <c r="N94"/>
  <c r="L94"/>
  <c r="H94"/>
  <c r="M94" s="1"/>
  <c r="N95"/>
  <c r="L95"/>
  <c r="H95"/>
  <c r="M95" s="1"/>
  <c r="N52"/>
  <c r="L52"/>
  <c r="H52"/>
  <c r="M52" s="1"/>
  <c r="N45"/>
  <c r="L45"/>
  <c r="M45" s="1"/>
  <c r="N93"/>
  <c r="L93"/>
  <c r="M93" s="1"/>
  <c r="N113"/>
  <c r="L113"/>
  <c r="H113"/>
  <c r="M113" s="1"/>
  <c r="N6"/>
  <c r="L6"/>
  <c r="H6"/>
  <c r="M6" s="1"/>
  <c r="N51"/>
  <c r="L51"/>
  <c r="H51"/>
  <c r="M51" s="1"/>
  <c r="N104"/>
  <c r="L104"/>
  <c r="H104"/>
  <c r="M104" s="1"/>
  <c r="N123"/>
  <c r="L123"/>
  <c r="H123"/>
  <c r="M123" s="1"/>
  <c r="N99"/>
  <c r="L99"/>
  <c r="M99" s="1"/>
  <c r="N26"/>
  <c r="L26"/>
  <c r="M26" s="1"/>
  <c r="N109"/>
  <c r="L109"/>
  <c r="H109"/>
  <c r="M109" s="1"/>
  <c r="N13"/>
  <c r="L13"/>
  <c r="H13"/>
  <c r="M13" s="1"/>
  <c r="N79"/>
  <c r="L79"/>
  <c r="H79"/>
  <c r="M79" s="1"/>
  <c r="N87"/>
  <c r="L87"/>
  <c r="M87" s="1"/>
  <c r="N117"/>
  <c r="L117"/>
  <c r="M117" s="1"/>
  <c r="N81"/>
  <c r="L81"/>
  <c r="H81"/>
  <c r="M81" s="1"/>
  <c r="N9"/>
  <c r="L9"/>
  <c r="H9"/>
  <c r="M9" s="1"/>
  <c r="N89"/>
  <c r="L89"/>
  <c r="H89"/>
  <c r="M89" s="1"/>
  <c r="N47"/>
  <c r="L47"/>
  <c r="M47" s="1"/>
  <c r="N29"/>
  <c r="L29"/>
  <c r="H29"/>
  <c r="M29" s="1"/>
  <c r="N112"/>
  <c r="L112"/>
  <c r="H112"/>
  <c r="M112" s="1"/>
  <c r="N111"/>
  <c r="L111"/>
  <c r="M111" s="1"/>
  <c r="N116"/>
  <c r="L116"/>
  <c r="H116"/>
  <c r="M116" s="1"/>
  <c r="N41"/>
  <c r="L41"/>
  <c r="M41" s="1"/>
  <c r="N122"/>
  <c r="L122"/>
  <c r="H122"/>
  <c r="M122" s="1"/>
  <c r="N40"/>
  <c r="L40"/>
  <c r="H40"/>
  <c r="M40" s="1"/>
  <c r="N58"/>
  <c r="L58"/>
  <c r="H58"/>
  <c r="L136" i="70"/>
  <c r="K136"/>
  <c r="F136"/>
  <c r="G136"/>
  <c r="H136"/>
  <c r="E136"/>
  <c r="L140" i="71"/>
  <c r="K140"/>
  <c r="F140"/>
  <c r="G140"/>
  <c r="H140"/>
  <c r="E140"/>
  <c r="L137" i="72"/>
  <c r="K137"/>
  <c r="F137"/>
  <c r="G137"/>
  <c r="H137"/>
  <c r="E137"/>
  <c r="M135" i="74"/>
  <c r="L135"/>
  <c r="G135"/>
  <c r="H135"/>
  <c r="I135"/>
  <c r="F135"/>
  <c r="M147" i="75"/>
  <c r="L147"/>
  <c r="G147"/>
  <c r="H147"/>
  <c r="I147"/>
  <c r="F147"/>
  <c r="N142"/>
  <c r="L142"/>
  <c r="M142" s="1"/>
  <c r="N141"/>
  <c r="L141"/>
  <c r="M141" s="1"/>
  <c r="N140"/>
  <c r="L140"/>
  <c r="M140" s="1"/>
  <c r="N139"/>
  <c r="L139"/>
  <c r="M139" s="1"/>
  <c r="N138"/>
  <c r="L138"/>
  <c r="M138" s="1"/>
  <c r="N137"/>
  <c r="L137"/>
  <c r="M137" s="1"/>
  <c r="N136"/>
  <c r="L136"/>
  <c r="M136" s="1"/>
  <c r="N135"/>
  <c r="L135"/>
  <c r="M135" s="1"/>
  <c r="N134"/>
  <c r="L134"/>
  <c r="M134" s="1"/>
  <c r="N133"/>
  <c r="L133"/>
  <c r="M133" s="1"/>
  <c r="N132"/>
  <c r="L132"/>
  <c r="M132" s="1"/>
  <c r="N131"/>
  <c r="L131"/>
  <c r="M131" s="1"/>
  <c r="N130"/>
  <c r="L130"/>
  <c r="M130" s="1"/>
  <c r="N6"/>
  <c r="H131"/>
  <c r="H134"/>
  <c r="H133"/>
  <c r="H132"/>
  <c r="H142"/>
  <c r="H141"/>
  <c r="H140"/>
  <c r="H139"/>
  <c r="H138"/>
  <c r="H137"/>
  <c r="H130"/>
  <c r="M58" i="76" l="1"/>
  <c r="N146" i="75"/>
  <c r="L146"/>
  <c r="M146" s="1"/>
  <c r="N145"/>
  <c r="L145"/>
  <c r="H145"/>
  <c r="M145" s="1"/>
  <c r="N144"/>
  <c r="L144"/>
  <c r="M144" s="1"/>
  <c r="N143"/>
  <c r="L143"/>
  <c r="H143"/>
  <c r="M143" s="1"/>
  <c r="N129"/>
  <c r="L129"/>
  <c r="H129"/>
  <c r="M129" s="1"/>
  <c r="N128"/>
  <c r="L128"/>
  <c r="H128"/>
  <c r="M128" s="1"/>
  <c r="N127"/>
  <c r="L127"/>
  <c r="H127"/>
  <c r="M127" s="1"/>
  <c r="N126"/>
  <c r="L126"/>
  <c r="H126"/>
  <c r="M126" s="1"/>
  <c r="N125"/>
  <c r="L125"/>
  <c r="M125" s="1"/>
  <c r="N124"/>
  <c r="L124"/>
  <c r="H124"/>
  <c r="M124" s="1"/>
  <c r="N123"/>
  <c r="L123"/>
  <c r="M123" s="1"/>
  <c r="N122"/>
  <c r="L122"/>
  <c r="H122"/>
  <c r="M122" s="1"/>
  <c r="N121"/>
  <c r="L121"/>
  <c r="H121"/>
  <c r="M121" s="1"/>
  <c r="N120"/>
  <c r="L120"/>
  <c r="M120" s="1"/>
  <c r="N119"/>
  <c r="L119"/>
  <c r="H119"/>
  <c r="M119" s="1"/>
  <c r="N118"/>
  <c r="L118"/>
  <c r="H118"/>
  <c r="M118" s="1"/>
  <c r="N117"/>
  <c r="L117"/>
  <c r="H117"/>
  <c r="M117" s="1"/>
  <c r="N116"/>
  <c r="L116"/>
  <c r="M116" s="1"/>
  <c r="N115"/>
  <c r="L115"/>
  <c r="M115" s="1"/>
  <c r="N114"/>
  <c r="L114"/>
  <c r="H114"/>
  <c r="M114" s="1"/>
  <c r="N113"/>
  <c r="L113"/>
  <c r="H113"/>
  <c r="M113" s="1"/>
  <c r="N112"/>
  <c r="L112"/>
  <c r="H112"/>
  <c r="M112" s="1"/>
  <c r="N111"/>
  <c r="L111"/>
  <c r="M111" s="1"/>
  <c r="N110"/>
  <c r="L110"/>
  <c r="H110"/>
  <c r="M110" s="1"/>
  <c r="N109"/>
  <c r="L109"/>
  <c r="H109"/>
  <c r="M109" s="1"/>
  <c r="N108"/>
  <c r="L108"/>
  <c r="H108"/>
  <c r="M108" s="1"/>
  <c r="N107"/>
  <c r="L107"/>
  <c r="H107"/>
  <c r="M107" s="1"/>
  <c r="N106"/>
  <c r="L106"/>
  <c r="H106"/>
  <c r="M106" s="1"/>
  <c r="N105"/>
  <c r="L105"/>
  <c r="H105"/>
  <c r="M105" s="1"/>
  <c r="N104"/>
  <c r="L104"/>
  <c r="M104" s="1"/>
  <c r="N103"/>
  <c r="L103"/>
  <c r="H103"/>
  <c r="M103" s="1"/>
  <c r="N102"/>
  <c r="L102"/>
  <c r="H102"/>
  <c r="M102" s="1"/>
  <c r="N101"/>
  <c r="L101"/>
  <c r="H101"/>
  <c r="M101" s="1"/>
  <c r="N100"/>
  <c r="L100"/>
  <c r="H100"/>
  <c r="M100" s="1"/>
  <c r="N99"/>
  <c r="L99"/>
  <c r="H99"/>
  <c r="M99" s="1"/>
  <c r="N98"/>
  <c r="L98"/>
  <c r="M98" s="1"/>
  <c r="N97"/>
  <c r="L97"/>
  <c r="M97" s="1"/>
  <c r="N96"/>
  <c r="L96"/>
  <c r="H96"/>
  <c r="M96" s="1"/>
  <c r="N95"/>
  <c r="L95"/>
  <c r="H95"/>
  <c r="M95" s="1"/>
  <c r="N94"/>
  <c r="L94"/>
  <c r="H94"/>
  <c r="M94" s="1"/>
  <c r="N93"/>
  <c r="L93"/>
  <c r="M93" s="1"/>
  <c r="N92"/>
  <c r="L92"/>
  <c r="M92" s="1"/>
  <c r="N91"/>
  <c r="L91"/>
  <c r="H91"/>
  <c r="M91" s="1"/>
  <c r="N90"/>
  <c r="L90"/>
  <c r="H90"/>
  <c r="M90" s="1"/>
  <c r="N89"/>
  <c r="L89"/>
  <c r="H89"/>
  <c r="M89" s="1"/>
  <c r="N88"/>
  <c r="L88"/>
  <c r="H88"/>
  <c r="M88" s="1"/>
  <c r="N87"/>
  <c r="L87"/>
  <c r="M87" s="1"/>
  <c r="N86"/>
  <c r="L86"/>
  <c r="H86"/>
  <c r="M86" s="1"/>
  <c r="N85"/>
  <c r="L85"/>
  <c r="H85"/>
  <c r="M85" s="1"/>
  <c r="N84"/>
  <c r="L84"/>
  <c r="H84"/>
  <c r="M84" s="1"/>
  <c r="N83"/>
  <c r="L83"/>
  <c r="H83"/>
  <c r="M83" s="1"/>
  <c r="N82"/>
  <c r="L82"/>
  <c r="M82" s="1"/>
  <c r="N81"/>
  <c r="L81"/>
  <c r="M81" s="1"/>
  <c r="N80"/>
  <c r="L80"/>
  <c r="H80"/>
  <c r="M80" s="1"/>
  <c r="N79"/>
  <c r="L79"/>
  <c r="M79" s="1"/>
  <c r="N78"/>
  <c r="L78"/>
  <c r="H78"/>
  <c r="M78" s="1"/>
  <c r="N77"/>
  <c r="L77"/>
  <c r="H77"/>
  <c r="M77" s="1"/>
  <c r="N76"/>
  <c r="L76"/>
  <c r="M76" s="1"/>
  <c r="N75"/>
  <c r="L75"/>
  <c r="H75"/>
  <c r="M75" s="1"/>
  <c r="N74"/>
  <c r="L74"/>
  <c r="H74"/>
  <c r="M74" s="1"/>
  <c r="N73"/>
  <c r="L73"/>
  <c r="M73" s="1"/>
  <c r="N72"/>
  <c r="L72"/>
  <c r="H72"/>
  <c r="M72" s="1"/>
  <c r="N71"/>
  <c r="L71"/>
  <c r="M71" s="1"/>
  <c r="N70"/>
  <c r="L70"/>
  <c r="H70"/>
  <c r="M70" s="1"/>
  <c r="N69"/>
  <c r="L69"/>
  <c r="H69"/>
  <c r="M69" s="1"/>
  <c r="N68"/>
  <c r="L68"/>
  <c r="M68" s="1"/>
  <c r="N67"/>
  <c r="L67"/>
  <c r="H67"/>
  <c r="M67" s="1"/>
  <c r="N66"/>
  <c r="L66"/>
  <c r="M66" s="1"/>
  <c r="N65"/>
  <c r="L65"/>
  <c r="M65" s="1"/>
  <c r="N64"/>
  <c r="L64"/>
  <c r="H64"/>
  <c r="M64" s="1"/>
  <c r="N63"/>
  <c r="L63"/>
  <c r="H63"/>
  <c r="M63" s="1"/>
  <c r="N62"/>
  <c r="L62"/>
  <c r="M62" s="1"/>
  <c r="N61"/>
  <c r="L61"/>
  <c r="H61"/>
  <c r="M61" s="1"/>
  <c r="N60"/>
  <c r="L60"/>
  <c r="M60" s="1"/>
  <c r="N59"/>
  <c r="L59"/>
  <c r="H59"/>
  <c r="M59" s="1"/>
  <c r="N58"/>
  <c r="L58"/>
  <c r="H58"/>
  <c r="M58" s="1"/>
  <c r="N57"/>
  <c r="L57"/>
  <c r="H57"/>
  <c r="M57" s="1"/>
  <c r="N56"/>
  <c r="L56"/>
  <c r="H56"/>
  <c r="M56" s="1"/>
  <c r="N55"/>
  <c r="L55"/>
  <c r="M55" s="1"/>
  <c r="N54"/>
  <c r="L54"/>
  <c r="H54"/>
  <c r="M54" s="1"/>
  <c r="N53"/>
  <c r="L53"/>
  <c r="M53" s="1"/>
  <c r="N52"/>
  <c r="L52"/>
  <c r="H52"/>
  <c r="M52" s="1"/>
  <c r="N51"/>
  <c r="L51"/>
  <c r="M51" s="1"/>
  <c r="N50"/>
  <c r="L50"/>
  <c r="M50" s="1"/>
  <c r="N49"/>
  <c r="L49"/>
  <c r="H49"/>
  <c r="M49" s="1"/>
  <c r="N48"/>
  <c r="L48"/>
  <c r="H48"/>
  <c r="M48" s="1"/>
  <c r="N47"/>
  <c r="L47"/>
  <c r="H47"/>
  <c r="M47" s="1"/>
  <c r="N46"/>
  <c r="L46"/>
  <c r="H46"/>
  <c r="M46" s="1"/>
  <c r="N45"/>
  <c r="L45"/>
  <c r="H45"/>
  <c r="M45" s="1"/>
  <c r="N44"/>
  <c r="L44"/>
  <c r="H44"/>
  <c r="M44" s="1"/>
  <c r="N43"/>
  <c r="L43"/>
  <c r="H43"/>
  <c r="M43" s="1"/>
  <c r="N42"/>
  <c r="L42"/>
  <c r="M42" s="1"/>
  <c r="N41"/>
  <c r="L41"/>
  <c r="H41"/>
  <c r="M41" s="1"/>
  <c r="N40"/>
  <c r="L40"/>
  <c r="M40" s="1"/>
  <c r="N39"/>
  <c r="L39"/>
  <c r="H39"/>
  <c r="M39" s="1"/>
  <c r="N38"/>
  <c r="L38"/>
  <c r="H38"/>
  <c r="M38" s="1"/>
  <c r="N37"/>
  <c r="L37"/>
  <c r="M37" s="1"/>
  <c r="N36"/>
  <c r="L36"/>
  <c r="H36"/>
  <c r="M36" s="1"/>
  <c r="N35"/>
  <c r="L35"/>
  <c r="H35"/>
  <c r="M35" s="1"/>
  <c r="N34"/>
  <c r="L34"/>
  <c r="H34"/>
  <c r="M34" s="1"/>
  <c r="N33"/>
  <c r="L33"/>
  <c r="M33" s="1"/>
  <c r="N32"/>
  <c r="L32"/>
  <c r="M32" s="1"/>
  <c r="N31"/>
  <c r="L31"/>
  <c r="H31"/>
  <c r="M31" s="1"/>
  <c r="N30"/>
  <c r="L30"/>
  <c r="H30"/>
  <c r="M30" s="1"/>
  <c r="N29"/>
  <c r="L29"/>
  <c r="H29"/>
  <c r="M29" s="1"/>
  <c r="N28"/>
  <c r="L28"/>
  <c r="H28"/>
  <c r="M28" s="1"/>
  <c r="N27"/>
  <c r="L27"/>
  <c r="H27"/>
  <c r="M27" s="1"/>
  <c r="N26"/>
  <c r="L26"/>
  <c r="M26" s="1"/>
  <c r="N25"/>
  <c r="L25"/>
  <c r="M25" s="1"/>
  <c r="N24"/>
  <c r="L24"/>
  <c r="H24"/>
  <c r="M24" s="1"/>
  <c r="N23"/>
  <c r="L23"/>
  <c r="H23"/>
  <c r="M23" s="1"/>
  <c r="N22"/>
  <c r="L22"/>
  <c r="H22"/>
  <c r="M22" s="1"/>
  <c r="N21"/>
  <c r="L21"/>
  <c r="M21" s="1"/>
  <c r="N20"/>
  <c r="L20"/>
  <c r="H20"/>
  <c r="M20" s="1"/>
  <c r="N19"/>
  <c r="L19"/>
  <c r="M19" s="1"/>
  <c r="N18"/>
  <c r="L18"/>
  <c r="M18" s="1"/>
  <c r="N17"/>
  <c r="L17"/>
  <c r="H17"/>
  <c r="M17" s="1"/>
  <c r="N16"/>
  <c r="L16"/>
  <c r="H16"/>
  <c r="M16" s="1"/>
  <c r="N15"/>
  <c r="L15"/>
  <c r="H15"/>
  <c r="M15" s="1"/>
  <c r="N14"/>
  <c r="L14"/>
  <c r="M14" s="1"/>
  <c r="N13"/>
  <c r="L13"/>
  <c r="H13"/>
  <c r="M13" s="1"/>
  <c r="N12"/>
  <c r="L12"/>
  <c r="H12"/>
  <c r="M12" s="1"/>
  <c r="N11"/>
  <c r="L11"/>
  <c r="M11" s="1"/>
  <c r="N10"/>
  <c r="L10"/>
  <c r="H10"/>
  <c r="M10" s="1"/>
  <c r="N9"/>
  <c r="L9"/>
  <c r="M9" s="1"/>
  <c r="N8"/>
  <c r="L8"/>
  <c r="H8"/>
  <c r="M8" s="1"/>
  <c r="N7"/>
  <c r="L7"/>
  <c r="H7"/>
  <c r="M7" s="1"/>
  <c r="L6"/>
  <c r="H6"/>
  <c r="N134" i="74"/>
  <c r="L134"/>
  <c r="M134" s="1"/>
  <c r="N133"/>
  <c r="L133"/>
  <c r="H133"/>
  <c r="M133" s="1"/>
  <c r="N132"/>
  <c r="L132"/>
  <c r="H132"/>
  <c r="M132" s="1"/>
  <c r="N131"/>
  <c r="L131"/>
  <c r="M131" s="1"/>
  <c r="N130"/>
  <c r="L130"/>
  <c r="H130"/>
  <c r="M130" s="1"/>
  <c r="N129"/>
  <c r="L129"/>
  <c r="H129"/>
  <c r="M129" s="1"/>
  <c r="N128"/>
  <c r="L128"/>
  <c r="H128"/>
  <c r="M128" s="1"/>
  <c r="N127"/>
  <c r="L127"/>
  <c r="H127"/>
  <c r="M127" s="1"/>
  <c r="N126"/>
  <c r="L126"/>
  <c r="H126"/>
  <c r="M126" s="1"/>
  <c r="N125"/>
  <c r="L125"/>
  <c r="M125" s="1"/>
  <c r="N124"/>
  <c r="L124"/>
  <c r="H124"/>
  <c r="M124" s="1"/>
  <c r="N123"/>
  <c r="L123"/>
  <c r="M123" s="1"/>
  <c r="N122"/>
  <c r="L122"/>
  <c r="H122"/>
  <c r="M122" s="1"/>
  <c r="N121"/>
  <c r="L121"/>
  <c r="H121"/>
  <c r="M121" s="1"/>
  <c r="N120"/>
  <c r="L120"/>
  <c r="M120" s="1"/>
  <c r="N119"/>
  <c r="L119"/>
  <c r="H119"/>
  <c r="M119" s="1"/>
  <c r="N118"/>
  <c r="L118"/>
  <c r="H118"/>
  <c r="M118" s="1"/>
  <c r="N117"/>
  <c r="L117"/>
  <c r="H117"/>
  <c r="M117" s="1"/>
  <c r="N116"/>
  <c r="L116"/>
  <c r="M116" s="1"/>
  <c r="N115"/>
  <c r="L115"/>
  <c r="M115" s="1"/>
  <c r="N114"/>
  <c r="L114"/>
  <c r="H114"/>
  <c r="M114" s="1"/>
  <c r="N113"/>
  <c r="L113"/>
  <c r="H113"/>
  <c r="M113" s="1"/>
  <c r="N112"/>
  <c r="L112"/>
  <c r="H112"/>
  <c r="M112" s="1"/>
  <c r="N111"/>
  <c r="L111"/>
  <c r="M111" s="1"/>
  <c r="N110"/>
  <c r="L110"/>
  <c r="H110"/>
  <c r="M110" s="1"/>
  <c r="N109"/>
  <c r="L109"/>
  <c r="H109"/>
  <c r="M109" s="1"/>
  <c r="N108"/>
  <c r="L108"/>
  <c r="H108"/>
  <c r="M108" s="1"/>
  <c r="N107"/>
  <c r="L107"/>
  <c r="H107"/>
  <c r="M107" s="1"/>
  <c r="N106"/>
  <c r="L106"/>
  <c r="H106"/>
  <c r="M106" s="1"/>
  <c r="N105"/>
  <c r="L105"/>
  <c r="H105"/>
  <c r="M105" s="1"/>
  <c r="N104"/>
  <c r="L104"/>
  <c r="M104" s="1"/>
  <c r="N103"/>
  <c r="L103"/>
  <c r="H103"/>
  <c r="M103" s="1"/>
  <c r="N102"/>
  <c r="L102"/>
  <c r="H102"/>
  <c r="M102" s="1"/>
  <c r="N101"/>
  <c r="L101"/>
  <c r="H101"/>
  <c r="M101" s="1"/>
  <c r="N100"/>
  <c r="L100"/>
  <c r="H100"/>
  <c r="M100" s="1"/>
  <c r="N99"/>
  <c r="L99"/>
  <c r="H99"/>
  <c r="M99" s="1"/>
  <c r="N98"/>
  <c r="L98"/>
  <c r="M98" s="1"/>
  <c r="N97"/>
  <c r="L97"/>
  <c r="M97" s="1"/>
  <c r="N96"/>
  <c r="L96"/>
  <c r="H96"/>
  <c r="M96" s="1"/>
  <c r="N95"/>
  <c r="L95"/>
  <c r="H95"/>
  <c r="M95" s="1"/>
  <c r="N94"/>
  <c r="L94"/>
  <c r="H94"/>
  <c r="M94" s="1"/>
  <c r="N93"/>
  <c r="L93"/>
  <c r="M93" s="1"/>
  <c r="N92"/>
  <c r="L92"/>
  <c r="M92" s="1"/>
  <c r="N91"/>
  <c r="L91"/>
  <c r="H91"/>
  <c r="M91" s="1"/>
  <c r="N90"/>
  <c r="L90"/>
  <c r="H90"/>
  <c r="M90" s="1"/>
  <c r="N89"/>
  <c r="L89"/>
  <c r="H89"/>
  <c r="M89" s="1"/>
  <c r="N88"/>
  <c r="L88"/>
  <c r="H88"/>
  <c r="M88" s="1"/>
  <c r="N87"/>
  <c r="L87"/>
  <c r="M87" s="1"/>
  <c r="N86"/>
  <c r="L86"/>
  <c r="H86"/>
  <c r="M86" s="1"/>
  <c r="N85"/>
  <c r="L85"/>
  <c r="H85"/>
  <c r="M85" s="1"/>
  <c r="N84"/>
  <c r="L84"/>
  <c r="H84"/>
  <c r="M84" s="1"/>
  <c r="N83"/>
  <c r="L83"/>
  <c r="H83"/>
  <c r="M83" s="1"/>
  <c r="N82"/>
  <c r="L82"/>
  <c r="M82" s="1"/>
  <c r="N81"/>
  <c r="L81"/>
  <c r="M81" s="1"/>
  <c r="N80"/>
  <c r="L80"/>
  <c r="H80"/>
  <c r="M80" s="1"/>
  <c r="N79"/>
  <c r="L79"/>
  <c r="M79" s="1"/>
  <c r="N78"/>
  <c r="L78"/>
  <c r="H78"/>
  <c r="M78" s="1"/>
  <c r="N77"/>
  <c r="L77"/>
  <c r="H77"/>
  <c r="M77" s="1"/>
  <c r="N76"/>
  <c r="L76"/>
  <c r="M76" s="1"/>
  <c r="N75"/>
  <c r="L75"/>
  <c r="H75"/>
  <c r="M75" s="1"/>
  <c r="N74"/>
  <c r="L74"/>
  <c r="H74"/>
  <c r="M74" s="1"/>
  <c r="N73"/>
  <c r="L73"/>
  <c r="M73" s="1"/>
  <c r="N72"/>
  <c r="L72"/>
  <c r="H72"/>
  <c r="M72" s="1"/>
  <c r="N71"/>
  <c r="L71"/>
  <c r="M71" s="1"/>
  <c r="N70"/>
  <c r="L70"/>
  <c r="H70"/>
  <c r="M70" s="1"/>
  <c r="N69"/>
  <c r="L69"/>
  <c r="H69"/>
  <c r="M69" s="1"/>
  <c r="N68"/>
  <c r="L68"/>
  <c r="M68" s="1"/>
  <c r="N67"/>
  <c r="L67"/>
  <c r="H67"/>
  <c r="M67" s="1"/>
  <c r="N66"/>
  <c r="L66"/>
  <c r="M66" s="1"/>
  <c r="N65"/>
  <c r="L65"/>
  <c r="M65" s="1"/>
  <c r="N64"/>
  <c r="L64"/>
  <c r="H64"/>
  <c r="M64" s="1"/>
  <c r="N63"/>
  <c r="L63"/>
  <c r="H63"/>
  <c r="M63" s="1"/>
  <c r="N62"/>
  <c r="L62"/>
  <c r="M62" s="1"/>
  <c r="N61"/>
  <c r="L61"/>
  <c r="H61"/>
  <c r="M61" s="1"/>
  <c r="N60"/>
  <c r="L60"/>
  <c r="M60" s="1"/>
  <c r="N59"/>
  <c r="L59"/>
  <c r="H59"/>
  <c r="M59" s="1"/>
  <c r="N58"/>
  <c r="L58"/>
  <c r="H58"/>
  <c r="M58" s="1"/>
  <c r="N57"/>
  <c r="L57"/>
  <c r="H57"/>
  <c r="M57" s="1"/>
  <c r="N56"/>
  <c r="L56"/>
  <c r="H56"/>
  <c r="M56" s="1"/>
  <c r="N55"/>
  <c r="L55"/>
  <c r="M55" s="1"/>
  <c r="N54"/>
  <c r="L54"/>
  <c r="H54"/>
  <c r="M54" s="1"/>
  <c r="N53"/>
  <c r="L53"/>
  <c r="M53" s="1"/>
  <c r="N52"/>
  <c r="L52"/>
  <c r="H52"/>
  <c r="M52" s="1"/>
  <c r="N51"/>
  <c r="L51"/>
  <c r="M51" s="1"/>
  <c r="N50"/>
  <c r="L50"/>
  <c r="M50" s="1"/>
  <c r="N49"/>
  <c r="L49"/>
  <c r="H49"/>
  <c r="M49" s="1"/>
  <c r="N48"/>
  <c r="L48"/>
  <c r="H48"/>
  <c r="M48" s="1"/>
  <c r="N47"/>
  <c r="L47"/>
  <c r="H47"/>
  <c r="M47" s="1"/>
  <c r="N46"/>
  <c r="L46"/>
  <c r="H46"/>
  <c r="M46" s="1"/>
  <c r="N45"/>
  <c r="L45"/>
  <c r="H45"/>
  <c r="M45" s="1"/>
  <c r="N44"/>
  <c r="L44"/>
  <c r="H44"/>
  <c r="M44" s="1"/>
  <c r="N43"/>
  <c r="L43"/>
  <c r="H43"/>
  <c r="M43" s="1"/>
  <c r="N42"/>
  <c r="L42"/>
  <c r="M42" s="1"/>
  <c r="N41"/>
  <c r="L41"/>
  <c r="H41"/>
  <c r="M41" s="1"/>
  <c r="N40"/>
  <c r="L40"/>
  <c r="M40" s="1"/>
  <c r="N39"/>
  <c r="L39"/>
  <c r="H39"/>
  <c r="M39" s="1"/>
  <c r="N38"/>
  <c r="L38"/>
  <c r="H38"/>
  <c r="M38" s="1"/>
  <c r="N37"/>
  <c r="L37"/>
  <c r="M37" s="1"/>
  <c r="N36"/>
  <c r="L36"/>
  <c r="H36"/>
  <c r="M36" s="1"/>
  <c r="N35"/>
  <c r="L35"/>
  <c r="H35"/>
  <c r="M35" s="1"/>
  <c r="N34"/>
  <c r="L34"/>
  <c r="H34"/>
  <c r="M34" s="1"/>
  <c r="N33"/>
  <c r="L33"/>
  <c r="M33" s="1"/>
  <c r="N32"/>
  <c r="L32"/>
  <c r="M32" s="1"/>
  <c r="N31"/>
  <c r="L31"/>
  <c r="H31"/>
  <c r="M31" s="1"/>
  <c r="N30"/>
  <c r="L30"/>
  <c r="H30"/>
  <c r="M30" s="1"/>
  <c r="N29"/>
  <c r="L29"/>
  <c r="H29"/>
  <c r="M29" s="1"/>
  <c r="N28"/>
  <c r="L28"/>
  <c r="H28"/>
  <c r="M28" s="1"/>
  <c r="N27"/>
  <c r="L27"/>
  <c r="H27"/>
  <c r="M27" s="1"/>
  <c r="N26"/>
  <c r="L26"/>
  <c r="M26" s="1"/>
  <c r="N25"/>
  <c r="L25"/>
  <c r="M25" s="1"/>
  <c r="N24"/>
  <c r="L24"/>
  <c r="H24"/>
  <c r="M24" s="1"/>
  <c r="N23"/>
  <c r="L23"/>
  <c r="H23"/>
  <c r="M23" s="1"/>
  <c r="N22"/>
  <c r="L22"/>
  <c r="H22"/>
  <c r="M22" s="1"/>
  <c r="N21"/>
  <c r="L21"/>
  <c r="M21" s="1"/>
  <c r="N20"/>
  <c r="L20"/>
  <c r="H20"/>
  <c r="M20" s="1"/>
  <c r="N19"/>
  <c r="L19"/>
  <c r="M19" s="1"/>
  <c r="N18"/>
  <c r="L18"/>
  <c r="M18" s="1"/>
  <c r="N17"/>
  <c r="L17"/>
  <c r="H17"/>
  <c r="M17" s="1"/>
  <c r="N16"/>
  <c r="L16"/>
  <c r="H16"/>
  <c r="M16" s="1"/>
  <c r="N15"/>
  <c r="L15"/>
  <c r="H15"/>
  <c r="M15" s="1"/>
  <c r="N14"/>
  <c r="L14"/>
  <c r="M14" s="1"/>
  <c r="N13"/>
  <c r="L13"/>
  <c r="H13"/>
  <c r="M13" s="1"/>
  <c r="N12"/>
  <c r="L12"/>
  <c r="H12"/>
  <c r="M12" s="1"/>
  <c r="N11"/>
  <c r="L11"/>
  <c r="M11" s="1"/>
  <c r="N10"/>
  <c r="L10"/>
  <c r="H10"/>
  <c r="M10" s="1"/>
  <c r="N9"/>
  <c r="L9"/>
  <c r="M9" s="1"/>
  <c r="N8"/>
  <c r="L8"/>
  <c r="H8"/>
  <c r="M8" s="1"/>
  <c r="N7"/>
  <c r="L7"/>
  <c r="H7"/>
  <c r="M7" s="1"/>
  <c r="N6"/>
  <c r="L6"/>
  <c r="H6"/>
  <c r="M6" i="75" l="1"/>
  <c r="M6" i="74"/>
  <c r="M136" i="72" l="1"/>
  <c r="K136"/>
  <c r="L136" s="1"/>
  <c r="M135"/>
  <c r="K135"/>
  <c r="G135"/>
  <c r="L135" s="1"/>
  <c r="M134"/>
  <c r="K134"/>
  <c r="G134"/>
  <c r="L134" s="1"/>
  <c r="M133"/>
  <c r="K133"/>
  <c r="L133" s="1"/>
  <c r="M132"/>
  <c r="K132"/>
  <c r="G132"/>
  <c r="L132" s="1"/>
  <c r="M123"/>
  <c r="K123"/>
  <c r="G123"/>
  <c r="L123" s="1"/>
  <c r="M106"/>
  <c r="K106"/>
  <c r="L106" s="1"/>
  <c r="M102"/>
  <c r="K102"/>
  <c r="G102"/>
  <c r="L102" s="1"/>
  <c r="M93"/>
  <c r="K93"/>
  <c r="G93"/>
  <c r="L93" s="1"/>
  <c r="M91"/>
  <c r="K91"/>
  <c r="G91"/>
  <c r="L91" s="1"/>
  <c r="M72"/>
  <c r="K72"/>
  <c r="G72"/>
  <c r="L72" s="1"/>
  <c r="M64"/>
  <c r="K64"/>
  <c r="L64" s="1"/>
  <c r="M58"/>
  <c r="K58"/>
  <c r="G58"/>
  <c r="L58" s="1"/>
  <c r="M33"/>
  <c r="K33"/>
  <c r="L33" s="1"/>
  <c r="M30"/>
  <c r="K30"/>
  <c r="G30"/>
  <c r="L30" s="1"/>
  <c r="M29"/>
  <c r="K29"/>
  <c r="G29"/>
  <c r="L29" s="1"/>
  <c r="M17"/>
  <c r="K17"/>
  <c r="G17"/>
  <c r="L17" s="1"/>
  <c r="M131"/>
  <c r="K131"/>
  <c r="G131"/>
  <c r="L131" s="1"/>
  <c r="M130"/>
  <c r="K130"/>
  <c r="G130"/>
  <c r="L130" s="1"/>
  <c r="M129"/>
  <c r="K129"/>
  <c r="G129"/>
  <c r="L129" s="1"/>
  <c r="M128"/>
  <c r="K128"/>
  <c r="G128"/>
  <c r="L128" s="1"/>
  <c r="M127"/>
  <c r="K127"/>
  <c r="L127" s="1"/>
  <c r="M126"/>
  <c r="K126"/>
  <c r="G126"/>
  <c r="L126" s="1"/>
  <c r="M125"/>
  <c r="K125"/>
  <c r="L125" s="1"/>
  <c r="M124"/>
  <c r="K124"/>
  <c r="G124"/>
  <c r="L124" s="1"/>
  <c r="M122"/>
  <c r="K122"/>
  <c r="L122" s="1"/>
  <c r="M121"/>
  <c r="K121"/>
  <c r="G121"/>
  <c r="L121" s="1"/>
  <c r="M120"/>
  <c r="K120"/>
  <c r="G120"/>
  <c r="L120" s="1"/>
  <c r="M119"/>
  <c r="K119"/>
  <c r="G119"/>
  <c r="L119" s="1"/>
  <c r="M118"/>
  <c r="K118"/>
  <c r="L118" s="1"/>
  <c r="M117"/>
  <c r="K117"/>
  <c r="L117" s="1"/>
  <c r="M116"/>
  <c r="K116"/>
  <c r="G116"/>
  <c r="L116" s="1"/>
  <c r="M115"/>
  <c r="K115"/>
  <c r="G115"/>
  <c r="L115" s="1"/>
  <c r="M114"/>
  <c r="K114"/>
  <c r="G114"/>
  <c r="L114" s="1"/>
  <c r="M113"/>
  <c r="K113"/>
  <c r="L113" s="1"/>
  <c r="M112"/>
  <c r="K112"/>
  <c r="G112"/>
  <c r="L112" s="1"/>
  <c r="M111"/>
  <c r="K111"/>
  <c r="G111"/>
  <c r="L111" s="1"/>
  <c r="M110"/>
  <c r="K110"/>
  <c r="G110"/>
  <c r="L110" s="1"/>
  <c r="M109"/>
  <c r="K109"/>
  <c r="G109"/>
  <c r="L109" s="1"/>
  <c r="M108"/>
  <c r="K108"/>
  <c r="G108"/>
  <c r="L108" s="1"/>
  <c r="M107"/>
  <c r="K107"/>
  <c r="G107"/>
  <c r="L107" s="1"/>
  <c r="M105"/>
  <c r="K105"/>
  <c r="G105"/>
  <c r="L105" s="1"/>
  <c r="M104"/>
  <c r="K104"/>
  <c r="G104"/>
  <c r="L104" s="1"/>
  <c r="M103"/>
  <c r="K103"/>
  <c r="G103"/>
  <c r="L103" s="1"/>
  <c r="M101"/>
  <c r="K101"/>
  <c r="G101"/>
  <c r="L101" s="1"/>
  <c r="M100"/>
  <c r="K100"/>
  <c r="L100" s="1"/>
  <c r="M99"/>
  <c r="K99"/>
  <c r="L99" s="1"/>
  <c r="M98"/>
  <c r="K98"/>
  <c r="G98"/>
  <c r="L98" s="1"/>
  <c r="M97"/>
  <c r="K97"/>
  <c r="G97"/>
  <c r="L97" s="1"/>
  <c r="M96"/>
  <c r="K96"/>
  <c r="G96"/>
  <c r="L96" s="1"/>
  <c r="M95"/>
  <c r="K95"/>
  <c r="L95" s="1"/>
  <c r="M94"/>
  <c r="K94"/>
  <c r="L94" s="1"/>
  <c r="M92"/>
  <c r="K92"/>
  <c r="G92"/>
  <c r="L92" s="1"/>
  <c r="M90"/>
  <c r="K90"/>
  <c r="G90"/>
  <c r="L90" s="1"/>
  <c r="M89"/>
  <c r="K89"/>
  <c r="L89" s="1"/>
  <c r="M88"/>
  <c r="K88"/>
  <c r="G88"/>
  <c r="L88" s="1"/>
  <c r="M87"/>
  <c r="K87"/>
  <c r="G87"/>
  <c r="L87" s="1"/>
  <c r="M86"/>
  <c r="K86"/>
  <c r="G86"/>
  <c r="L86" s="1"/>
  <c r="M85"/>
  <c r="K85"/>
  <c r="G85"/>
  <c r="L85" s="1"/>
  <c r="M84"/>
  <c r="K84"/>
  <c r="L84" s="1"/>
  <c r="M83"/>
  <c r="K83"/>
  <c r="L83" s="1"/>
  <c r="M82"/>
  <c r="K82"/>
  <c r="G82"/>
  <c r="L82" s="1"/>
  <c r="M81"/>
  <c r="K81"/>
  <c r="L81" s="1"/>
  <c r="M80"/>
  <c r="K80"/>
  <c r="G80"/>
  <c r="L80" s="1"/>
  <c r="M79"/>
  <c r="K79"/>
  <c r="G79"/>
  <c r="L79" s="1"/>
  <c r="M78"/>
  <c r="K78"/>
  <c r="L78" s="1"/>
  <c r="M77"/>
  <c r="K77"/>
  <c r="G77"/>
  <c r="L77" s="1"/>
  <c r="M76"/>
  <c r="K76"/>
  <c r="G76"/>
  <c r="L76" s="1"/>
  <c r="M75"/>
  <c r="K75"/>
  <c r="L75" s="1"/>
  <c r="M74"/>
  <c r="K74"/>
  <c r="G74"/>
  <c r="L74" s="1"/>
  <c r="M73"/>
  <c r="K73"/>
  <c r="L73" s="1"/>
  <c r="M71"/>
  <c r="K71"/>
  <c r="G71"/>
  <c r="L71" s="1"/>
  <c r="M70"/>
  <c r="K70"/>
  <c r="L70" s="1"/>
  <c r="M69"/>
  <c r="K69"/>
  <c r="G69"/>
  <c r="L69" s="1"/>
  <c r="M68"/>
  <c r="K68"/>
  <c r="L68" s="1"/>
  <c r="M67"/>
  <c r="K67"/>
  <c r="L67" s="1"/>
  <c r="M66"/>
  <c r="K66"/>
  <c r="G66"/>
  <c r="L66" s="1"/>
  <c r="M65"/>
  <c r="K65"/>
  <c r="G65"/>
  <c r="L65" s="1"/>
  <c r="M63"/>
  <c r="K63"/>
  <c r="G63"/>
  <c r="L63" s="1"/>
  <c r="M62"/>
  <c r="K62"/>
  <c r="L62" s="1"/>
  <c r="M61"/>
  <c r="K61"/>
  <c r="G61"/>
  <c r="L61" s="1"/>
  <c r="M60"/>
  <c r="K60"/>
  <c r="G60"/>
  <c r="L60" s="1"/>
  <c r="M59"/>
  <c r="K59"/>
  <c r="G59"/>
  <c r="L59" s="1"/>
  <c r="M57"/>
  <c r="K57"/>
  <c r="L57" s="1"/>
  <c r="M56"/>
  <c r="K56"/>
  <c r="G56"/>
  <c r="L56" s="1"/>
  <c r="M55"/>
  <c r="K55"/>
  <c r="L55" s="1"/>
  <c r="M54"/>
  <c r="K54"/>
  <c r="G54"/>
  <c r="L54" s="1"/>
  <c r="M53"/>
  <c r="K53"/>
  <c r="L53" s="1"/>
  <c r="M52"/>
  <c r="K52"/>
  <c r="G52"/>
  <c r="L52" s="1"/>
  <c r="M51"/>
  <c r="K51"/>
  <c r="L51" s="1"/>
  <c r="M50"/>
  <c r="K50"/>
  <c r="L50" s="1"/>
  <c r="M49"/>
  <c r="K49"/>
  <c r="G49"/>
  <c r="L49" s="1"/>
  <c r="M48"/>
  <c r="K48"/>
  <c r="G48"/>
  <c r="L48" s="1"/>
  <c r="M47"/>
  <c r="K47"/>
  <c r="G47"/>
  <c r="L47" s="1"/>
  <c r="M46"/>
  <c r="K46"/>
  <c r="G46"/>
  <c r="L46" s="1"/>
  <c r="M45"/>
  <c r="K45"/>
  <c r="G45"/>
  <c r="L45" s="1"/>
  <c r="M44"/>
  <c r="K44"/>
  <c r="G44"/>
  <c r="L44" s="1"/>
  <c r="M43"/>
  <c r="K43"/>
  <c r="G43"/>
  <c r="L43" s="1"/>
  <c r="M42"/>
  <c r="K42"/>
  <c r="L42" s="1"/>
  <c r="M41"/>
  <c r="K41"/>
  <c r="G41"/>
  <c r="L41" s="1"/>
  <c r="M40"/>
  <c r="K40"/>
  <c r="L40" s="1"/>
  <c r="M39"/>
  <c r="K39"/>
  <c r="G39"/>
  <c r="L39" s="1"/>
  <c r="M38"/>
  <c r="K38"/>
  <c r="G38"/>
  <c r="L38" s="1"/>
  <c r="M37"/>
  <c r="K37"/>
  <c r="L37" s="1"/>
  <c r="M36"/>
  <c r="K36"/>
  <c r="G36"/>
  <c r="L36" s="1"/>
  <c r="M35"/>
  <c r="K35"/>
  <c r="G35"/>
  <c r="L35" s="1"/>
  <c r="M34"/>
  <c r="K34"/>
  <c r="G34"/>
  <c r="L34" s="1"/>
  <c r="M32"/>
  <c r="K32"/>
  <c r="L32" s="1"/>
  <c r="M31"/>
  <c r="K31"/>
  <c r="G31"/>
  <c r="L31" s="1"/>
  <c r="M28"/>
  <c r="K28"/>
  <c r="G28"/>
  <c r="L28" s="1"/>
  <c r="M27"/>
  <c r="K27"/>
  <c r="G27"/>
  <c r="L27" s="1"/>
  <c r="M26"/>
  <c r="K26"/>
  <c r="L26" s="1"/>
  <c r="M25"/>
  <c r="K25"/>
  <c r="L25" s="1"/>
  <c r="M24"/>
  <c r="K24"/>
  <c r="G24"/>
  <c r="L24" s="1"/>
  <c r="M23"/>
  <c r="K23"/>
  <c r="G23"/>
  <c r="L23" s="1"/>
  <c r="M22"/>
  <c r="K22"/>
  <c r="G22"/>
  <c r="L22" s="1"/>
  <c r="M21"/>
  <c r="K21"/>
  <c r="L21" s="1"/>
  <c r="M20"/>
  <c r="K20"/>
  <c r="G20"/>
  <c r="L20" s="1"/>
  <c r="M19"/>
  <c r="K19"/>
  <c r="L19" s="1"/>
  <c r="M18"/>
  <c r="K18"/>
  <c r="L18" s="1"/>
  <c r="M16"/>
  <c r="K16"/>
  <c r="G16"/>
  <c r="L16" s="1"/>
  <c r="M15"/>
  <c r="K15"/>
  <c r="G15"/>
  <c r="L15" s="1"/>
  <c r="M14"/>
  <c r="K14"/>
  <c r="L14" s="1"/>
  <c r="M13"/>
  <c r="K13"/>
  <c r="G13"/>
  <c r="L13" s="1"/>
  <c r="M12"/>
  <c r="K12"/>
  <c r="G12"/>
  <c r="L12" s="1"/>
  <c r="M11"/>
  <c r="K11"/>
  <c r="L11" s="1"/>
  <c r="M10"/>
  <c r="K10"/>
  <c r="G10"/>
  <c r="L10" s="1"/>
  <c r="M9"/>
  <c r="K9"/>
  <c r="L9" s="1"/>
  <c r="M8"/>
  <c r="K8"/>
  <c r="G8"/>
  <c r="L8" s="1"/>
  <c r="M7"/>
  <c r="K7"/>
  <c r="G7"/>
  <c r="L7" s="1"/>
  <c r="M6"/>
  <c r="K6"/>
  <c r="G6"/>
  <c r="L122" i="71"/>
  <c r="L123"/>
  <c r="L124"/>
  <c r="L125"/>
  <c r="L126"/>
  <c r="L127"/>
  <c r="L128"/>
  <c r="L129"/>
  <c r="L130"/>
  <c r="L131"/>
  <c r="L132"/>
  <c r="L133"/>
  <c r="L134"/>
  <c r="K122"/>
  <c r="K123"/>
  <c r="K124"/>
  <c r="K125"/>
  <c r="K126"/>
  <c r="K127"/>
  <c r="K128"/>
  <c r="K129"/>
  <c r="K130"/>
  <c r="K131"/>
  <c r="K132"/>
  <c r="K133"/>
  <c r="K134"/>
  <c r="M134"/>
  <c r="M133"/>
  <c r="M132"/>
  <c r="M131"/>
  <c r="M130"/>
  <c r="M129"/>
  <c r="M128"/>
  <c r="M127"/>
  <c r="M126"/>
  <c r="M125"/>
  <c r="M124"/>
  <c r="M123"/>
  <c r="M122"/>
  <c r="G132"/>
  <c r="G131"/>
  <c r="G125"/>
  <c r="G134"/>
  <c r="G130"/>
  <c r="G129"/>
  <c r="G127"/>
  <c r="G124"/>
  <c r="G123"/>
  <c r="G122"/>
  <c r="M139"/>
  <c r="K139"/>
  <c r="L139" s="1"/>
  <c r="M138"/>
  <c r="K138"/>
  <c r="G138"/>
  <c r="M137"/>
  <c r="K137"/>
  <c r="G137"/>
  <c r="M136"/>
  <c r="K136"/>
  <c r="L136" s="1"/>
  <c r="M135"/>
  <c r="K135"/>
  <c r="G135"/>
  <c r="M121"/>
  <c r="K121"/>
  <c r="G121"/>
  <c r="M120"/>
  <c r="K120"/>
  <c r="G120"/>
  <c r="M68"/>
  <c r="K68"/>
  <c r="G68"/>
  <c r="M67"/>
  <c r="K67"/>
  <c r="L67" s="1"/>
  <c r="M74"/>
  <c r="K74"/>
  <c r="G74"/>
  <c r="M59"/>
  <c r="K59"/>
  <c r="G59"/>
  <c r="M89"/>
  <c r="K89"/>
  <c r="G89"/>
  <c r="M81"/>
  <c r="K81"/>
  <c r="G81"/>
  <c r="M95"/>
  <c r="K95"/>
  <c r="G95"/>
  <c r="M116"/>
  <c r="K116"/>
  <c r="G116"/>
  <c r="M113"/>
  <c r="K113"/>
  <c r="L113" s="1"/>
  <c r="M76"/>
  <c r="K76"/>
  <c r="G76"/>
  <c r="M73"/>
  <c r="K73"/>
  <c r="G73"/>
  <c r="M66"/>
  <c r="K66"/>
  <c r="G66"/>
  <c r="M80"/>
  <c r="K80"/>
  <c r="G80"/>
  <c r="M98"/>
  <c r="K98"/>
  <c r="G98"/>
  <c r="M88"/>
  <c r="K88"/>
  <c r="G88"/>
  <c r="M65"/>
  <c r="K65"/>
  <c r="L65" s="1"/>
  <c r="M112"/>
  <c r="K112"/>
  <c r="G112"/>
  <c r="M111"/>
  <c r="K111"/>
  <c r="G111"/>
  <c r="M93"/>
  <c r="K93"/>
  <c r="G93"/>
  <c r="M85"/>
  <c r="K85"/>
  <c r="G85"/>
  <c r="M55"/>
  <c r="K55"/>
  <c r="G55"/>
  <c r="M61"/>
  <c r="K61"/>
  <c r="G61"/>
  <c r="M79"/>
  <c r="K79"/>
  <c r="G79"/>
  <c r="M82"/>
  <c r="K82"/>
  <c r="G82"/>
  <c r="M101"/>
  <c r="K101"/>
  <c r="G101"/>
  <c r="M109"/>
  <c r="K109"/>
  <c r="L109" s="1"/>
  <c r="M69"/>
  <c r="K69"/>
  <c r="L69" s="1"/>
  <c r="M104"/>
  <c r="K104"/>
  <c r="G104"/>
  <c r="M90"/>
  <c r="K90"/>
  <c r="G90"/>
  <c r="M114"/>
  <c r="K114"/>
  <c r="G114"/>
  <c r="M92"/>
  <c r="K92"/>
  <c r="L92" s="1"/>
  <c r="M105"/>
  <c r="K105"/>
  <c r="G105"/>
  <c r="M83"/>
  <c r="K83"/>
  <c r="L83" s="1"/>
  <c r="M110"/>
  <c r="K110"/>
  <c r="G110"/>
  <c r="M87"/>
  <c r="K87"/>
  <c r="L87" s="1"/>
  <c r="M57"/>
  <c r="K57"/>
  <c r="G57"/>
  <c r="M56"/>
  <c r="K56"/>
  <c r="G56"/>
  <c r="M86"/>
  <c r="K86"/>
  <c r="L86" s="1"/>
  <c r="M78"/>
  <c r="K78"/>
  <c r="L78" s="1"/>
  <c r="M103"/>
  <c r="K103"/>
  <c r="L103" s="1"/>
  <c r="M62"/>
  <c r="K62"/>
  <c r="L62" s="1"/>
  <c r="M107"/>
  <c r="K107"/>
  <c r="L107" s="1"/>
  <c r="M100"/>
  <c r="K100"/>
  <c r="G100"/>
  <c r="M96"/>
  <c r="K96"/>
  <c r="G96"/>
  <c r="M108"/>
  <c r="K108"/>
  <c r="G108"/>
  <c r="M72"/>
  <c r="K72"/>
  <c r="L72" s="1"/>
  <c r="M77"/>
  <c r="K77"/>
  <c r="L77" s="1"/>
  <c r="M63"/>
  <c r="K63"/>
  <c r="L63" s="1"/>
  <c r="M97"/>
  <c r="K97"/>
  <c r="G97"/>
  <c r="M117"/>
  <c r="K117"/>
  <c r="L117" s="1"/>
  <c r="M54"/>
  <c r="K54"/>
  <c r="L54" s="1"/>
  <c r="M91"/>
  <c r="K91"/>
  <c r="L91" s="1"/>
  <c r="M71"/>
  <c r="K71"/>
  <c r="G71"/>
  <c r="M115"/>
  <c r="K115"/>
  <c r="L115" s="1"/>
  <c r="M60"/>
  <c r="K60"/>
  <c r="G60"/>
  <c r="M102"/>
  <c r="K102"/>
  <c r="G102"/>
  <c r="M84"/>
  <c r="K84"/>
  <c r="G84"/>
  <c r="M106"/>
  <c r="K106"/>
  <c r="G106"/>
  <c r="M118"/>
  <c r="K118"/>
  <c r="G118"/>
  <c r="M53"/>
  <c r="K53"/>
  <c r="G53"/>
  <c r="M64"/>
  <c r="K64"/>
  <c r="G64"/>
  <c r="M94"/>
  <c r="K94"/>
  <c r="G94"/>
  <c r="M99"/>
  <c r="K99"/>
  <c r="G99"/>
  <c r="M119"/>
  <c r="K119"/>
  <c r="G119"/>
  <c r="M75"/>
  <c r="K75"/>
  <c r="L75" s="1"/>
  <c r="M58"/>
  <c r="K58"/>
  <c r="L58" s="1"/>
  <c r="M70"/>
  <c r="K70"/>
  <c r="G70"/>
  <c r="M52"/>
  <c r="K52"/>
  <c r="L52" s="1"/>
  <c r="M51"/>
  <c r="K51"/>
  <c r="G51"/>
  <c r="M50"/>
  <c r="K50"/>
  <c r="L50" s="1"/>
  <c r="M49"/>
  <c r="K49"/>
  <c r="L49" s="1"/>
  <c r="M48"/>
  <c r="K48"/>
  <c r="G48"/>
  <c r="M47"/>
  <c r="K47"/>
  <c r="L47" s="1"/>
  <c r="M46"/>
  <c r="K46"/>
  <c r="L46" s="1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L38" s="1"/>
  <c r="M37"/>
  <c r="K37"/>
  <c r="G37"/>
  <c r="M36"/>
  <c r="K36"/>
  <c r="L36" s="1"/>
  <c r="M35"/>
  <c r="K35"/>
  <c r="G35"/>
  <c r="M34"/>
  <c r="K34"/>
  <c r="G34"/>
  <c r="M33"/>
  <c r="K33"/>
  <c r="L33" s="1"/>
  <c r="M32"/>
  <c r="K32"/>
  <c r="G32"/>
  <c r="M31"/>
  <c r="K31"/>
  <c r="G31"/>
  <c r="M30"/>
  <c r="K30"/>
  <c r="G30"/>
  <c r="M29"/>
  <c r="K29"/>
  <c r="L29" s="1"/>
  <c r="M28"/>
  <c r="K28"/>
  <c r="G28"/>
  <c r="M27"/>
  <c r="K27"/>
  <c r="G27"/>
  <c r="M26"/>
  <c r="K26"/>
  <c r="G26"/>
  <c r="M25"/>
  <c r="K25"/>
  <c r="L25" s="1"/>
  <c r="M24"/>
  <c r="K24"/>
  <c r="L24" s="1"/>
  <c r="M23"/>
  <c r="K23"/>
  <c r="G23"/>
  <c r="M22"/>
  <c r="K22"/>
  <c r="G22"/>
  <c r="M21"/>
  <c r="K21"/>
  <c r="G21"/>
  <c r="M20"/>
  <c r="K20"/>
  <c r="L20" s="1"/>
  <c r="M19"/>
  <c r="K19"/>
  <c r="G19"/>
  <c r="M18"/>
  <c r="K18"/>
  <c r="L18" s="1"/>
  <c r="M17"/>
  <c r="K17"/>
  <c r="L17" s="1"/>
  <c r="M16"/>
  <c r="K16"/>
  <c r="G16"/>
  <c r="M15"/>
  <c r="K15"/>
  <c r="G15"/>
  <c r="M14"/>
  <c r="K14"/>
  <c r="L14" s="1"/>
  <c r="M13"/>
  <c r="K13"/>
  <c r="G13"/>
  <c r="M12"/>
  <c r="K12"/>
  <c r="G12"/>
  <c r="M11"/>
  <c r="K11"/>
  <c r="L11" s="1"/>
  <c r="M10"/>
  <c r="K10"/>
  <c r="G10"/>
  <c r="M9"/>
  <c r="K9"/>
  <c r="L9" s="1"/>
  <c r="M8"/>
  <c r="K8"/>
  <c r="G8"/>
  <c r="M7"/>
  <c r="K7"/>
  <c r="G7"/>
  <c r="M6"/>
  <c r="K6"/>
  <c r="G6"/>
  <c r="K6" i="70"/>
  <c r="M132"/>
  <c r="K132"/>
  <c r="L132" s="1"/>
  <c r="M133"/>
  <c r="K133"/>
  <c r="G133"/>
  <c r="M131"/>
  <c r="K131"/>
  <c r="G131"/>
  <c r="M135"/>
  <c r="K135"/>
  <c r="L135" s="1"/>
  <c r="M134"/>
  <c r="K134"/>
  <c r="G134"/>
  <c r="M130"/>
  <c r="K130"/>
  <c r="L130" s="1"/>
  <c r="M129"/>
  <c r="K129"/>
  <c r="G129"/>
  <c r="M128"/>
  <c r="K128"/>
  <c r="G128"/>
  <c r="M127"/>
  <c r="K127"/>
  <c r="G127"/>
  <c r="M126"/>
  <c r="K126"/>
  <c r="G126"/>
  <c r="M125"/>
  <c r="K125"/>
  <c r="L125" s="1"/>
  <c r="M124"/>
  <c r="K124"/>
  <c r="G124"/>
  <c r="M123"/>
  <c r="K123"/>
  <c r="G123"/>
  <c r="M122"/>
  <c r="K122"/>
  <c r="L122" s="1"/>
  <c r="M121"/>
  <c r="K121"/>
  <c r="G121"/>
  <c r="M120"/>
  <c r="K120"/>
  <c r="G120"/>
  <c r="M119"/>
  <c r="K119"/>
  <c r="G119"/>
  <c r="M118"/>
  <c r="K118"/>
  <c r="L118" s="1"/>
  <c r="M117"/>
  <c r="K117"/>
  <c r="G117"/>
  <c r="M116"/>
  <c r="K116"/>
  <c r="G116"/>
  <c r="M115"/>
  <c r="K115"/>
  <c r="G115"/>
  <c r="M114"/>
  <c r="K114"/>
  <c r="G114"/>
  <c r="M113"/>
  <c r="K113"/>
  <c r="L113" s="1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L105" s="1"/>
  <c r="M104"/>
  <c r="K104"/>
  <c r="L104" s="1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L97" s="1"/>
  <c r="M96"/>
  <c r="K96"/>
  <c r="L96" s="1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L89" s="1"/>
  <c r="M88"/>
  <c r="K88"/>
  <c r="G88"/>
  <c r="M87"/>
  <c r="K87"/>
  <c r="G87"/>
  <c r="M86"/>
  <c r="K86"/>
  <c r="L86" s="1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L73" s="1"/>
  <c r="M72"/>
  <c r="K72"/>
  <c r="G72"/>
  <c r="M71"/>
  <c r="K71"/>
  <c r="G71"/>
  <c r="M70"/>
  <c r="K70"/>
  <c r="G70"/>
  <c r="M69"/>
  <c r="K69"/>
  <c r="G69"/>
  <c r="M68"/>
  <c r="K68"/>
  <c r="G68"/>
  <c r="M67"/>
  <c r="K67"/>
  <c r="L67" s="1"/>
  <c r="M66"/>
  <c r="K66"/>
  <c r="L66" s="1"/>
  <c r="M65"/>
  <c r="K65"/>
  <c r="L65" s="1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L58" s="1"/>
  <c r="M57"/>
  <c r="K57"/>
  <c r="G57"/>
  <c r="M56"/>
  <c r="K56"/>
  <c r="G56"/>
  <c r="M55"/>
  <c r="K55"/>
  <c r="L55" s="1"/>
  <c r="M54"/>
  <c r="K54"/>
  <c r="G54"/>
  <c r="M53"/>
  <c r="K53"/>
  <c r="L53" s="1"/>
  <c r="M52"/>
  <c r="K52"/>
  <c r="G52"/>
  <c r="M51"/>
  <c r="K51"/>
  <c r="G51"/>
  <c r="M50"/>
  <c r="K50"/>
  <c r="G50"/>
  <c r="M49"/>
  <c r="K49"/>
  <c r="L49" s="1"/>
  <c r="M48"/>
  <c r="K48"/>
  <c r="L48" s="1"/>
  <c r="M47"/>
  <c r="K47"/>
  <c r="L47" s="1"/>
  <c r="M46"/>
  <c r="K46"/>
  <c r="L46" s="1"/>
  <c r="M45"/>
  <c r="K45"/>
  <c r="L45" s="1"/>
  <c r="M44"/>
  <c r="K44"/>
  <c r="L44" s="1"/>
  <c r="M43"/>
  <c r="K43"/>
  <c r="L43" s="1"/>
  <c r="M42"/>
  <c r="K42"/>
  <c r="G42"/>
  <c r="M41"/>
  <c r="K41"/>
  <c r="L41" s="1"/>
  <c r="M40"/>
  <c r="K40"/>
  <c r="G40"/>
  <c r="M39"/>
  <c r="K39"/>
  <c r="G39"/>
  <c r="M38"/>
  <c r="K38"/>
  <c r="G38"/>
  <c r="M37"/>
  <c r="K37"/>
  <c r="G37"/>
  <c r="M36"/>
  <c r="K36"/>
  <c r="L36" s="1"/>
  <c r="M35"/>
  <c r="K35"/>
  <c r="L35" s="1"/>
  <c r="M34"/>
  <c r="K34"/>
  <c r="L34" s="1"/>
  <c r="M33"/>
  <c r="K33"/>
  <c r="G33"/>
  <c r="M32"/>
  <c r="K32"/>
  <c r="L32" s="1"/>
  <c r="M31"/>
  <c r="K31"/>
  <c r="G31"/>
  <c r="M30"/>
  <c r="K30"/>
  <c r="L30" s="1"/>
  <c r="M29"/>
  <c r="K29"/>
  <c r="L29" s="1"/>
  <c r="M28"/>
  <c r="K28"/>
  <c r="L28" s="1"/>
  <c r="M27"/>
  <c r="K27"/>
  <c r="L27" s="1"/>
  <c r="M26"/>
  <c r="K26"/>
  <c r="G26"/>
  <c r="M25"/>
  <c r="K25"/>
  <c r="L25" s="1"/>
  <c r="M24"/>
  <c r="K24"/>
  <c r="G24"/>
  <c r="M23"/>
  <c r="K23"/>
  <c r="L23" s="1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L11" s="1"/>
  <c r="M10"/>
  <c r="K10"/>
  <c r="G10"/>
  <c r="M9"/>
  <c r="K9"/>
  <c r="L9" s="1"/>
  <c r="M8"/>
  <c r="K8"/>
  <c r="G8"/>
  <c r="M7"/>
  <c r="K7"/>
  <c r="L7" s="1"/>
  <c r="M6"/>
  <c r="G6"/>
  <c r="L6" i="68"/>
  <c r="I139" i="67"/>
  <c r="N115" i="68"/>
  <c r="L115"/>
  <c r="H115"/>
  <c r="N62"/>
  <c r="L62"/>
  <c r="H62"/>
  <c r="I136"/>
  <c r="G136"/>
  <c r="F136"/>
  <c r="N135"/>
  <c r="L135"/>
  <c r="M135" s="1"/>
  <c r="N134"/>
  <c r="L134"/>
  <c r="H134"/>
  <c r="N133"/>
  <c r="L133"/>
  <c r="H133"/>
  <c r="N132"/>
  <c r="L132"/>
  <c r="M132" s="1"/>
  <c r="N131"/>
  <c r="L131"/>
  <c r="H131"/>
  <c r="N130"/>
  <c r="L130"/>
  <c r="M130" s="1"/>
  <c r="N129"/>
  <c r="L129"/>
  <c r="H129"/>
  <c r="N128"/>
  <c r="L128"/>
  <c r="H128"/>
  <c r="N127"/>
  <c r="L127"/>
  <c r="H127"/>
  <c r="N126"/>
  <c r="L126"/>
  <c r="H126"/>
  <c r="N125"/>
  <c r="L125"/>
  <c r="M125" s="1"/>
  <c r="N124"/>
  <c r="L124"/>
  <c r="H124"/>
  <c r="N123"/>
  <c r="L123"/>
  <c r="H123"/>
  <c r="N122"/>
  <c r="L122"/>
  <c r="M122" s="1"/>
  <c r="N143"/>
  <c r="L143"/>
  <c r="H143"/>
  <c r="N121"/>
  <c r="L121"/>
  <c r="H121"/>
  <c r="N120"/>
  <c r="L120"/>
  <c r="H120"/>
  <c r="N119"/>
  <c r="L119"/>
  <c r="H119"/>
  <c r="N118"/>
  <c r="L118"/>
  <c r="M118" s="1"/>
  <c r="N117"/>
  <c r="L117"/>
  <c r="H117"/>
  <c r="N116"/>
  <c r="L116"/>
  <c r="H116"/>
  <c r="N114"/>
  <c r="L114"/>
  <c r="H114"/>
  <c r="N113"/>
  <c r="L113"/>
  <c r="M113" s="1"/>
  <c r="N112"/>
  <c r="L112"/>
  <c r="H112"/>
  <c r="N111"/>
  <c r="L111"/>
  <c r="H111"/>
  <c r="N110"/>
  <c r="L110"/>
  <c r="H110"/>
  <c r="N109"/>
  <c r="L109"/>
  <c r="H109"/>
  <c r="N108"/>
  <c r="L108"/>
  <c r="H108"/>
  <c r="N107"/>
  <c r="L107"/>
  <c r="H107"/>
  <c r="N106"/>
  <c r="L106"/>
  <c r="H106"/>
  <c r="N105"/>
  <c r="L105"/>
  <c r="M105" s="1"/>
  <c r="N104"/>
  <c r="L104"/>
  <c r="M104" s="1"/>
  <c r="N103"/>
  <c r="L103"/>
  <c r="H103"/>
  <c r="N102"/>
  <c r="L102"/>
  <c r="H102"/>
  <c r="N101"/>
  <c r="L101"/>
  <c r="H101"/>
  <c r="N100"/>
  <c r="L100"/>
  <c r="H100"/>
  <c r="N99"/>
  <c r="L99"/>
  <c r="H99"/>
  <c r="N98"/>
  <c r="L98"/>
  <c r="H98"/>
  <c r="N97"/>
  <c r="L97"/>
  <c r="M97" s="1"/>
  <c r="N96"/>
  <c r="L96"/>
  <c r="M96" s="1"/>
  <c r="N95"/>
  <c r="L95"/>
  <c r="H95"/>
  <c r="N94"/>
  <c r="L94"/>
  <c r="H94"/>
  <c r="N145"/>
  <c r="L145"/>
  <c r="H145"/>
  <c r="N93"/>
  <c r="L93"/>
  <c r="H93"/>
  <c r="N92"/>
  <c r="L92"/>
  <c r="H92"/>
  <c r="N91"/>
  <c r="L91"/>
  <c r="H91"/>
  <c r="N90"/>
  <c r="L90"/>
  <c r="H90"/>
  <c r="N146"/>
  <c r="L146"/>
  <c r="H146"/>
  <c r="N89"/>
  <c r="L89"/>
  <c r="M89" s="1"/>
  <c r="N88"/>
  <c r="L88"/>
  <c r="H88"/>
  <c r="N87"/>
  <c r="L87"/>
  <c r="H87"/>
  <c r="N86"/>
  <c r="L86"/>
  <c r="M86" s="1"/>
  <c r="N85"/>
  <c r="L85"/>
  <c r="H85"/>
  <c r="N84"/>
  <c r="L84"/>
  <c r="H84"/>
  <c r="N83"/>
  <c r="L83"/>
  <c r="H83"/>
  <c r="N82"/>
  <c r="L82"/>
  <c r="H82"/>
  <c r="N81"/>
  <c r="L81"/>
  <c r="H81"/>
  <c r="N80"/>
  <c r="L80"/>
  <c r="H80"/>
  <c r="N79"/>
  <c r="L79"/>
  <c r="H79"/>
  <c r="N78"/>
  <c r="L78"/>
  <c r="H78"/>
  <c r="N77"/>
  <c r="L77"/>
  <c r="H77"/>
  <c r="N76"/>
  <c r="L76"/>
  <c r="H76"/>
  <c r="N75"/>
  <c r="L75"/>
  <c r="H75"/>
  <c r="N74"/>
  <c r="L74"/>
  <c r="H74"/>
  <c r="N73"/>
  <c r="L73"/>
  <c r="M73" s="1"/>
  <c r="N72"/>
  <c r="L72"/>
  <c r="H72"/>
  <c r="N71"/>
  <c r="L71"/>
  <c r="H71"/>
  <c r="N70"/>
  <c r="L70"/>
  <c r="H70"/>
  <c r="N69"/>
  <c r="L69"/>
  <c r="H69"/>
  <c r="N68"/>
  <c r="L68"/>
  <c r="H68"/>
  <c r="N67"/>
  <c r="L67"/>
  <c r="M67" s="1"/>
  <c r="N66"/>
  <c r="L66"/>
  <c r="M66" s="1"/>
  <c r="N65"/>
  <c r="L65"/>
  <c r="M65" s="1"/>
  <c r="N64"/>
  <c r="L64"/>
  <c r="H64"/>
  <c r="N63"/>
  <c r="L63"/>
  <c r="H63"/>
  <c r="N61"/>
  <c r="L61"/>
  <c r="H61"/>
  <c r="N60"/>
  <c r="L60"/>
  <c r="H60"/>
  <c r="N59"/>
  <c r="L59"/>
  <c r="H59"/>
  <c r="N58"/>
  <c r="L58"/>
  <c r="M58" s="1"/>
  <c r="N57"/>
  <c r="L57"/>
  <c r="H57"/>
  <c r="N56"/>
  <c r="L56"/>
  <c r="H56"/>
  <c r="N55"/>
  <c r="L55"/>
  <c r="M55" s="1"/>
  <c r="N54"/>
  <c r="L54"/>
  <c r="H54"/>
  <c r="N147"/>
  <c r="L147"/>
  <c r="H147"/>
  <c r="N53"/>
  <c r="L53"/>
  <c r="M53" s="1"/>
  <c r="N52"/>
  <c r="L52"/>
  <c r="H52"/>
  <c r="N51"/>
  <c r="L51"/>
  <c r="H51"/>
  <c r="N50"/>
  <c r="L50"/>
  <c r="H50"/>
  <c r="N49"/>
  <c r="L49"/>
  <c r="M49" s="1"/>
  <c r="N48"/>
  <c r="L48"/>
  <c r="M48" s="1"/>
  <c r="N47"/>
  <c r="L47"/>
  <c r="M47" s="1"/>
  <c r="N46"/>
  <c r="L46"/>
  <c r="M46" s="1"/>
  <c r="N45"/>
  <c r="L45"/>
  <c r="M45" s="1"/>
  <c r="N44"/>
  <c r="L44"/>
  <c r="M44" s="1"/>
  <c r="N43"/>
  <c r="L43"/>
  <c r="M43" s="1"/>
  <c r="N42"/>
  <c r="L42"/>
  <c r="H42"/>
  <c r="N41"/>
  <c r="L41"/>
  <c r="M41" s="1"/>
  <c r="N40"/>
  <c r="L40"/>
  <c r="H40"/>
  <c r="N39"/>
  <c r="L39"/>
  <c r="H39"/>
  <c r="N38"/>
  <c r="L38"/>
  <c r="H38"/>
  <c r="N37"/>
  <c r="L37"/>
  <c r="H37"/>
  <c r="N36"/>
  <c r="L36"/>
  <c r="M36" s="1"/>
  <c r="N35"/>
  <c r="L35"/>
  <c r="M35" s="1"/>
  <c r="N34"/>
  <c r="L34"/>
  <c r="M34" s="1"/>
  <c r="N33"/>
  <c r="L33"/>
  <c r="H33"/>
  <c r="N32"/>
  <c r="L32"/>
  <c r="M32" s="1"/>
  <c r="N144"/>
  <c r="L144"/>
  <c r="H144"/>
  <c r="N31"/>
  <c r="L31"/>
  <c r="H31"/>
  <c r="N30"/>
  <c r="L30"/>
  <c r="M30" s="1"/>
  <c r="N29"/>
  <c r="L29"/>
  <c r="M29" s="1"/>
  <c r="N28"/>
  <c r="L28"/>
  <c r="M28" s="1"/>
  <c r="N27"/>
  <c r="L27"/>
  <c r="M27" s="1"/>
  <c r="N26"/>
  <c r="L26"/>
  <c r="H26"/>
  <c r="N25"/>
  <c r="L25"/>
  <c r="M25" s="1"/>
  <c r="N24"/>
  <c r="L24"/>
  <c r="H24"/>
  <c r="N23"/>
  <c r="L23"/>
  <c r="M23" s="1"/>
  <c r="N22"/>
  <c r="L22"/>
  <c r="H22"/>
  <c r="N21"/>
  <c r="L21"/>
  <c r="H21"/>
  <c r="N20"/>
  <c r="L20"/>
  <c r="H20"/>
  <c r="N19"/>
  <c r="L19"/>
  <c r="H19"/>
  <c r="N18"/>
  <c r="L18"/>
  <c r="H18"/>
  <c r="N17"/>
  <c r="L17"/>
  <c r="H17"/>
  <c r="N16"/>
  <c r="L16"/>
  <c r="H16"/>
  <c r="N15"/>
  <c r="L15"/>
  <c r="H15"/>
  <c r="N14"/>
  <c r="L14"/>
  <c r="H14"/>
  <c r="N13"/>
  <c r="L13"/>
  <c r="H13"/>
  <c r="N12"/>
  <c r="L12"/>
  <c r="H12"/>
  <c r="N11"/>
  <c r="L11"/>
  <c r="M11" s="1"/>
  <c r="N10"/>
  <c r="L10"/>
  <c r="H10"/>
  <c r="N9"/>
  <c r="L9"/>
  <c r="M9" s="1"/>
  <c r="N8"/>
  <c r="L8"/>
  <c r="H8"/>
  <c r="N7"/>
  <c r="L7"/>
  <c r="M7" s="1"/>
  <c r="N6"/>
  <c r="H6"/>
  <c r="F139" i="67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6"/>
  <c r="M7" i="66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50"/>
  <c r="M51"/>
  <c r="M52"/>
  <c r="M53"/>
  <c r="M54"/>
  <c r="M55"/>
  <c r="M56"/>
  <c r="M57"/>
  <c r="M58"/>
  <c r="M59"/>
  <c r="M60"/>
  <c r="M61"/>
  <c r="M62"/>
  <c r="M63"/>
  <c r="M64"/>
  <c r="M65"/>
  <c r="M66"/>
  <c r="M67"/>
  <c r="M68"/>
  <c r="M69"/>
  <c r="M70"/>
  <c r="M71"/>
  <c r="M72"/>
  <c r="M73"/>
  <c r="M74"/>
  <c r="M75"/>
  <c r="M76"/>
  <c r="M77"/>
  <c r="M78"/>
  <c r="M79"/>
  <c r="M80"/>
  <c r="M81"/>
  <c r="M82"/>
  <c r="M83"/>
  <c r="M84"/>
  <c r="M85"/>
  <c r="M86"/>
  <c r="M87"/>
  <c r="M88"/>
  <c r="M89"/>
  <c r="M90"/>
  <c r="M91"/>
  <c r="M92"/>
  <c r="M93"/>
  <c r="M94"/>
  <c r="M95"/>
  <c r="M96"/>
  <c r="M97"/>
  <c r="M98"/>
  <c r="M99"/>
  <c r="M100"/>
  <c r="M101"/>
  <c r="M102"/>
  <c r="M103"/>
  <c r="M104"/>
  <c r="M105"/>
  <c r="M106"/>
  <c r="M107"/>
  <c r="M108"/>
  <c r="M109"/>
  <c r="M110"/>
  <c r="M111"/>
  <c r="M112"/>
  <c r="M113"/>
  <c r="M114"/>
  <c r="M115"/>
  <c r="M116"/>
  <c r="M117"/>
  <c r="M118"/>
  <c r="M119"/>
  <c r="M120"/>
  <c r="M121"/>
  <c r="M122"/>
  <c r="M123"/>
  <c r="M124"/>
  <c r="M125"/>
  <c r="M126"/>
  <c r="M127"/>
  <c r="M128"/>
  <c r="M129"/>
  <c r="M130"/>
  <c r="M131"/>
  <c r="M132"/>
  <c r="M133"/>
  <c r="M134"/>
  <c r="M135"/>
  <c r="M136"/>
  <c r="M137"/>
  <c r="M138"/>
  <c r="M139"/>
  <c r="M6"/>
  <c r="G139" i="67"/>
  <c r="L138"/>
  <c r="M138" s="1"/>
  <c r="L137"/>
  <c r="H137"/>
  <c r="L136"/>
  <c r="H136"/>
  <c r="L135"/>
  <c r="M135" s="1"/>
  <c r="L134"/>
  <c r="H134"/>
  <c r="L133"/>
  <c r="M133" s="1"/>
  <c r="L132"/>
  <c r="H132"/>
  <c r="L131"/>
  <c r="H131"/>
  <c r="L130"/>
  <c r="H130"/>
  <c r="L129"/>
  <c r="H129"/>
  <c r="L128"/>
  <c r="M128" s="1"/>
  <c r="L127"/>
  <c r="H127"/>
  <c r="M127" s="1"/>
  <c r="L126"/>
  <c r="H126"/>
  <c r="M126" s="1"/>
  <c r="L125"/>
  <c r="M125" s="1"/>
  <c r="L124"/>
  <c r="H124"/>
  <c r="L123"/>
  <c r="H123"/>
  <c r="L122"/>
  <c r="H122"/>
  <c r="L121"/>
  <c r="H121"/>
  <c r="L120"/>
  <c r="M120" s="1"/>
  <c r="L119"/>
  <c r="H119"/>
  <c r="L118"/>
  <c r="H118"/>
  <c r="L117"/>
  <c r="H117"/>
  <c r="L116"/>
  <c r="M116" s="1"/>
  <c r="L115"/>
  <c r="H115"/>
  <c r="L114"/>
  <c r="H114"/>
  <c r="L113"/>
  <c r="H113"/>
  <c r="L112"/>
  <c r="H112"/>
  <c r="L111"/>
  <c r="H111"/>
  <c r="L110"/>
  <c r="H110"/>
  <c r="L109"/>
  <c r="H109"/>
  <c r="L108"/>
  <c r="M108" s="1"/>
  <c r="L107"/>
  <c r="M107" s="1"/>
  <c r="L106"/>
  <c r="H106"/>
  <c r="L105"/>
  <c r="H105"/>
  <c r="L104"/>
  <c r="H104"/>
  <c r="L103"/>
  <c r="H103"/>
  <c r="L102"/>
  <c r="H102"/>
  <c r="L101"/>
  <c r="H101"/>
  <c r="L100"/>
  <c r="M100" s="1"/>
  <c r="L99"/>
  <c r="M99" s="1"/>
  <c r="L98"/>
  <c r="H98"/>
  <c r="L97"/>
  <c r="H97"/>
  <c r="L96"/>
  <c r="H96"/>
  <c r="L95"/>
  <c r="H95"/>
  <c r="L94"/>
  <c r="H94"/>
  <c r="L93"/>
  <c r="H93"/>
  <c r="L92"/>
  <c r="H92"/>
  <c r="L91"/>
  <c r="H91"/>
  <c r="L90"/>
  <c r="M90" s="1"/>
  <c r="L89"/>
  <c r="H89"/>
  <c r="L88"/>
  <c r="H88"/>
  <c r="L87"/>
  <c r="M87" s="1"/>
  <c r="L86"/>
  <c r="H86"/>
  <c r="L85"/>
  <c r="H85"/>
  <c r="L84"/>
  <c r="H84"/>
  <c r="L83"/>
  <c r="H83"/>
  <c r="L82"/>
  <c r="H82"/>
  <c r="L81"/>
  <c r="H81"/>
  <c r="L80"/>
  <c r="H80"/>
  <c r="L79"/>
  <c r="H79"/>
  <c r="L78"/>
  <c r="H78"/>
  <c r="L77"/>
  <c r="H77"/>
  <c r="L76"/>
  <c r="H76"/>
  <c r="L75"/>
  <c r="H75"/>
  <c r="L74"/>
  <c r="M74" s="1"/>
  <c r="L73"/>
  <c r="H73"/>
  <c r="L72"/>
  <c r="H72"/>
  <c r="L71"/>
  <c r="H71"/>
  <c r="L70"/>
  <c r="H70"/>
  <c r="L69"/>
  <c r="H69"/>
  <c r="L68"/>
  <c r="M68" s="1"/>
  <c r="L67"/>
  <c r="M67" s="1"/>
  <c r="L66"/>
  <c r="M66" s="1"/>
  <c r="L65"/>
  <c r="H65"/>
  <c r="L64"/>
  <c r="H64"/>
  <c r="L63"/>
  <c r="H63"/>
  <c r="L62"/>
  <c r="H62"/>
  <c r="L61"/>
  <c r="H61"/>
  <c r="L60"/>
  <c r="M60" s="1"/>
  <c r="L59"/>
  <c r="H59"/>
  <c r="L58"/>
  <c r="H58"/>
  <c r="L57"/>
  <c r="M57" s="1"/>
  <c r="L56"/>
  <c r="H56"/>
  <c r="L55"/>
  <c r="H55"/>
  <c r="L54"/>
  <c r="M54" s="1"/>
  <c r="L53"/>
  <c r="H53"/>
  <c r="L52"/>
  <c r="H52"/>
  <c r="M52" s="1"/>
  <c r="L51"/>
  <c r="H51"/>
  <c r="L50"/>
  <c r="M50" s="1"/>
  <c r="L49"/>
  <c r="M49" s="1"/>
  <c r="L48"/>
  <c r="M48" s="1"/>
  <c r="L47"/>
  <c r="M47" s="1"/>
  <c r="L46"/>
  <c r="M46" s="1"/>
  <c r="L45"/>
  <c r="M45" s="1"/>
  <c r="L44"/>
  <c r="M44" s="1"/>
  <c r="L43"/>
  <c r="H43"/>
  <c r="L42"/>
  <c r="M42" s="1"/>
  <c r="L41"/>
  <c r="H41"/>
  <c r="L40"/>
  <c r="H40"/>
  <c r="L39"/>
  <c r="H39"/>
  <c r="M39" s="1"/>
  <c r="L38"/>
  <c r="H38"/>
  <c r="M38" s="1"/>
  <c r="L37"/>
  <c r="M37" s="1"/>
  <c r="L36"/>
  <c r="M36" s="1"/>
  <c r="L35"/>
  <c r="M35" s="1"/>
  <c r="L34"/>
  <c r="H34"/>
  <c r="L33"/>
  <c r="M33" s="1"/>
  <c r="L32"/>
  <c r="H32"/>
  <c r="L31"/>
  <c r="H31"/>
  <c r="M31" s="1"/>
  <c r="L30"/>
  <c r="M30" s="1"/>
  <c r="L29"/>
  <c r="M29" s="1"/>
  <c r="L28"/>
  <c r="M28" s="1"/>
  <c r="L27"/>
  <c r="M27" s="1"/>
  <c r="L26"/>
  <c r="H26"/>
  <c r="L25"/>
  <c r="M25" s="1"/>
  <c r="L24"/>
  <c r="H24"/>
  <c r="L23"/>
  <c r="M23" s="1"/>
  <c r="L22"/>
  <c r="H22"/>
  <c r="L21"/>
  <c r="H21"/>
  <c r="L20"/>
  <c r="H20"/>
  <c r="L19"/>
  <c r="H19"/>
  <c r="L18"/>
  <c r="H18"/>
  <c r="L17"/>
  <c r="H17"/>
  <c r="L16"/>
  <c r="H16"/>
  <c r="L15"/>
  <c r="H15"/>
  <c r="L14"/>
  <c r="H14"/>
  <c r="L13"/>
  <c r="H13"/>
  <c r="L12"/>
  <c r="H12"/>
  <c r="L11"/>
  <c r="M11" s="1"/>
  <c r="L10"/>
  <c r="H10"/>
  <c r="L9"/>
  <c r="M9" s="1"/>
  <c r="L8"/>
  <c r="H8"/>
  <c r="L7"/>
  <c r="M7" s="1"/>
  <c r="L6"/>
  <c r="H6"/>
  <c r="K6" i="66"/>
  <c r="F140"/>
  <c r="E140"/>
  <c r="H140"/>
  <c r="K139"/>
  <c r="L139" s="1"/>
  <c r="K138"/>
  <c r="G138"/>
  <c r="K137"/>
  <c r="G137"/>
  <c r="K136"/>
  <c r="L136" s="1"/>
  <c r="K135"/>
  <c r="G135"/>
  <c r="K132"/>
  <c r="G132"/>
  <c r="K98"/>
  <c r="G98"/>
  <c r="K96"/>
  <c r="G96"/>
  <c r="K90"/>
  <c r="G90"/>
  <c r="K72"/>
  <c r="G72"/>
  <c r="K53"/>
  <c r="G53"/>
  <c r="K34"/>
  <c r="G34"/>
  <c r="K17"/>
  <c r="G17"/>
  <c r="K134"/>
  <c r="L134" s="1"/>
  <c r="K133"/>
  <c r="G133"/>
  <c r="K131"/>
  <c r="G131"/>
  <c r="K130"/>
  <c r="G130"/>
  <c r="K129"/>
  <c r="L129" s="1"/>
  <c r="K128"/>
  <c r="G128"/>
  <c r="K127"/>
  <c r="G127"/>
  <c r="K126"/>
  <c r="L126" s="1"/>
  <c r="K125"/>
  <c r="G125"/>
  <c r="K124"/>
  <c r="G124"/>
  <c r="K123"/>
  <c r="G123"/>
  <c r="K122"/>
  <c r="G122"/>
  <c r="K121"/>
  <c r="L121" s="1"/>
  <c r="K120"/>
  <c r="G120"/>
  <c r="K119"/>
  <c r="G119"/>
  <c r="K118"/>
  <c r="G118"/>
  <c r="K117"/>
  <c r="L117" s="1"/>
  <c r="K116"/>
  <c r="G116"/>
  <c r="L116" s="1"/>
  <c r="K115"/>
  <c r="G115"/>
  <c r="K114"/>
  <c r="G114"/>
  <c r="K113"/>
  <c r="G113"/>
  <c r="K112"/>
  <c r="G112"/>
  <c r="K111"/>
  <c r="G111"/>
  <c r="K110"/>
  <c r="G110"/>
  <c r="L110" s="1"/>
  <c r="K109"/>
  <c r="L109" s="1"/>
  <c r="K108"/>
  <c r="L108" s="1"/>
  <c r="K107"/>
  <c r="G107"/>
  <c r="L107" s="1"/>
  <c r="K106"/>
  <c r="G106"/>
  <c r="K105"/>
  <c r="G105"/>
  <c r="K104"/>
  <c r="G104"/>
  <c r="K103"/>
  <c r="G103"/>
  <c r="L103" s="1"/>
  <c r="K102"/>
  <c r="G102"/>
  <c r="L102" s="1"/>
  <c r="K101"/>
  <c r="L101" s="1"/>
  <c r="K100"/>
  <c r="L100" s="1"/>
  <c r="K99"/>
  <c r="G99"/>
  <c r="L99" s="1"/>
  <c r="K97"/>
  <c r="G97"/>
  <c r="K95"/>
  <c r="G95"/>
  <c r="K94"/>
  <c r="G94"/>
  <c r="K93"/>
  <c r="G93"/>
  <c r="L93" s="1"/>
  <c r="K92"/>
  <c r="G92"/>
  <c r="K91"/>
  <c r="L91" s="1"/>
  <c r="K89"/>
  <c r="G89"/>
  <c r="K88"/>
  <c r="G88"/>
  <c r="K87"/>
  <c r="L87" s="1"/>
  <c r="K86"/>
  <c r="G86"/>
  <c r="L86" s="1"/>
  <c r="K85"/>
  <c r="G85"/>
  <c r="K84"/>
  <c r="G84"/>
  <c r="L84" s="1"/>
  <c r="K83"/>
  <c r="G83"/>
  <c r="L83" s="1"/>
  <c r="K82"/>
  <c r="G82"/>
  <c r="K81"/>
  <c r="G81"/>
  <c r="L81" s="1"/>
  <c r="K80"/>
  <c r="G80"/>
  <c r="L80" s="1"/>
  <c r="K79"/>
  <c r="G79"/>
  <c r="K78"/>
  <c r="G78"/>
  <c r="L78" s="1"/>
  <c r="K77"/>
  <c r="G77"/>
  <c r="L77" s="1"/>
  <c r="K76"/>
  <c r="G76"/>
  <c r="K75"/>
  <c r="G75"/>
  <c r="L75" s="1"/>
  <c r="K74"/>
  <c r="L74" s="1"/>
  <c r="K73"/>
  <c r="G73"/>
  <c r="K71"/>
  <c r="G71"/>
  <c r="K70"/>
  <c r="G70"/>
  <c r="K69"/>
  <c r="G69"/>
  <c r="K68"/>
  <c r="L68" s="1"/>
  <c r="K67"/>
  <c r="L67" s="1"/>
  <c r="K66"/>
  <c r="L66" s="1"/>
  <c r="K65"/>
  <c r="G65"/>
  <c r="K64"/>
  <c r="G64"/>
  <c r="K63"/>
  <c r="G63"/>
  <c r="K62"/>
  <c r="G62"/>
  <c r="K61"/>
  <c r="G61"/>
  <c r="K60"/>
  <c r="L60" s="1"/>
  <c r="K59"/>
  <c r="G59"/>
  <c r="K58"/>
  <c r="G58"/>
  <c r="K57"/>
  <c r="L57" s="1"/>
  <c r="K56"/>
  <c r="G56"/>
  <c r="K55"/>
  <c r="G55"/>
  <c r="K54"/>
  <c r="L54" s="1"/>
  <c r="K52"/>
  <c r="G52"/>
  <c r="K51"/>
  <c r="G51"/>
  <c r="K50"/>
  <c r="L50" s="1"/>
  <c r="K49"/>
  <c r="L49" s="1"/>
  <c r="K48"/>
  <c r="L48" s="1"/>
  <c r="K47"/>
  <c r="L47" s="1"/>
  <c r="K46"/>
  <c r="L46" s="1"/>
  <c r="K45"/>
  <c r="L45" s="1"/>
  <c r="K44"/>
  <c r="L44" s="1"/>
  <c r="K43"/>
  <c r="G43"/>
  <c r="K42"/>
  <c r="L42" s="1"/>
  <c r="K41"/>
  <c r="G41"/>
  <c r="K40"/>
  <c r="G40"/>
  <c r="K39"/>
  <c r="G39"/>
  <c r="K38"/>
  <c r="G38"/>
  <c r="K37"/>
  <c r="L37" s="1"/>
  <c r="K36"/>
  <c r="L36" s="1"/>
  <c r="K35"/>
  <c r="L35" s="1"/>
  <c r="K33"/>
  <c r="L33" s="1"/>
  <c r="K32"/>
  <c r="G32"/>
  <c r="K31"/>
  <c r="G31"/>
  <c r="K30"/>
  <c r="L30" s="1"/>
  <c r="K29"/>
  <c r="L29" s="1"/>
  <c r="K28"/>
  <c r="L28" s="1"/>
  <c r="K27"/>
  <c r="L27" s="1"/>
  <c r="K26"/>
  <c r="G26"/>
  <c r="K25"/>
  <c r="L25" s="1"/>
  <c r="K24"/>
  <c r="G24"/>
  <c r="K23"/>
  <c r="L23" s="1"/>
  <c r="K22"/>
  <c r="G22"/>
  <c r="K21"/>
  <c r="G21"/>
  <c r="K20"/>
  <c r="G20"/>
  <c r="K19"/>
  <c r="G19"/>
  <c r="K18"/>
  <c r="G18"/>
  <c r="K16"/>
  <c r="G16"/>
  <c r="K15"/>
  <c r="G15"/>
  <c r="K14"/>
  <c r="G14"/>
  <c r="K13"/>
  <c r="G13"/>
  <c r="K12"/>
  <c r="G12"/>
  <c r="K11"/>
  <c r="L11" s="1"/>
  <c r="K10"/>
  <c r="G10"/>
  <c r="K9"/>
  <c r="L9" s="1"/>
  <c r="K8"/>
  <c r="G8"/>
  <c r="K7"/>
  <c r="L7" s="1"/>
  <c r="G6"/>
  <c r="H157" i="65"/>
  <c r="E157"/>
  <c r="F157"/>
  <c r="D157"/>
  <c r="L156"/>
  <c r="J156"/>
  <c r="K156"/>
  <c r="K151"/>
  <c r="K150"/>
  <c r="L150" s="1"/>
  <c r="K149"/>
  <c r="L149" s="1"/>
  <c r="K148"/>
  <c r="K147"/>
  <c r="K146"/>
  <c r="L146" s="1"/>
  <c r="K145"/>
  <c r="L145" s="1"/>
  <c r="K144"/>
  <c r="J151"/>
  <c r="J150"/>
  <c r="J149"/>
  <c r="J148"/>
  <c r="J147"/>
  <c r="J146"/>
  <c r="J145"/>
  <c r="J144"/>
  <c r="F151"/>
  <c r="F150"/>
  <c r="F149"/>
  <c r="F148"/>
  <c r="F147"/>
  <c r="F146"/>
  <c r="F145"/>
  <c r="F144"/>
  <c r="K155"/>
  <c r="J155"/>
  <c r="F155"/>
  <c r="K154"/>
  <c r="J154"/>
  <c r="F154"/>
  <c r="K153"/>
  <c r="L153" s="1"/>
  <c r="J153"/>
  <c r="K152"/>
  <c r="J152"/>
  <c r="F152"/>
  <c r="K110"/>
  <c r="J110"/>
  <c r="F110"/>
  <c r="K143"/>
  <c r="L143" s="1"/>
  <c r="J143"/>
  <c r="K142"/>
  <c r="J142"/>
  <c r="F142"/>
  <c r="K141"/>
  <c r="J141"/>
  <c r="F141"/>
  <c r="K140"/>
  <c r="J140"/>
  <c r="F140"/>
  <c r="K139"/>
  <c r="L139" s="1"/>
  <c r="J139"/>
  <c r="K138"/>
  <c r="J138"/>
  <c r="F138"/>
  <c r="K137"/>
  <c r="J137"/>
  <c r="F137"/>
  <c r="K136"/>
  <c r="L136" s="1"/>
  <c r="J136"/>
  <c r="K135"/>
  <c r="J135"/>
  <c r="F135"/>
  <c r="K134"/>
  <c r="J134"/>
  <c r="F134"/>
  <c r="K133"/>
  <c r="J133"/>
  <c r="F133"/>
  <c r="K132"/>
  <c r="J132"/>
  <c r="F132"/>
  <c r="K131"/>
  <c r="J131"/>
  <c r="F131"/>
  <c r="K130"/>
  <c r="L130" s="1"/>
  <c r="J130"/>
  <c r="K129"/>
  <c r="J129"/>
  <c r="F129"/>
  <c r="N129"/>
  <c r="K128"/>
  <c r="J128"/>
  <c r="F128"/>
  <c r="N128"/>
  <c r="K127"/>
  <c r="J127"/>
  <c r="F127"/>
  <c r="N127"/>
  <c r="K126"/>
  <c r="J126"/>
  <c r="F126"/>
  <c r="N126"/>
  <c r="K125"/>
  <c r="J125"/>
  <c r="F125"/>
  <c r="N125"/>
  <c r="K124"/>
  <c r="L124" s="1"/>
  <c r="J124"/>
  <c r="N124"/>
  <c r="K123"/>
  <c r="J123"/>
  <c r="F123"/>
  <c r="K122"/>
  <c r="J122"/>
  <c r="F122"/>
  <c r="N122"/>
  <c r="K121"/>
  <c r="J121"/>
  <c r="F121"/>
  <c r="K120"/>
  <c r="J120"/>
  <c r="F120"/>
  <c r="K119"/>
  <c r="J119"/>
  <c r="F119"/>
  <c r="K118"/>
  <c r="J118"/>
  <c r="F118"/>
  <c r="N117"/>
  <c r="K117"/>
  <c r="J117"/>
  <c r="F117"/>
  <c r="N116"/>
  <c r="K116"/>
  <c r="L116" s="1"/>
  <c r="J116"/>
  <c r="K115"/>
  <c r="L115" s="1"/>
  <c r="J115"/>
  <c r="N114"/>
  <c r="K114"/>
  <c r="J114"/>
  <c r="F114"/>
  <c r="N113"/>
  <c r="K113"/>
  <c r="J113"/>
  <c r="F113"/>
  <c r="N112"/>
  <c r="K112"/>
  <c r="J112"/>
  <c r="F112"/>
  <c r="K111"/>
  <c r="J111"/>
  <c r="F111"/>
  <c r="K109"/>
  <c r="J109"/>
  <c r="F109"/>
  <c r="N109"/>
  <c r="K108"/>
  <c r="J108"/>
  <c r="F108"/>
  <c r="K107"/>
  <c r="L107" s="1"/>
  <c r="J107"/>
  <c r="N107"/>
  <c r="K106"/>
  <c r="L106" s="1"/>
  <c r="J106"/>
  <c r="K105"/>
  <c r="J105"/>
  <c r="F105"/>
  <c r="N105"/>
  <c r="K104"/>
  <c r="J104"/>
  <c r="F104"/>
  <c r="N104"/>
  <c r="K103"/>
  <c r="J103"/>
  <c r="F103"/>
  <c r="K102"/>
  <c r="J102"/>
  <c r="F102"/>
  <c r="K101"/>
  <c r="J101"/>
  <c r="F101"/>
  <c r="K100"/>
  <c r="J100"/>
  <c r="F100"/>
  <c r="N100"/>
  <c r="K99"/>
  <c r="J99"/>
  <c r="F99"/>
  <c r="N99"/>
  <c r="K98"/>
  <c r="J98"/>
  <c r="F98"/>
  <c r="N98"/>
  <c r="K97"/>
  <c r="L97" s="1"/>
  <c r="J97"/>
  <c r="N97"/>
  <c r="K96"/>
  <c r="J96"/>
  <c r="F96"/>
  <c r="N96"/>
  <c r="K95"/>
  <c r="J95"/>
  <c r="F95"/>
  <c r="N95"/>
  <c r="K94"/>
  <c r="L94" s="1"/>
  <c r="J94"/>
  <c r="N94"/>
  <c r="K93"/>
  <c r="J93"/>
  <c r="F93"/>
  <c r="K92"/>
  <c r="J92"/>
  <c r="F92"/>
  <c r="N92"/>
  <c r="K91"/>
  <c r="J91"/>
  <c r="F91"/>
  <c r="N91"/>
  <c r="K90"/>
  <c r="J90"/>
  <c r="F90"/>
  <c r="K89"/>
  <c r="J89"/>
  <c r="F89"/>
  <c r="K88"/>
  <c r="J88"/>
  <c r="F88"/>
  <c r="N88"/>
  <c r="K87"/>
  <c r="J87"/>
  <c r="F87"/>
  <c r="N87"/>
  <c r="K86"/>
  <c r="J86"/>
  <c r="F86"/>
  <c r="K85"/>
  <c r="J85"/>
  <c r="F85"/>
  <c r="N85"/>
  <c r="K84"/>
  <c r="J84"/>
  <c r="F84"/>
  <c r="N84"/>
  <c r="K83"/>
  <c r="J83"/>
  <c r="F83"/>
  <c r="K82"/>
  <c r="J82"/>
  <c r="F82"/>
  <c r="N82"/>
  <c r="K81"/>
  <c r="J81"/>
  <c r="F81"/>
  <c r="N81"/>
  <c r="K80"/>
  <c r="L80" s="1"/>
  <c r="J80"/>
  <c r="K79"/>
  <c r="J79"/>
  <c r="F79"/>
  <c r="K78"/>
  <c r="J78"/>
  <c r="F78"/>
  <c r="N78"/>
  <c r="K77"/>
  <c r="J77"/>
  <c r="F77"/>
  <c r="N77"/>
  <c r="K76"/>
  <c r="J76"/>
  <c r="F76"/>
  <c r="K75"/>
  <c r="J75"/>
  <c r="F75"/>
  <c r="N75"/>
  <c r="K74"/>
  <c r="J74"/>
  <c r="F74"/>
  <c r="N74"/>
  <c r="K73"/>
  <c r="L73" s="1"/>
  <c r="J73"/>
  <c r="N72"/>
  <c r="K72"/>
  <c r="J72"/>
  <c r="F72"/>
  <c r="N71"/>
  <c r="K71"/>
  <c r="L71" s="1"/>
  <c r="J71"/>
  <c r="N70"/>
  <c r="K70"/>
  <c r="L70" s="1"/>
  <c r="J70"/>
  <c r="K69"/>
  <c r="J69"/>
  <c r="F69"/>
  <c r="N68"/>
  <c r="K68"/>
  <c r="J68"/>
  <c r="F68"/>
  <c r="N67"/>
  <c r="K67"/>
  <c r="J67"/>
  <c r="F67"/>
  <c r="K66"/>
  <c r="J66"/>
  <c r="F66"/>
  <c r="N65"/>
  <c r="K65"/>
  <c r="J65"/>
  <c r="F65"/>
  <c r="K64"/>
  <c r="J64"/>
  <c r="F64"/>
  <c r="N63"/>
  <c r="K63"/>
  <c r="L63" s="1"/>
  <c r="J63"/>
  <c r="K62"/>
  <c r="J62"/>
  <c r="F62"/>
  <c r="N61"/>
  <c r="K61"/>
  <c r="J61"/>
  <c r="F61"/>
  <c r="N60"/>
  <c r="K60"/>
  <c r="L60" s="1"/>
  <c r="J60"/>
  <c r="K59"/>
  <c r="J59"/>
  <c r="F59"/>
  <c r="K58"/>
  <c r="J58"/>
  <c r="F58"/>
  <c r="N57"/>
  <c r="K57"/>
  <c r="L57" s="1"/>
  <c r="J57"/>
  <c r="K56"/>
  <c r="J56"/>
  <c r="F56"/>
  <c r="K55"/>
  <c r="J55"/>
  <c r="F55"/>
  <c r="K54"/>
  <c r="J54"/>
  <c r="F54"/>
  <c r="N53"/>
  <c r="K53"/>
  <c r="L53" s="1"/>
  <c r="J53"/>
  <c r="N52"/>
  <c r="K52"/>
  <c r="L52" s="1"/>
  <c r="J52"/>
  <c r="N51"/>
  <c r="K51"/>
  <c r="J51"/>
  <c r="F51"/>
  <c r="N50"/>
  <c r="K50"/>
  <c r="L50" s="1"/>
  <c r="J50"/>
  <c r="N49"/>
  <c r="K49"/>
  <c r="L49" s="1"/>
  <c r="J49"/>
  <c r="N48"/>
  <c r="K48"/>
  <c r="L48" s="1"/>
  <c r="J48"/>
  <c r="K47"/>
  <c r="L47" s="1"/>
  <c r="J47"/>
  <c r="K46"/>
  <c r="L46" s="1"/>
  <c r="J46"/>
  <c r="N45"/>
  <c r="K45"/>
  <c r="J45"/>
  <c r="F45"/>
  <c r="K44"/>
  <c r="J44"/>
  <c r="F44"/>
  <c r="K43"/>
  <c r="L43" s="1"/>
  <c r="J43"/>
  <c r="N42"/>
  <c r="K42"/>
  <c r="J42"/>
  <c r="F42"/>
  <c r="K41"/>
  <c r="J41"/>
  <c r="F41"/>
  <c r="N40"/>
  <c r="K40"/>
  <c r="J40"/>
  <c r="F40"/>
  <c r="K39"/>
  <c r="J39"/>
  <c r="F39"/>
  <c r="K38"/>
  <c r="L38" s="1"/>
  <c r="J38"/>
  <c r="N37"/>
  <c r="K37"/>
  <c r="L37" s="1"/>
  <c r="J37"/>
  <c r="K36"/>
  <c r="L36" s="1"/>
  <c r="J36"/>
  <c r="N35"/>
  <c r="K35"/>
  <c r="J35"/>
  <c r="F35"/>
  <c r="N34"/>
  <c r="K34"/>
  <c r="L34" s="1"/>
  <c r="J34"/>
  <c r="K33"/>
  <c r="J33"/>
  <c r="F33"/>
  <c r="N32"/>
  <c r="K32"/>
  <c r="J32"/>
  <c r="F32"/>
  <c r="K31"/>
  <c r="J31"/>
  <c r="F31"/>
  <c r="K30"/>
  <c r="L30" s="1"/>
  <c r="J30"/>
  <c r="K29"/>
  <c r="L29" s="1"/>
  <c r="J29"/>
  <c r="N28"/>
  <c r="K28"/>
  <c r="L28" s="1"/>
  <c r="J28"/>
  <c r="K27"/>
  <c r="L27" s="1"/>
  <c r="J27"/>
  <c r="K26"/>
  <c r="J26"/>
  <c r="F26"/>
  <c r="K25"/>
  <c r="L25" s="1"/>
  <c r="J25"/>
  <c r="N24"/>
  <c r="K24"/>
  <c r="J24"/>
  <c r="F24"/>
  <c r="K23"/>
  <c r="J23"/>
  <c r="F23"/>
  <c r="N22"/>
  <c r="K22"/>
  <c r="L22" s="1"/>
  <c r="J22"/>
  <c r="N21"/>
  <c r="K21"/>
  <c r="J21"/>
  <c r="F21"/>
  <c r="N20"/>
  <c r="K20"/>
  <c r="J20"/>
  <c r="F20"/>
  <c r="N19"/>
  <c r="K19"/>
  <c r="J19"/>
  <c r="F19"/>
  <c r="K18"/>
  <c r="J18"/>
  <c r="F18"/>
  <c r="N17"/>
  <c r="K17"/>
  <c r="J17"/>
  <c r="F17"/>
  <c r="N16"/>
  <c r="K16"/>
  <c r="J16"/>
  <c r="F16"/>
  <c r="N15"/>
  <c r="K15"/>
  <c r="J15"/>
  <c r="F15"/>
  <c r="K14"/>
  <c r="J14"/>
  <c r="F14"/>
  <c r="N13"/>
  <c r="K13"/>
  <c r="J13"/>
  <c r="F13"/>
  <c r="K12"/>
  <c r="J12"/>
  <c r="F12"/>
  <c r="N11"/>
  <c r="K11"/>
  <c r="L11" s="1"/>
  <c r="J11"/>
  <c r="N10"/>
  <c r="K10"/>
  <c r="J10"/>
  <c r="F10"/>
  <c r="K9"/>
  <c r="L9" s="1"/>
  <c r="J9"/>
  <c r="K8"/>
  <c r="J8"/>
  <c r="F8"/>
  <c r="N7"/>
  <c r="K7"/>
  <c r="L7" s="1"/>
  <c r="J7"/>
  <c r="K6"/>
  <c r="J6"/>
  <c r="F6"/>
  <c r="L6" i="72" l="1"/>
  <c r="L8" i="71"/>
  <c r="L98"/>
  <c r="L66"/>
  <c r="L116"/>
  <c r="L81"/>
  <c r="L89"/>
  <c r="L74"/>
  <c r="L68"/>
  <c r="L121"/>
  <c r="L10"/>
  <c r="L13"/>
  <c r="L16"/>
  <c r="L99"/>
  <c r="L64"/>
  <c r="L118"/>
  <c r="L84"/>
  <c r="L60"/>
  <c r="L71"/>
  <c r="L22"/>
  <c r="L40"/>
  <c r="L42"/>
  <c r="L44"/>
  <c r="L48"/>
  <c r="L96"/>
  <c r="L56"/>
  <c r="L110"/>
  <c r="L105"/>
  <c r="L90"/>
  <c r="L26"/>
  <c r="L28"/>
  <c r="L30"/>
  <c r="L32"/>
  <c r="L35"/>
  <c r="L70"/>
  <c r="L101"/>
  <c r="L79"/>
  <c r="L55"/>
  <c r="L85"/>
  <c r="L111"/>
  <c r="L138"/>
  <c r="L7"/>
  <c r="L12"/>
  <c r="L15"/>
  <c r="L19"/>
  <c r="L21"/>
  <c r="L23"/>
  <c r="L27"/>
  <c r="L31"/>
  <c r="L34"/>
  <c r="L37"/>
  <c r="L39"/>
  <c r="L41"/>
  <c r="L43"/>
  <c r="L45"/>
  <c r="L51"/>
  <c r="L119"/>
  <c r="L94"/>
  <c r="L53"/>
  <c r="L106"/>
  <c r="L102"/>
  <c r="L97"/>
  <c r="L108"/>
  <c r="L100"/>
  <c r="L57"/>
  <c r="L114"/>
  <c r="L104"/>
  <c r="L82"/>
  <c r="L61"/>
  <c r="L93"/>
  <c r="L112"/>
  <c r="L88"/>
  <c r="L80"/>
  <c r="L73"/>
  <c r="L76"/>
  <c r="L95"/>
  <c r="L59"/>
  <c r="L120"/>
  <c r="L135"/>
  <c r="L137"/>
  <c r="L6"/>
  <c r="L13" i="70"/>
  <c r="L15"/>
  <c r="L19"/>
  <c r="L21"/>
  <c r="L24"/>
  <c r="L26"/>
  <c r="L31"/>
  <c r="L51"/>
  <c r="L54"/>
  <c r="L60"/>
  <c r="L62"/>
  <c r="L68"/>
  <c r="L75"/>
  <c r="L79"/>
  <c r="L81"/>
  <c r="L95"/>
  <c r="L117"/>
  <c r="L64"/>
  <c r="L88"/>
  <c r="L123"/>
  <c r="L6"/>
  <c r="L8"/>
  <c r="L33"/>
  <c r="L37"/>
  <c r="L42"/>
  <c r="L78"/>
  <c r="L80"/>
  <c r="L90"/>
  <c r="L99"/>
  <c r="L101"/>
  <c r="L107"/>
  <c r="L109"/>
  <c r="L111"/>
  <c r="L116"/>
  <c r="L119"/>
  <c r="L121"/>
  <c r="L124"/>
  <c r="L126"/>
  <c r="L128"/>
  <c r="L134"/>
  <c r="L131"/>
  <c r="L38"/>
  <c r="L40"/>
  <c r="L56"/>
  <c r="L82"/>
  <c r="L84"/>
  <c r="L98"/>
  <c r="L16"/>
  <c r="L18"/>
  <c r="L72"/>
  <c r="L10"/>
  <c r="L17"/>
  <c r="L50"/>
  <c r="L52"/>
  <c r="L57"/>
  <c r="L69"/>
  <c r="L71"/>
  <c r="L74"/>
  <c r="L76"/>
  <c r="L87"/>
  <c r="L91"/>
  <c r="L93"/>
  <c r="L100"/>
  <c r="L102"/>
  <c r="L114"/>
  <c r="L120"/>
  <c r="L127"/>
  <c r="L129"/>
  <c r="L12"/>
  <c r="L14"/>
  <c r="L20"/>
  <c r="L22"/>
  <c r="L39"/>
  <c r="L59"/>
  <c r="L61"/>
  <c r="L63"/>
  <c r="L70"/>
  <c r="L77"/>
  <c r="L83"/>
  <c r="L85"/>
  <c r="L92"/>
  <c r="L94"/>
  <c r="L103"/>
  <c r="L106"/>
  <c r="L108"/>
  <c r="L110"/>
  <c r="L112"/>
  <c r="L115"/>
  <c r="L133"/>
  <c r="G140" i="66"/>
  <c r="L8"/>
  <c r="L12"/>
  <c r="L13"/>
  <c r="L16"/>
  <c r="L19"/>
  <c r="L20"/>
  <c r="L22"/>
  <c r="L26"/>
  <c r="L38"/>
  <c r="L70"/>
  <c r="L71"/>
  <c r="L89"/>
  <c r="L118"/>
  <c r="L127"/>
  <c r="L128"/>
  <c r="L17"/>
  <c r="L34"/>
  <c r="L53"/>
  <c r="L72"/>
  <c r="L90"/>
  <c r="L96"/>
  <c r="L98"/>
  <c r="L132"/>
  <c r="L135"/>
  <c r="M115" i="68"/>
  <c r="M62"/>
  <c r="L39" i="66"/>
  <c r="L51"/>
  <c r="L52"/>
  <c r="L55"/>
  <c r="L56"/>
  <c r="L58"/>
  <c r="L63"/>
  <c r="L65"/>
  <c r="L119"/>
  <c r="L136" i="68"/>
  <c r="M8"/>
  <c r="M12"/>
  <c r="M14"/>
  <c r="M18"/>
  <c r="M20"/>
  <c r="M22"/>
  <c r="M26"/>
  <c r="M144"/>
  <c r="M42"/>
  <c r="M50"/>
  <c r="M52"/>
  <c r="M57"/>
  <c r="M59"/>
  <c r="M61"/>
  <c r="M64"/>
  <c r="M69"/>
  <c r="M120"/>
  <c r="M143"/>
  <c r="M124"/>
  <c r="M126"/>
  <c r="M128"/>
  <c r="M131"/>
  <c r="M133"/>
  <c r="H136"/>
  <c r="M15"/>
  <c r="M17"/>
  <c r="M19"/>
  <c r="M21"/>
  <c r="M33"/>
  <c r="M38"/>
  <c r="M40"/>
  <c r="M60"/>
  <c r="M75"/>
  <c r="M77"/>
  <c r="M79"/>
  <c r="M81"/>
  <c r="M83"/>
  <c r="M85"/>
  <c r="M88"/>
  <c r="M146"/>
  <c r="M91"/>
  <c r="M93"/>
  <c r="M94"/>
  <c r="M31"/>
  <c r="M37"/>
  <c r="M16"/>
  <c r="M147"/>
  <c r="M63"/>
  <c r="M71"/>
  <c r="M99"/>
  <c r="M101"/>
  <c r="M103"/>
  <c r="M106"/>
  <c r="M108"/>
  <c r="M110"/>
  <c r="M112"/>
  <c r="M116"/>
  <c r="M24"/>
  <c r="M56"/>
  <c r="M10"/>
  <c r="M13"/>
  <c r="M39"/>
  <c r="M51"/>
  <c r="M54"/>
  <c r="M68"/>
  <c r="M70"/>
  <c r="M72"/>
  <c r="M74"/>
  <c r="M76"/>
  <c r="M78"/>
  <c r="M80"/>
  <c r="M82"/>
  <c r="M84"/>
  <c r="M87"/>
  <c r="M90"/>
  <c r="M92"/>
  <c r="M145"/>
  <c r="M95"/>
  <c r="M98"/>
  <c r="M100"/>
  <c r="M102"/>
  <c r="M107"/>
  <c r="M109"/>
  <c r="M111"/>
  <c r="M114"/>
  <c r="M117"/>
  <c r="M119"/>
  <c r="M121"/>
  <c r="M123"/>
  <c r="M127"/>
  <c r="M129"/>
  <c r="M134"/>
  <c r="M24" i="67"/>
  <c r="M55"/>
  <c r="M65"/>
  <c r="M6" i="68"/>
  <c r="M136" s="1"/>
  <c r="M62" i="67"/>
  <c r="M53"/>
  <c r="M134"/>
  <c r="M6"/>
  <c r="M8"/>
  <c r="M12"/>
  <c r="M13"/>
  <c r="M16"/>
  <c r="M18"/>
  <c r="M19"/>
  <c r="M21"/>
  <c r="M75"/>
  <c r="M78"/>
  <c r="M82"/>
  <c r="M85"/>
  <c r="M91"/>
  <c r="M94"/>
  <c r="M95"/>
  <c r="M102"/>
  <c r="M110"/>
  <c r="M112"/>
  <c r="M114"/>
  <c r="M115"/>
  <c r="M121"/>
  <c r="M122"/>
  <c r="M123"/>
  <c r="M124"/>
  <c r="M129"/>
  <c r="M130"/>
  <c r="M72"/>
  <c r="M88"/>
  <c r="M131"/>
  <c r="M132"/>
  <c r="L139"/>
  <c r="M10"/>
  <c r="M14"/>
  <c r="M15"/>
  <c r="M17"/>
  <c r="M20"/>
  <c r="M22"/>
  <c r="M26"/>
  <c r="M32"/>
  <c r="M34"/>
  <c r="M40"/>
  <c r="M41"/>
  <c r="M43"/>
  <c r="M51"/>
  <c r="M56"/>
  <c r="M58"/>
  <c r="M59"/>
  <c r="M61"/>
  <c r="M63"/>
  <c r="M64"/>
  <c r="M69"/>
  <c r="M70"/>
  <c r="M71"/>
  <c r="M73"/>
  <c r="M76"/>
  <c r="M77"/>
  <c r="M79"/>
  <c r="M80"/>
  <c r="M81"/>
  <c r="M83"/>
  <c r="M84"/>
  <c r="M86"/>
  <c r="M89"/>
  <c r="M92"/>
  <c r="M93"/>
  <c r="M96"/>
  <c r="M97"/>
  <c r="M98"/>
  <c r="M101"/>
  <c r="M103"/>
  <c r="M104"/>
  <c r="M105"/>
  <c r="M106"/>
  <c r="M109"/>
  <c r="M111"/>
  <c r="M113"/>
  <c r="M117"/>
  <c r="M118"/>
  <c r="M119"/>
  <c r="M136"/>
  <c r="M137"/>
  <c r="H139"/>
  <c r="L10" i="66"/>
  <c r="L14"/>
  <c r="L15"/>
  <c r="L18"/>
  <c r="L21"/>
  <c r="L24"/>
  <c r="L31"/>
  <c r="L32"/>
  <c r="L40"/>
  <c r="L41"/>
  <c r="L43"/>
  <c r="L59"/>
  <c r="L61"/>
  <c r="L62"/>
  <c r="L64"/>
  <c r="L69"/>
  <c r="L73"/>
  <c r="L76"/>
  <c r="L79"/>
  <c r="L82"/>
  <c r="L85"/>
  <c r="L88"/>
  <c r="L92"/>
  <c r="L94"/>
  <c r="L95"/>
  <c r="L97"/>
  <c r="L104"/>
  <c r="L105"/>
  <c r="L106"/>
  <c r="L111"/>
  <c r="L112"/>
  <c r="L113"/>
  <c r="L114"/>
  <c r="L115"/>
  <c r="L120"/>
  <c r="L122"/>
  <c r="L123"/>
  <c r="L124"/>
  <c r="L125"/>
  <c r="L130"/>
  <c r="L131"/>
  <c r="L133"/>
  <c r="L137"/>
  <c r="L138"/>
  <c r="K157" i="65"/>
  <c r="K140" i="66"/>
  <c r="L6"/>
  <c r="L147" i="65"/>
  <c r="L151"/>
  <c r="L144"/>
  <c r="L148"/>
  <c r="L15"/>
  <c r="L16"/>
  <c r="L17"/>
  <c r="L24"/>
  <c r="L42"/>
  <c r="L54"/>
  <c r="L58"/>
  <c r="L79"/>
  <c r="L86"/>
  <c r="L87"/>
  <c r="L88"/>
  <c r="L102"/>
  <c r="L119"/>
  <c r="L125"/>
  <c r="L126"/>
  <c r="L127"/>
  <c r="L128"/>
  <c r="L129"/>
  <c r="L132"/>
  <c r="L142"/>
  <c r="L152"/>
  <c r="L155"/>
  <c r="L13"/>
  <c r="L33"/>
  <c r="L41"/>
  <c r="L61"/>
  <c r="L62"/>
  <c r="L67"/>
  <c r="L68"/>
  <c r="L69"/>
  <c r="L78"/>
  <c r="L83"/>
  <c r="L84"/>
  <c r="L85"/>
  <c r="L93"/>
  <c r="L101"/>
  <c r="L112"/>
  <c r="L113"/>
  <c r="L114"/>
  <c r="L118"/>
  <c r="L123"/>
  <c r="L131"/>
  <c r="L135"/>
  <c r="L138"/>
  <c r="L141"/>
  <c r="L110"/>
  <c r="L154"/>
  <c r="L14"/>
  <c r="L23"/>
  <c r="L32"/>
  <c r="L40"/>
  <c r="L45"/>
  <c r="L8"/>
  <c r="L12"/>
  <c r="L19"/>
  <c r="L20"/>
  <c r="L21"/>
  <c r="L26"/>
  <c r="L31"/>
  <c r="L39"/>
  <c r="L44"/>
  <c r="L51"/>
  <c r="L56"/>
  <c r="L65"/>
  <c r="L66"/>
  <c r="L72"/>
  <c r="L76"/>
  <c r="L77"/>
  <c r="L81"/>
  <c r="L82"/>
  <c r="L90"/>
  <c r="L91"/>
  <c r="L92"/>
  <c r="L98"/>
  <c r="L99"/>
  <c r="L100"/>
  <c r="L111"/>
  <c r="L117"/>
  <c r="L121"/>
  <c r="L122"/>
  <c r="L134"/>
  <c r="L137"/>
  <c r="L140"/>
  <c r="L10"/>
  <c r="L18"/>
  <c r="L35"/>
  <c r="L55"/>
  <c r="L59"/>
  <c r="L64"/>
  <c r="L74"/>
  <c r="L75"/>
  <c r="L89"/>
  <c r="L95"/>
  <c r="L96"/>
  <c r="L103"/>
  <c r="L104"/>
  <c r="L105"/>
  <c r="L108"/>
  <c r="L109"/>
  <c r="L120"/>
  <c r="L133"/>
  <c r="L6"/>
  <c r="M139" i="67" l="1"/>
  <c r="L140" i="66"/>
  <c r="L157" i="65"/>
  <c r="H158" i="63"/>
  <c r="J157"/>
  <c r="K157"/>
  <c r="E158"/>
  <c r="D158"/>
  <c r="F157"/>
  <c r="L157" s="1"/>
  <c r="K156"/>
  <c r="J156"/>
  <c r="F156"/>
  <c r="K155"/>
  <c r="L155" s="1"/>
  <c r="J155"/>
  <c r="K154"/>
  <c r="J154"/>
  <c r="F154"/>
  <c r="L154" s="1"/>
  <c r="E158" i="61"/>
  <c r="D158"/>
  <c r="F157"/>
  <c r="L157" s="1"/>
  <c r="F155"/>
  <c r="L155" s="1"/>
  <c r="K155"/>
  <c r="K156"/>
  <c r="L156"/>
  <c r="K157"/>
  <c r="J155"/>
  <c r="J156"/>
  <c r="J157"/>
  <c r="H158"/>
  <c r="J21" i="63"/>
  <c r="J114" i="61"/>
  <c r="J20" i="59"/>
  <c r="K153" i="63"/>
  <c r="L153" s="1"/>
  <c r="J153"/>
  <c r="F153"/>
  <c r="K152"/>
  <c r="L152" s="1"/>
  <c r="J152"/>
  <c r="K148"/>
  <c r="L148" s="1"/>
  <c r="J148"/>
  <c r="K119"/>
  <c r="J119"/>
  <c r="F119"/>
  <c r="L119" s="1"/>
  <c r="K117"/>
  <c r="J117"/>
  <c r="F117"/>
  <c r="L117" s="1"/>
  <c r="K115"/>
  <c r="L115" s="1"/>
  <c r="J115"/>
  <c r="K92"/>
  <c r="J92"/>
  <c r="F92"/>
  <c r="L92" s="1"/>
  <c r="K87"/>
  <c r="J87"/>
  <c r="F87"/>
  <c r="L87" s="1"/>
  <c r="K70"/>
  <c r="J70"/>
  <c r="F70"/>
  <c r="K64"/>
  <c r="J64"/>
  <c r="F64"/>
  <c r="K61"/>
  <c r="J61"/>
  <c r="F61"/>
  <c r="L61" s="1"/>
  <c r="K51"/>
  <c r="L51" s="1"/>
  <c r="J51"/>
  <c r="K49"/>
  <c r="L49" s="1"/>
  <c r="J49"/>
  <c r="K47"/>
  <c r="J47"/>
  <c r="F47"/>
  <c r="L47" s="1"/>
  <c r="K38"/>
  <c r="L38" s="1"/>
  <c r="J38"/>
  <c r="K16"/>
  <c r="J16"/>
  <c r="F16"/>
  <c r="L16" s="1"/>
  <c r="K14"/>
  <c r="J14"/>
  <c r="F14"/>
  <c r="L14" s="1"/>
  <c r="N137"/>
  <c r="K127"/>
  <c r="J127"/>
  <c r="F127"/>
  <c r="L127" s="1"/>
  <c r="N136"/>
  <c r="K80"/>
  <c r="J80"/>
  <c r="F80"/>
  <c r="L80" s="1"/>
  <c r="N135"/>
  <c r="K12"/>
  <c r="J12"/>
  <c r="F12"/>
  <c r="L12" s="1"/>
  <c r="N134"/>
  <c r="K17"/>
  <c r="J17"/>
  <c r="F17"/>
  <c r="L17" s="1"/>
  <c r="N133"/>
  <c r="K30"/>
  <c r="L30" s="1"/>
  <c r="J30"/>
  <c r="N132"/>
  <c r="K60"/>
  <c r="J60"/>
  <c r="F60"/>
  <c r="K129"/>
  <c r="J129"/>
  <c r="F129"/>
  <c r="N130"/>
  <c r="K53"/>
  <c r="J53"/>
  <c r="F53"/>
  <c r="K26"/>
  <c r="L26" s="1"/>
  <c r="J26"/>
  <c r="K66"/>
  <c r="J66"/>
  <c r="F66"/>
  <c r="K126"/>
  <c r="J126"/>
  <c r="F126"/>
  <c r="K123"/>
  <c r="L123" s="1"/>
  <c r="J123"/>
  <c r="N125"/>
  <c r="K99"/>
  <c r="J99"/>
  <c r="F99"/>
  <c r="L99" s="1"/>
  <c r="N124"/>
  <c r="K97"/>
  <c r="J97"/>
  <c r="F97"/>
  <c r="L97" s="1"/>
  <c r="N123"/>
  <c r="K88"/>
  <c r="J88"/>
  <c r="F88"/>
  <c r="L88" s="1"/>
  <c r="K36"/>
  <c r="J36"/>
  <c r="F36"/>
  <c r="N121"/>
  <c r="K76"/>
  <c r="L76" s="1"/>
  <c r="J76"/>
  <c r="N120"/>
  <c r="K40"/>
  <c r="J40"/>
  <c r="F40"/>
  <c r="N119"/>
  <c r="K136"/>
  <c r="J136"/>
  <c r="F136"/>
  <c r="K19"/>
  <c r="J19"/>
  <c r="F19"/>
  <c r="L19" s="1"/>
  <c r="K63"/>
  <c r="J63"/>
  <c r="F63"/>
  <c r="L63" s="1"/>
  <c r="N116"/>
  <c r="K106"/>
  <c r="J106"/>
  <c r="F106"/>
  <c r="L106" s="1"/>
  <c r="K71"/>
  <c r="J71"/>
  <c r="F71"/>
  <c r="N114"/>
  <c r="K113"/>
  <c r="J113"/>
  <c r="F113"/>
  <c r="K21"/>
  <c r="F21"/>
  <c r="N112"/>
  <c r="K77"/>
  <c r="J77"/>
  <c r="F77"/>
  <c r="L77" s="1"/>
  <c r="N111"/>
  <c r="K42"/>
  <c r="J42"/>
  <c r="F42"/>
  <c r="L42" s="1"/>
  <c r="K13"/>
  <c r="J13"/>
  <c r="F13"/>
  <c r="L13" s="1"/>
  <c r="K32"/>
  <c r="J32"/>
  <c r="F32"/>
  <c r="K41"/>
  <c r="J41"/>
  <c r="F41"/>
  <c r="N107"/>
  <c r="K130"/>
  <c r="J130"/>
  <c r="F130"/>
  <c r="N106"/>
  <c r="K93"/>
  <c r="J93"/>
  <c r="F93"/>
  <c r="N105"/>
  <c r="K65"/>
  <c r="L65" s="1"/>
  <c r="J65"/>
  <c r="N104"/>
  <c r="K28"/>
  <c r="L28" s="1"/>
  <c r="J28"/>
  <c r="N103"/>
  <c r="K68"/>
  <c r="J68"/>
  <c r="F68"/>
  <c r="L68" s="1"/>
  <c r="N102"/>
  <c r="K141"/>
  <c r="J141"/>
  <c r="F141"/>
  <c r="L141" s="1"/>
  <c r="N101"/>
  <c r="K103"/>
  <c r="J103"/>
  <c r="F103"/>
  <c r="L103" s="1"/>
  <c r="N100"/>
  <c r="K59"/>
  <c r="L59" s="1"/>
  <c r="J59"/>
  <c r="K55"/>
  <c r="L55" s="1"/>
  <c r="J55"/>
  <c r="K90"/>
  <c r="J90"/>
  <c r="F90"/>
  <c r="L90" s="1"/>
  <c r="N97"/>
  <c r="K100"/>
  <c r="J100"/>
  <c r="F100"/>
  <c r="L100" s="1"/>
  <c r="N96"/>
  <c r="K20"/>
  <c r="J20"/>
  <c r="F20"/>
  <c r="L20" s="1"/>
  <c r="K62"/>
  <c r="L62" s="1"/>
  <c r="J62"/>
  <c r="K82"/>
  <c r="J82"/>
  <c r="F82"/>
  <c r="L82" s="1"/>
  <c r="N93"/>
  <c r="K112"/>
  <c r="J112"/>
  <c r="F112"/>
  <c r="L112" s="1"/>
  <c r="N92"/>
  <c r="K34"/>
  <c r="J34"/>
  <c r="F34"/>
  <c r="L34" s="1"/>
  <c r="K131"/>
  <c r="J131"/>
  <c r="F131"/>
  <c r="L131" s="1"/>
  <c r="N90"/>
  <c r="K108"/>
  <c r="J108"/>
  <c r="F108"/>
  <c r="L108" s="1"/>
  <c r="N89"/>
  <c r="K52"/>
  <c r="L52" s="1"/>
  <c r="J52"/>
  <c r="N88"/>
  <c r="K37"/>
  <c r="L37" s="1"/>
  <c r="J37"/>
  <c r="K57"/>
  <c r="J57"/>
  <c r="F57"/>
  <c r="L57" s="1"/>
  <c r="N86"/>
  <c r="K118"/>
  <c r="J118"/>
  <c r="F118"/>
  <c r="L118" s="1"/>
  <c r="N85"/>
  <c r="K18"/>
  <c r="L18" s="1"/>
  <c r="J18"/>
  <c r="N84"/>
  <c r="K11"/>
  <c r="L11" s="1"/>
  <c r="J11"/>
  <c r="K146"/>
  <c r="J146"/>
  <c r="F146"/>
  <c r="K110"/>
  <c r="J110"/>
  <c r="F110"/>
  <c r="L110" s="1"/>
  <c r="N81"/>
  <c r="K27"/>
  <c r="J27"/>
  <c r="F27"/>
  <c r="L27" s="1"/>
  <c r="K8"/>
  <c r="J8"/>
  <c r="F8"/>
  <c r="L8" s="1"/>
  <c r="N79"/>
  <c r="K72"/>
  <c r="L72" s="1"/>
  <c r="J72"/>
  <c r="K45"/>
  <c r="J45"/>
  <c r="F45"/>
  <c r="N77"/>
  <c r="K74"/>
  <c r="J74"/>
  <c r="F74"/>
  <c r="N76"/>
  <c r="K124"/>
  <c r="J124"/>
  <c r="F124"/>
  <c r="K109"/>
  <c r="J109"/>
  <c r="F109"/>
  <c r="L109" s="1"/>
  <c r="N74"/>
  <c r="K102"/>
  <c r="L102" s="1"/>
  <c r="J102"/>
  <c r="N73"/>
  <c r="K35"/>
  <c r="L35" s="1"/>
  <c r="J35"/>
  <c r="N72"/>
  <c r="K50"/>
  <c r="L50" s="1"/>
  <c r="J50"/>
  <c r="K86"/>
  <c r="J86"/>
  <c r="F86"/>
  <c r="L86" s="1"/>
  <c r="N70"/>
  <c r="K24"/>
  <c r="J24"/>
  <c r="F24"/>
  <c r="L24" s="1"/>
  <c r="N69"/>
  <c r="K107"/>
  <c r="J107"/>
  <c r="F107"/>
  <c r="L107" s="1"/>
  <c r="K78"/>
  <c r="J78"/>
  <c r="F78"/>
  <c r="L78" s="1"/>
  <c r="N67"/>
  <c r="K142"/>
  <c r="J142"/>
  <c r="F142"/>
  <c r="L142" s="1"/>
  <c r="N65"/>
  <c r="K9"/>
  <c r="L9" s="1"/>
  <c r="J9"/>
  <c r="K56"/>
  <c r="J56"/>
  <c r="F56"/>
  <c r="N63"/>
  <c r="K89"/>
  <c r="J89"/>
  <c r="F89"/>
  <c r="N62"/>
  <c r="K29"/>
  <c r="L29" s="1"/>
  <c r="J29"/>
  <c r="K7"/>
  <c r="L7" s="1"/>
  <c r="J7"/>
  <c r="K79"/>
  <c r="J79"/>
  <c r="F79"/>
  <c r="N59"/>
  <c r="K85"/>
  <c r="J85"/>
  <c r="F85"/>
  <c r="K84"/>
  <c r="L84" s="1"/>
  <c r="J84"/>
  <c r="K111"/>
  <c r="J111"/>
  <c r="F111"/>
  <c r="K73"/>
  <c r="L73" s="1"/>
  <c r="J73"/>
  <c r="N55"/>
  <c r="K75"/>
  <c r="L75" s="1"/>
  <c r="J75"/>
  <c r="N54"/>
  <c r="K114"/>
  <c r="L114" s="1"/>
  <c r="J114"/>
  <c r="N53"/>
  <c r="K94"/>
  <c r="J94"/>
  <c r="F94"/>
  <c r="N52"/>
  <c r="K46"/>
  <c r="J46"/>
  <c r="F46"/>
  <c r="N51"/>
  <c r="K137"/>
  <c r="J137"/>
  <c r="F137"/>
  <c r="N50"/>
  <c r="K33"/>
  <c r="J33"/>
  <c r="F33"/>
  <c r="K120"/>
  <c r="J120"/>
  <c r="F120"/>
  <c r="K91"/>
  <c r="J91"/>
  <c r="F91"/>
  <c r="L91" s="1"/>
  <c r="N47"/>
  <c r="K147"/>
  <c r="J147"/>
  <c r="F147"/>
  <c r="L147" s="1"/>
  <c r="K67"/>
  <c r="J67"/>
  <c r="F67"/>
  <c r="L67" s="1"/>
  <c r="N45"/>
  <c r="K44"/>
  <c r="L44" s="1"/>
  <c r="J44"/>
  <c r="K139"/>
  <c r="L139" s="1"/>
  <c r="J139"/>
  <c r="N43"/>
  <c r="K125"/>
  <c r="J125"/>
  <c r="F125"/>
  <c r="L125" s="1"/>
  <c r="K22"/>
  <c r="J22"/>
  <c r="F22"/>
  <c r="L22" s="1"/>
  <c r="N41"/>
  <c r="K144"/>
  <c r="J144"/>
  <c r="F144"/>
  <c r="L144" s="1"/>
  <c r="K101"/>
  <c r="J101"/>
  <c r="F101"/>
  <c r="K39"/>
  <c r="L39" s="1"/>
  <c r="J39"/>
  <c r="N38"/>
  <c r="K116"/>
  <c r="J116"/>
  <c r="F116"/>
  <c r="L116" s="1"/>
  <c r="K58"/>
  <c r="J58"/>
  <c r="F58"/>
  <c r="L58" s="1"/>
  <c r="N36"/>
  <c r="K81"/>
  <c r="J81"/>
  <c r="F81"/>
  <c r="L81" s="1"/>
  <c r="N35"/>
  <c r="K138"/>
  <c r="J138"/>
  <c r="F138"/>
  <c r="L138" s="1"/>
  <c r="N33"/>
  <c r="K128"/>
  <c r="J128"/>
  <c r="F128"/>
  <c r="L128" s="1"/>
  <c r="K150"/>
  <c r="J150"/>
  <c r="F150"/>
  <c r="K122"/>
  <c r="L122" s="1"/>
  <c r="J122"/>
  <c r="K31"/>
  <c r="L31" s="1"/>
  <c r="J31"/>
  <c r="N29"/>
  <c r="K132"/>
  <c r="J132"/>
  <c r="F132"/>
  <c r="K121"/>
  <c r="J121"/>
  <c r="F121"/>
  <c r="K134"/>
  <c r="J134"/>
  <c r="F134"/>
  <c r="L134" s="1"/>
  <c r="K15"/>
  <c r="J15"/>
  <c r="F15"/>
  <c r="L15" s="1"/>
  <c r="N25"/>
  <c r="K95"/>
  <c r="J95"/>
  <c r="F95"/>
  <c r="L95" s="1"/>
  <c r="K105"/>
  <c r="L105" s="1"/>
  <c r="J105"/>
  <c r="N23"/>
  <c r="K96"/>
  <c r="J96"/>
  <c r="F96"/>
  <c r="N22"/>
  <c r="K83"/>
  <c r="J83"/>
  <c r="F83"/>
  <c r="N21"/>
  <c r="K23"/>
  <c r="L23" s="1"/>
  <c r="J23"/>
  <c r="N20"/>
  <c r="K145"/>
  <c r="L145" s="1"/>
  <c r="J145"/>
  <c r="K98"/>
  <c r="J98"/>
  <c r="F98"/>
  <c r="N18"/>
  <c r="K10"/>
  <c r="J10"/>
  <c r="F10"/>
  <c r="N17"/>
  <c r="K25"/>
  <c r="J25"/>
  <c r="F25"/>
  <c r="N16"/>
  <c r="K104"/>
  <c r="J104"/>
  <c r="F104"/>
  <c r="N15"/>
  <c r="K140"/>
  <c r="J140"/>
  <c r="F140"/>
  <c r="K54"/>
  <c r="L54" s="1"/>
  <c r="J54"/>
  <c r="N13"/>
  <c r="K135"/>
  <c r="J135"/>
  <c r="F135"/>
  <c r="L135" s="1"/>
  <c r="K43"/>
  <c r="J43"/>
  <c r="F43"/>
  <c r="L43" s="1"/>
  <c r="N11"/>
  <c r="K69"/>
  <c r="J69"/>
  <c r="F69"/>
  <c r="L69" s="1"/>
  <c r="N10"/>
  <c r="K133"/>
  <c r="L133" s="1"/>
  <c r="J133"/>
  <c r="K151"/>
  <c r="J151"/>
  <c r="F151"/>
  <c r="K143"/>
  <c r="J143"/>
  <c r="F143"/>
  <c r="L143" s="1"/>
  <c r="N7"/>
  <c r="K48"/>
  <c r="L48" s="1"/>
  <c r="J48"/>
  <c r="K6"/>
  <c r="K158" s="1"/>
  <c r="J6"/>
  <c r="F6"/>
  <c r="K149"/>
  <c r="J149"/>
  <c r="F149"/>
  <c r="H146" i="59"/>
  <c r="E146"/>
  <c r="D146"/>
  <c r="K154" i="61"/>
  <c r="L154" s="1"/>
  <c r="J154"/>
  <c r="K153"/>
  <c r="L153" s="1"/>
  <c r="J153"/>
  <c r="K152"/>
  <c r="J152"/>
  <c r="K151"/>
  <c r="J151"/>
  <c r="K150"/>
  <c r="L150" s="1"/>
  <c r="J150"/>
  <c r="K149"/>
  <c r="J149"/>
  <c r="K148"/>
  <c r="J148"/>
  <c r="K147"/>
  <c r="J147"/>
  <c r="K146"/>
  <c r="J146"/>
  <c r="K145"/>
  <c r="J145"/>
  <c r="K144"/>
  <c r="L144" s="1"/>
  <c r="J144"/>
  <c r="K143"/>
  <c r="L143" s="1"/>
  <c r="J143"/>
  <c r="K142"/>
  <c r="J142"/>
  <c r="K141"/>
  <c r="L141" s="1"/>
  <c r="J141"/>
  <c r="K140"/>
  <c r="J140"/>
  <c r="K139"/>
  <c r="J139"/>
  <c r="F152"/>
  <c r="L152" s="1"/>
  <c r="F151"/>
  <c r="F149"/>
  <c r="F145"/>
  <c r="F140"/>
  <c r="L140" s="1"/>
  <c r="F147"/>
  <c r="F146"/>
  <c r="L146" s="1"/>
  <c r="F148"/>
  <c r="F142"/>
  <c r="L142" s="1"/>
  <c r="F139"/>
  <c r="K103"/>
  <c r="J103"/>
  <c r="F103"/>
  <c r="K45"/>
  <c r="L45" s="1"/>
  <c r="J45"/>
  <c r="K36"/>
  <c r="J36"/>
  <c r="F36"/>
  <c r="L36" s="1"/>
  <c r="K14"/>
  <c r="J14"/>
  <c r="F14"/>
  <c r="K11"/>
  <c r="L11" s="1"/>
  <c r="J11"/>
  <c r="K26"/>
  <c r="J26"/>
  <c r="F26"/>
  <c r="K54"/>
  <c r="J54"/>
  <c r="F54"/>
  <c r="K104"/>
  <c r="J104"/>
  <c r="F104"/>
  <c r="K118"/>
  <c r="J118"/>
  <c r="F118"/>
  <c r="L118" s="1"/>
  <c r="K71"/>
  <c r="J71"/>
  <c r="F71"/>
  <c r="L71" s="1"/>
  <c r="K68"/>
  <c r="J68"/>
  <c r="F68"/>
  <c r="K10"/>
  <c r="J10"/>
  <c r="F10"/>
  <c r="K33"/>
  <c r="J33"/>
  <c r="F33"/>
  <c r="L33" s="1"/>
  <c r="K6"/>
  <c r="J6"/>
  <c r="F6"/>
  <c r="L6" s="1"/>
  <c r="K48"/>
  <c r="J48"/>
  <c r="F48"/>
  <c r="K84"/>
  <c r="J84"/>
  <c r="F84"/>
  <c r="K21"/>
  <c r="L21" s="1"/>
  <c r="J21"/>
  <c r="K42"/>
  <c r="J42"/>
  <c r="F42"/>
  <c r="K9"/>
  <c r="J9"/>
  <c r="F9"/>
  <c r="K67"/>
  <c r="J67"/>
  <c r="F67"/>
  <c r="L67" s="1"/>
  <c r="K314"/>
  <c r="J314"/>
  <c r="F314"/>
  <c r="L314" s="1"/>
  <c r="K35"/>
  <c r="J35"/>
  <c r="F35"/>
  <c r="K16"/>
  <c r="J16"/>
  <c r="F16"/>
  <c r="K317"/>
  <c r="J317"/>
  <c r="F317"/>
  <c r="L317" s="1"/>
  <c r="K52"/>
  <c r="J52"/>
  <c r="F52"/>
  <c r="L52" s="1"/>
  <c r="K120"/>
  <c r="J120"/>
  <c r="F120"/>
  <c r="K28"/>
  <c r="J28"/>
  <c r="F28"/>
  <c r="K30"/>
  <c r="J30"/>
  <c r="F30"/>
  <c r="L30" s="1"/>
  <c r="K92"/>
  <c r="J92"/>
  <c r="F92"/>
  <c r="L92" s="1"/>
  <c r="K108"/>
  <c r="J108"/>
  <c r="F108"/>
  <c r="K132"/>
  <c r="J132"/>
  <c r="F132"/>
  <c r="K34"/>
  <c r="J34"/>
  <c r="F34"/>
  <c r="L34" s="1"/>
  <c r="K138"/>
  <c r="J138"/>
  <c r="F138"/>
  <c r="L138" s="1"/>
  <c r="K128"/>
  <c r="J128"/>
  <c r="F128"/>
  <c r="K44"/>
  <c r="J44"/>
  <c r="F44"/>
  <c r="K77"/>
  <c r="J77"/>
  <c r="F77"/>
  <c r="L77" s="1"/>
  <c r="K127"/>
  <c r="L127" s="1"/>
  <c r="J127"/>
  <c r="K32"/>
  <c r="L32" s="1"/>
  <c r="J32"/>
  <c r="K29"/>
  <c r="J29"/>
  <c r="F29"/>
  <c r="L29" s="1"/>
  <c r="K50"/>
  <c r="J50"/>
  <c r="F50"/>
  <c r="K87"/>
  <c r="J87"/>
  <c r="F87"/>
  <c r="K39"/>
  <c r="J39"/>
  <c r="F39"/>
  <c r="L39" s="1"/>
  <c r="K55"/>
  <c r="L55" s="1"/>
  <c r="J55"/>
  <c r="N106"/>
  <c r="K115"/>
  <c r="J115"/>
  <c r="F115"/>
  <c r="N86"/>
  <c r="K94"/>
  <c r="J94"/>
  <c r="F94"/>
  <c r="N53"/>
  <c r="K58"/>
  <c r="J58"/>
  <c r="F58"/>
  <c r="N75"/>
  <c r="K83"/>
  <c r="J83"/>
  <c r="F83"/>
  <c r="N135"/>
  <c r="K76"/>
  <c r="J76"/>
  <c r="F76"/>
  <c r="K91"/>
  <c r="J91"/>
  <c r="F91"/>
  <c r="N64"/>
  <c r="K70"/>
  <c r="J70"/>
  <c r="F70"/>
  <c r="N108"/>
  <c r="K117"/>
  <c r="J117"/>
  <c r="F117"/>
  <c r="N24"/>
  <c r="K25"/>
  <c r="L25" s="1"/>
  <c r="J25"/>
  <c r="N16"/>
  <c r="K17"/>
  <c r="J17"/>
  <c r="F17"/>
  <c r="L17" s="1"/>
  <c r="N94"/>
  <c r="K102"/>
  <c r="J102"/>
  <c r="F102"/>
  <c r="L102" s="1"/>
  <c r="N68"/>
  <c r="K75"/>
  <c r="L75" s="1"/>
  <c r="J75"/>
  <c r="N37"/>
  <c r="K41"/>
  <c r="J41"/>
  <c r="F41"/>
  <c r="L41" s="1"/>
  <c r="N90"/>
  <c r="K98"/>
  <c r="J98"/>
  <c r="F98"/>
  <c r="L98" s="1"/>
  <c r="N117"/>
  <c r="K126"/>
  <c r="J126"/>
  <c r="F126"/>
  <c r="L126" s="1"/>
  <c r="N19"/>
  <c r="K20"/>
  <c r="J20"/>
  <c r="F20"/>
  <c r="L20" s="1"/>
  <c r="K125"/>
  <c r="J125"/>
  <c r="F125"/>
  <c r="N23"/>
  <c r="K24"/>
  <c r="J24"/>
  <c r="F24"/>
  <c r="K107"/>
  <c r="J107"/>
  <c r="F107"/>
  <c r="N44"/>
  <c r="K49"/>
  <c r="J49"/>
  <c r="F49"/>
  <c r="N91"/>
  <c r="K99"/>
  <c r="J99"/>
  <c r="F99"/>
  <c r="K64"/>
  <c r="J64"/>
  <c r="F64"/>
  <c r="L64" s="1"/>
  <c r="N115"/>
  <c r="K124"/>
  <c r="J124"/>
  <c r="F124"/>
  <c r="L124" s="1"/>
  <c r="N134"/>
  <c r="K72"/>
  <c r="J72"/>
  <c r="F72"/>
  <c r="L72" s="1"/>
  <c r="N55"/>
  <c r="K60"/>
  <c r="J60"/>
  <c r="F60"/>
  <c r="L60" s="1"/>
  <c r="N54"/>
  <c r="K59"/>
  <c r="L59" s="1"/>
  <c r="J59"/>
  <c r="N22"/>
  <c r="K23"/>
  <c r="J23"/>
  <c r="F23"/>
  <c r="L23" s="1"/>
  <c r="N87"/>
  <c r="K95"/>
  <c r="J95"/>
  <c r="F95"/>
  <c r="L95" s="1"/>
  <c r="N34"/>
  <c r="K37"/>
  <c r="J37"/>
  <c r="F37"/>
  <c r="L37" s="1"/>
  <c r="N126"/>
  <c r="K137"/>
  <c r="J137"/>
  <c r="F137"/>
  <c r="L137" s="1"/>
  <c r="N56"/>
  <c r="K61"/>
  <c r="J61"/>
  <c r="F61"/>
  <c r="L61" s="1"/>
  <c r="N63"/>
  <c r="K69"/>
  <c r="J69"/>
  <c r="F69"/>
  <c r="L69" s="1"/>
  <c r="N136"/>
  <c r="K113"/>
  <c r="J113"/>
  <c r="F113"/>
  <c r="L113" s="1"/>
  <c r="N113"/>
  <c r="K122"/>
  <c r="L122" s="1"/>
  <c r="J122"/>
  <c r="N51"/>
  <c r="K56"/>
  <c r="L56" s="1"/>
  <c r="J56"/>
  <c r="N70"/>
  <c r="K78"/>
  <c r="J78"/>
  <c r="F78"/>
  <c r="N52"/>
  <c r="K57"/>
  <c r="L57" s="1"/>
  <c r="J57"/>
  <c r="K80"/>
  <c r="L80" s="1"/>
  <c r="J80"/>
  <c r="N107"/>
  <c r="K116"/>
  <c r="J116"/>
  <c r="F116"/>
  <c r="N11"/>
  <c r="K12"/>
  <c r="J12"/>
  <c r="F12"/>
  <c r="N42"/>
  <c r="K47"/>
  <c r="J47"/>
  <c r="F47"/>
  <c r="N120"/>
  <c r="K129"/>
  <c r="J129"/>
  <c r="F129"/>
  <c r="N98"/>
  <c r="K106"/>
  <c r="L106" s="1"/>
  <c r="J106"/>
  <c r="K96"/>
  <c r="L96" s="1"/>
  <c r="J96"/>
  <c r="N124"/>
  <c r="K133"/>
  <c r="J133"/>
  <c r="F133"/>
  <c r="L133" s="1"/>
  <c r="N93"/>
  <c r="K101"/>
  <c r="L101" s="1"/>
  <c r="J101"/>
  <c r="N131"/>
  <c r="K38"/>
  <c r="J38"/>
  <c r="F38"/>
  <c r="N80"/>
  <c r="K88"/>
  <c r="J88"/>
  <c r="F88"/>
  <c r="N133"/>
  <c r="K65"/>
  <c r="J65"/>
  <c r="F65"/>
  <c r="K100"/>
  <c r="L100" s="1"/>
  <c r="J100"/>
  <c r="N14"/>
  <c r="K15"/>
  <c r="L15" s="1"/>
  <c r="J15"/>
  <c r="N122"/>
  <c r="K131"/>
  <c r="J131"/>
  <c r="F131"/>
  <c r="L131" s="1"/>
  <c r="N316"/>
  <c r="K316"/>
  <c r="J316"/>
  <c r="F316"/>
  <c r="L316" s="1"/>
  <c r="N82"/>
  <c r="K90"/>
  <c r="L90" s="1"/>
  <c r="J90"/>
  <c r="N315"/>
  <c r="K315"/>
  <c r="L315" s="1"/>
  <c r="J315"/>
  <c r="N66"/>
  <c r="K73"/>
  <c r="L73" s="1"/>
  <c r="J73"/>
  <c r="N8"/>
  <c r="K8"/>
  <c r="L8" s="1"/>
  <c r="J8"/>
  <c r="N48"/>
  <c r="K53"/>
  <c r="J53"/>
  <c r="F53"/>
  <c r="L53" s="1"/>
  <c r="N71"/>
  <c r="K79"/>
  <c r="J79"/>
  <c r="F79"/>
  <c r="L79" s="1"/>
  <c r="K46"/>
  <c r="L46" s="1"/>
  <c r="J46"/>
  <c r="N12"/>
  <c r="K13"/>
  <c r="J13"/>
  <c r="F13"/>
  <c r="N104"/>
  <c r="K112"/>
  <c r="J112"/>
  <c r="F112"/>
  <c r="N101"/>
  <c r="K109"/>
  <c r="J109"/>
  <c r="F109"/>
  <c r="N112"/>
  <c r="K121"/>
  <c r="J121"/>
  <c r="F121"/>
  <c r="N36"/>
  <c r="K40"/>
  <c r="L40" s="1"/>
  <c r="J40"/>
  <c r="K89"/>
  <c r="L89" s="1"/>
  <c r="J89"/>
  <c r="K123"/>
  <c r="J123"/>
  <c r="F123"/>
  <c r="K74"/>
  <c r="L74" s="1"/>
  <c r="J74"/>
  <c r="N85"/>
  <c r="K93"/>
  <c r="J93"/>
  <c r="F93"/>
  <c r="L93" s="1"/>
  <c r="N46"/>
  <c r="K51"/>
  <c r="J51"/>
  <c r="F51"/>
  <c r="L51" s="1"/>
  <c r="N102"/>
  <c r="K110"/>
  <c r="J110"/>
  <c r="F110"/>
  <c r="L110" s="1"/>
  <c r="N30"/>
  <c r="K31"/>
  <c r="L31" s="1"/>
  <c r="J31"/>
  <c r="N137"/>
  <c r="K134"/>
  <c r="L134" s="1"/>
  <c r="J134"/>
  <c r="K63"/>
  <c r="L63" s="1"/>
  <c r="J63"/>
  <c r="N97"/>
  <c r="K105"/>
  <c r="L105" s="1"/>
  <c r="J105"/>
  <c r="N74"/>
  <c r="K82"/>
  <c r="J82"/>
  <c r="F82"/>
  <c r="N121"/>
  <c r="K130"/>
  <c r="L130" s="1"/>
  <c r="J130"/>
  <c r="N17"/>
  <c r="K18"/>
  <c r="J18"/>
  <c r="F18"/>
  <c r="N21"/>
  <c r="K22"/>
  <c r="L22" s="1"/>
  <c r="J22"/>
  <c r="N39"/>
  <c r="K43"/>
  <c r="J43"/>
  <c r="F43"/>
  <c r="L43" s="1"/>
  <c r="N105"/>
  <c r="K114"/>
  <c r="F114"/>
  <c r="N89"/>
  <c r="K97"/>
  <c r="J97"/>
  <c r="F97"/>
  <c r="L97" s="1"/>
  <c r="K119"/>
  <c r="J119"/>
  <c r="F119"/>
  <c r="N78"/>
  <c r="K86"/>
  <c r="L86" s="1"/>
  <c r="J86"/>
  <c r="N138"/>
  <c r="K135"/>
  <c r="J135"/>
  <c r="F135"/>
  <c r="N26"/>
  <c r="K27"/>
  <c r="J27"/>
  <c r="F27"/>
  <c r="N103"/>
  <c r="K111"/>
  <c r="J111"/>
  <c r="F111"/>
  <c r="N125"/>
  <c r="K136"/>
  <c r="J136"/>
  <c r="F136"/>
  <c r="N77"/>
  <c r="K85"/>
  <c r="L85" s="1"/>
  <c r="J85"/>
  <c r="N18"/>
  <c r="K19"/>
  <c r="J19"/>
  <c r="F19"/>
  <c r="L19" s="1"/>
  <c r="N60"/>
  <c r="K66"/>
  <c r="L66" s="1"/>
  <c r="J66"/>
  <c r="N73"/>
  <c r="K81"/>
  <c r="J81"/>
  <c r="F81"/>
  <c r="L81" s="1"/>
  <c r="K62"/>
  <c r="L62" s="1"/>
  <c r="J62"/>
  <c r="N7"/>
  <c r="K7"/>
  <c r="J7"/>
  <c r="F7"/>
  <c r="J145" i="59"/>
  <c r="J144"/>
  <c r="J143"/>
  <c r="J142"/>
  <c r="J141"/>
  <c r="J140"/>
  <c r="J139"/>
  <c r="J138"/>
  <c r="J137"/>
  <c r="J136"/>
  <c r="J135"/>
  <c r="J134"/>
  <c r="J133"/>
  <c r="K145"/>
  <c r="L145" s="1"/>
  <c r="K144"/>
  <c r="L144" s="1"/>
  <c r="K143"/>
  <c r="K142"/>
  <c r="K141"/>
  <c r="L141" s="1"/>
  <c r="K140"/>
  <c r="L140" s="1"/>
  <c r="K139"/>
  <c r="K138"/>
  <c r="K137"/>
  <c r="K136"/>
  <c r="K135"/>
  <c r="K134"/>
  <c r="L134" s="1"/>
  <c r="K133"/>
  <c r="F145"/>
  <c r="F138"/>
  <c r="F136"/>
  <c r="F143"/>
  <c r="F142"/>
  <c r="F139"/>
  <c r="L139" s="1"/>
  <c r="F135"/>
  <c r="F137"/>
  <c r="L137" s="1"/>
  <c r="F133"/>
  <c r="K111"/>
  <c r="J111"/>
  <c r="F111"/>
  <c r="L111" s="1"/>
  <c r="K71"/>
  <c r="J71"/>
  <c r="F71"/>
  <c r="K13"/>
  <c r="J13"/>
  <c r="F13"/>
  <c r="K120"/>
  <c r="J120"/>
  <c r="F120"/>
  <c r="L120" s="1"/>
  <c r="K16"/>
  <c r="J16"/>
  <c r="F16"/>
  <c r="L16" s="1"/>
  <c r="K28"/>
  <c r="L28" s="1"/>
  <c r="J28"/>
  <c r="K56"/>
  <c r="J56"/>
  <c r="F56"/>
  <c r="L56" s="1"/>
  <c r="K113"/>
  <c r="J113"/>
  <c r="F113"/>
  <c r="L113" s="1"/>
  <c r="K49"/>
  <c r="J49"/>
  <c r="F49"/>
  <c r="K7"/>
  <c r="J7"/>
  <c r="F7"/>
  <c r="K24"/>
  <c r="L24" s="1"/>
  <c r="J24"/>
  <c r="K59"/>
  <c r="J59"/>
  <c r="F59"/>
  <c r="K110"/>
  <c r="J110"/>
  <c r="F110"/>
  <c r="K107"/>
  <c r="L107" s="1"/>
  <c r="J107"/>
  <c r="K86"/>
  <c r="J86"/>
  <c r="F86"/>
  <c r="K84"/>
  <c r="J84"/>
  <c r="F84"/>
  <c r="K78"/>
  <c r="J78"/>
  <c r="F78"/>
  <c r="L78" s="1"/>
  <c r="K34"/>
  <c r="J34"/>
  <c r="F34"/>
  <c r="L34" s="1"/>
  <c r="K67"/>
  <c r="L67" s="1"/>
  <c r="J67"/>
  <c r="K37"/>
  <c r="J37"/>
  <c r="F37"/>
  <c r="L37" s="1"/>
  <c r="K118"/>
  <c r="J118"/>
  <c r="F118"/>
  <c r="L118" s="1"/>
  <c r="K18"/>
  <c r="J18"/>
  <c r="F18"/>
  <c r="K93"/>
  <c r="J93"/>
  <c r="F93"/>
  <c r="K62"/>
  <c r="J62"/>
  <c r="F62"/>
  <c r="L62" s="1"/>
  <c r="K100"/>
  <c r="J100"/>
  <c r="F100"/>
  <c r="L100" s="1"/>
  <c r="K20"/>
  <c r="F20"/>
  <c r="K68"/>
  <c r="J68"/>
  <c r="F68"/>
  <c r="L68" s="1"/>
  <c r="K39"/>
  <c r="J39"/>
  <c r="F39"/>
  <c r="L39" s="1"/>
  <c r="K14"/>
  <c r="J14"/>
  <c r="F14"/>
  <c r="K30"/>
  <c r="J30"/>
  <c r="F30"/>
  <c r="K38"/>
  <c r="J38"/>
  <c r="F38"/>
  <c r="L38" s="1"/>
  <c r="N100"/>
  <c r="K114"/>
  <c r="J114"/>
  <c r="F114"/>
  <c r="L114" s="1"/>
  <c r="N99"/>
  <c r="K82"/>
  <c r="J82"/>
  <c r="F82"/>
  <c r="L82" s="1"/>
  <c r="N98"/>
  <c r="K58"/>
  <c r="L58" s="1"/>
  <c r="J58"/>
  <c r="N97"/>
  <c r="K26"/>
  <c r="L26" s="1"/>
  <c r="J26"/>
  <c r="N96"/>
  <c r="K90"/>
  <c r="J90"/>
  <c r="F90"/>
  <c r="K55"/>
  <c r="L55" s="1"/>
  <c r="J55"/>
  <c r="N94"/>
  <c r="K51"/>
  <c r="L51" s="1"/>
  <c r="J51"/>
  <c r="N93"/>
  <c r="K80"/>
  <c r="J80"/>
  <c r="F80"/>
  <c r="L80" s="1"/>
  <c r="N92"/>
  <c r="K87"/>
  <c r="J87"/>
  <c r="F87"/>
  <c r="L87" s="1"/>
  <c r="N91"/>
  <c r="K19"/>
  <c r="J19"/>
  <c r="F19"/>
  <c r="L19" s="1"/>
  <c r="N90"/>
  <c r="K57"/>
  <c r="L57" s="1"/>
  <c r="J57"/>
  <c r="N89"/>
  <c r="K73"/>
  <c r="J73"/>
  <c r="F73"/>
  <c r="N88"/>
  <c r="K99"/>
  <c r="J99"/>
  <c r="F99"/>
  <c r="N87"/>
  <c r="K32"/>
  <c r="J32"/>
  <c r="F32"/>
  <c r="N86"/>
  <c r="K115"/>
  <c r="J115"/>
  <c r="F115"/>
  <c r="N85"/>
  <c r="K95"/>
  <c r="J95"/>
  <c r="F95"/>
  <c r="K47"/>
  <c r="L47" s="1"/>
  <c r="J47"/>
  <c r="N83"/>
  <c r="K48"/>
  <c r="J48"/>
  <c r="F48"/>
  <c r="L48" s="1"/>
  <c r="K35"/>
  <c r="L35" s="1"/>
  <c r="J35"/>
  <c r="N81"/>
  <c r="K53"/>
  <c r="J53"/>
  <c r="F53"/>
  <c r="N80"/>
  <c r="K46"/>
  <c r="L46" s="1"/>
  <c r="J46"/>
  <c r="K103"/>
  <c r="J103"/>
  <c r="F103"/>
  <c r="L103" s="1"/>
  <c r="N78"/>
  <c r="K17"/>
  <c r="L17" s="1"/>
  <c r="J17"/>
  <c r="N77"/>
  <c r="K12"/>
  <c r="L12" s="1"/>
  <c r="J12"/>
  <c r="N76"/>
  <c r="K128"/>
  <c r="J128"/>
  <c r="F128"/>
  <c r="N75"/>
  <c r="K97"/>
  <c r="J97"/>
  <c r="F97"/>
  <c r="N74"/>
  <c r="K25"/>
  <c r="J25"/>
  <c r="F25"/>
  <c r="N73"/>
  <c r="K9"/>
  <c r="J9"/>
  <c r="F9"/>
  <c r="N72"/>
  <c r="K63"/>
  <c r="L63" s="1"/>
  <c r="J63"/>
  <c r="N71"/>
  <c r="K42"/>
  <c r="J42"/>
  <c r="F42"/>
  <c r="N70"/>
  <c r="K65"/>
  <c r="J65"/>
  <c r="F65"/>
  <c r="N69"/>
  <c r="K108"/>
  <c r="J108"/>
  <c r="F108"/>
  <c r="N68"/>
  <c r="K96"/>
  <c r="J96"/>
  <c r="F96"/>
  <c r="N67"/>
  <c r="K89"/>
  <c r="L89" s="1"/>
  <c r="J89"/>
  <c r="N66"/>
  <c r="K33"/>
  <c r="L33" s="1"/>
  <c r="J33"/>
  <c r="N65"/>
  <c r="K45"/>
  <c r="L45" s="1"/>
  <c r="J45"/>
  <c r="N64"/>
  <c r="K77"/>
  <c r="J77"/>
  <c r="F77"/>
  <c r="K94"/>
  <c r="J94"/>
  <c r="F94"/>
  <c r="N62"/>
  <c r="K69"/>
  <c r="J69"/>
  <c r="F69"/>
  <c r="N61"/>
  <c r="K124"/>
  <c r="J124"/>
  <c r="F124"/>
  <c r="N60"/>
  <c r="K10"/>
  <c r="L10" s="1"/>
  <c r="J10"/>
  <c r="N59"/>
  <c r="K52"/>
  <c r="J52"/>
  <c r="F52"/>
  <c r="L52" s="1"/>
  <c r="N58"/>
  <c r="K79"/>
  <c r="J79"/>
  <c r="F79"/>
  <c r="L79" s="1"/>
  <c r="K27"/>
  <c r="L27" s="1"/>
  <c r="J27"/>
  <c r="N56"/>
  <c r="K8"/>
  <c r="L8" s="1"/>
  <c r="J8"/>
  <c r="N55"/>
  <c r="K70"/>
  <c r="J70"/>
  <c r="F70"/>
  <c r="N54"/>
  <c r="K76"/>
  <c r="J76"/>
  <c r="F76"/>
  <c r="K75"/>
  <c r="L75" s="1"/>
  <c r="J75"/>
  <c r="N53"/>
  <c r="K98"/>
  <c r="J98"/>
  <c r="F98"/>
  <c r="L98" s="1"/>
  <c r="N52"/>
  <c r="K64"/>
  <c r="L64" s="1"/>
  <c r="J64"/>
  <c r="K66"/>
  <c r="L66" s="1"/>
  <c r="J66"/>
  <c r="N50"/>
  <c r="K101"/>
  <c r="L101" s="1"/>
  <c r="J101"/>
  <c r="N49"/>
  <c r="K43"/>
  <c r="J43"/>
  <c r="F43"/>
  <c r="L43" s="1"/>
  <c r="N48"/>
  <c r="K119"/>
  <c r="J119"/>
  <c r="F119"/>
  <c r="L119" s="1"/>
  <c r="N47"/>
  <c r="K31"/>
  <c r="J31"/>
  <c r="F31"/>
  <c r="L31" s="1"/>
  <c r="N46"/>
  <c r="K104"/>
  <c r="J104"/>
  <c r="F104"/>
  <c r="L104" s="1"/>
  <c r="N45"/>
  <c r="K81"/>
  <c r="J81"/>
  <c r="F81"/>
  <c r="L81" s="1"/>
  <c r="N44"/>
  <c r="K129"/>
  <c r="J129"/>
  <c r="F129"/>
  <c r="L129" s="1"/>
  <c r="N43"/>
  <c r="K60"/>
  <c r="J60"/>
  <c r="F60"/>
  <c r="L60" s="1"/>
  <c r="N42"/>
  <c r="K41"/>
  <c r="L41" s="1"/>
  <c r="J41"/>
  <c r="K109"/>
  <c r="J109"/>
  <c r="F109"/>
  <c r="N40"/>
  <c r="K21"/>
  <c r="J21"/>
  <c r="F21"/>
  <c r="N39"/>
  <c r="K126"/>
  <c r="J126"/>
  <c r="F126"/>
  <c r="N38"/>
  <c r="K88"/>
  <c r="J88"/>
  <c r="F88"/>
  <c r="N37"/>
  <c r="K36"/>
  <c r="L36" s="1"/>
  <c r="J36"/>
  <c r="N36"/>
  <c r="K102"/>
  <c r="J102"/>
  <c r="F102"/>
  <c r="L102" s="1"/>
  <c r="K54"/>
  <c r="J54"/>
  <c r="F54"/>
  <c r="L54" s="1"/>
  <c r="K72"/>
  <c r="J72"/>
  <c r="F72"/>
  <c r="K122"/>
  <c r="J122"/>
  <c r="F122"/>
  <c r="N32"/>
  <c r="K112"/>
  <c r="J112"/>
  <c r="F112"/>
  <c r="N31"/>
  <c r="K131"/>
  <c r="J131"/>
  <c r="F131"/>
  <c r="N30"/>
  <c r="K106"/>
  <c r="L106" s="1"/>
  <c r="J106"/>
  <c r="N29"/>
  <c r="K29"/>
  <c r="L29" s="1"/>
  <c r="J29"/>
  <c r="N28"/>
  <c r="K116"/>
  <c r="J116"/>
  <c r="F116"/>
  <c r="L116" s="1"/>
  <c r="K105"/>
  <c r="J105"/>
  <c r="F105"/>
  <c r="N26"/>
  <c r="K117"/>
  <c r="J117"/>
  <c r="F117"/>
  <c r="N25"/>
  <c r="K15"/>
  <c r="J15"/>
  <c r="F15"/>
  <c r="N24"/>
  <c r="K92"/>
  <c r="L92" s="1"/>
  <c r="J92"/>
  <c r="N23"/>
  <c r="K83"/>
  <c r="J83"/>
  <c r="F83"/>
  <c r="N22"/>
  <c r="K74"/>
  <c r="J74"/>
  <c r="F74"/>
  <c r="N21"/>
  <c r="K22"/>
  <c r="L22" s="1"/>
  <c r="J22"/>
  <c r="N20"/>
  <c r="K127"/>
  <c r="L127" s="1"/>
  <c r="J127"/>
  <c r="N19"/>
  <c r="K85"/>
  <c r="J85"/>
  <c r="F85"/>
  <c r="L85" s="1"/>
  <c r="K11"/>
  <c r="J11"/>
  <c r="F11"/>
  <c r="N17"/>
  <c r="K23"/>
  <c r="J23"/>
  <c r="F23"/>
  <c r="N16"/>
  <c r="K91"/>
  <c r="J91"/>
  <c r="F91"/>
  <c r="N15"/>
  <c r="K121"/>
  <c r="J121"/>
  <c r="F121"/>
  <c r="N14"/>
  <c r="K50"/>
  <c r="L50" s="1"/>
  <c r="J50"/>
  <c r="N13"/>
  <c r="K123"/>
  <c r="J123"/>
  <c r="F123"/>
  <c r="N12"/>
  <c r="K40"/>
  <c r="J40"/>
  <c r="F40"/>
  <c r="N11"/>
  <c r="K61"/>
  <c r="J61"/>
  <c r="F61"/>
  <c r="N10"/>
  <c r="K132"/>
  <c r="J132"/>
  <c r="F132"/>
  <c r="N9"/>
  <c r="K125"/>
  <c r="J125"/>
  <c r="F125"/>
  <c r="K44"/>
  <c r="L44" s="1"/>
  <c r="J44"/>
  <c r="K6"/>
  <c r="J6"/>
  <c r="F6"/>
  <c r="N6"/>
  <c r="K130"/>
  <c r="J130"/>
  <c r="F130"/>
  <c r="K159" i="32"/>
  <c r="I159"/>
  <c r="D160"/>
  <c r="C160"/>
  <c r="G160"/>
  <c r="E159"/>
  <c r="I158"/>
  <c r="J158"/>
  <c r="E158"/>
  <c r="K158" s="1"/>
  <c r="G48" i="49"/>
  <c r="F146" i="59" l="1"/>
  <c r="K146"/>
  <c r="K158" i="61"/>
  <c r="L6" i="59"/>
  <c r="L121"/>
  <c r="L91"/>
  <c r="L23"/>
  <c r="L11"/>
  <c r="L15"/>
  <c r="L117"/>
  <c r="L105"/>
  <c r="L72"/>
  <c r="L77"/>
  <c r="L9"/>
  <c r="L25"/>
  <c r="L97"/>
  <c r="L128"/>
  <c r="L53"/>
  <c r="L95"/>
  <c r="L115"/>
  <c r="L32"/>
  <c r="L99"/>
  <c r="L73"/>
  <c r="L90"/>
  <c r="L14"/>
  <c r="L18"/>
  <c r="L86"/>
  <c r="L59"/>
  <c r="L49"/>
  <c r="L71"/>
  <c r="L136"/>
  <c r="L119" i="61"/>
  <c r="L82"/>
  <c r="L65"/>
  <c r="L88"/>
  <c r="L38"/>
  <c r="L129"/>
  <c r="L47"/>
  <c r="L12"/>
  <c r="L116"/>
  <c r="L24"/>
  <c r="L125"/>
  <c r="L76"/>
  <c r="L83"/>
  <c r="L58"/>
  <c r="L94"/>
  <c r="L115"/>
  <c r="L50"/>
  <c r="L128"/>
  <c r="L108"/>
  <c r="L120"/>
  <c r="L35"/>
  <c r="L42"/>
  <c r="L48"/>
  <c r="L68"/>
  <c r="L54"/>
  <c r="L14"/>
  <c r="L103"/>
  <c r="L6" i="63"/>
  <c r="L140"/>
  <c r="L104"/>
  <c r="L25"/>
  <c r="L10"/>
  <c r="L98"/>
  <c r="L132"/>
  <c r="L150"/>
  <c r="L101"/>
  <c r="L33"/>
  <c r="L137"/>
  <c r="L46"/>
  <c r="L94"/>
  <c r="L111"/>
  <c r="L32"/>
  <c r="L113"/>
  <c r="L71"/>
  <c r="L36"/>
  <c r="L66"/>
  <c r="L60"/>
  <c r="L70"/>
  <c r="L156"/>
  <c r="L125" i="59"/>
  <c r="L132"/>
  <c r="L61"/>
  <c r="L40"/>
  <c r="L123"/>
  <c r="L74"/>
  <c r="L83"/>
  <c r="L131"/>
  <c r="L112"/>
  <c r="L122"/>
  <c r="L88"/>
  <c r="L126"/>
  <c r="L21"/>
  <c r="L109"/>
  <c r="L76"/>
  <c r="L70"/>
  <c r="L124"/>
  <c r="L69"/>
  <c r="L94"/>
  <c r="L96"/>
  <c r="L108"/>
  <c r="L65"/>
  <c r="L42"/>
  <c r="L30"/>
  <c r="L93"/>
  <c r="L84"/>
  <c r="L110"/>
  <c r="L7"/>
  <c r="L13"/>
  <c r="L138"/>
  <c r="L136" i="61"/>
  <c r="L111"/>
  <c r="L27"/>
  <c r="L135"/>
  <c r="L18"/>
  <c r="L123"/>
  <c r="L121"/>
  <c r="L109"/>
  <c r="L112"/>
  <c r="L13"/>
  <c r="L78"/>
  <c r="L99"/>
  <c r="L49"/>
  <c r="L107"/>
  <c r="L117"/>
  <c r="L70"/>
  <c r="L91"/>
  <c r="L87"/>
  <c r="L44"/>
  <c r="L132"/>
  <c r="L28"/>
  <c r="L16"/>
  <c r="L9"/>
  <c r="L84"/>
  <c r="L10"/>
  <c r="L104"/>
  <c r="L148"/>
  <c r="L149" i="63"/>
  <c r="L151"/>
  <c r="L83"/>
  <c r="L96"/>
  <c r="L121"/>
  <c r="L120"/>
  <c r="L85"/>
  <c r="L79"/>
  <c r="L89"/>
  <c r="L56"/>
  <c r="L124"/>
  <c r="L74"/>
  <c r="L45"/>
  <c r="L146"/>
  <c r="L93"/>
  <c r="L130"/>
  <c r="L41"/>
  <c r="L136"/>
  <c r="L40"/>
  <c r="L126"/>
  <c r="L53"/>
  <c r="L129"/>
  <c r="L64"/>
  <c r="F158" i="61"/>
  <c r="F158" i="63"/>
  <c r="L139" i="61"/>
  <c r="L145"/>
  <c r="L147"/>
  <c r="L149"/>
  <c r="L151"/>
  <c r="L21" i="63"/>
  <c r="L26" i="61"/>
  <c r="L114"/>
  <c r="L7"/>
  <c r="L158" s="1"/>
  <c r="L133" i="59"/>
  <c r="L135"/>
  <c r="L143"/>
  <c r="L142"/>
  <c r="L20"/>
  <c r="L130"/>
  <c r="H249" i="13"/>
  <c r="E219"/>
  <c r="D219"/>
  <c r="H219"/>
  <c r="L218"/>
  <c r="L214"/>
  <c r="L210"/>
  <c r="L206"/>
  <c r="K218"/>
  <c r="K217"/>
  <c r="K216"/>
  <c r="L216" s="1"/>
  <c r="K215"/>
  <c r="L215" s="1"/>
  <c r="K214"/>
  <c r="K213"/>
  <c r="L213" s="1"/>
  <c r="K212"/>
  <c r="L212" s="1"/>
  <c r="K211"/>
  <c r="L211" s="1"/>
  <c r="K210"/>
  <c r="K209"/>
  <c r="L209" s="1"/>
  <c r="K208"/>
  <c r="L208" s="1"/>
  <c r="K207"/>
  <c r="L207" s="1"/>
  <c r="K206"/>
  <c r="K205"/>
  <c r="L205" s="1"/>
  <c r="K204"/>
  <c r="L204" s="1"/>
  <c r="F217"/>
  <c r="L217" s="1"/>
  <c r="F218"/>
  <c r="J216"/>
  <c r="J215"/>
  <c r="J214"/>
  <c r="J213"/>
  <c r="J212"/>
  <c r="J211"/>
  <c r="J210"/>
  <c r="J209"/>
  <c r="J208"/>
  <c r="J207"/>
  <c r="J206"/>
  <c r="J205"/>
  <c r="J204"/>
  <c r="K187" i="1"/>
  <c r="L187" s="1"/>
  <c r="K186"/>
  <c r="F186"/>
  <c r="L186" s="1"/>
  <c r="K185"/>
  <c r="L185" s="1"/>
  <c r="K184"/>
  <c r="L184" s="1"/>
  <c r="K183"/>
  <c r="L183" s="1"/>
  <c r="H188"/>
  <c r="H228" i="15"/>
  <c r="E228"/>
  <c r="D228"/>
  <c r="J9" i="26"/>
  <c r="E9"/>
  <c r="J6"/>
  <c r="E6"/>
  <c r="J8"/>
  <c r="E8"/>
  <c r="J7"/>
  <c r="E7"/>
  <c r="L158" i="63" l="1"/>
  <c r="L146" i="59"/>
  <c r="K7" i="26"/>
  <c r="K8"/>
  <c r="K6"/>
  <c r="K9"/>
  <c r="H134" i="58" l="1"/>
  <c r="K7"/>
  <c r="F7"/>
  <c r="L7" s="1"/>
  <c r="J7"/>
  <c r="N265"/>
  <c r="K265"/>
  <c r="J265"/>
  <c r="F265"/>
  <c r="L265" s="1"/>
  <c r="N264"/>
  <c r="K264"/>
  <c r="J264"/>
  <c r="F264"/>
  <c r="L264" s="1"/>
  <c r="N263"/>
  <c r="K263"/>
  <c r="J263"/>
  <c r="F263"/>
  <c r="L263" s="1"/>
  <c r="N262"/>
  <c r="K262"/>
  <c r="J262"/>
  <c r="F262"/>
  <c r="L262" s="1"/>
  <c r="N261"/>
  <c r="K261"/>
  <c r="J261"/>
  <c r="F261"/>
  <c r="L261" s="1"/>
  <c r="N259"/>
  <c r="K259"/>
  <c r="J259"/>
  <c r="F259"/>
  <c r="L259" s="1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L255" s="1"/>
  <c r="K249"/>
  <c r="J249"/>
  <c r="F249"/>
  <c r="K248"/>
  <c r="J248"/>
  <c r="F248"/>
  <c r="K247"/>
  <c r="L247" s="1"/>
  <c r="J247"/>
  <c r="K246"/>
  <c r="J246"/>
  <c r="F246"/>
  <c r="K245"/>
  <c r="J245"/>
  <c r="F245"/>
  <c r="K244"/>
  <c r="J244"/>
  <c r="F244"/>
  <c r="L244" s="1"/>
  <c r="K243"/>
  <c r="J243"/>
  <c r="F243"/>
  <c r="L243" s="1"/>
  <c r="K242"/>
  <c r="J242"/>
  <c r="F242"/>
  <c r="K241"/>
  <c r="J241"/>
  <c r="F241"/>
  <c r="K240"/>
  <c r="J240"/>
  <c r="F240"/>
  <c r="L240" s="1"/>
  <c r="K239"/>
  <c r="J239"/>
  <c r="F239"/>
  <c r="L239" s="1"/>
  <c r="K238"/>
  <c r="L238" s="1"/>
  <c r="J238"/>
  <c r="K237"/>
  <c r="L237" s="1"/>
  <c r="J237"/>
  <c r="K236"/>
  <c r="J236"/>
  <c r="F236"/>
  <c r="K235"/>
  <c r="J235"/>
  <c r="F235"/>
  <c r="K234"/>
  <c r="J234"/>
  <c r="F234"/>
  <c r="L234" s="1"/>
  <c r="K233"/>
  <c r="J233"/>
  <c r="F233"/>
  <c r="L233" s="1"/>
  <c r="K232"/>
  <c r="J232"/>
  <c r="F232"/>
  <c r="K231"/>
  <c r="J231"/>
  <c r="F231"/>
  <c r="K230"/>
  <c r="J230"/>
  <c r="F230"/>
  <c r="L230" s="1"/>
  <c r="K229"/>
  <c r="L229" s="1"/>
  <c r="J229"/>
  <c r="N226"/>
  <c r="K226"/>
  <c r="J226"/>
  <c r="F226"/>
  <c r="N225"/>
  <c r="K225"/>
  <c r="L225" s="1"/>
  <c r="J225"/>
  <c r="N224"/>
  <c r="K224"/>
  <c r="J224"/>
  <c r="F224"/>
  <c r="N223"/>
  <c r="K223"/>
  <c r="J223"/>
  <c r="F223"/>
  <c r="N222"/>
  <c r="K222"/>
  <c r="J222"/>
  <c r="F222"/>
  <c r="N221"/>
  <c r="K221"/>
  <c r="J221"/>
  <c r="F221"/>
  <c r="N220"/>
  <c r="K220"/>
  <c r="J220"/>
  <c r="F220"/>
  <c r="N219"/>
  <c r="K219"/>
  <c r="L219" s="1"/>
  <c r="J219"/>
  <c r="N218"/>
  <c r="K218"/>
  <c r="J218"/>
  <c r="F218"/>
  <c r="L218" s="1"/>
  <c r="N217"/>
  <c r="K217"/>
  <c r="J217"/>
  <c r="F217"/>
  <c r="L217" s="1"/>
  <c r="N216"/>
  <c r="K216"/>
  <c r="J216"/>
  <c r="F216"/>
  <c r="L216" s="1"/>
  <c r="N215"/>
  <c r="K215"/>
  <c r="J215"/>
  <c r="F215"/>
  <c r="L215" s="1"/>
  <c r="N214"/>
  <c r="K214"/>
  <c r="J214"/>
  <c r="F214"/>
  <c r="L214" s="1"/>
  <c r="N213"/>
  <c r="K213"/>
  <c r="J213"/>
  <c r="F213"/>
  <c r="L213" s="1"/>
  <c r="N212"/>
  <c r="K212"/>
  <c r="J212"/>
  <c r="F212"/>
  <c r="L212" s="1"/>
  <c r="N211"/>
  <c r="K211"/>
  <c r="J211"/>
  <c r="F211"/>
  <c r="L211" s="1"/>
  <c r="N210"/>
  <c r="K210"/>
  <c r="J210"/>
  <c r="F210"/>
  <c r="L210" s="1"/>
  <c r="N209"/>
  <c r="K209"/>
  <c r="J209"/>
  <c r="F209"/>
  <c r="L209" s="1"/>
  <c r="N208"/>
  <c r="K208"/>
  <c r="J208"/>
  <c r="F208"/>
  <c r="L208" s="1"/>
  <c r="N207"/>
  <c r="K207"/>
  <c r="J207"/>
  <c r="F207"/>
  <c r="L207" s="1"/>
  <c r="N206"/>
  <c r="K206"/>
  <c r="J206"/>
  <c r="F206"/>
  <c r="L206" s="1"/>
  <c r="N204"/>
  <c r="K204"/>
  <c r="J204"/>
  <c r="F204"/>
  <c r="L204" s="1"/>
  <c r="N203"/>
  <c r="K203"/>
  <c r="L203" s="1"/>
  <c r="J203"/>
  <c r="N202"/>
  <c r="K202"/>
  <c r="J202"/>
  <c r="F202"/>
  <c r="L202" s="1"/>
  <c r="N200"/>
  <c r="K200"/>
  <c r="J200"/>
  <c r="F200"/>
  <c r="L200" s="1"/>
  <c r="N199"/>
  <c r="K199"/>
  <c r="L199" s="1"/>
  <c r="J199"/>
  <c r="N198"/>
  <c r="K198"/>
  <c r="J198"/>
  <c r="F198"/>
  <c r="N196"/>
  <c r="K196"/>
  <c r="J196"/>
  <c r="F196"/>
  <c r="K194"/>
  <c r="J194"/>
  <c r="F194"/>
  <c r="K192"/>
  <c r="J192"/>
  <c r="F192"/>
  <c r="L192" s="1"/>
  <c r="N191"/>
  <c r="K191"/>
  <c r="L191" s="1"/>
  <c r="J191"/>
  <c r="N190"/>
  <c r="K190"/>
  <c r="J190"/>
  <c r="F190"/>
  <c r="L190" s="1"/>
  <c r="N189"/>
  <c r="K189"/>
  <c r="J189"/>
  <c r="F189"/>
  <c r="L189" s="1"/>
  <c r="N188"/>
  <c r="K188"/>
  <c r="J188"/>
  <c r="F188"/>
  <c r="L188" s="1"/>
  <c r="N187"/>
  <c r="K187"/>
  <c r="J187"/>
  <c r="F187"/>
  <c r="L187" s="1"/>
  <c r="N186"/>
  <c r="K186"/>
  <c r="L186" s="1"/>
  <c r="J186"/>
  <c r="N185"/>
  <c r="K185"/>
  <c r="J185"/>
  <c r="F185"/>
  <c r="N183"/>
  <c r="K183"/>
  <c r="J183"/>
  <c r="F183"/>
  <c r="N182"/>
  <c r="K182"/>
  <c r="J182"/>
  <c r="F182"/>
  <c r="N181"/>
  <c r="K181"/>
  <c r="L181" s="1"/>
  <c r="J181"/>
  <c r="N180"/>
  <c r="K180"/>
  <c r="L180" s="1"/>
  <c r="J180"/>
  <c r="N179"/>
  <c r="K179"/>
  <c r="J179"/>
  <c r="F179"/>
  <c r="L179" s="1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K157"/>
  <c r="J157"/>
  <c r="F157"/>
  <c r="L157" s="1"/>
  <c r="N156"/>
  <c r="K156"/>
  <c r="J156"/>
  <c r="F156"/>
  <c r="L156" s="1"/>
  <c r="K155"/>
  <c r="J155"/>
  <c r="F155"/>
  <c r="N154"/>
  <c r="J154"/>
  <c r="F154"/>
  <c r="L154" s="1"/>
  <c r="N153"/>
  <c r="K153"/>
  <c r="J153"/>
  <c r="F153"/>
  <c r="K152"/>
  <c r="J152"/>
  <c r="F152"/>
  <c r="L152" s="1"/>
  <c r="K151"/>
  <c r="J151"/>
  <c r="F151"/>
  <c r="L151" s="1"/>
  <c r="K150"/>
  <c r="L150" s="1"/>
  <c r="J150"/>
  <c r="N149"/>
  <c r="K149"/>
  <c r="L149" s="1"/>
  <c r="J149"/>
  <c r="N148"/>
  <c r="K148"/>
  <c r="L148" s="1"/>
  <c r="J148"/>
  <c r="N147"/>
  <c r="K147"/>
  <c r="J147"/>
  <c r="F147"/>
  <c r="L147" s="1"/>
  <c r="K146"/>
  <c r="J146"/>
  <c r="F146"/>
  <c r="K145"/>
  <c r="L145" s="1"/>
  <c r="J145"/>
  <c r="N144"/>
  <c r="K144"/>
  <c r="J144"/>
  <c r="F144"/>
  <c r="L144" s="1"/>
  <c r="N143"/>
  <c r="K143"/>
  <c r="L143" s="1"/>
  <c r="J143"/>
  <c r="N142"/>
  <c r="K142"/>
  <c r="J142"/>
  <c r="F142"/>
  <c r="L142" s="1"/>
  <c r="N141"/>
  <c r="K141"/>
  <c r="J141"/>
  <c r="F141"/>
  <c r="L141" s="1"/>
  <c r="N140"/>
  <c r="K140"/>
  <c r="J140"/>
  <c r="F140"/>
  <c r="L140" s="1"/>
  <c r="K139"/>
  <c r="J139"/>
  <c r="F139"/>
  <c r="N138"/>
  <c r="K138"/>
  <c r="J138"/>
  <c r="F138"/>
  <c r="H160"/>
  <c r="E134"/>
  <c r="D134"/>
  <c r="K133"/>
  <c r="J133"/>
  <c r="F133"/>
  <c r="L133" s="1"/>
  <c r="K132"/>
  <c r="J132"/>
  <c r="F132"/>
  <c r="L132" s="1"/>
  <c r="K131"/>
  <c r="J131"/>
  <c r="F131"/>
  <c r="K130"/>
  <c r="J130"/>
  <c r="F130"/>
  <c r="K129"/>
  <c r="J129"/>
  <c r="F129"/>
  <c r="L129" s="1"/>
  <c r="K128"/>
  <c r="J128"/>
  <c r="F128"/>
  <c r="L128" s="1"/>
  <c r="K127"/>
  <c r="L127" s="1"/>
  <c r="J127"/>
  <c r="K126"/>
  <c r="J126"/>
  <c r="F126"/>
  <c r="L126" s="1"/>
  <c r="K125"/>
  <c r="J125"/>
  <c r="F125"/>
  <c r="L125" s="1"/>
  <c r="K124"/>
  <c r="J124"/>
  <c r="F124"/>
  <c r="K123"/>
  <c r="J123"/>
  <c r="F123"/>
  <c r="K122"/>
  <c r="L122" s="1"/>
  <c r="J122"/>
  <c r="K121"/>
  <c r="J121"/>
  <c r="F121"/>
  <c r="K120"/>
  <c r="J120"/>
  <c r="F120"/>
  <c r="K119"/>
  <c r="L119" s="1"/>
  <c r="J119"/>
  <c r="K118"/>
  <c r="J118"/>
  <c r="F118"/>
  <c r="K117"/>
  <c r="J117"/>
  <c r="F117"/>
  <c r="K116"/>
  <c r="J116"/>
  <c r="F116"/>
  <c r="L116" s="1"/>
  <c r="K115"/>
  <c r="J115"/>
  <c r="F115"/>
  <c r="L115" s="1"/>
  <c r="K114"/>
  <c r="L114" s="1"/>
  <c r="J114"/>
  <c r="K113"/>
  <c r="J113"/>
  <c r="F113"/>
  <c r="L113" s="1"/>
  <c r="K112"/>
  <c r="J112"/>
  <c r="F112"/>
  <c r="L112" s="1"/>
  <c r="K111"/>
  <c r="J111"/>
  <c r="F111"/>
  <c r="K110"/>
  <c r="J110"/>
  <c r="F110"/>
  <c r="K109"/>
  <c r="J109"/>
  <c r="F109"/>
  <c r="L109" s="1"/>
  <c r="K108"/>
  <c r="J108"/>
  <c r="F108"/>
  <c r="L108" s="1"/>
  <c r="K107"/>
  <c r="F107"/>
  <c r="L107" s="1"/>
  <c r="K106"/>
  <c r="J106"/>
  <c r="F106"/>
  <c r="L106" s="1"/>
  <c r="K105"/>
  <c r="J105"/>
  <c r="F105"/>
  <c r="L105" s="1"/>
  <c r="K104"/>
  <c r="J104"/>
  <c r="F104"/>
  <c r="K103"/>
  <c r="J103"/>
  <c r="F103"/>
  <c r="N101"/>
  <c r="K102"/>
  <c r="J102"/>
  <c r="F102"/>
  <c r="N100"/>
  <c r="K101"/>
  <c r="J101"/>
  <c r="F101"/>
  <c r="N99"/>
  <c r="K100"/>
  <c r="J100"/>
  <c r="F100"/>
  <c r="N98"/>
  <c r="K99"/>
  <c r="L99" s="1"/>
  <c r="J99"/>
  <c r="N97"/>
  <c r="K98"/>
  <c r="L98" s="1"/>
  <c r="J98"/>
  <c r="K97"/>
  <c r="J97"/>
  <c r="F97"/>
  <c r="N95"/>
  <c r="K96"/>
  <c r="L96" s="1"/>
  <c r="J96"/>
  <c r="N94"/>
  <c r="K95"/>
  <c r="L95" s="1"/>
  <c r="J95"/>
  <c r="N93"/>
  <c r="K94"/>
  <c r="J94"/>
  <c r="F94"/>
  <c r="L94" s="1"/>
  <c r="N92"/>
  <c r="K93"/>
  <c r="J93"/>
  <c r="F93"/>
  <c r="L93" s="1"/>
  <c r="N91"/>
  <c r="K92"/>
  <c r="J92"/>
  <c r="F92"/>
  <c r="L92" s="1"/>
  <c r="N90"/>
  <c r="K91"/>
  <c r="L91" s="1"/>
  <c r="J91"/>
  <c r="N89"/>
  <c r="K90"/>
  <c r="J90"/>
  <c r="F90"/>
  <c r="L90" s="1"/>
  <c r="N88"/>
  <c r="K89"/>
  <c r="J89"/>
  <c r="F89"/>
  <c r="L89" s="1"/>
  <c r="N87"/>
  <c r="K88"/>
  <c r="J88"/>
  <c r="F88"/>
  <c r="L88" s="1"/>
  <c r="N86"/>
  <c r="K87"/>
  <c r="J87"/>
  <c r="F87"/>
  <c r="L87" s="1"/>
  <c r="K86"/>
  <c r="J86"/>
  <c r="F86"/>
  <c r="N84"/>
  <c r="K85"/>
  <c r="L85" s="1"/>
  <c r="J85"/>
  <c r="K84"/>
  <c r="J84"/>
  <c r="F84"/>
  <c r="L84" s="1"/>
  <c r="N82"/>
  <c r="K83"/>
  <c r="L83" s="1"/>
  <c r="J83"/>
  <c r="N81"/>
  <c r="K82"/>
  <c r="J82"/>
  <c r="F82"/>
  <c r="L82" s="1"/>
  <c r="K81"/>
  <c r="L81" s="1"/>
  <c r="J81"/>
  <c r="N79"/>
  <c r="K80"/>
  <c r="J80"/>
  <c r="F80"/>
  <c r="N78"/>
  <c r="K79"/>
  <c r="L79" s="1"/>
  <c r="J79"/>
  <c r="N77"/>
  <c r="K78"/>
  <c r="L78" s="1"/>
  <c r="J78"/>
  <c r="N76"/>
  <c r="K77"/>
  <c r="J77"/>
  <c r="F77"/>
  <c r="L77" s="1"/>
  <c r="N75"/>
  <c r="K76"/>
  <c r="J76"/>
  <c r="F76"/>
  <c r="L76" s="1"/>
  <c r="N74"/>
  <c r="K75"/>
  <c r="J75"/>
  <c r="F75"/>
  <c r="L75" s="1"/>
  <c r="N73"/>
  <c r="K74"/>
  <c r="J74"/>
  <c r="F74"/>
  <c r="L74" s="1"/>
  <c r="N72"/>
  <c r="K73"/>
  <c r="L73" s="1"/>
  <c r="J73"/>
  <c r="N71"/>
  <c r="K72"/>
  <c r="J72"/>
  <c r="F72"/>
  <c r="N70"/>
  <c r="K71"/>
  <c r="J71"/>
  <c r="F71"/>
  <c r="N69"/>
  <c r="K70"/>
  <c r="J70"/>
  <c r="F70"/>
  <c r="N68"/>
  <c r="K69"/>
  <c r="J69"/>
  <c r="F69"/>
  <c r="N67"/>
  <c r="K68"/>
  <c r="L68" s="1"/>
  <c r="J68"/>
  <c r="N66"/>
  <c r="K67"/>
  <c r="L67" s="1"/>
  <c r="J67"/>
  <c r="N158"/>
  <c r="K158"/>
  <c r="J158"/>
  <c r="F158"/>
  <c r="L158" s="1"/>
  <c r="N65"/>
  <c r="K66"/>
  <c r="L66" s="1"/>
  <c r="J66"/>
  <c r="K65"/>
  <c r="J65"/>
  <c r="F65"/>
  <c r="N63"/>
  <c r="K64"/>
  <c r="J64"/>
  <c r="F64"/>
  <c r="N62"/>
  <c r="K63"/>
  <c r="J63"/>
  <c r="F63"/>
  <c r="N61"/>
  <c r="K62"/>
  <c r="J62"/>
  <c r="F62"/>
  <c r="N60"/>
  <c r="K61"/>
  <c r="L61" s="1"/>
  <c r="J61"/>
  <c r="N59"/>
  <c r="K60"/>
  <c r="J60"/>
  <c r="F60"/>
  <c r="K59"/>
  <c r="J59"/>
  <c r="F59"/>
  <c r="L59" s="1"/>
  <c r="N57"/>
  <c r="K58"/>
  <c r="L58" s="1"/>
  <c r="J58"/>
  <c r="N56"/>
  <c r="K57"/>
  <c r="L57" s="1"/>
  <c r="J57"/>
  <c r="N55"/>
  <c r="K56"/>
  <c r="J56"/>
  <c r="F56"/>
  <c r="N54"/>
  <c r="K55"/>
  <c r="J55"/>
  <c r="F55"/>
  <c r="N53"/>
  <c r="K54"/>
  <c r="L54" s="1"/>
  <c r="J54"/>
  <c r="N52"/>
  <c r="K53"/>
  <c r="J53"/>
  <c r="F53"/>
  <c r="K52"/>
  <c r="L52" s="1"/>
  <c r="J52"/>
  <c r="N50"/>
  <c r="K51"/>
  <c r="L51" s="1"/>
  <c r="J51"/>
  <c r="N49"/>
  <c r="K50"/>
  <c r="L50" s="1"/>
  <c r="J50"/>
  <c r="N48"/>
  <c r="K49"/>
  <c r="J49"/>
  <c r="F49"/>
  <c r="N47"/>
  <c r="K48"/>
  <c r="J48"/>
  <c r="F48"/>
  <c r="N46"/>
  <c r="K47"/>
  <c r="J47"/>
  <c r="F47"/>
  <c r="N45"/>
  <c r="K46"/>
  <c r="J46"/>
  <c r="F46"/>
  <c r="N44"/>
  <c r="K45"/>
  <c r="J45"/>
  <c r="F45"/>
  <c r="N43"/>
  <c r="K44"/>
  <c r="J44"/>
  <c r="F44"/>
  <c r="N42"/>
  <c r="K43"/>
  <c r="J43"/>
  <c r="F43"/>
  <c r="K42"/>
  <c r="L42" s="1"/>
  <c r="J42"/>
  <c r="N40"/>
  <c r="K41"/>
  <c r="J41"/>
  <c r="F41"/>
  <c r="L41" s="1"/>
  <c r="N39"/>
  <c r="K40"/>
  <c r="J40"/>
  <c r="F40"/>
  <c r="L40" s="1"/>
  <c r="N38"/>
  <c r="K39"/>
  <c r="J39"/>
  <c r="F39"/>
  <c r="L39" s="1"/>
  <c r="N37"/>
  <c r="K38"/>
  <c r="J38"/>
  <c r="F38"/>
  <c r="L38" s="1"/>
  <c r="N36"/>
  <c r="K37"/>
  <c r="L37" s="1"/>
  <c r="J37"/>
  <c r="K36"/>
  <c r="J36"/>
  <c r="F36"/>
  <c r="K35"/>
  <c r="J35"/>
  <c r="F35"/>
  <c r="L35" s="1"/>
  <c r="K34"/>
  <c r="J34"/>
  <c r="F34"/>
  <c r="L34" s="1"/>
  <c r="N32"/>
  <c r="K33"/>
  <c r="J33"/>
  <c r="F33"/>
  <c r="L33" s="1"/>
  <c r="N31"/>
  <c r="K32"/>
  <c r="J32"/>
  <c r="F32"/>
  <c r="L32" s="1"/>
  <c r="N30"/>
  <c r="K31"/>
  <c r="J31"/>
  <c r="F31"/>
  <c r="L31" s="1"/>
  <c r="N29"/>
  <c r="K30"/>
  <c r="L30" s="1"/>
  <c r="J30"/>
  <c r="N28"/>
  <c r="K29"/>
  <c r="L29" s="1"/>
  <c r="J29"/>
  <c r="K28"/>
  <c r="J28"/>
  <c r="F28"/>
  <c r="L28" s="1"/>
  <c r="N26"/>
  <c r="K27"/>
  <c r="J27"/>
  <c r="F27"/>
  <c r="L27" s="1"/>
  <c r="N25"/>
  <c r="K26"/>
  <c r="J26"/>
  <c r="F26"/>
  <c r="L26" s="1"/>
  <c r="N24"/>
  <c r="K25"/>
  <c r="J25"/>
  <c r="F25"/>
  <c r="L25" s="1"/>
  <c r="N23"/>
  <c r="K24"/>
  <c r="L24" s="1"/>
  <c r="J24"/>
  <c r="N22"/>
  <c r="K23"/>
  <c r="J23"/>
  <c r="F23"/>
  <c r="L23" s="1"/>
  <c r="N21"/>
  <c r="K22"/>
  <c r="J22"/>
  <c r="F22"/>
  <c r="L22" s="1"/>
  <c r="N20"/>
  <c r="K21"/>
  <c r="L21" s="1"/>
  <c r="J21"/>
  <c r="N19"/>
  <c r="K20"/>
  <c r="L20" s="1"/>
  <c r="J20"/>
  <c r="K19"/>
  <c r="J19"/>
  <c r="F19"/>
  <c r="L19" s="1"/>
  <c r="N17"/>
  <c r="K18"/>
  <c r="J18"/>
  <c r="F18"/>
  <c r="L18" s="1"/>
  <c r="N16"/>
  <c r="K17"/>
  <c r="J17"/>
  <c r="F17"/>
  <c r="L17" s="1"/>
  <c r="N15"/>
  <c r="K16"/>
  <c r="J16"/>
  <c r="F16"/>
  <c r="L16" s="1"/>
  <c r="N14"/>
  <c r="K15"/>
  <c r="J15"/>
  <c r="F15"/>
  <c r="L15" s="1"/>
  <c r="N13"/>
  <c r="K14"/>
  <c r="L14" s="1"/>
  <c r="J14"/>
  <c r="N12"/>
  <c r="K13"/>
  <c r="J13"/>
  <c r="F13"/>
  <c r="L13" s="1"/>
  <c r="N11"/>
  <c r="K12"/>
  <c r="J12"/>
  <c r="F12"/>
  <c r="L12" s="1"/>
  <c r="N10"/>
  <c r="K11"/>
  <c r="J11"/>
  <c r="F11"/>
  <c r="L11" s="1"/>
  <c r="N9"/>
  <c r="K10"/>
  <c r="J10"/>
  <c r="F10"/>
  <c r="L10" s="1"/>
  <c r="K9"/>
  <c r="J9"/>
  <c r="F9"/>
  <c r="K8"/>
  <c r="L8" s="1"/>
  <c r="J8"/>
  <c r="N6"/>
  <c r="K6"/>
  <c r="J6"/>
  <c r="F6"/>
  <c r="H134" i="56"/>
  <c r="K30"/>
  <c r="N264"/>
  <c r="K264"/>
  <c r="J264"/>
  <c r="F264"/>
  <c r="N263"/>
  <c r="K263"/>
  <c r="J263"/>
  <c r="F263"/>
  <c r="N262"/>
  <c r="K262"/>
  <c r="J262"/>
  <c r="F262"/>
  <c r="N261"/>
  <c r="K261"/>
  <c r="J261"/>
  <c r="F261"/>
  <c r="N260"/>
  <c r="K260"/>
  <c r="J260"/>
  <c r="F260"/>
  <c r="N258"/>
  <c r="K258"/>
  <c r="J258"/>
  <c r="F258"/>
  <c r="N257"/>
  <c r="K257"/>
  <c r="J257"/>
  <c r="F257"/>
  <c r="N256"/>
  <c r="K256"/>
  <c r="J256"/>
  <c r="F256"/>
  <c r="N255"/>
  <c r="K255"/>
  <c r="J255"/>
  <c r="F255"/>
  <c r="N254"/>
  <c r="K254"/>
  <c r="J254"/>
  <c r="F254"/>
  <c r="K248"/>
  <c r="J248"/>
  <c r="F248"/>
  <c r="K247"/>
  <c r="J247"/>
  <c r="F247"/>
  <c r="L247" s="1"/>
  <c r="K246"/>
  <c r="L246" s="1"/>
  <c r="J246"/>
  <c r="K245"/>
  <c r="J245"/>
  <c r="F245"/>
  <c r="K244"/>
  <c r="J244"/>
  <c r="F244"/>
  <c r="L244" s="1"/>
  <c r="K243"/>
  <c r="J243"/>
  <c r="F243"/>
  <c r="L243" s="1"/>
  <c r="K242"/>
  <c r="J242"/>
  <c r="F242"/>
  <c r="K241"/>
  <c r="J241"/>
  <c r="F241"/>
  <c r="K240"/>
  <c r="J240"/>
  <c r="F240"/>
  <c r="L240" s="1"/>
  <c r="K239"/>
  <c r="J239"/>
  <c r="F239"/>
  <c r="L239" s="1"/>
  <c r="K238"/>
  <c r="J238"/>
  <c r="F238"/>
  <c r="K237"/>
  <c r="L237" s="1"/>
  <c r="J237"/>
  <c r="K236"/>
  <c r="L236" s="1"/>
  <c r="J236"/>
  <c r="K235"/>
  <c r="J235"/>
  <c r="F235"/>
  <c r="K234"/>
  <c r="J234"/>
  <c r="F234"/>
  <c r="L234" s="1"/>
  <c r="K233"/>
  <c r="J233"/>
  <c r="F233"/>
  <c r="L233" s="1"/>
  <c r="K232"/>
  <c r="J232"/>
  <c r="F232"/>
  <c r="K231"/>
  <c r="J231"/>
  <c r="F231"/>
  <c r="K230"/>
  <c r="J230"/>
  <c r="F230"/>
  <c r="L230" s="1"/>
  <c r="K229"/>
  <c r="J229"/>
  <c r="F229"/>
  <c r="L229" s="1"/>
  <c r="K228"/>
  <c r="L228" s="1"/>
  <c r="J228"/>
  <c r="N225"/>
  <c r="K225"/>
  <c r="J225"/>
  <c r="F225"/>
  <c r="N224"/>
  <c r="K224"/>
  <c r="L224" s="1"/>
  <c r="J224"/>
  <c r="N223"/>
  <c r="K223"/>
  <c r="J223"/>
  <c r="F223"/>
  <c r="L223" s="1"/>
  <c r="N222"/>
  <c r="K222"/>
  <c r="J222"/>
  <c r="F222"/>
  <c r="L222" s="1"/>
  <c r="N221"/>
  <c r="K221"/>
  <c r="J221"/>
  <c r="F221"/>
  <c r="L221" s="1"/>
  <c r="N220"/>
  <c r="K220"/>
  <c r="J220"/>
  <c r="F220"/>
  <c r="L220" s="1"/>
  <c r="N219"/>
  <c r="K219"/>
  <c r="J219"/>
  <c r="F219"/>
  <c r="L219" s="1"/>
  <c r="N218"/>
  <c r="K218"/>
  <c r="L218" s="1"/>
  <c r="J218"/>
  <c r="N217"/>
  <c r="K217"/>
  <c r="J217"/>
  <c r="F217"/>
  <c r="L217" s="1"/>
  <c r="N216"/>
  <c r="K216"/>
  <c r="J216"/>
  <c r="F216"/>
  <c r="L216" s="1"/>
  <c r="N215"/>
  <c r="K215"/>
  <c r="J215"/>
  <c r="F215"/>
  <c r="L215" s="1"/>
  <c r="N214"/>
  <c r="K214"/>
  <c r="J214"/>
  <c r="F214"/>
  <c r="L214" s="1"/>
  <c r="N213"/>
  <c r="K213"/>
  <c r="J213"/>
  <c r="F213"/>
  <c r="L213" s="1"/>
  <c r="N212"/>
  <c r="K212"/>
  <c r="J212"/>
  <c r="F212"/>
  <c r="L212" s="1"/>
  <c r="N211"/>
  <c r="K211"/>
  <c r="J211"/>
  <c r="F211"/>
  <c r="L211" s="1"/>
  <c r="N210"/>
  <c r="K210"/>
  <c r="J210"/>
  <c r="F210"/>
  <c r="L210" s="1"/>
  <c r="N209"/>
  <c r="K209"/>
  <c r="J209"/>
  <c r="F209"/>
  <c r="L209" s="1"/>
  <c r="N208"/>
  <c r="K208"/>
  <c r="J208"/>
  <c r="F208"/>
  <c r="L208" s="1"/>
  <c r="N207"/>
  <c r="K207"/>
  <c r="J207"/>
  <c r="F207"/>
  <c r="L207" s="1"/>
  <c r="N206"/>
  <c r="K206"/>
  <c r="J206"/>
  <c r="F206"/>
  <c r="L206" s="1"/>
  <c r="N205"/>
  <c r="K205"/>
  <c r="J205"/>
  <c r="F205"/>
  <c r="L205" s="1"/>
  <c r="N203"/>
  <c r="K203"/>
  <c r="J203"/>
  <c r="F203"/>
  <c r="L203" s="1"/>
  <c r="N202"/>
  <c r="K202"/>
  <c r="L202" s="1"/>
  <c r="J202"/>
  <c r="N201"/>
  <c r="K201"/>
  <c r="J201"/>
  <c r="F201"/>
  <c r="N199"/>
  <c r="K199"/>
  <c r="J199"/>
  <c r="F199"/>
  <c r="N198"/>
  <c r="K198"/>
  <c r="L198" s="1"/>
  <c r="J198"/>
  <c r="N197"/>
  <c r="K197"/>
  <c r="J197"/>
  <c r="F197"/>
  <c r="N195"/>
  <c r="K195"/>
  <c r="J195"/>
  <c r="F195"/>
  <c r="K193"/>
  <c r="J193"/>
  <c r="F193"/>
  <c r="L193" s="1"/>
  <c r="K191"/>
  <c r="J191"/>
  <c r="F191"/>
  <c r="L191" s="1"/>
  <c r="N190"/>
  <c r="K190"/>
  <c r="L190" s="1"/>
  <c r="J190"/>
  <c r="N189"/>
  <c r="K189"/>
  <c r="J189"/>
  <c r="F189"/>
  <c r="N188"/>
  <c r="K188"/>
  <c r="J188"/>
  <c r="F188"/>
  <c r="N187"/>
  <c r="K187"/>
  <c r="J187"/>
  <c r="F187"/>
  <c r="N186"/>
  <c r="K186"/>
  <c r="J186"/>
  <c r="F186"/>
  <c r="N185"/>
  <c r="K185"/>
  <c r="L185" s="1"/>
  <c r="J185"/>
  <c r="N184"/>
  <c r="K184"/>
  <c r="J184"/>
  <c r="F184"/>
  <c r="N182"/>
  <c r="K182"/>
  <c r="J182"/>
  <c r="F182"/>
  <c r="N181"/>
  <c r="K181"/>
  <c r="J181"/>
  <c r="F181"/>
  <c r="N180"/>
  <c r="K180"/>
  <c r="L180" s="1"/>
  <c r="J180"/>
  <c r="N179"/>
  <c r="K179"/>
  <c r="L179" s="1"/>
  <c r="J179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3"/>
  <c r="K173"/>
  <c r="J173"/>
  <c r="F173"/>
  <c r="L173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N167"/>
  <c r="K167"/>
  <c r="J167"/>
  <c r="F167"/>
  <c r="L167" s="1"/>
  <c r="K157"/>
  <c r="J157"/>
  <c r="F157"/>
  <c r="N156"/>
  <c r="K156"/>
  <c r="J156"/>
  <c r="F156"/>
  <c r="K155"/>
  <c r="J155"/>
  <c r="F155"/>
  <c r="N154"/>
  <c r="J154"/>
  <c r="F154"/>
  <c r="L154" s="1"/>
  <c r="N153"/>
  <c r="K153"/>
  <c r="J153"/>
  <c r="F153"/>
  <c r="L153" s="1"/>
  <c r="K152"/>
  <c r="J152"/>
  <c r="F152"/>
  <c r="L152" s="1"/>
  <c r="K151"/>
  <c r="J151"/>
  <c r="F151"/>
  <c r="K150"/>
  <c r="L150" s="1"/>
  <c r="J150"/>
  <c r="N149"/>
  <c r="K149"/>
  <c r="L149" s="1"/>
  <c r="J149"/>
  <c r="N148"/>
  <c r="K148"/>
  <c r="L148" s="1"/>
  <c r="J148"/>
  <c r="N147"/>
  <c r="K147"/>
  <c r="J147"/>
  <c r="F147"/>
  <c r="K146"/>
  <c r="J146"/>
  <c r="F146"/>
  <c r="K145"/>
  <c r="L145" s="1"/>
  <c r="J145"/>
  <c r="N144"/>
  <c r="K144"/>
  <c r="J144"/>
  <c r="F144"/>
  <c r="L144" s="1"/>
  <c r="N143"/>
  <c r="K143"/>
  <c r="L143" s="1"/>
  <c r="J143"/>
  <c r="N142"/>
  <c r="K142"/>
  <c r="J142"/>
  <c r="F142"/>
  <c r="N141"/>
  <c r="K141"/>
  <c r="J141"/>
  <c r="F141"/>
  <c r="N140"/>
  <c r="K140"/>
  <c r="J140"/>
  <c r="F140"/>
  <c r="K139"/>
  <c r="J139"/>
  <c r="F139"/>
  <c r="N138"/>
  <c r="K138"/>
  <c r="J138"/>
  <c r="F138"/>
  <c r="H137"/>
  <c r="H159" s="1"/>
  <c r="E134"/>
  <c r="D134"/>
  <c r="K133"/>
  <c r="J133"/>
  <c r="F133"/>
  <c r="L133" s="1"/>
  <c r="K132"/>
  <c r="J132"/>
  <c r="F132"/>
  <c r="K131"/>
  <c r="J131"/>
  <c r="F131"/>
  <c r="K130"/>
  <c r="J130"/>
  <c r="F130"/>
  <c r="L130" s="1"/>
  <c r="K129"/>
  <c r="J129"/>
  <c r="F129"/>
  <c r="L129" s="1"/>
  <c r="K128"/>
  <c r="J128"/>
  <c r="F128"/>
  <c r="K127"/>
  <c r="L127" s="1"/>
  <c r="J127"/>
  <c r="K126"/>
  <c r="J126"/>
  <c r="F126"/>
  <c r="L126" s="1"/>
  <c r="K125"/>
  <c r="J125"/>
  <c r="F125"/>
  <c r="K124"/>
  <c r="J124"/>
  <c r="F124"/>
  <c r="K123"/>
  <c r="J123"/>
  <c r="F123"/>
  <c r="L123" s="1"/>
  <c r="K122"/>
  <c r="L122" s="1"/>
  <c r="J122"/>
  <c r="K121"/>
  <c r="J121"/>
  <c r="F121"/>
  <c r="K120"/>
  <c r="J120"/>
  <c r="F120"/>
  <c r="L120" s="1"/>
  <c r="K119"/>
  <c r="L119" s="1"/>
  <c r="J119"/>
  <c r="K118"/>
  <c r="J118"/>
  <c r="F118"/>
  <c r="K117"/>
  <c r="J117"/>
  <c r="F117"/>
  <c r="L117" s="1"/>
  <c r="K116"/>
  <c r="J116"/>
  <c r="F116"/>
  <c r="L116" s="1"/>
  <c r="K115"/>
  <c r="J115"/>
  <c r="F115"/>
  <c r="K114"/>
  <c r="L114" s="1"/>
  <c r="J114"/>
  <c r="K113"/>
  <c r="J113"/>
  <c r="F113"/>
  <c r="L113" s="1"/>
  <c r="K112"/>
  <c r="J112"/>
  <c r="F112"/>
  <c r="K111"/>
  <c r="J111"/>
  <c r="F111"/>
  <c r="K110"/>
  <c r="J110"/>
  <c r="F110"/>
  <c r="L110" s="1"/>
  <c r="K109"/>
  <c r="J109"/>
  <c r="F109"/>
  <c r="L109" s="1"/>
  <c r="K108"/>
  <c r="J108"/>
  <c r="F108"/>
  <c r="K107"/>
  <c r="F107"/>
  <c r="K106"/>
  <c r="J106"/>
  <c r="F106"/>
  <c r="L106" s="1"/>
  <c r="K105"/>
  <c r="J105"/>
  <c r="F105"/>
  <c r="K104"/>
  <c r="J104"/>
  <c r="F104"/>
  <c r="K103"/>
  <c r="J103"/>
  <c r="F103"/>
  <c r="L103" s="1"/>
  <c r="N102"/>
  <c r="K102"/>
  <c r="J102"/>
  <c r="F102"/>
  <c r="L102" s="1"/>
  <c r="N101"/>
  <c r="K101"/>
  <c r="J101"/>
  <c r="F101"/>
  <c r="L101" s="1"/>
  <c r="N100"/>
  <c r="K100"/>
  <c r="J100"/>
  <c r="F100"/>
  <c r="L100" s="1"/>
  <c r="N99"/>
  <c r="K99"/>
  <c r="L99" s="1"/>
  <c r="J99"/>
  <c r="N98"/>
  <c r="K98"/>
  <c r="L98" s="1"/>
  <c r="J98"/>
  <c r="K97"/>
  <c r="J97"/>
  <c r="F97"/>
  <c r="N96"/>
  <c r="K96"/>
  <c r="L96" s="1"/>
  <c r="J96"/>
  <c r="N95"/>
  <c r="K95"/>
  <c r="L95" s="1"/>
  <c r="J95"/>
  <c r="N94"/>
  <c r="K94"/>
  <c r="J94"/>
  <c r="F94"/>
  <c r="L94" s="1"/>
  <c r="N93"/>
  <c r="K93"/>
  <c r="J93"/>
  <c r="F93"/>
  <c r="L93" s="1"/>
  <c r="N92"/>
  <c r="K92"/>
  <c r="J92"/>
  <c r="F92"/>
  <c r="L92" s="1"/>
  <c r="N91"/>
  <c r="K91"/>
  <c r="L91" s="1"/>
  <c r="J91"/>
  <c r="N90"/>
  <c r="K90"/>
  <c r="J90"/>
  <c r="F90"/>
  <c r="N89"/>
  <c r="K89"/>
  <c r="J89"/>
  <c r="F89"/>
  <c r="N88"/>
  <c r="K88"/>
  <c r="J88"/>
  <c r="F88"/>
  <c r="N87"/>
  <c r="K87"/>
  <c r="J87"/>
  <c r="F87"/>
  <c r="K86"/>
  <c r="J86"/>
  <c r="F86"/>
  <c r="N85"/>
  <c r="K85"/>
  <c r="L85" s="1"/>
  <c r="J85"/>
  <c r="K84"/>
  <c r="J84"/>
  <c r="F84"/>
  <c r="L84" s="1"/>
  <c r="N83"/>
  <c r="K83"/>
  <c r="L83" s="1"/>
  <c r="J83"/>
  <c r="N82"/>
  <c r="K82"/>
  <c r="J82"/>
  <c r="F82"/>
  <c r="K81"/>
  <c r="L81" s="1"/>
  <c r="J81"/>
  <c r="N80"/>
  <c r="K80"/>
  <c r="J80"/>
  <c r="F80"/>
  <c r="L80" s="1"/>
  <c r="N79"/>
  <c r="K79"/>
  <c r="L79" s="1"/>
  <c r="J79"/>
  <c r="N78"/>
  <c r="K78"/>
  <c r="L78" s="1"/>
  <c r="J78"/>
  <c r="N77"/>
  <c r="K77"/>
  <c r="J77"/>
  <c r="F77"/>
  <c r="N76"/>
  <c r="K76"/>
  <c r="J76"/>
  <c r="F76"/>
  <c r="N75"/>
  <c r="K75"/>
  <c r="J75"/>
  <c r="F75"/>
  <c r="N74"/>
  <c r="K74"/>
  <c r="J74"/>
  <c r="F74"/>
  <c r="N73"/>
  <c r="K73"/>
  <c r="L73" s="1"/>
  <c r="J73"/>
  <c r="N72"/>
  <c r="K72"/>
  <c r="J72"/>
  <c r="F72"/>
  <c r="N71"/>
  <c r="K71"/>
  <c r="J71"/>
  <c r="F71"/>
  <c r="N70"/>
  <c r="K70"/>
  <c r="J70"/>
  <c r="F70"/>
  <c r="N69"/>
  <c r="K69"/>
  <c r="J69"/>
  <c r="F69"/>
  <c r="N68"/>
  <c r="K68"/>
  <c r="L68" s="1"/>
  <c r="J68"/>
  <c r="N67"/>
  <c r="K67"/>
  <c r="L67" s="1"/>
  <c r="J67"/>
  <c r="N66"/>
  <c r="K66"/>
  <c r="J66"/>
  <c r="F66"/>
  <c r="L66" s="1"/>
  <c r="N65"/>
  <c r="K65"/>
  <c r="L65" s="1"/>
  <c r="J65"/>
  <c r="K64"/>
  <c r="J64"/>
  <c r="F64"/>
  <c r="N63"/>
  <c r="K63"/>
  <c r="J63"/>
  <c r="F63"/>
  <c r="N62"/>
  <c r="K62"/>
  <c r="J62"/>
  <c r="F62"/>
  <c r="N61"/>
  <c r="K61"/>
  <c r="J61"/>
  <c r="F61"/>
  <c r="N60"/>
  <c r="K60"/>
  <c r="L60" s="1"/>
  <c r="J60"/>
  <c r="N59"/>
  <c r="K59"/>
  <c r="J59"/>
  <c r="F59"/>
  <c r="L59" s="1"/>
  <c r="K58"/>
  <c r="J58"/>
  <c r="F58"/>
  <c r="L58" s="1"/>
  <c r="N57"/>
  <c r="K57"/>
  <c r="L57" s="1"/>
  <c r="J57"/>
  <c r="N56"/>
  <c r="K56"/>
  <c r="L56" s="1"/>
  <c r="J56"/>
  <c r="N55"/>
  <c r="K55"/>
  <c r="J55"/>
  <c r="F55"/>
  <c r="N54"/>
  <c r="K54"/>
  <c r="J54"/>
  <c r="F54"/>
  <c r="N53"/>
  <c r="K53"/>
  <c r="L53" s="1"/>
  <c r="J53"/>
  <c r="N52"/>
  <c r="K52"/>
  <c r="J52"/>
  <c r="F52"/>
  <c r="L52" s="1"/>
  <c r="K51"/>
  <c r="L51" s="1"/>
  <c r="J51"/>
  <c r="N50"/>
  <c r="K50"/>
  <c r="L50" s="1"/>
  <c r="J50"/>
  <c r="N49"/>
  <c r="K49"/>
  <c r="L49" s="1"/>
  <c r="J49"/>
  <c r="N48"/>
  <c r="K48"/>
  <c r="J48"/>
  <c r="F48"/>
  <c r="L48" s="1"/>
  <c r="N47"/>
  <c r="K47"/>
  <c r="J47"/>
  <c r="F47"/>
  <c r="L47" s="1"/>
  <c r="N46"/>
  <c r="K46"/>
  <c r="J46"/>
  <c r="F46"/>
  <c r="L46" s="1"/>
  <c r="N45"/>
  <c r="K45"/>
  <c r="J45"/>
  <c r="F45"/>
  <c r="L45" s="1"/>
  <c r="N44"/>
  <c r="K44"/>
  <c r="J44"/>
  <c r="F44"/>
  <c r="L44" s="1"/>
  <c r="N43"/>
  <c r="K43"/>
  <c r="J43"/>
  <c r="F43"/>
  <c r="L43" s="1"/>
  <c r="N42"/>
  <c r="K42"/>
  <c r="J42"/>
  <c r="F42"/>
  <c r="L42" s="1"/>
  <c r="K41"/>
  <c r="L41" s="1"/>
  <c r="J41"/>
  <c r="N40"/>
  <c r="K40"/>
  <c r="J40"/>
  <c r="F40"/>
  <c r="N39"/>
  <c r="K39"/>
  <c r="J39"/>
  <c r="F39"/>
  <c r="N38"/>
  <c r="K38"/>
  <c r="J38"/>
  <c r="F38"/>
  <c r="N37"/>
  <c r="K37"/>
  <c r="J37"/>
  <c r="F37"/>
  <c r="N36"/>
  <c r="K36"/>
  <c r="L36" s="1"/>
  <c r="J36"/>
  <c r="K35"/>
  <c r="J35"/>
  <c r="F35"/>
  <c r="L35" s="1"/>
  <c r="K34"/>
  <c r="J34"/>
  <c r="F34"/>
  <c r="L34" s="1"/>
  <c r="K33"/>
  <c r="J33"/>
  <c r="F33"/>
  <c r="N32"/>
  <c r="K32"/>
  <c r="J32"/>
  <c r="F32"/>
  <c r="N31"/>
  <c r="K31"/>
  <c r="J31"/>
  <c r="F31"/>
  <c r="N30"/>
  <c r="J30"/>
  <c r="F30"/>
  <c r="L30" s="1"/>
  <c r="N29"/>
  <c r="K29"/>
  <c r="L29" s="1"/>
  <c r="J29"/>
  <c r="N28"/>
  <c r="K28"/>
  <c r="L28" s="1"/>
  <c r="J28"/>
  <c r="K27"/>
  <c r="J27"/>
  <c r="F27"/>
  <c r="N26"/>
  <c r="K26"/>
  <c r="J26"/>
  <c r="F26"/>
  <c r="L26" s="1"/>
  <c r="N25"/>
  <c r="K25"/>
  <c r="J25"/>
  <c r="F25"/>
  <c r="L25" s="1"/>
  <c r="N24"/>
  <c r="K24"/>
  <c r="J24"/>
  <c r="F24"/>
  <c r="L24" s="1"/>
  <c r="N23"/>
  <c r="K23"/>
  <c r="L23" s="1"/>
  <c r="J23"/>
  <c r="N22"/>
  <c r="K22"/>
  <c r="J22"/>
  <c r="F22"/>
  <c r="N21"/>
  <c r="K21"/>
  <c r="J21"/>
  <c r="F21"/>
  <c r="N20"/>
  <c r="K20"/>
  <c r="L20" s="1"/>
  <c r="J20"/>
  <c r="N19"/>
  <c r="K19"/>
  <c r="L19" s="1"/>
  <c r="J19"/>
  <c r="K18"/>
  <c r="J18"/>
  <c r="F18"/>
  <c r="L18" s="1"/>
  <c r="N17"/>
  <c r="K17"/>
  <c r="J17"/>
  <c r="F17"/>
  <c r="L17" s="1"/>
  <c r="N16"/>
  <c r="K16"/>
  <c r="J16"/>
  <c r="F16"/>
  <c r="L16" s="1"/>
  <c r="N15"/>
  <c r="K15"/>
  <c r="J15"/>
  <c r="F15"/>
  <c r="L15" s="1"/>
  <c r="N14"/>
  <c r="K14"/>
  <c r="J14"/>
  <c r="F14"/>
  <c r="L14" s="1"/>
  <c r="N13"/>
  <c r="K13"/>
  <c r="L13" s="1"/>
  <c r="J13"/>
  <c r="N12"/>
  <c r="K12"/>
  <c r="J12"/>
  <c r="F12"/>
  <c r="N11"/>
  <c r="K11"/>
  <c r="J11"/>
  <c r="F11"/>
  <c r="N10"/>
  <c r="K10"/>
  <c r="J10"/>
  <c r="F10"/>
  <c r="N9"/>
  <c r="K9"/>
  <c r="J9"/>
  <c r="F9"/>
  <c r="K8"/>
  <c r="J8"/>
  <c r="F8"/>
  <c r="K7"/>
  <c r="L7" s="1"/>
  <c r="J7"/>
  <c r="N6"/>
  <c r="K6"/>
  <c r="J6"/>
  <c r="F6"/>
  <c r="J35" i="55"/>
  <c r="J27"/>
  <c r="J27" i="54"/>
  <c r="J35"/>
  <c r="J18" i="55"/>
  <c r="J17" i="54"/>
  <c r="J86" i="55"/>
  <c r="J105"/>
  <c r="J157" i="54"/>
  <c r="J102"/>
  <c r="H134" i="55"/>
  <c r="E134"/>
  <c r="D134"/>
  <c r="K41"/>
  <c r="L41" s="1"/>
  <c r="J41"/>
  <c r="F134" i="56" l="1"/>
  <c r="L10"/>
  <c r="L12"/>
  <c r="L22"/>
  <c r="L54"/>
  <c r="L55"/>
  <c r="L61"/>
  <c r="L62"/>
  <c r="L63"/>
  <c r="L64"/>
  <c r="L69"/>
  <c r="L70"/>
  <c r="L71"/>
  <c r="L72"/>
  <c r="L9"/>
  <c r="L11"/>
  <c r="L21"/>
  <c r="K134"/>
  <c r="L8"/>
  <c r="L27"/>
  <c r="L31"/>
  <c r="L32"/>
  <c r="L33"/>
  <c r="L37"/>
  <c r="L38"/>
  <c r="L39"/>
  <c r="L40"/>
  <c r="L74"/>
  <c r="L75"/>
  <c r="L76"/>
  <c r="L77"/>
  <c r="L82"/>
  <c r="L87"/>
  <c r="L88"/>
  <c r="L89"/>
  <c r="L90"/>
  <c r="L105"/>
  <c r="L108"/>
  <c r="L112"/>
  <c r="L115"/>
  <c r="L125"/>
  <c r="L128"/>
  <c r="L132"/>
  <c r="L140"/>
  <c r="L141"/>
  <c r="L142"/>
  <c r="L147"/>
  <c r="L151"/>
  <c r="L156"/>
  <c r="L157"/>
  <c r="L186"/>
  <c r="L187"/>
  <c r="L188"/>
  <c r="L189"/>
  <c r="L199"/>
  <c r="L201"/>
  <c r="L232"/>
  <c r="L238"/>
  <c r="L242"/>
  <c r="L254"/>
  <c r="L255"/>
  <c r="L256"/>
  <c r="L257"/>
  <c r="L258"/>
  <c r="L260"/>
  <c r="L261"/>
  <c r="L262"/>
  <c r="L263"/>
  <c r="L264"/>
  <c r="K134" i="58"/>
  <c r="L9"/>
  <c r="L55"/>
  <c r="L56"/>
  <c r="L62"/>
  <c r="L63"/>
  <c r="L64"/>
  <c r="L65"/>
  <c r="L69"/>
  <c r="L70"/>
  <c r="L71"/>
  <c r="L72"/>
  <c r="L86"/>
  <c r="L97"/>
  <c r="L104"/>
  <c r="L111"/>
  <c r="L118"/>
  <c r="L121"/>
  <c r="L124"/>
  <c r="L131"/>
  <c r="L138"/>
  <c r="L139"/>
  <c r="L146"/>
  <c r="L155"/>
  <c r="L182"/>
  <c r="L183"/>
  <c r="L185"/>
  <c r="L196"/>
  <c r="L198"/>
  <c r="L226"/>
  <c r="L232"/>
  <c r="L236"/>
  <c r="L242"/>
  <c r="L246"/>
  <c r="L249"/>
  <c r="L86" i="56"/>
  <c r="L97"/>
  <c r="L104"/>
  <c r="L111"/>
  <c r="L118"/>
  <c r="L121"/>
  <c r="L124"/>
  <c r="L131"/>
  <c r="L138"/>
  <c r="L139"/>
  <c r="L146"/>
  <c r="L155"/>
  <c r="L181"/>
  <c r="L182"/>
  <c r="L184"/>
  <c r="L195"/>
  <c r="L197"/>
  <c r="L225"/>
  <c r="L231"/>
  <c r="L235"/>
  <c r="L241"/>
  <c r="L245"/>
  <c r="L248"/>
  <c r="L36" i="58"/>
  <c r="L43"/>
  <c r="L44"/>
  <c r="L45"/>
  <c r="L46"/>
  <c r="L47"/>
  <c r="L48"/>
  <c r="L49"/>
  <c r="L53"/>
  <c r="L60"/>
  <c r="L80"/>
  <c r="L100"/>
  <c r="L101"/>
  <c r="L102"/>
  <c r="L103"/>
  <c r="L110"/>
  <c r="L117"/>
  <c r="L120"/>
  <c r="L123"/>
  <c r="L130"/>
  <c r="L153"/>
  <c r="L194"/>
  <c r="L220"/>
  <c r="L221"/>
  <c r="L222"/>
  <c r="L223"/>
  <c r="L224"/>
  <c r="L231"/>
  <c r="L235"/>
  <c r="L241"/>
  <c r="L245"/>
  <c r="L248"/>
  <c r="L107" i="56"/>
  <c r="F134" i="58"/>
  <c r="L6"/>
  <c r="L6" i="56"/>
  <c r="N264" i="55"/>
  <c r="K264"/>
  <c r="J264"/>
  <c r="F264"/>
  <c r="N263"/>
  <c r="K263"/>
  <c r="J263"/>
  <c r="F263"/>
  <c r="N262"/>
  <c r="K262"/>
  <c r="J262"/>
  <c r="F262"/>
  <c r="N261"/>
  <c r="K261"/>
  <c r="J261"/>
  <c r="F261"/>
  <c r="N260"/>
  <c r="K260"/>
  <c r="J260"/>
  <c r="F260"/>
  <c r="L260" s="1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L255" s="1"/>
  <c r="N254"/>
  <c r="K254"/>
  <c r="J254"/>
  <c r="F254"/>
  <c r="L254" s="1"/>
  <c r="K248"/>
  <c r="J248"/>
  <c r="F248"/>
  <c r="K247"/>
  <c r="J247"/>
  <c r="F247"/>
  <c r="K246"/>
  <c r="L246" s="1"/>
  <c r="J246"/>
  <c r="K245"/>
  <c r="J245"/>
  <c r="F245"/>
  <c r="K244"/>
  <c r="J244"/>
  <c r="F244"/>
  <c r="K243"/>
  <c r="J243"/>
  <c r="F243"/>
  <c r="L243" s="1"/>
  <c r="K242"/>
  <c r="J242"/>
  <c r="F242"/>
  <c r="L242" s="1"/>
  <c r="K241"/>
  <c r="J241"/>
  <c r="F241"/>
  <c r="K240"/>
  <c r="J240"/>
  <c r="F240"/>
  <c r="K239"/>
  <c r="J239"/>
  <c r="F239"/>
  <c r="L239" s="1"/>
  <c r="K238"/>
  <c r="J238"/>
  <c r="F238"/>
  <c r="L238" s="1"/>
  <c r="K237"/>
  <c r="L237" s="1"/>
  <c r="J237"/>
  <c r="K236"/>
  <c r="L236" s="1"/>
  <c r="J236"/>
  <c r="K235"/>
  <c r="J235"/>
  <c r="F235"/>
  <c r="K234"/>
  <c r="J234"/>
  <c r="F234"/>
  <c r="K233"/>
  <c r="J233"/>
  <c r="F233"/>
  <c r="L233" s="1"/>
  <c r="K232"/>
  <c r="J232"/>
  <c r="F232"/>
  <c r="L232" s="1"/>
  <c r="K231"/>
  <c r="J231"/>
  <c r="F231"/>
  <c r="K230"/>
  <c r="J230"/>
  <c r="F230"/>
  <c r="K229"/>
  <c r="J229"/>
  <c r="F229"/>
  <c r="L229" s="1"/>
  <c r="K228"/>
  <c r="L228" s="1"/>
  <c r="J228"/>
  <c r="N225"/>
  <c r="K225"/>
  <c r="J225"/>
  <c r="F225"/>
  <c r="N224"/>
  <c r="K224"/>
  <c r="L224" s="1"/>
  <c r="J224"/>
  <c r="N223"/>
  <c r="K223"/>
  <c r="J223"/>
  <c r="F223"/>
  <c r="L223" s="1"/>
  <c r="N222"/>
  <c r="K222"/>
  <c r="J222"/>
  <c r="F222"/>
  <c r="L222" s="1"/>
  <c r="N221"/>
  <c r="K221"/>
  <c r="J221"/>
  <c r="F221"/>
  <c r="L221" s="1"/>
  <c r="N220"/>
  <c r="K220"/>
  <c r="J220"/>
  <c r="F220"/>
  <c r="L220" s="1"/>
  <c r="N219"/>
  <c r="K219"/>
  <c r="J219"/>
  <c r="F219"/>
  <c r="L219" s="1"/>
  <c r="N218"/>
  <c r="K218"/>
  <c r="L218" s="1"/>
  <c r="J218"/>
  <c r="N217"/>
  <c r="K217"/>
  <c r="J217"/>
  <c r="F217"/>
  <c r="L217" s="1"/>
  <c r="N216"/>
  <c r="K216"/>
  <c r="J216"/>
  <c r="F216"/>
  <c r="L216" s="1"/>
  <c r="N215"/>
  <c r="K215"/>
  <c r="J215"/>
  <c r="F215"/>
  <c r="L215" s="1"/>
  <c r="N214"/>
  <c r="K214"/>
  <c r="J214"/>
  <c r="F214"/>
  <c r="L214" s="1"/>
  <c r="N213"/>
  <c r="K213"/>
  <c r="J213"/>
  <c r="F213"/>
  <c r="L213" s="1"/>
  <c r="N212"/>
  <c r="K212"/>
  <c r="J212"/>
  <c r="F212"/>
  <c r="L212" s="1"/>
  <c r="N211"/>
  <c r="K211"/>
  <c r="J211"/>
  <c r="F211"/>
  <c r="L211" s="1"/>
  <c r="N210"/>
  <c r="K210"/>
  <c r="J210"/>
  <c r="F210"/>
  <c r="L210" s="1"/>
  <c r="N209"/>
  <c r="K209"/>
  <c r="J209"/>
  <c r="F209"/>
  <c r="L209" s="1"/>
  <c r="N208"/>
  <c r="K208"/>
  <c r="J208"/>
  <c r="F208"/>
  <c r="L208" s="1"/>
  <c r="N207"/>
  <c r="K207"/>
  <c r="J207"/>
  <c r="F207"/>
  <c r="L207" s="1"/>
  <c r="N206"/>
  <c r="K206"/>
  <c r="J206"/>
  <c r="F206"/>
  <c r="L206" s="1"/>
  <c r="N205"/>
  <c r="K205"/>
  <c r="J205"/>
  <c r="F205"/>
  <c r="L205" s="1"/>
  <c r="N203"/>
  <c r="K203"/>
  <c r="J203"/>
  <c r="F203"/>
  <c r="L203" s="1"/>
  <c r="N202"/>
  <c r="K202"/>
  <c r="L202" s="1"/>
  <c r="J202"/>
  <c r="N201"/>
  <c r="K201"/>
  <c r="J201"/>
  <c r="F201"/>
  <c r="N199"/>
  <c r="K199"/>
  <c r="J199"/>
  <c r="F199"/>
  <c r="N198"/>
  <c r="K198"/>
  <c r="L198" s="1"/>
  <c r="J198"/>
  <c r="N197"/>
  <c r="K197"/>
  <c r="J197"/>
  <c r="F197"/>
  <c r="N195"/>
  <c r="K195"/>
  <c r="J195"/>
  <c r="F195"/>
  <c r="K193"/>
  <c r="J193"/>
  <c r="F193"/>
  <c r="L193" s="1"/>
  <c r="K191"/>
  <c r="J191"/>
  <c r="F191"/>
  <c r="L191" s="1"/>
  <c r="N190"/>
  <c r="K190"/>
  <c r="L190" s="1"/>
  <c r="J190"/>
  <c r="N189"/>
  <c r="K189"/>
  <c r="J189"/>
  <c r="F189"/>
  <c r="N188"/>
  <c r="K188"/>
  <c r="J188"/>
  <c r="F188"/>
  <c r="N187"/>
  <c r="K187"/>
  <c r="J187"/>
  <c r="F187"/>
  <c r="L187" s="1"/>
  <c r="N186"/>
  <c r="K186"/>
  <c r="J186"/>
  <c r="F186"/>
  <c r="L186" s="1"/>
  <c r="N185"/>
  <c r="K185"/>
  <c r="L185" s="1"/>
  <c r="J185"/>
  <c r="N184"/>
  <c r="K184"/>
  <c r="J184"/>
  <c r="F184"/>
  <c r="N182"/>
  <c r="K182"/>
  <c r="J182"/>
  <c r="F182"/>
  <c r="N181"/>
  <c r="K181"/>
  <c r="J181"/>
  <c r="F181"/>
  <c r="N180"/>
  <c r="K180"/>
  <c r="L180" s="1"/>
  <c r="J180"/>
  <c r="N179"/>
  <c r="K179"/>
  <c r="L179" s="1"/>
  <c r="J179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3"/>
  <c r="K173"/>
  <c r="J173"/>
  <c r="F173"/>
  <c r="L173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N167"/>
  <c r="K167"/>
  <c r="J167"/>
  <c r="F167"/>
  <c r="L167" s="1"/>
  <c r="N154"/>
  <c r="K153"/>
  <c r="J153"/>
  <c r="F153"/>
  <c r="L153" s="1"/>
  <c r="N153"/>
  <c r="K152"/>
  <c r="J152"/>
  <c r="F152"/>
  <c r="L152" s="1"/>
  <c r="K151"/>
  <c r="J151"/>
  <c r="F151"/>
  <c r="L151" s="1"/>
  <c r="K150"/>
  <c r="L150" s="1"/>
  <c r="J150"/>
  <c r="K149"/>
  <c r="L149" s="1"/>
  <c r="J149"/>
  <c r="N149"/>
  <c r="K148"/>
  <c r="L148" s="1"/>
  <c r="J148"/>
  <c r="N148"/>
  <c r="K147"/>
  <c r="J147"/>
  <c r="F147"/>
  <c r="N147"/>
  <c r="K146"/>
  <c r="J146"/>
  <c r="F146"/>
  <c r="K145"/>
  <c r="L145" s="1"/>
  <c r="J145"/>
  <c r="K144"/>
  <c r="J144"/>
  <c r="F144"/>
  <c r="L144" s="1"/>
  <c r="N144"/>
  <c r="K143"/>
  <c r="L143" s="1"/>
  <c r="J143"/>
  <c r="N143"/>
  <c r="K142"/>
  <c r="J142"/>
  <c r="F142"/>
  <c r="N142"/>
  <c r="K141"/>
  <c r="J141"/>
  <c r="F141"/>
  <c r="N141"/>
  <c r="K140"/>
  <c r="J140"/>
  <c r="F140"/>
  <c r="N140"/>
  <c r="K139"/>
  <c r="J139"/>
  <c r="F139"/>
  <c r="K138"/>
  <c r="J138"/>
  <c r="F138"/>
  <c r="N138"/>
  <c r="K97"/>
  <c r="J97"/>
  <c r="F97"/>
  <c r="L97" s="1"/>
  <c r="K58"/>
  <c r="J58"/>
  <c r="F58"/>
  <c r="L58" s="1"/>
  <c r="K8"/>
  <c r="J8"/>
  <c r="F8"/>
  <c r="K105"/>
  <c r="F105"/>
  <c r="K86"/>
  <c r="F86"/>
  <c r="K64"/>
  <c r="J64"/>
  <c r="F64"/>
  <c r="K35"/>
  <c r="F35"/>
  <c r="L35" s="1"/>
  <c r="K27"/>
  <c r="F27"/>
  <c r="K18"/>
  <c r="F18"/>
  <c r="L18" s="1"/>
  <c r="K133"/>
  <c r="J133"/>
  <c r="F133"/>
  <c r="K132"/>
  <c r="J132"/>
  <c r="F132"/>
  <c r="K131"/>
  <c r="J131"/>
  <c r="F131"/>
  <c r="L131" s="1"/>
  <c r="K130"/>
  <c r="J130"/>
  <c r="F130"/>
  <c r="L130" s="1"/>
  <c r="K129"/>
  <c r="J129"/>
  <c r="F129"/>
  <c r="K128"/>
  <c r="J128"/>
  <c r="F128"/>
  <c r="K127"/>
  <c r="L127" s="1"/>
  <c r="J127"/>
  <c r="K126"/>
  <c r="J126"/>
  <c r="F126"/>
  <c r="K125"/>
  <c r="J125"/>
  <c r="F125"/>
  <c r="K124"/>
  <c r="J124"/>
  <c r="F124"/>
  <c r="L124" s="1"/>
  <c r="K123"/>
  <c r="J123"/>
  <c r="F123"/>
  <c r="L123" s="1"/>
  <c r="K122"/>
  <c r="L122" s="1"/>
  <c r="J122"/>
  <c r="K157"/>
  <c r="J157"/>
  <c r="F157"/>
  <c r="L157" s="1"/>
  <c r="K121"/>
  <c r="J121"/>
  <c r="F121"/>
  <c r="L121" s="1"/>
  <c r="K120"/>
  <c r="J120"/>
  <c r="F120"/>
  <c r="K156"/>
  <c r="J156"/>
  <c r="F156"/>
  <c r="K119"/>
  <c r="L119" s="1"/>
  <c r="J119"/>
  <c r="K118"/>
  <c r="J118"/>
  <c r="F118"/>
  <c r="K117"/>
  <c r="J117"/>
  <c r="F117"/>
  <c r="K116"/>
  <c r="J116"/>
  <c r="F116"/>
  <c r="L116" s="1"/>
  <c r="K115"/>
  <c r="J115"/>
  <c r="F115"/>
  <c r="L115" s="1"/>
  <c r="K114"/>
  <c r="L114" s="1"/>
  <c r="J114"/>
  <c r="K113"/>
  <c r="J113"/>
  <c r="F113"/>
  <c r="L113" s="1"/>
  <c r="K112"/>
  <c r="J112"/>
  <c r="F112"/>
  <c r="L112" s="1"/>
  <c r="K111"/>
  <c r="J111"/>
  <c r="F111"/>
  <c r="K110"/>
  <c r="J110"/>
  <c r="F110"/>
  <c r="K109"/>
  <c r="J109"/>
  <c r="F109"/>
  <c r="L109" s="1"/>
  <c r="K108"/>
  <c r="J108"/>
  <c r="F108"/>
  <c r="L108" s="1"/>
  <c r="K107"/>
  <c r="F107"/>
  <c r="K106"/>
  <c r="J106"/>
  <c r="F106"/>
  <c r="L106" s="1"/>
  <c r="K104"/>
  <c r="J104"/>
  <c r="F104"/>
  <c r="L104" s="1"/>
  <c r="K103"/>
  <c r="J103"/>
  <c r="F103"/>
  <c r="N102"/>
  <c r="K102"/>
  <c r="J102"/>
  <c r="F102"/>
  <c r="N101"/>
  <c r="K101"/>
  <c r="J101"/>
  <c r="F101"/>
  <c r="N100"/>
  <c r="K100"/>
  <c r="J100"/>
  <c r="F100"/>
  <c r="N99"/>
  <c r="K99"/>
  <c r="L99" s="1"/>
  <c r="J99"/>
  <c r="N98"/>
  <c r="K98"/>
  <c r="L98" s="1"/>
  <c r="J98"/>
  <c r="N96"/>
  <c r="K96"/>
  <c r="L96" s="1"/>
  <c r="J96"/>
  <c r="N95"/>
  <c r="K95"/>
  <c r="L95" s="1"/>
  <c r="J95"/>
  <c r="N94"/>
  <c r="K94"/>
  <c r="J94"/>
  <c r="F94"/>
  <c r="N93"/>
  <c r="K93"/>
  <c r="J93"/>
  <c r="F93"/>
  <c r="N92"/>
  <c r="K92"/>
  <c r="J92"/>
  <c r="F92"/>
  <c r="N91"/>
  <c r="K91"/>
  <c r="L91" s="1"/>
  <c r="J91"/>
  <c r="N90"/>
  <c r="K90"/>
  <c r="J90"/>
  <c r="F90"/>
  <c r="N89"/>
  <c r="K89"/>
  <c r="J89"/>
  <c r="F89"/>
  <c r="N88"/>
  <c r="K88"/>
  <c r="J88"/>
  <c r="F88"/>
  <c r="N87"/>
  <c r="K87"/>
  <c r="J87"/>
  <c r="F87"/>
  <c r="N85"/>
  <c r="K85"/>
  <c r="L85" s="1"/>
  <c r="J85"/>
  <c r="K84"/>
  <c r="J84"/>
  <c r="F84"/>
  <c r="L84" s="1"/>
  <c r="N83"/>
  <c r="K83"/>
  <c r="L83" s="1"/>
  <c r="J83"/>
  <c r="N82"/>
  <c r="K82"/>
  <c r="J82"/>
  <c r="F82"/>
  <c r="K81"/>
  <c r="L81" s="1"/>
  <c r="J81"/>
  <c r="N80"/>
  <c r="K80"/>
  <c r="J80"/>
  <c r="F80"/>
  <c r="L80" s="1"/>
  <c r="N79"/>
  <c r="K79"/>
  <c r="L79" s="1"/>
  <c r="J79"/>
  <c r="N78"/>
  <c r="K78"/>
  <c r="L78" s="1"/>
  <c r="J78"/>
  <c r="N77"/>
  <c r="K77"/>
  <c r="J77"/>
  <c r="F77"/>
  <c r="N76"/>
  <c r="K76"/>
  <c r="J76"/>
  <c r="F76"/>
  <c r="N75"/>
  <c r="K75"/>
  <c r="J75"/>
  <c r="F75"/>
  <c r="N74"/>
  <c r="K74"/>
  <c r="J74"/>
  <c r="F74"/>
  <c r="N73"/>
  <c r="K73"/>
  <c r="L73" s="1"/>
  <c r="J73"/>
  <c r="N72"/>
  <c r="K72"/>
  <c r="J72"/>
  <c r="F72"/>
  <c r="N71"/>
  <c r="K71"/>
  <c r="J71"/>
  <c r="F71"/>
  <c r="N70"/>
  <c r="K70"/>
  <c r="J70"/>
  <c r="F70"/>
  <c r="N69"/>
  <c r="K69"/>
  <c r="J69"/>
  <c r="F69"/>
  <c r="N68"/>
  <c r="K68"/>
  <c r="L68" s="1"/>
  <c r="J68"/>
  <c r="N67"/>
  <c r="K67"/>
  <c r="L67" s="1"/>
  <c r="J67"/>
  <c r="N66"/>
  <c r="K66"/>
  <c r="J66"/>
  <c r="F66"/>
  <c r="L66" s="1"/>
  <c r="N65"/>
  <c r="K65"/>
  <c r="L65" s="1"/>
  <c r="J65"/>
  <c r="N63"/>
  <c r="K63"/>
  <c r="J63"/>
  <c r="F63"/>
  <c r="L63" s="1"/>
  <c r="N62"/>
  <c r="K62"/>
  <c r="J62"/>
  <c r="F62"/>
  <c r="L62" s="1"/>
  <c r="N61"/>
  <c r="K61"/>
  <c r="J61"/>
  <c r="F61"/>
  <c r="L61" s="1"/>
  <c r="N60"/>
  <c r="K60"/>
  <c r="L60" s="1"/>
  <c r="J60"/>
  <c r="N59"/>
  <c r="K59"/>
  <c r="J59"/>
  <c r="F59"/>
  <c r="N57"/>
  <c r="K57"/>
  <c r="L57" s="1"/>
  <c r="J57"/>
  <c r="N56"/>
  <c r="K56"/>
  <c r="L56" s="1"/>
  <c r="J56"/>
  <c r="N55"/>
  <c r="K55"/>
  <c r="J55"/>
  <c r="F55"/>
  <c r="L55" s="1"/>
  <c r="N54"/>
  <c r="K54"/>
  <c r="J54"/>
  <c r="F54"/>
  <c r="L54" s="1"/>
  <c r="N53"/>
  <c r="K53"/>
  <c r="L53" s="1"/>
  <c r="J53"/>
  <c r="N52"/>
  <c r="K52"/>
  <c r="J52"/>
  <c r="F52"/>
  <c r="L52" s="1"/>
  <c r="K51"/>
  <c r="L51" s="1"/>
  <c r="J51"/>
  <c r="N50"/>
  <c r="K50"/>
  <c r="L50" s="1"/>
  <c r="J50"/>
  <c r="N49"/>
  <c r="K49"/>
  <c r="L49" s="1"/>
  <c r="J49"/>
  <c r="N48"/>
  <c r="K48"/>
  <c r="J48"/>
  <c r="F48"/>
  <c r="L48" s="1"/>
  <c r="N47"/>
  <c r="K47"/>
  <c r="J47"/>
  <c r="F47"/>
  <c r="L47" s="1"/>
  <c r="N46"/>
  <c r="K46"/>
  <c r="J46"/>
  <c r="F46"/>
  <c r="L46" s="1"/>
  <c r="N45"/>
  <c r="K45"/>
  <c r="J45"/>
  <c r="F45"/>
  <c r="L45" s="1"/>
  <c r="N44"/>
  <c r="K44"/>
  <c r="J44"/>
  <c r="F44"/>
  <c r="L44" s="1"/>
  <c r="N43"/>
  <c r="K43"/>
  <c r="J43"/>
  <c r="F43"/>
  <c r="L43" s="1"/>
  <c r="N42"/>
  <c r="K42"/>
  <c r="J42"/>
  <c r="F42"/>
  <c r="L42" s="1"/>
  <c r="N40"/>
  <c r="K40"/>
  <c r="J40"/>
  <c r="F40"/>
  <c r="L40" s="1"/>
  <c r="N39"/>
  <c r="K39"/>
  <c r="J39"/>
  <c r="F39"/>
  <c r="L39" s="1"/>
  <c r="N38"/>
  <c r="K38"/>
  <c r="J38"/>
  <c r="F38"/>
  <c r="L38" s="1"/>
  <c r="N156"/>
  <c r="K155"/>
  <c r="J155"/>
  <c r="F155"/>
  <c r="L155" s="1"/>
  <c r="N37"/>
  <c r="K37"/>
  <c r="J37"/>
  <c r="F37"/>
  <c r="L37" s="1"/>
  <c r="N36"/>
  <c r="K36"/>
  <c r="L36" s="1"/>
  <c r="J36"/>
  <c r="K34"/>
  <c r="J34"/>
  <c r="F34"/>
  <c r="K33"/>
  <c r="J33"/>
  <c r="F33"/>
  <c r="L33" s="1"/>
  <c r="N32"/>
  <c r="K32"/>
  <c r="J32"/>
  <c r="F32"/>
  <c r="L32" s="1"/>
  <c r="N31"/>
  <c r="K31"/>
  <c r="J31"/>
  <c r="F31"/>
  <c r="L31" s="1"/>
  <c r="N30"/>
  <c r="J30"/>
  <c r="F30"/>
  <c r="L30" s="1"/>
  <c r="N29"/>
  <c r="K29"/>
  <c r="L29" s="1"/>
  <c r="J29"/>
  <c r="N28"/>
  <c r="K28"/>
  <c r="L28" s="1"/>
  <c r="J28"/>
  <c r="N26"/>
  <c r="K26"/>
  <c r="J26"/>
  <c r="F26"/>
  <c r="N25"/>
  <c r="K25"/>
  <c r="J25"/>
  <c r="F25"/>
  <c r="N24"/>
  <c r="K24"/>
  <c r="J24"/>
  <c r="F24"/>
  <c r="N23"/>
  <c r="K23"/>
  <c r="L23" s="1"/>
  <c r="J23"/>
  <c r="N22"/>
  <c r="K22"/>
  <c r="J22"/>
  <c r="F22"/>
  <c r="L22" s="1"/>
  <c r="J154"/>
  <c r="F154"/>
  <c r="L154" s="1"/>
  <c r="N21"/>
  <c r="K21"/>
  <c r="J21"/>
  <c r="F21"/>
  <c r="N20"/>
  <c r="K20"/>
  <c r="L20" s="1"/>
  <c r="J20"/>
  <c r="N19"/>
  <c r="K19"/>
  <c r="L19" s="1"/>
  <c r="J19"/>
  <c r="N17"/>
  <c r="K17"/>
  <c r="J17"/>
  <c r="F17"/>
  <c r="L17" s="1"/>
  <c r="N16"/>
  <c r="K16"/>
  <c r="J16"/>
  <c r="F16"/>
  <c r="L16" s="1"/>
  <c r="N15"/>
  <c r="K15"/>
  <c r="J15"/>
  <c r="F15"/>
  <c r="L15" s="1"/>
  <c r="N14"/>
  <c r="K14"/>
  <c r="J14"/>
  <c r="F14"/>
  <c r="L14" s="1"/>
  <c r="N13"/>
  <c r="K13"/>
  <c r="L13" s="1"/>
  <c r="J13"/>
  <c r="N12"/>
  <c r="K12"/>
  <c r="J12"/>
  <c r="F12"/>
  <c r="L12" s="1"/>
  <c r="N11"/>
  <c r="K11"/>
  <c r="J11"/>
  <c r="F11"/>
  <c r="L11" s="1"/>
  <c r="N10"/>
  <c r="K10"/>
  <c r="J10"/>
  <c r="F10"/>
  <c r="L10" s="1"/>
  <c r="N9"/>
  <c r="K9"/>
  <c r="J9"/>
  <c r="F9"/>
  <c r="L9" s="1"/>
  <c r="K7"/>
  <c r="L7" s="1"/>
  <c r="J7"/>
  <c r="N6"/>
  <c r="K6"/>
  <c r="J6"/>
  <c r="F6"/>
  <c r="H133" i="54"/>
  <c r="E133"/>
  <c r="D133"/>
  <c r="K102"/>
  <c r="K157"/>
  <c r="K63"/>
  <c r="K35"/>
  <c r="K27"/>
  <c r="K17"/>
  <c r="J63"/>
  <c r="F157"/>
  <c r="F63"/>
  <c r="F102"/>
  <c r="F27"/>
  <c r="F35"/>
  <c r="F17"/>
  <c r="K134" i="55" l="1"/>
  <c r="L74"/>
  <c r="L75"/>
  <c r="L76"/>
  <c r="L77"/>
  <c r="L82"/>
  <c r="L92"/>
  <c r="L93"/>
  <c r="L94"/>
  <c r="L100"/>
  <c r="L101"/>
  <c r="L102"/>
  <c r="L103"/>
  <c r="L111"/>
  <c r="L118"/>
  <c r="L120"/>
  <c r="L126"/>
  <c r="L129"/>
  <c r="L133"/>
  <c r="L8"/>
  <c r="L188"/>
  <c r="L189"/>
  <c r="L199"/>
  <c r="L201"/>
  <c r="L261"/>
  <c r="L262"/>
  <c r="L263"/>
  <c r="L264"/>
  <c r="L134" i="56"/>
  <c r="L21" i="55"/>
  <c r="L59"/>
  <c r="L69"/>
  <c r="L70"/>
  <c r="L71"/>
  <c r="L72"/>
  <c r="L87"/>
  <c r="L88"/>
  <c r="L89"/>
  <c r="L90"/>
  <c r="L107"/>
  <c r="L110"/>
  <c r="L117"/>
  <c r="L156"/>
  <c r="L125"/>
  <c r="L128"/>
  <c r="L132"/>
  <c r="L27"/>
  <c r="L64"/>
  <c r="L139"/>
  <c r="L140"/>
  <c r="L141"/>
  <c r="L142"/>
  <c r="L146"/>
  <c r="L147"/>
  <c r="L181"/>
  <c r="L182"/>
  <c r="L184"/>
  <c r="L195"/>
  <c r="L197"/>
  <c r="L225"/>
  <c r="L231"/>
  <c r="L235"/>
  <c r="L241"/>
  <c r="L245"/>
  <c r="L248"/>
  <c r="L134" i="58"/>
  <c r="F134" i="55"/>
  <c r="L24"/>
  <c r="L25"/>
  <c r="L26"/>
  <c r="L34"/>
  <c r="L105"/>
  <c r="L138"/>
  <c r="L230"/>
  <c r="L234"/>
  <c r="L240"/>
  <c r="L244"/>
  <c r="L247"/>
  <c r="L86"/>
  <c r="H137"/>
  <c r="H159" s="1"/>
  <c r="L17" i="54"/>
  <c r="L27"/>
  <c r="L35"/>
  <c r="L63"/>
  <c r="L157"/>
  <c r="L102"/>
  <c r="L6" i="55"/>
  <c r="N265" i="54"/>
  <c r="K265"/>
  <c r="J265"/>
  <c r="F265"/>
  <c r="N264"/>
  <c r="K264"/>
  <c r="J264"/>
  <c r="F264"/>
  <c r="N263"/>
  <c r="K263"/>
  <c r="J263"/>
  <c r="F263"/>
  <c r="N262"/>
  <c r="K262"/>
  <c r="J262"/>
  <c r="F262"/>
  <c r="N261"/>
  <c r="K261"/>
  <c r="J261"/>
  <c r="F261"/>
  <c r="N259"/>
  <c r="K259"/>
  <c r="J259"/>
  <c r="F259"/>
  <c r="N258"/>
  <c r="K258"/>
  <c r="J258"/>
  <c r="F258"/>
  <c r="N257"/>
  <c r="K257"/>
  <c r="J257"/>
  <c r="F257"/>
  <c r="N256"/>
  <c r="K256"/>
  <c r="J256"/>
  <c r="F256"/>
  <c r="L256" s="1"/>
  <c r="N255"/>
  <c r="K255"/>
  <c r="J255"/>
  <c r="F255"/>
  <c r="L255" s="1"/>
  <c r="K249"/>
  <c r="J249"/>
  <c r="F249"/>
  <c r="K248"/>
  <c r="J248"/>
  <c r="F248"/>
  <c r="L248" s="1"/>
  <c r="K247"/>
  <c r="L247" s="1"/>
  <c r="J247"/>
  <c r="K246"/>
  <c r="J246"/>
  <c r="F246"/>
  <c r="K245"/>
  <c r="J245"/>
  <c r="F245"/>
  <c r="L245" s="1"/>
  <c r="K244"/>
  <c r="J244"/>
  <c r="F244"/>
  <c r="L244" s="1"/>
  <c r="K243"/>
  <c r="J243"/>
  <c r="F243"/>
  <c r="K242"/>
  <c r="J242"/>
  <c r="F242"/>
  <c r="K241"/>
  <c r="J241"/>
  <c r="F241"/>
  <c r="L241" s="1"/>
  <c r="K240"/>
  <c r="J240"/>
  <c r="F240"/>
  <c r="L240" s="1"/>
  <c r="K239"/>
  <c r="J239"/>
  <c r="F239"/>
  <c r="K238"/>
  <c r="L238" s="1"/>
  <c r="J238"/>
  <c r="K237"/>
  <c r="L237" s="1"/>
  <c r="J237"/>
  <c r="K236"/>
  <c r="J236"/>
  <c r="F236"/>
  <c r="K235"/>
  <c r="J235"/>
  <c r="F235"/>
  <c r="L235" s="1"/>
  <c r="K234"/>
  <c r="J234"/>
  <c r="F234"/>
  <c r="L234" s="1"/>
  <c r="K233"/>
  <c r="J233"/>
  <c r="F233"/>
  <c r="K232"/>
  <c r="J232"/>
  <c r="F232"/>
  <c r="K231"/>
  <c r="J231"/>
  <c r="F231"/>
  <c r="L231" s="1"/>
  <c r="K230"/>
  <c r="J230"/>
  <c r="F230"/>
  <c r="L230" s="1"/>
  <c r="K229"/>
  <c r="L229" s="1"/>
  <c r="J229"/>
  <c r="N226"/>
  <c r="K226"/>
  <c r="J226"/>
  <c r="F226"/>
  <c r="N225"/>
  <c r="K225"/>
  <c r="L225" s="1"/>
  <c r="J225"/>
  <c r="N224"/>
  <c r="K224"/>
  <c r="J224"/>
  <c r="F224"/>
  <c r="L224" s="1"/>
  <c r="N223"/>
  <c r="K223"/>
  <c r="J223"/>
  <c r="F223"/>
  <c r="L223" s="1"/>
  <c r="N222"/>
  <c r="K222"/>
  <c r="J222"/>
  <c r="F222"/>
  <c r="L222" s="1"/>
  <c r="N221"/>
  <c r="K221"/>
  <c r="J221"/>
  <c r="F221"/>
  <c r="L221" s="1"/>
  <c r="N220"/>
  <c r="K220"/>
  <c r="J220"/>
  <c r="F220"/>
  <c r="L220" s="1"/>
  <c r="N219"/>
  <c r="K219"/>
  <c r="L219" s="1"/>
  <c r="J219"/>
  <c r="N218"/>
  <c r="K218"/>
  <c r="J218"/>
  <c r="F218"/>
  <c r="L218" s="1"/>
  <c r="N217"/>
  <c r="K217"/>
  <c r="J217"/>
  <c r="F217"/>
  <c r="L217" s="1"/>
  <c r="N216"/>
  <c r="K216"/>
  <c r="J216"/>
  <c r="F216"/>
  <c r="L216" s="1"/>
  <c r="N215"/>
  <c r="K215"/>
  <c r="J215"/>
  <c r="F215"/>
  <c r="L215" s="1"/>
  <c r="N214"/>
  <c r="K214"/>
  <c r="J214"/>
  <c r="F214"/>
  <c r="L214" s="1"/>
  <c r="N213"/>
  <c r="K213"/>
  <c r="J213"/>
  <c r="F213"/>
  <c r="L213" s="1"/>
  <c r="N212"/>
  <c r="K212"/>
  <c r="J212"/>
  <c r="F212"/>
  <c r="L212" s="1"/>
  <c r="N211"/>
  <c r="K211"/>
  <c r="J211"/>
  <c r="F211"/>
  <c r="L211" s="1"/>
  <c r="N210"/>
  <c r="K210"/>
  <c r="J210"/>
  <c r="F210"/>
  <c r="L210" s="1"/>
  <c r="N209"/>
  <c r="K209"/>
  <c r="J209"/>
  <c r="F209"/>
  <c r="L209" s="1"/>
  <c r="N208"/>
  <c r="K208"/>
  <c r="J208"/>
  <c r="F208"/>
  <c r="L208" s="1"/>
  <c r="N207"/>
  <c r="K207"/>
  <c r="J207"/>
  <c r="F207"/>
  <c r="L207" s="1"/>
  <c r="N206"/>
  <c r="K206"/>
  <c r="J206"/>
  <c r="F206"/>
  <c r="L206" s="1"/>
  <c r="N204"/>
  <c r="K204"/>
  <c r="J204"/>
  <c r="F204"/>
  <c r="L204" s="1"/>
  <c r="N203"/>
  <c r="K203"/>
  <c r="L203" s="1"/>
  <c r="J203"/>
  <c r="N202"/>
  <c r="K202"/>
  <c r="J202"/>
  <c r="F202"/>
  <c r="N200"/>
  <c r="K200"/>
  <c r="J200"/>
  <c r="F200"/>
  <c r="N199"/>
  <c r="K199"/>
  <c r="L199" s="1"/>
  <c r="J199"/>
  <c r="N198"/>
  <c r="K198"/>
  <c r="J198"/>
  <c r="F198"/>
  <c r="N196"/>
  <c r="K196"/>
  <c r="J196"/>
  <c r="F196"/>
  <c r="K194"/>
  <c r="J194"/>
  <c r="F194"/>
  <c r="L194" s="1"/>
  <c r="K192"/>
  <c r="J192"/>
  <c r="F192"/>
  <c r="L192" s="1"/>
  <c r="N191"/>
  <c r="K191"/>
  <c r="L191" s="1"/>
  <c r="J191"/>
  <c r="N190"/>
  <c r="K190"/>
  <c r="J190"/>
  <c r="F190"/>
  <c r="N189"/>
  <c r="K189"/>
  <c r="J189"/>
  <c r="F189"/>
  <c r="N188"/>
  <c r="K188"/>
  <c r="J188"/>
  <c r="F188"/>
  <c r="N187"/>
  <c r="K187"/>
  <c r="J187"/>
  <c r="F187"/>
  <c r="N186"/>
  <c r="K186"/>
  <c r="L186" s="1"/>
  <c r="J186"/>
  <c r="N185"/>
  <c r="K185"/>
  <c r="J185"/>
  <c r="F185"/>
  <c r="N183"/>
  <c r="K183"/>
  <c r="J183"/>
  <c r="F183"/>
  <c r="N182"/>
  <c r="K182"/>
  <c r="J182"/>
  <c r="F182"/>
  <c r="N181"/>
  <c r="K181"/>
  <c r="L181" s="1"/>
  <c r="J181"/>
  <c r="N180"/>
  <c r="K180"/>
  <c r="L180" s="1"/>
  <c r="J180"/>
  <c r="N179"/>
  <c r="K179"/>
  <c r="J179"/>
  <c r="F179"/>
  <c r="L179" s="1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K154"/>
  <c r="J154"/>
  <c r="F154"/>
  <c r="K153"/>
  <c r="L153" s="1"/>
  <c r="J153"/>
  <c r="K152"/>
  <c r="L152" s="1"/>
  <c r="J152"/>
  <c r="N151"/>
  <c r="K151"/>
  <c r="L151" s="1"/>
  <c r="J151"/>
  <c r="N150"/>
  <c r="K150"/>
  <c r="J150"/>
  <c r="F150"/>
  <c r="N149"/>
  <c r="K149"/>
  <c r="J149"/>
  <c r="F149"/>
  <c r="K148"/>
  <c r="L148" s="1"/>
  <c r="J148"/>
  <c r="K147"/>
  <c r="J147"/>
  <c r="F147"/>
  <c r="L147" s="1"/>
  <c r="N146"/>
  <c r="K146"/>
  <c r="L146" s="1"/>
  <c r="J146"/>
  <c r="N145"/>
  <c r="K145"/>
  <c r="J145"/>
  <c r="F145"/>
  <c r="N144"/>
  <c r="K144"/>
  <c r="J144"/>
  <c r="F144"/>
  <c r="N143"/>
  <c r="K143"/>
  <c r="J143"/>
  <c r="F143"/>
  <c r="N142"/>
  <c r="K142"/>
  <c r="J142"/>
  <c r="F142"/>
  <c r="K141"/>
  <c r="J141"/>
  <c r="F141"/>
  <c r="N140"/>
  <c r="K140"/>
  <c r="J140"/>
  <c r="F140"/>
  <c r="L140" s="1"/>
  <c r="K139"/>
  <c r="J139"/>
  <c r="F139"/>
  <c r="L139" s="1"/>
  <c r="K138"/>
  <c r="L138" s="1"/>
  <c r="J138"/>
  <c r="K137"/>
  <c r="J137"/>
  <c r="F137"/>
  <c r="L137" s="1"/>
  <c r="K132"/>
  <c r="J132"/>
  <c r="F132"/>
  <c r="L132" s="1"/>
  <c r="K131"/>
  <c r="J131"/>
  <c r="F131"/>
  <c r="K130"/>
  <c r="J130"/>
  <c r="F130"/>
  <c r="K129"/>
  <c r="J129"/>
  <c r="F129"/>
  <c r="L129" s="1"/>
  <c r="K128"/>
  <c r="J128"/>
  <c r="F128"/>
  <c r="L128" s="1"/>
  <c r="K127"/>
  <c r="J127"/>
  <c r="F127"/>
  <c r="K126"/>
  <c r="L126" s="1"/>
  <c r="J126"/>
  <c r="K125"/>
  <c r="J125"/>
  <c r="F125"/>
  <c r="L125" s="1"/>
  <c r="K124"/>
  <c r="J124"/>
  <c r="F124"/>
  <c r="K123"/>
  <c r="J123"/>
  <c r="F123"/>
  <c r="K122"/>
  <c r="J122"/>
  <c r="F122"/>
  <c r="L122" s="1"/>
  <c r="K121"/>
  <c r="L121" s="1"/>
  <c r="J121"/>
  <c r="K120"/>
  <c r="J120"/>
  <c r="F120"/>
  <c r="K119"/>
  <c r="J119"/>
  <c r="F119"/>
  <c r="L119" s="1"/>
  <c r="K118"/>
  <c r="J118"/>
  <c r="F118"/>
  <c r="L118" s="1"/>
  <c r="K117"/>
  <c r="J117"/>
  <c r="F117"/>
  <c r="K116"/>
  <c r="L116" s="1"/>
  <c r="J116"/>
  <c r="K115"/>
  <c r="J115"/>
  <c r="F115"/>
  <c r="L115" s="1"/>
  <c r="K114"/>
  <c r="J114"/>
  <c r="F114"/>
  <c r="K113"/>
  <c r="J113"/>
  <c r="F113"/>
  <c r="K112"/>
  <c r="J112"/>
  <c r="F112"/>
  <c r="L112" s="1"/>
  <c r="K111"/>
  <c r="L111" s="1"/>
  <c r="J111"/>
  <c r="K110"/>
  <c r="J110"/>
  <c r="F110"/>
  <c r="K109"/>
  <c r="J109"/>
  <c r="F109"/>
  <c r="L109" s="1"/>
  <c r="K108"/>
  <c r="J108"/>
  <c r="F108"/>
  <c r="L108" s="1"/>
  <c r="K107"/>
  <c r="J107"/>
  <c r="F107"/>
  <c r="K106"/>
  <c r="J106"/>
  <c r="F106"/>
  <c r="K105"/>
  <c r="J105"/>
  <c r="F105"/>
  <c r="L105" s="1"/>
  <c r="K104"/>
  <c r="F104"/>
  <c r="K103"/>
  <c r="J103"/>
  <c r="F103"/>
  <c r="K101"/>
  <c r="J101"/>
  <c r="F101"/>
  <c r="L101" s="1"/>
  <c r="K100"/>
  <c r="J100"/>
  <c r="F100"/>
  <c r="L100" s="1"/>
  <c r="N94"/>
  <c r="K99"/>
  <c r="J99"/>
  <c r="F99"/>
  <c r="L99" s="1"/>
  <c r="N93"/>
  <c r="K98"/>
  <c r="J98"/>
  <c r="F98"/>
  <c r="L98" s="1"/>
  <c r="N92"/>
  <c r="K97"/>
  <c r="J97"/>
  <c r="F97"/>
  <c r="L97" s="1"/>
  <c r="N91"/>
  <c r="K96"/>
  <c r="L96" s="1"/>
  <c r="J96"/>
  <c r="N90"/>
  <c r="K95"/>
  <c r="L95" s="1"/>
  <c r="J95"/>
  <c r="N89"/>
  <c r="K94"/>
  <c r="L94" s="1"/>
  <c r="J94"/>
  <c r="N88"/>
  <c r="K93"/>
  <c r="L93" s="1"/>
  <c r="J93"/>
  <c r="N87"/>
  <c r="K92"/>
  <c r="J92"/>
  <c r="F92"/>
  <c r="L92" s="1"/>
  <c r="N86"/>
  <c r="K91"/>
  <c r="J91"/>
  <c r="F91"/>
  <c r="L91" s="1"/>
  <c r="N85"/>
  <c r="K90"/>
  <c r="J90"/>
  <c r="F90"/>
  <c r="L90" s="1"/>
  <c r="N157"/>
  <c r="K89"/>
  <c r="L89" s="1"/>
  <c r="J89"/>
  <c r="N84"/>
  <c r="K88"/>
  <c r="J88"/>
  <c r="F88"/>
  <c r="N83"/>
  <c r="K87"/>
  <c r="J87"/>
  <c r="F87"/>
  <c r="N82"/>
  <c r="K86"/>
  <c r="J86"/>
  <c r="F86"/>
  <c r="N81"/>
  <c r="K85"/>
  <c r="J85"/>
  <c r="F85"/>
  <c r="N80"/>
  <c r="K84"/>
  <c r="L84" s="1"/>
  <c r="J84"/>
  <c r="K83"/>
  <c r="J83"/>
  <c r="F83"/>
  <c r="L83" s="1"/>
  <c r="N78"/>
  <c r="K82"/>
  <c r="L82" s="1"/>
  <c r="J82"/>
  <c r="N77"/>
  <c r="K81"/>
  <c r="J81"/>
  <c r="F81"/>
  <c r="L81" s="1"/>
  <c r="K80"/>
  <c r="L80" s="1"/>
  <c r="J80"/>
  <c r="N75"/>
  <c r="K79"/>
  <c r="J79"/>
  <c r="F79"/>
  <c r="N156"/>
  <c r="K156"/>
  <c r="J156"/>
  <c r="F156"/>
  <c r="N74"/>
  <c r="K78"/>
  <c r="L78" s="1"/>
  <c r="J78"/>
  <c r="N73"/>
  <c r="K77"/>
  <c r="L77" s="1"/>
  <c r="J77"/>
  <c r="N72"/>
  <c r="K76"/>
  <c r="J76"/>
  <c r="F76"/>
  <c r="L76" s="1"/>
  <c r="N71"/>
  <c r="K75"/>
  <c r="J75"/>
  <c r="F75"/>
  <c r="L75" s="1"/>
  <c r="N70"/>
  <c r="K74"/>
  <c r="J74"/>
  <c r="F74"/>
  <c r="L74" s="1"/>
  <c r="N69"/>
  <c r="K73"/>
  <c r="J73"/>
  <c r="F73"/>
  <c r="L73" s="1"/>
  <c r="N68"/>
  <c r="K72"/>
  <c r="L72" s="1"/>
  <c r="J72"/>
  <c r="N67"/>
  <c r="K71"/>
  <c r="J71"/>
  <c r="F71"/>
  <c r="N66"/>
  <c r="K70"/>
  <c r="J70"/>
  <c r="F70"/>
  <c r="N65"/>
  <c r="K69"/>
  <c r="J69"/>
  <c r="F69"/>
  <c r="L69" s="1"/>
  <c r="N64"/>
  <c r="K68"/>
  <c r="J68"/>
  <c r="F68"/>
  <c r="L68" s="1"/>
  <c r="N63"/>
  <c r="K67"/>
  <c r="L67" s="1"/>
  <c r="J67"/>
  <c r="N62"/>
  <c r="K66"/>
  <c r="L66" s="1"/>
  <c r="J66"/>
  <c r="N61"/>
  <c r="K65"/>
  <c r="J65"/>
  <c r="F65"/>
  <c r="N60"/>
  <c r="K64"/>
  <c r="L64" s="1"/>
  <c r="J64"/>
  <c r="N59"/>
  <c r="K62"/>
  <c r="J62"/>
  <c r="F62"/>
  <c r="L62" s="1"/>
  <c r="N58"/>
  <c r="K61"/>
  <c r="J61"/>
  <c r="F61"/>
  <c r="L61" s="1"/>
  <c r="N57"/>
  <c r="K60"/>
  <c r="J60"/>
  <c r="F60"/>
  <c r="L60" s="1"/>
  <c r="N56"/>
  <c r="K59"/>
  <c r="L59" s="1"/>
  <c r="J59"/>
  <c r="N55"/>
  <c r="K58"/>
  <c r="J58"/>
  <c r="F58"/>
  <c r="L58" s="1"/>
  <c r="N54"/>
  <c r="K57"/>
  <c r="L57" s="1"/>
  <c r="J57"/>
  <c r="N53"/>
  <c r="K56"/>
  <c r="L56" s="1"/>
  <c r="J56"/>
  <c r="N52"/>
  <c r="K55"/>
  <c r="J55"/>
  <c r="F55"/>
  <c r="L55" s="1"/>
  <c r="N51"/>
  <c r="K54"/>
  <c r="J54"/>
  <c r="F54"/>
  <c r="L54" s="1"/>
  <c r="N50"/>
  <c r="K53"/>
  <c r="L53" s="1"/>
  <c r="J53"/>
  <c r="N49"/>
  <c r="K52"/>
  <c r="J52"/>
  <c r="F52"/>
  <c r="L52" s="1"/>
  <c r="K51"/>
  <c r="L51" s="1"/>
  <c r="J51"/>
  <c r="N47"/>
  <c r="K50"/>
  <c r="L50" s="1"/>
  <c r="J50"/>
  <c r="N46"/>
  <c r="K49"/>
  <c r="L49" s="1"/>
  <c r="J49"/>
  <c r="N45"/>
  <c r="K48"/>
  <c r="J48"/>
  <c r="F48"/>
  <c r="L48" s="1"/>
  <c r="N44"/>
  <c r="K47"/>
  <c r="J47"/>
  <c r="F47"/>
  <c r="L47" s="1"/>
  <c r="N43"/>
  <c r="K46"/>
  <c r="J46"/>
  <c r="F46"/>
  <c r="L46" s="1"/>
  <c r="N42"/>
  <c r="K45"/>
  <c r="J45"/>
  <c r="F45"/>
  <c r="L45" s="1"/>
  <c r="N41"/>
  <c r="K44"/>
  <c r="J44"/>
  <c r="F44"/>
  <c r="L44" s="1"/>
  <c r="N40"/>
  <c r="K43"/>
  <c r="J43"/>
  <c r="F43"/>
  <c r="L43" s="1"/>
  <c r="N39"/>
  <c r="K42"/>
  <c r="J42"/>
  <c r="F42"/>
  <c r="L42" s="1"/>
  <c r="N38"/>
  <c r="K41"/>
  <c r="J41"/>
  <c r="F41"/>
  <c r="L41" s="1"/>
  <c r="N37"/>
  <c r="K40"/>
  <c r="J40"/>
  <c r="F40"/>
  <c r="L40" s="1"/>
  <c r="N36"/>
  <c r="K39"/>
  <c r="J39"/>
  <c r="F39"/>
  <c r="L39" s="1"/>
  <c r="N35"/>
  <c r="K38"/>
  <c r="J38"/>
  <c r="F38"/>
  <c r="L38" s="1"/>
  <c r="N34"/>
  <c r="K37"/>
  <c r="J37"/>
  <c r="F37"/>
  <c r="L37" s="1"/>
  <c r="N33"/>
  <c r="K36"/>
  <c r="L36" s="1"/>
  <c r="J36"/>
  <c r="K34"/>
  <c r="J34"/>
  <c r="F34"/>
  <c r="K33"/>
  <c r="J33"/>
  <c r="F33"/>
  <c r="L33" s="1"/>
  <c r="N30"/>
  <c r="K32"/>
  <c r="J32"/>
  <c r="F32"/>
  <c r="L32" s="1"/>
  <c r="N29"/>
  <c r="K31"/>
  <c r="J31"/>
  <c r="F31"/>
  <c r="L31" s="1"/>
  <c r="N28"/>
  <c r="J30"/>
  <c r="F30"/>
  <c r="L30" s="1"/>
  <c r="N27"/>
  <c r="K29"/>
  <c r="L29" s="1"/>
  <c r="J29"/>
  <c r="N26"/>
  <c r="K28"/>
  <c r="L28" s="1"/>
  <c r="J28"/>
  <c r="N25"/>
  <c r="K26"/>
  <c r="J26"/>
  <c r="F26"/>
  <c r="N24"/>
  <c r="K25"/>
  <c r="J25"/>
  <c r="F25"/>
  <c r="N23"/>
  <c r="K24"/>
  <c r="J24"/>
  <c r="F24"/>
  <c r="N22"/>
  <c r="K23"/>
  <c r="L23" s="1"/>
  <c r="J23"/>
  <c r="N21"/>
  <c r="K22"/>
  <c r="J22"/>
  <c r="F22"/>
  <c r="L22" s="1"/>
  <c r="J21"/>
  <c r="F21"/>
  <c r="L21" s="1"/>
  <c r="N19"/>
  <c r="K20"/>
  <c r="J20"/>
  <c r="F20"/>
  <c r="N18"/>
  <c r="K19"/>
  <c r="L19" s="1"/>
  <c r="J19"/>
  <c r="N17"/>
  <c r="K18"/>
  <c r="L18" s="1"/>
  <c r="J18"/>
  <c r="N16"/>
  <c r="K16"/>
  <c r="J16"/>
  <c r="F16"/>
  <c r="L16" s="1"/>
  <c r="N15"/>
  <c r="K15"/>
  <c r="J15"/>
  <c r="F15"/>
  <c r="L15" s="1"/>
  <c r="N14"/>
  <c r="K14"/>
  <c r="J14"/>
  <c r="F14"/>
  <c r="L14" s="1"/>
  <c r="N13"/>
  <c r="K13"/>
  <c r="J13"/>
  <c r="F13"/>
  <c r="L13" s="1"/>
  <c r="N12"/>
  <c r="K12"/>
  <c r="L12" s="1"/>
  <c r="J12"/>
  <c r="N11"/>
  <c r="K11"/>
  <c r="J11"/>
  <c r="F11"/>
  <c r="L11" s="1"/>
  <c r="N10"/>
  <c r="K10"/>
  <c r="J10"/>
  <c r="F10"/>
  <c r="L10" s="1"/>
  <c r="N9"/>
  <c r="K9"/>
  <c r="J9"/>
  <c r="F9"/>
  <c r="L9" s="1"/>
  <c r="N8"/>
  <c r="K8"/>
  <c r="J8"/>
  <c r="F8"/>
  <c r="L8" s="1"/>
  <c r="K7"/>
  <c r="L7" s="1"/>
  <c r="J7"/>
  <c r="N155"/>
  <c r="K155"/>
  <c r="J155"/>
  <c r="F155"/>
  <c r="N6"/>
  <c r="K6"/>
  <c r="J6"/>
  <c r="F6"/>
  <c r="L20" l="1"/>
  <c r="L70"/>
  <c r="L71"/>
  <c r="L85"/>
  <c r="L86"/>
  <c r="L87"/>
  <c r="L88"/>
  <c r="L107"/>
  <c r="L114"/>
  <c r="L117"/>
  <c r="L124"/>
  <c r="L127"/>
  <c r="L131"/>
  <c r="L154"/>
  <c r="L187"/>
  <c r="L188"/>
  <c r="L189"/>
  <c r="L190"/>
  <c r="L200"/>
  <c r="L202"/>
  <c r="L233"/>
  <c r="L239"/>
  <c r="L243"/>
  <c r="L257"/>
  <c r="L258"/>
  <c r="L259"/>
  <c r="L261"/>
  <c r="L262"/>
  <c r="L263"/>
  <c r="L264"/>
  <c r="L265"/>
  <c r="L134" i="55"/>
  <c r="L24" i="54"/>
  <c r="L25"/>
  <c r="L26"/>
  <c r="L34"/>
  <c r="L156"/>
  <c r="L79"/>
  <c r="L103"/>
  <c r="L106"/>
  <c r="L110"/>
  <c r="L113"/>
  <c r="L120"/>
  <c r="L123"/>
  <c r="L130"/>
  <c r="L142"/>
  <c r="L143"/>
  <c r="L144"/>
  <c r="L145"/>
  <c r="L149"/>
  <c r="L150"/>
  <c r="L182"/>
  <c r="L183"/>
  <c r="L185"/>
  <c r="L196"/>
  <c r="L198"/>
  <c r="L226"/>
  <c r="L232"/>
  <c r="L236"/>
  <c r="L242"/>
  <c r="L246"/>
  <c r="L249"/>
  <c r="L155"/>
  <c r="L65"/>
  <c r="L141"/>
  <c r="F133"/>
  <c r="K133"/>
  <c r="L104"/>
  <c r="H159"/>
  <c r="L6"/>
  <c r="L133" l="1"/>
  <c r="N265" i="53"/>
  <c r="K265"/>
  <c r="J265"/>
  <c r="F265"/>
  <c r="L265" s="1"/>
  <c r="N264"/>
  <c r="K264"/>
  <c r="J264"/>
  <c r="F264"/>
  <c r="L264" s="1"/>
  <c r="N263"/>
  <c r="K263"/>
  <c r="J263"/>
  <c r="F263"/>
  <c r="L263" s="1"/>
  <c r="N262"/>
  <c r="K262"/>
  <c r="J262"/>
  <c r="F262"/>
  <c r="L262" s="1"/>
  <c r="N261"/>
  <c r="K261"/>
  <c r="J261"/>
  <c r="F261"/>
  <c r="L261" s="1"/>
  <c r="N259"/>
  <c r="K259"/>
  <c r="J259"/>
  <c r="F259"/>
  <c r="L259" s="1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L255" s="1"/>
  <c r="K249"/>
  <c r="J249"/>
  <c r="F249"/>
  <c r="L249" s="1"/>
  <c r="K248"/>
  <c r="J248"/>
  <c r="F248"/>
  <c r="K247"/>
  <c r="L247" s="1"/>
  <c r="J247"/>
  <c r="K246"/>
  <c r="J246"/>
  <c r="F246"/>
  <c r="L246" s="1"/>
  <c r="K245"/>
  <c r="J245"/>
  <c r="F245"/>
  <c r="K244"/>
  <c r="J244"/>
  <c r="F244"/>
  <c r="K243"/>
  <c r="J243"/>
  <c r="F243"/>
  <c r="L243" s="1"/>
  <c r="K242"/>
  <c r="J242"/>
  <c r="F242"/>
  <c r="L242" s="1"/>
  <c r="K241"/>
  <c r="J241"/>
  <c r="F241"/>
  <c r="K240"/>
  <c r="J240"/>
  <c r="F240"/>
  <c r="K239"/>
  <c r="J239"/>
  <c r="F239"/>
  <c r="L239" s="1"/>
  <c r="K238"/>
  <c r="L238" s="1"/>
  <c r="J238"/>
  <c r="K237"/>
  <c r="L237" s="1"/>
  <c r="J237"/>
  <c r="K236"/>
  <c r="J236"/>
  <c r="F236"/>
  <c r="L236" s="1"/>
  <c r="K235"/>
  <c r="J235"/>
  <c r="F235"/>
  <c r="K234"/>
  <c r="J234"/>
  <c r="F234"/>
  <c r="K233"/>
  <c r="J233"/>
  <c r="F233"/>
  <c r="L233" s="1"/>
  <c r="K232"/>
  <c r="J232"/>
  <c r="F232"/>
  <c r="L232" s="1"/>
  <c r="K231"/>
  <c r="J231"/>
  <c r="F231"/>
  <c r="K230"/>
  <c r="J230"/>
  <c r="F230"/>
  <c r="K229"/>
  <c r="L229" s="1"/>
  <c r="J229"/>
  <c r="N226"/>
  <c r="K226"/>
  <c r="J226"/>
  <c r="F226"/>
  <c r="L226" s="1"/>
  <c r="N225"/>
  <c r="K225"/>
  <c r="L225" s="1"/>
  <c r="J225"/>
  <c r="N224"/>
  <c r="K224"/>
  <c r="J224"/>
  <c r="F224"/>
  <c r="N223"/>
  <c r="K223"/>
  <c r="J223"/>
  <c r="F223"/>
  <c r="N222"/>
  <c r="K222"/>
  <c r="J222"/>
  <c r="F222"/>
  <c r="N221"/>
  <c r="K221"/>
  <c r="J221"/>
  <c r="F221"/>
  <c r="N220"/>
  <c r="K220"/>
  <c r="J220"/>
  <c r="F220"/>
  <c r="N219"/>
  <c r="K219"/>
  <c r="L219" s="1"/>
  <c r="J219"/>
  <c r="N218"/>
  <c r="K218"/>
  <c r="J218"/>
  <c r="F218"/>
  <c r="N217"/>
  <c r="K217"/>
  <c r="J217"/>
  <c r="F217"/>
  <c r="N216"/>
  <c r="K216"/>
  <c r="J216"/>
  <c r="F216"/>
  <c r="N215"/>
  <c r="K215"/>
  <c r="J215"/>
  <c r="F215"/>
  <c r="N214"/>
  <c r="K214"/>
  <c r="J214"/>
  <c r="F214"/>
  <c r="N213"/>
  <c r="K213"/>
  <c r="J213"/>
  <c r="F213"/>
  <c r="N212"/>
  <c r="K212"/>
  <c r="J212"/>
  <c r="F212"/>
  <c r="N211"/>
  <c r="K211"/>
  <c r="J211"/>
  <c r="F211"/>
  <c r="N210"/>
  <c r="K210"/>
  <c r="J210"/>
  <c r="F210"/>
  <c r="N209"/>
  <c r="K209"/>
  <c r="J209"/>
  <c r="F209"/>
  <c r="N208"/>
  <c r="K208"/>
  <c r="J208"/>
  <c r="F208"/>
  <c r="N207"/>
  <c r="K207"/>
  <c r="J207"/>
  <c r="F207"/>
  <c r="N206"/>
  <c r="K206"/>
  <c r="J206"/>
  <c r="F206"/>
  <c r="N204"/>
  <c r="K204"/>
  <c r="J204"/>
  <c r="F204"/>
  <c r="N203"/>
  <c r="K203"/>
  <c r="L203" s="1"/>
  <c r="J203"/>
  <c r="N202"/>
  <c r="K202"/>
  <c r="J202"/>
  <c r="F202"/>
  <c r="L202" s="1"/>
  <c r="N200"/>
  <c r="K200"/>
  <c r="J200"/>
  <c r="F200"/>
  <c r="L200" s="1"/>
  <c r="N199"/>
  <c r="K199"/>
  <c r="L199" s="1"/>
  <c r="J199"/>
  <c r="N198"/>
  <c r="K198"/>
  <c r="J198"/>
  <c r="F198"/>
  <c r="L198" s="1"/>
  <c r="N196"/>
  <c r="K196"/>
  <c r="J196"/>
  <c r="F196"/>
  <c r="L196" s="1"/>
  <c r="K194"/>
  <c r="J194"/>
  <c r="F194"/>
  <c r="K192"/>
  <c r="J192"/>
  <c r="F192"/>
  <c r="N191"/>
  <c r="K191"/>
  <c r="L191" s="1"/>
  <c r="J191"/>
  <c r="N190"/>
  <c r="K190"/>
  <c r="J190"/>
  <c r="F190"/>
  <c r="L190" s="1"/>
  <c r="N189"/>
  <c r="K189"/>
  <c r="J189"/>
  <c r="F189"/>
  <c r="L189" s="1"/>
  <c r="N188"/>
  <c r="K188"/>
  <c r="J188"/>
  <c r="F188"/>
  <c r="L188" s="1"/>
  <c r="N187"/>
  <c r="K187"/>
  <c r="J187"/>
  <c r="F187"/>
  <c r="L187" s="1"/>
  <c r="N186"/>
  <c r="K186"/>
  <c r="L186" s="1"/>
  <c r="J186"/>
  <c r="N185"/>
  <c r="K185"/>
  <c r="J185"/>
  <c r="F185"/>
  <c r="L185" s="1"/>
  <c r="N183"/>
  <c r="K183"/>
  <c r="J183"/>
  <c r="F183"/>
  <c r="L183" s="1"/>
  <c r="N182"/>
  <c r="K182"/>
  <c r="J182"/>
  <c r="F182"/>
  <c r="L182" s="1"/>
  <c r="N181"/>
  <c r="K181"/>
  <c r="L181" s="1"/>
  <c r="J181"/>
  <c r="N180"/>
  <c r="K180"/>
  <c r="L180" s="1"/>
  <c r="J180"/>
  <c r="N179"/>
  <c r="K179"/>
  <c r="J179"/>
  <c r="F179"/>
  <c r="N178"/>
  <c r="K178"/>
  <c r="J178"/>
  <c r="F178"/>
  <c r="N177"/>
  <c r="K177"/>
  <c r="J177"/>
  <c r="F177"/>
  <c r="N176"/>
  <c r="K176"/>
  <c r="J176"/>
  <c r="F176"/>
  <c r="N175"/>
  <c r="K175"/>
  <c r="J175"/>
  <c r="F175"/>
  <c r="N174"/>
  <c r="K174"/>
  <c r="J174"/>
  <c r="F174"/>
  <c r="N172"/>
  <c r="K172"/>
  <c r="J172"/>
  <c r="F172"/>
  <c r="N171"/>
  <c r="K171"/>
  <c r="J171"/>
  <c r="F171"/>
  <c r="N170"/>
  <c r="K170"/>
  <c r="J170"/>
  <c r="F170"/>
  <c r="N169"/>
  <c r="K169"/>
  <c r="J169"/>
  <c r="F169"/>
  <c r="N168"/>
  <c r="K168"/>
  <c r="J168"/>
  <c r="F168"/>
  <c r="N149"/>
  <c r="K148"/>
  <c r="J148"/>
  <c r="F148"/>
  <c r="N148"/>
  <c r="K147"/>
  <c r="J147"/>
  <c r="F147"/>
  <c r="N147"/>
  <c r="K146"/>
  <c r="J146"/>
  <c r="F146"/>
  <c r="N146"/>
  <c r="K145"/>
  <c r="J145"/>
  <c r="F145"/>
  <c r="N145"/>
  <c r="K144"/>
  <c r="J144"/>
  <c r="F144"/>
  <c r="K143"/>
  <c r="J143"/>
  <c r="F143"/>
  <c r="N143"/>
  <c r="K142"/>
  <c r="J142"/>
  <c r="F142"/>
  <c r="L142" s="1"/>
  <c r="K141"/>
  <c r="L141" s="1"/>
  <c r="J141"/>
  <c r="K140"/>
  <c r="J140"/>
  <c r="F140"/>
  <c r="H130"/>
  <c r="H159" s="1"/>
  <c r="E130"/>
  <c r="D130"/>
  <c r="K119"/>
  <c r="J119"/>
  <c r="F119"/>
  <c r="L119" s="1"/>
  <c r="K101"/>
  <c r="F101"/>
  <c r="L101" s="1"/>
  <c r="K99"/>
  <c r="J99"/>
  <c r="F99"/>
  <c r="L99" s="1"/>
  <c r="K129"/>
  <c r="J129"/>
  <c r="F129"/>
  <c r="L129" s="1"/>
  <c r="K149"/>
  <c r="L149" s="1"/>
  <c r="J149"/>
  <c r="K128"/>
  <c r="J128"/>
  <c r="F128"/>
  <c r="L128" s="1"/>
  <c r="K127"/>
  <c r="J127"/>
  <c r="F127"/>
  <c r="L127" s="1"/>
  <c r="K126"/>
  <c r="J126"/>
  <c r="F126"/>
  <c r="K125"/>
  <c r="J125"/>
  <c r="F125"/>
  <c r="K124"/>
  <c r="J124"/>
  <c r="F124"/>
  <c r="L124" s="1"/>
  <c r="K123"/>
  <c r="L123" s="1"/>
  <c r="J123"/>
  <c r="K122"/>
  <c r="J122"/>
  <c r="F122"/>
  <c r="K121"/>
  <c r="J121"/>
  <c r="F121"/>
  <c r="L121" s="1"/>
  <c r="K120"/>
  <c r="J120"/>
  <c r="F120"/>
  <c r="L120" s="1"/>
  <c r="K118"/>
  <c r="L118" s="1"/>
  <c r="J118"/>
  <c r="K157"/>
  <c r="J157"/>
  <c r="F157"/>
  <c r="L157" s="1"/>
  <c r="K117"/>
  <c r="J117"/>
  <c r="F117"/>
  <c r="L117" s="1"/>
  <c r="K116"/>
  <c r="J116"/>
  <c r="F116"/>
  <c r="K115"/>
  <c r="J115"/>
  <c r="F115"/>
  <c r="K114"/>
  <c r="J114"/>
  <c r="F114"/>
  <c r="L114" s="1"/>
  <c r="K156"/>
  <c r="L156" s="1"/>
  <c r="J156"/>
  <c r="K113"/>
  <c r="L113" s="1"/>
  <c r="J113"/>
  <c r="K112"/>
  <c r="J112"/>
  <c r="F112"/>
  <c r="L112" s="1"/>
  <c r="K111"/>
  <c r="J111"/>
  <c r="F111"/>
  <c r="K110"/>
  <c r="J110"/>
  <c r="F110"/>
  <c r="K109"/>
  <c r="J109"/>
  <c r="F109"/>
  <c r="L109" s="1"/>
  <c r="K108"/>
  <c r="L108" s="1"/>
  <c r="J108"/>
  <c r="K107"/>
  <c r="J107"/>
  <c r="F107"/>
  <c r="K106"/>
  <c r="J106"/>
  <c r="F106"/>
  <c r="L106" s="1"/>
  <c r="K155"/>
  <c r="L155" s="1"/>
  <c r="J155"/>
  <c r="K150"/>
  <c r="J150"/>
  <c r="F150"/>
  <c r="K105"/>
  <c r="J105"/>
  <c r="F105"/>
  <c r="L105" s="1"/>
  <c r="K104"/>
  <c r="J104"/>
  <c r="F104"/>
  <c r="L104" s="1"/>
  <c r="K103"/>
  <c r="J103"/>
  <c r="F103"/>
  <c r="K102"/>
  <c r="J102"/>
  <c r="F102"/>
  <c r="K100"/>
  <c r="J100"/>
  <c r="F100"/>
  <c r="L100" s="1"/>
  <c r="K98"/>
  <c r="J98"/>
  <c r="F98"/>
  <c r="L98" s="1"/>
  <c r="N97"/>
  <c r="K97"/>
  <c r="J97"/>
  <c r="F97"/>
  <c r="L97" s="1"/>
  <c r="N96"/>
  <c r="K96"/>
  <c r="J96"/>
  <c r="F96"/>
  <c r="L96" s="1"/>
  <c r="N154"/>
  <c r="K154"/>
  <c r="L154" s="1"/>
  <c r="J154"/>
  <c r="N95"/>
  <c r="K95"/>
  <c r="J95"/>
  <c r="F95"/>
  <c r="N94"/>
  <c r="K94"/>
  <c r="L94" s="1"/>
  <c r="J94"/>
  <c r="N93"/>
  <c r="K93"/>
  <c r="L93" s="1"/>
  <c r="J93"/>
  <c r="N92"/>
  <c r="K92"/>
  <c r="L92" s="1"/>
  <c r="J92"/>
  <c r="N91"/>
  <c r="K91"/>
  <c r="L91" s="1"/>
  <c r="J91"/>
  <c r="N90"/>
  <c r="K90"/>
  <c r="J90"/>
  <c r="F90"/>
  <c r="N89"/>
  <c r="K89"/>
  <c r="J89"/>
  <c r="F89"/>
  <c r="N88"/>
  <c r="K88"/>
  <c r="J88"/>
  <c r="F88"/>
  <c r="N87"/>
  <c r="K87"/>
  <c r="L87" s="1"/>
  <c r="J87"/>
  <c r="N86"/>
  <c r="K86"/>
  <c r="J86"/>
  <c r="F86"/>
  <c r="N85"/>
  <c r="K85"/>
  <c r="J85"/>
  <c r="F85"/>
  <c r="N84"/>
  <c r="K84"/>
  <c r="J84"/>
  <c r="F84"/>
  <c r="N83"/>
  <c r="K83"/>
  <c r="J83"/>
  <c r="F83"/>
  <c r="N82"/>
  <c r="K82"/>
  <c r="L82" s="1"/>
  <c r="J82"/>
  <c r="K81"/>
  <c r="J81"/>
  <c r="F81"/>
  <c r="L81" s="1"/>
  <c r="N80"/>
  <c r="K80"/>
  <c r="L80" s="1"/>
  <c r="J80"/>
  <c r="N79"/>
  <c r="K79"/>
  <c r="J79"/>
  <c r="F79"/>
  <c r="K78"/>
  <c r="L78" s="1"/>
  <c r="J78"/>
  <c r="N77"/>
  <c r="K77"/>
  <c r="J77"/>
  <c r="F77"/>
  <c r="L77" s="1"/>
  <c r="N76"/>
  <c r="K76"/>
  <c r="J76"/>
  <c r="F76"/>
  <c r="L76" s="1"/>
  <c r="N75"/>
  <c r="K75"/>
  <c r="L75" s="1"/>
  <c r="J75"/>
  <c r="N74"/>
  <c r="K74"/>
  <c r="L74" s="1"/>
  <c r="J74"/>
  <c r="N73"/>
  <c r="K73"/>
  <c r="J73"/>
  <c r="F73"/>
  <c r="N72"/>
  <c r="K72"/>
  <c r="J72"/>
  <c r="F72"/>
  <c r="N71"/>
  <c r="K71"/>
  <c r="J71"/>
  <c r="F71"/>
  <c r="N70"/>
  <c r="K70"/>
  <c r="J70"/>
  <c r="F70"/>
  <c r="N69"/>
  <c r="K69"/>
  <c r="L69" s="1"/>
  <c r="J69"/>
  <c r="N68"/>
  <c r="K68"/>
  <c r="J68"/>
  <c r="F68"/>
  <c r="N67"/>
  <c r="K67"/>
  <c r="J67"/>
  <c r="F67"/>
  <c r="N66"/>
  <c r="K66"/>
  <c r="J66"/>
  <c r="F66"/>
  <c r="N153"/>
  <c r="K153"/>
  <c r="J153"/>
  <c r="F153"/>
  <c r="N65"/>
  <c r="K65"/>
  <c r="J65"/>
  <c r="F65"/>
  <c r="N64"/>
  <c r="K64"/>
  <c r="L64" s="1"/>
  <c r="J64"/>
  <c r="N63"/>
  <c r="K63"/>
  <c r="L63" s="1"/>
  <c r="J63"/>
  <c r="N62"/>
  <c r="K62"/>
  <c r="J62"/>
  <c r="F62"/>
  <c r="L62" s="1"/>
  <c r="N61"/>
  <c r="K61"/>
  <c r="L61" s="1"/>
  <c r="J61"/>
  <c r="N60"/>
  <c r="K60"/>
  <c r="J60"/>
  <c r="F60"/>
  <c r="N59"/>
  <c r="K59"/>
  <c r="J59"/>
  <c r="F59"/>
  <c r="N58"/>
  <c r="K58"/>
  <c r="J58"/>
  <c r="F58"/>
  <c r="N57"/>
  <c r="K57"/>
  <c r="L57" s="1"/>
  <c r="J57"/>
  <c r="N56"/>
  <c r="K56"/>
  <c r="J56"/>
  <c r="F56"/>
  <c r="N55"/>
  <c r="K55"/>
  <c r="L55" s="1"/>
  <c r="J55"/>
  <c r="N54"/>
  <c r="K54"/>
  <c r="L54" s="1"/>
  <c r="J54"/>
  <c r="N53"/>
  <c r="K53"/>
  <c r="J53"/>
  <c r="F53"/>
  <c r="L53" s="1"/>
  <c r="N52"/>
  <c r="K52"/>
  <c r="J52"/>
  <c r="F52"/>
  <c r="L52" s="1"/>
  <c r="N51"/>
  <c r="K51"/>
  <c r="L51" s="1"/>
  <c r="J51"/>
  <c r="N50"/>
  <c r="K50"/>
  <c r="J50"/>
  <c r="F50"/>
  <c r="K49"/>
  <c r="L49" s="1"/>
  <c r="J49"/>
  <c r="N48"/>
  <c r="K48"/>
  <c r="L48" s="1"/>
  <c r="J48"/>
  <c r="N47"/>
  <c r="K47"/>
  <c r="L47" s="1"/>
  <c r="J47"/>
  <c r="N46"/>
  <c r="K46"/>
  <c r="J46"/>
  <c r="F46"/>
  <c r="N45"/>
  <c r="K45"/>
  <c r="J45"/>
  <c r="F45"/>
  <c r="N152"/>
  <c r="K152"/>
  <c r="J152"/>
  <c r="F152"/>
  <c r="N44"/>
  <c r="K44"/>
  <c r="J44"/>
  <c r="F44"/>
  <c r="L44" s="1"/>
  <c r="N43"/>
  <c r="K43"/>
  <c r="J43"/>
  <c r="F43"/>
  <c r="L43" s="1"/>
  <c r="N42"/>
  <c r="K42"/>
  <c r="J42"/>
  <c r="F42"/>
  <c r="L42" s="1"/>
  <c r="N41"/>
  <c r="K41"/>
  <c r="J41"/>
  <c r="F41"/>
  <c r="L41" s="1"/>
  <c r="N40"/>
  <c r="K40"/>
  <c r="J40"/>
  <c r="F40"/>
  <c r="L40" s="1"/>
  <c r="N39"/>
  <c r="K39"/>
  <c r="J39"/>
  <c r="F39"/>
  <c r="L39" s="1"/>
  <c r="N38"/>
  <c r="K38"/>
  <c r="J38"/>
  <c r="F38"/>
  <c r="L38" s="1"/>
  <c r="K151"/>
  <c r="L151" s="1"/>
  <c r="J151"/>
  <c r="N37"/>
  <c r="K37"/>
  <c r="J37"/>
  <c r="F37"/>
  <c r="N36"/>
  <c r="K36"/>
  <c r="J36"/>
  <c r="F36"/>
  <c r="N35"/>
  <c r="K35"/>
  <c r="J35"/>
  <c r="F35"/>
  <c r="N34"/>
  <c r="K34"/>
  <c r="L34" s="1"/>
  <c r="J34"/>
  <c r="K33"/>
  <c r="J33"/>
  <c r="F33"/>
  <c r="L33" s="1"/>
  <c r="K32"/>
  <c r="J32"/>
  <c r="F32"/>
  <c r="N31"/>
  <c r="K31"/>
  <c r="J31"/>
  <c r="F31"/>
  <c r="N30"/>
  <c r="K30"/>
  <c r="J30"/>
  <c r="F30"/>
  <c r="N29"/>
  <c r="J29"/>
  <c r="F29"/>
  <c r="L29" s="1"/>
  <c r="N28"/>
  <c r="K28"/>
  <c r="L28" s="1"/>
  <c r="J28"/>
  <c r="N27"/>
  <c r="K27"/>
  <c r="L27" s="1"/>
  <c r="J27"/>
  <c r="N26"/>
  <c r="K26"/>
  <c r="J26"/>
  <c r="F26"/>
  <c r="L26" s="1"/>
  <c r="N25"/>
  <c r="K25"/>
  <c r="J25"/>
  <c r="F25"/>
  <c r="L25" s="1"/>
  <c r="N24"/>
  <c r="K24"/>
  <c r="J24"/>
  <c r="F24"/>
  <c r="L24" s="1"/>
  <c r="N23"/>
  <c r="K23"/>
  <c r="L23" s="1"/>
  <c r="J23"/>
  <c r="N22"/>
  <c r="K22"/>
  <c r="J22"/>
  <c r="F22"/>
  <c r="J21"/>
  <c r="F21"/>
  <c r="L21" s="1"/>
  <c r="N20"/>
  <c r="K20"/>
  <c r="J20"/>
  <c r="F20"/>
  <c r="L20" s="1"/>
  <c r="N19"/>
  <c r="K19"/>
  <c r="L19" s="1"/>
  <c r="J19"/>
  <c r="N18"/>
  <c r="K18"/>
  <c r="L18" s="1"/>
  <c r="J18"/>
  <c r="N17"/>
  <c r="K17"/>
  <c r="J17"/>
  <c r="F17"/>
  <c r="N16"/>
  <c r="K16"/>
  <c r="J16"/>
  <c r="F16"/>
  <c r="N15"/>
  <c r="K15"/>
  <c r="J15"/>
  <c r="F15"/>
  <c r="N14"/>
  <c r="K14"/>
  <c r="J14"/>
  <c r="F14"/>
  <c r="N13"/>
  <c r="K13"/>
  <c r="L13" s="1"/>
  <c r="J13"/>
  <c r="N12"/>
  <c r="K12"/>
  <c r="J12"/>
  <c r="F12"/>
  <c r="N11"/>
  <c r="K11"/>
  <c r="J11"/>
  <c r="F11"/>
  <c r="N10"/>
  <c r="K10"/>
  <c r="J10"/>
  <c r="F10"/>
  <c r="N9"/>
  <c r="K9"/>
  <c r="J9"/>
  <c r="F9"/>
  <c r="K8"/>
  <c r="L8" s="1"/>
  <c r="J8"/>
  <c r="N7"/>
  <c r="K7"/>
  <c r="J7"/>
  <c r="F7"/>
  <c r="L7" s="1"/>
  <c r="N6"/>
  <c r="K6"/>
  <c r="J6"/>
  <c r="F6"/>
  <c r="H139" i="52"/>
  <c r="E139"/>
  <c r="D139"/>
  <c r="J138"/>
  <c r="K138"/>
  <c r="K137"/>
  <c r="F137"/>
  <c r="K136"/>
  <c r="L136" s="1"/>
  <c r="J136"/>
  <c r="F138"/>
  <c r="F136"/>
  <c r="J6"/>
  <c r="N265"/>
  <c r="K265"/>
  <c r="J265"/>
  <c r="F265"/>
  <c r="L265" s="1"/>
  <c r="N264"/>
  <c r="K264"/>
  <c r="J264"/>
  <c r="F264"/>
  <c r="L264" s="1"/>
  <c r="N263"/>
  <c r="K263"/>
  <c r="J263"/>
  <c r="F263"/>
  <c r="L263" s="1"/>
  <c r="N262"/>
  <c r="K262"/>
  <c r="J262"/>
  <c r="F262"/>
  <c r="L262" s="1"/>
  <c r="N261"/>
  <c r="K261"/>
  <c r="J261"/>
  <c r="F261"/>
  <c r="L261" s="1"/>
  <c r="N259"/>
  <c r="K259"/>
  <c r="J259"/>
  <c r="F259"/>
  <c r="L259" s="1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L255" s="1"/>
  <c r="K249"/>
  <c r="J249"/>
  <c r="F249"/>
  <c r="L249" s="1"/>
  <c r="K248"/>
  <c r="J248"/>
  <c r="F248"/>
  <c r="K247"/>
  <c r="L247" s="1"/>
  <c r="J247"/>
  <c r="K246"/>
  <c r="J246"/>
  <c r="F246"/>
  <c r="L246" s="1"/>
  <c r="K245"/>
  <c r="J245"/>
  <c r="F245"/>
  <c r="K244"/>
  <c r="J244"/>
  <c r="F244"/>
  <c r="K243"/>
  <c r="J243"/>
  <c r="F243"/>
  <c r="L243" s="1"/>
  <c r="K242"/>
  <c r="J242"/>
  <c r="F242"/>
  <c r="L242" s="1"/>
  <c r="K241"/>
  <c r="J241"/>
  <c r="F241"/>
  <c r="K240"/>
  <c r="J240"/>
  <c r="F240"/>
  <c r="K239"/>
  <c r="J239"/>
  <c r="F239"/>
  <c r="L239" s="1"/>
  <c r="K238"/>
  <c r="L238" s="1"/>
  <c r="J238"/>
  <c r="K237"/>
  <c r="L237" s="1"/>
  <c r="J237"/>
  <c r="K236"/>
  <c r="J236"/>
  <c r="F236"/>
  <c r="L236" s="1"/>
  <c r="K235"/>
  <c r="J235"/>
  <c r="F235"/>
  <c r="K234"/>
  <c r="J234"/>
  <c r="F234"/>
  <c r="K233"/>
  <c r="J233"/>
  <c r="F233"/>
  <c r="L233" s="1"/>
  <c r="K232"/>
  <c r="J232"/>
  <c r="F232"/>
  <c r="L232" s="1"/>
  <c r="K231"/>
  <c r="J231"/>
  <c r="F231"/>
  <c r="K230"/>
  <c r="J230"/>
  <c r="F230"/>
  <c r="K229"/>
  <c r="L229" s="1"/>
  <c r="J229"/>
  <c r="N226"/>
  <c r="K226"/>
  <c r="J226"/>
  <c r="F226"/>
  <c r="L226" s="1"/>
  <c r="N225"/>
  <c r="K225"/>
  <c r="L225" s="1"/>
  <c r="J225"/>
  <c r="N224"/>
  <c r="K224"/>
  <c r="J224"/>
  <c r="F224"/>
  <c r="N223"/>
  <c r="K223"/>
  <c r="J223"/>
  <c r="F223"/>
  <c r="N222"/>
  <c r="K222"/>
  <c r="J222"/>
  <c r="F222"/>
  <c r="N221"/>
  <c r="K221"/>
  <c r="J221"/>
  <c r="F221"/>
  <c r="N220"/>
  <c r="K220"/>
  <c r="J220"/>
  <c r="F220"/>
  <c r="N219"/>
  <c r="K219"/>
  <c r="L219" s="1"/>
  <c r="J219"/>
  <c r="N218"/>
  <c r="K218"/>
  <c r="J218"/>
  <c r="F218"/>
  <c r="N217"/>
  <c r="K217"/>
  <c r="J217"/>
  <c r="F217"/>
  <c r="N216"/>
  <c r="K216"/>
  <c r="J216"/>
  <c r="F216"/>
  <c r="N215"/>
  <c r="K215"/>
  <c r="J215"/>
  <c r="F215"/>
  <c r="N214"/>
  <c r="K214"/>
  <c r="J214"/>
  <c r="F214"/>
  <c r="N213"/>
  <c r="K213"/>
  <c r="J213"/>
  <c r="F213"/>
  <c r="N212"/>
  <c r="K212"/>
  <c r="J212"/>
  <c r="F212"/>
  <c r="N211"/>
  <c r="K211"/>
  <c r="J211"/>
  <c r="F211"/>
  <c r="N210"/>
  <c r="K210"/>
  <c r="J210"/>
  <c r="F210"/>
  <c r="N209"/>
  <c r="K209"/>
  <c r="J209"/>
  <c r="F209"/>
  <c r="N208"/>
  <c r="K208"/>
  <c r="J208"/>
  <c r="F208"/>
  <c r="N207"/>
  <c r="K207"/>
  <c r="J207"/>
  <c r="F207"/>
  <c r="N206"/>
  <c r="K206"/>
  <c r="J206"/>
  <c r="F206"/>
  <c r="N204"/>
  <c r="K204"/>
  <c r="J204"/>
  <c r="F204"/>
  <c r="N203"/>
  <c r="K203"/>
  <c r="L203" s="1"/>
  <c r="J203"/>
  <c r="N202"/>
  <c r="K202"/>
  <c r="J202"/>
  <c r="F202"/>
  <c r="L202" s="1"/>
  <c r="N200"/>
  <c r="K200"/>
  <c r="J200"/>
  <c r="F200"/>
  <c r="L200" s="1"/>
  <c r="N199"/>
  <c r="K199"/>
  <c r="L199" s="1"/>
  <c r="J199"/>
  <c r="N198"/>
  <c r="K198"/>
  <c r="J198"/>
  <c r="F198"/>
  <c r="L198" s="1"/>
  <c r="N196"/>
  <c r="K196"/>
  <c r="J196"/>
  <c r="F196"/>
  <c r="L196" s="1"/>
  <c r="K194"/>
  <c r="J194"/>
  <c r="F194"/>
  <c r="K192"/>
  <c r="J192"/>
  <c r="F192"/>
  <c r="N191"/>
  <c r="K191"/>
  <c r="L191" s="1"/>
  <c r="J191"/>
  <c r="N190"/>
  <c r="K190"/>
  <c r="J190"/>
  <c r="F190"/>
  <c r="L190" s="1"/>
  <c r="N189"/>
  <c r="K189"/>
  <c r="J189"/>
  <c r="F189"/>
  <c r="L189" s="1"/>
  <c r="N188"/>
  <c r="K188"/>
  <c r="J188"/>
  <c r="F188"/>
  <c r="L188" s="1"/>
  <c r="N187"/>
  <c r="K187"/>
  <c r="J187"/>
  <c r="F187"/>
  <c r="L187" s="1"/>
  <c r="N186"/>
  <c r="K186"/>
  <c r="L186" s="1"/>
  <c r="J186"/>
  <c r="N185"/>
  <c r="K185"/>
  <c r="J185"/>
  <c r="F185"/>
  <c r="L185" s="1"/>
  <c r="N183"/>
  <c r="K183"/>
  <c r="J183"/>
  <c r="F183"/>
  <c r="L183" s="1"/>
  <c r="N182"/>
  <c r="K182"/>
  <c r="J182"/>
  <c r="F182"/>
  <c r="L182" s="1"/>
  <c r="N181"/>
  <c r="K181"/>
  <c r="L181" s="1"/>
  <c r="J181"/>
  <c r="N180"/>
  <c r="K180"/>
  <c r="L180" s="1"/>
  <c r="J180"/>
  <c r="N179"/>
  <c r="K179"/>
  <c r="J179"/>
  <c r="F179"/>
  <c r="N178"/>
  <c r="K178"/>
  <c r="J178"/>
  <c r="F178"/>
  <c r="N177"/>
  <c r="K177"/>
  <c r="J177"/>
  <c r="F177"/>
  <c r="N176"/>
  <c r="K176"/>
  <c r="J176"/>
  <c r="F176"/>
  <c r="N175"/>
  <c r="K175"/>
  <c r="J175"/>
  <c r="F175"/>
  <c r="N174"/>
  <c r="K174"/>
  <c r="J174"/>
  <c r="F174"/>
  <c r="L174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K152"/>
  <c r="J152"/>
  <c r="F152"/>
  <c r="L152" s="1"/>
  <c r="N151"/>
  <c r="K151"/>
  <c r="J151"/>
  <c r="F151"/>
  <c r="L151" s="1"/>
  <c r="K150"/>
  <c r="L150" s="1"/>
  <c r="J150"/>
  <c r="N149"/>
  <c r="K149"/>
  <c r="J149"/>
  <c r="F149"/>
  <c r="H159"/>
  <c r="K135"/>
  <c r="J135"/>
  <c r="F135"/>
  <c r="K134"/>
  <c r="L134" s="1"/>
  <c r="J134"/>
  <c r="K133"/>
  <c r="J133"/>
  <c r="F133"/>
  <c r="K132"/>
  <c r="J132"/>
  <c r="F132"/>
  <c r="K131"/>
  <c r="J131"/>
  <c r="F131"/>
  <c r="L131" s="1"/>
  <c r="K130"/>
  <c r="J130"/>
  <c r="F130"/>
  <c r="L130" s="1"/>
  <c r="K129"/>
  <c r="J129"/>
  <c r="F129"/>
  <c r="K128"/>
  <c r="L128" s="1"/>
  <c r="J128"/>
  <c r="K127"/>
  <c r="J127"/>
  <c r="F127"/>
  <c r="L127" s="1"/>
  <c r="K126"/>
  <c r="J126"/>
  <c r="F126"/>
  <c r="K125"/>
  <c r="J125"/>
  <c r="F125"/>
  <c r="K124"/>
  <c r="L124" s="1"/>
  <c r="J124"/>
  <c r="K123"/>
  <c r="J123"/>
  <c r="F123"/>
  <c r="L123" s="1"/>
  <c r="K122"/>
  <c r="J122"/>
  <c r="F122"/>
  <c r="K121"/>
  <c r="J121"/>
  <c r="F121"/>
  <c r="L121" s="1"/>
  <c r="K120"/>
  <c r="J120"/>
  <c r="F120"/>
  <c r="L120" s="1"/>
  <c r="K119"/>
  <c r="J119"/>
  <c r="F119"/>
  <c r="L119" s="1"/>
  <c r="K118"/>
  <c r="L118" s="1"/>
  <c r="J118"/>
  <c r="K117"/>
  <c r="L117" s="1"/>
  <c r="J117"/>
  <c r="K116"/>
  <c r="J116"/>
  <c r="F116"/>
  <c r="K115"/>
  <c r="J115"/>
  <c r="F115"/>
  <c r="K114"/>
  <c r="J114"/>
  <c r="F114"/>
  <c r="L114" s="1"/>
  <c r="K113"/>
  <c r="J113"/>
  <c r="F113"/>
  <c r="L113" s="1"/>
  <c r="K112"/>
  <c r="L112" s="1"/>
  <c r="J112"/>
  <c r="K111"/>
  <c r="J111"/>
  <c r="F111"/>
  <c r="L111" s="1"/>
  <c r="K110"/>
  <c r="J110"/>
  <c r="F110"/>
  <c r="L110" s="1"/>
  <c r="K109"/>
  <c r="L109" s="1"/>
  <c r="J109"/>
  <c r="K108"/>
  <c r="J108"/>
  <c r="F108"/>
  <c r="L108" s="1"/>
  <c r="K107"/>
  <c r="J107"/>
  <c r="F107"/>
  <c r="L107" s="1"/>
  <c r="K106"/>
  <c r="J106"/>
  <c r="F106"/>
  <c r="K105"/>
  <c r="J105"/>
  <c r="F105"/>
  <c r="K104"/>
  <c r="J104"/>
  <c r="F104"/>
  <c r="L104" s="1"/>
  <c r="K103"/>
  <c r="J103"/>
  <c r="F103"/>
  <c r="L103" s="1"/>
  <c r="K102"/>
  <c r="J102"/>
  <c r="F102"/>
  <c r="N101"/>
  <c r="K101"/>
  <c r="J101"/>
  <c r="F101"/>
  <c r="N100"/>
  <c r="K100"/>
  <c r="J100"/>
  <c r="F100"/>
  <c r="N99"/>
  <c r="K99"/>
  <c r="L99" s="1"/>
  <c r="J99"/>
  <c r="N98"/>
  <c r="K98"/>
  <c r="J98"/>
  <c r="F98"/>
  <c r="N97"/>
  <c r="K97"/>
  <c r="L97" s="1"/>
  <c r="J97"/>
  <c r="N96"/>
  <c r="K96"/>
  <c r="L96" s="1"/>
  <c r="J96"/>
  <c r="N95"/>
  <c r="K95"/>
  <c r="L95" s="1"/>
  <c r="J95"/>
  <c r="N94"/>
  <c r="K94"/>
  <c r="L94" s="1"/>
  <c r="J94"/>
  <c r="N93"/>
  <c r="K93"/>
  <c r="J93"/>
  <c r="F93"/>
  <c r="N92"/>
  <c r="K92"/>
  <c r="J92"/>
  <c r="F92"/>
  <c r="N91"/>
  <c r="K91"/>
  <c r="J91"/>
  <c r="F91"/>
  <c r="N90"/>
  <c r="K90"/>
  <c r="L90" s="1"/>
  <c r="J90"/>
  <c r="N89"/>
  <c r="K89"/>
  <c r="J89"/>
  <c r="F89"/>
  <c r="L89" s="1"/>
  <c r="N88"/>
  <c r="K88"/>
  <c r="J88"/>
  <c r="F88"/>
  <c r="L88" s="1"/>
  <c r="N87"/>
  <c r="K87"/>
  <c r="J87"/>
  <c r="F87"/>
  <c r="L87" s="1"/>
  <c r="N86"/>
  <c r="K86"/>
  <c r="J86"/>
  <c r="F86"/>
  <c r="L86" s="1"/>
  <c r="N85"/>
  <c r="K85"/>
  <c r="L85" s="1"/>
  <c r="J85"/>
  <c r="K84"/>
  <c r="J84"/>
  <c r="F84"/>
  <c r="N83"/>
  <c r="K83"/>
  <c r="L83" s="1"/>
  <c r="J83"/>
  <c r="N82"/>
  <c r="K82"/>
  <c r="J82"/>
  <c r="F82"/>
  <c r="K81"/>
  <c r="L81" s="1"/>
  <c r="J81"/>
  <c r="N80"/>
  <c r="K80"/>
  <c r="J80"/>
  <c r="F80"/>
  <c r="L80" s="1"/>
  <c r="N157"/>
  <c r="K157"/>
  <c r="J157"/>
  <c r="F157"/>
  <c r="L157" s="1"/>
  <c r="N79"/>
  <c r="K79"/>
  <c r="J79"/>
  <c r="F79"/>
  <c r="L79" s="1"/>
  <c r="N78"/>
  <c r="K78"/>
  <c r="L78" s="1"/>
  <c r="J78"/>
  <c r="N77"/>
  <c r="K77"/>
  <c r="L77" s="1"/>
  <c r="J77"/>
  <c r="N76"/>
  <c r="K76"/>
  <c r="J76"/>
  <c r="F76"/>
  <c r="N75"/>
  <c r="K75"/>
  <c r="J75"/>
  <c r="F75"/>
  <c r="N74"/>
  <c r="K74"/>
  <c r="J74"/>
  <c r="F74"/>
  <c r="N73"/>
  <c r="K73"/>
  <c r="J73"/>
  <c r="F73"/>
  <c r="N72"/>
  <c r="K72"/>
  <c r="L72" s="1"/>
  <c r="J72"/>
  <c r="N71"/>
  <c r="K71"/>
  <c r="J71"/>
  <c r="F71"/>
  <c r="L71" s="1"/>
  <c r="N70"/>
  <c r="K70"/>
  <c r="J70"/>
  <c r="F70"/>
  <c r="L70" s="1"/>
  <c r="N69"/>
  <c r="K69"/>
  <c r="J69"/>
  <c r="F69"/>
  <c r="L69" s="1"/>
  <c r="N68"/>
  <c r="K68"/>
  <c r="J68"/>
  <c r="F68"/>
  <c r="L68" s="1"/>
  <c r="N67"/>
  <c r="K67"/>
  <c r="J67"/>
  <c r="F67"/>
  <c r="L67" s="1"/>
  <c r="N66"/>
  <c r="K66"/>
  <c r="L66" s="1"/>
  <c r="J66"/>
  <c r="N65"/>
  <c r="K65"/>
  <c r="L65" s="1"/>
  <c r="J65"/>
  <c r="N64"/>
  <c r="K64"/>
  <c r="J64"/>
  <c r="F64"/>
  <c r="N63"/>
  <c r="K63"/>
  <c r="L63" s="1"/>
  <c r="J63"/>
  <c r="N62"/>
  <c r="K62"/>
  <c r="J62"/>
  <c r="F62"/>
  <c r="N61"/>
  <c r="K61"/>
  <c r="J61"/>
  <c r="F61"/>
  <c r="L61" s="1"/>
  <c r="N60"/>
  <c r="K60"/>
  <c r="J60"/>
  <c r="F60"/>
  <c r="L60" s="1"/>
  <c r="N59"/>
  <c r="K59"/>
  <c r="L59" s="1"/>
  <c r="J59"/>
  <c r="N58"/>
  <c r="K58"/>
  <c r="J58"/>
  <c r="F58"/>
  <c r="L58" s="1"/>
  <c r="N57"/>
  <c r="K57"/>
  <c r="L57" s="1"/>
  <c r="J57"/>
  <c r="N56"/>
  <c r="K56"/>
  <c r="L56" s="1"/>
  <c r="J56"/>
  <c r="N156"/>
  <c r="K156"/>
  <c r="J156"/>
  <c r="F156"/>
  <c r="N55"/>
  <c r="K55"/>
  <c r="J55"/>
  <c r="F55"/>
  <c r="N54"/>
  <c r="K54"/>
  <c r="J54"/>
  <c r="F54"/>
  <c r="N53"/>
  <c r="K53"/>
  <c r="L53" s="1"/>
  <c r="J53"/>
  <c r="N52"/>
  <c r="K52"/>
  <c r="J52"/>
  <c r="F52"/>
  <c r="L52" s="1"/>
  <c r="K51"/>
  <c r="L51" s="1"/>
  <c r="J51"/>
  <c r="N50"/>
  <c r="K50"/>
  <c r="L50" s="1"/>
  <c r="J50"/>
  <c r="N49"/>
  <c r="K49"/>
  <c r="L49" s="1"/>
  <c r="J49"/>
  <c r="N48"/>
  <c r="K48"/>
  <c r="J48"/>
  <c r="F48"/>
  <c r="L48" s="1"/>
  <c r="N47"/>
  <c r="K47"/>
  <c r="J47"/>
  <c r="F47"/>
  <c r="L47" s="1"/>
  <c r="N46"/>
  <c r="K46"/>
  <c r="J46"/>
  <c r="F46"/>
  <c r="L46" s="1"/>
  <c r="N45"/>
  <c r="K45"/>
  <c r="J45"/>
  <c r="F45"/>
  <c r="L45" s="1"/>
  <c r="N44"/>
  <c r="K44"/>
  <c r="J44"/>
  <c r="F44"/>
  <c r="L44" s="1"/>
  <c r="N43"/>
  <c r="K43"/>
  <c r="J43"/>
  <c r="F43"/>
  <c r="L43" s="1"/>
  <c r="N42"/>
  <c r="K42"/>
  <c r="J42"/>
  <c r="F42"/>
  <c r="L42" s="1"/>
  <c r="N41"/>
  <c r="K41"/>
  <c r="J41"/>
  <c r="F41"/>
  <c r="L41" s="1"/>
  <c r="N40"/>
  <c r="K40"/>
  <c r="J40"/>
  <c r="F40"/>
  <c r="L40" s="1"/>
  <c r="N39"/>
  <c r="K39"/>
  <c r="J39"/>
  <c r="F39"/>
  <c r="L39" s="1"/>
  <c r="K38"/>
  <c r="L38" s="1"/>
  <c r="J38"/>
  <c r="N37"/>
  <c r="K37"/>
  <c r="J37"/>
  <c r="F37"/>
  <c r="N36"/>
  <c r="K36"/>
  <c r="J36"/>
  <c r="F36"/>
  <c r="N35"/>
  <c r="K35"/>
  <c r="J35"/>
  <c r="F35"/>
  <c r="N34"/>
  <c r="K34"/>
  <c r="L34" s="1"/>
  <c r="J34"/>
  <c r="K33"/>
  <c r="J33"/>
  <c r="F33"/>
  <c r="L33" s="1"/>
  <c r="K32"/>
  <c r="J32"/>
  <c r="F32"/>
  <c r="L32" s="1"/>
  <c r="N31"/>
  <c r="K31"/>
  <c r="J31"/>
  <c r="F31"/>
  <c r="L31" s="1"/>
  <c r="N30"/>
  <c r="K30"/>
  <c r="J30"/>
  <c r="F30"/>
  <c r="L30" s="1"/>
  <c r="N29"/>
  <c r="J29"/>
  <c r="F29"/>
  <c r="L29" s="1"/>
  <c r="N28"/>
  <c r="K28"/>
  <c r="L28" s="1"/>
  <c r="J28"/>
  <c r="N27"/>
  <c r="K27"/>
  <c r="L27" s="1"/>
  <c r="J27"/>
  <c r="N26"/>
  <c r="K26"/>
  <c r="J26"/>
  <c r="F26"/>
  <c r="L26" s="1"/>
  <c r="N25"/>
  <c r="K25"/>
  <c r="J25"/>
  <c r="F25"/>
  <c r="L25" s="1"/>
  <c r="N24"/>
  <c r="K24"/>
  <c r="J24"/>
  <c r="F24"/>
  <c r="L24" s="1"/>
  <c r="N23"/>
  <c r="K23"/>
  <c r="L23" s="1"/>
  <c r="J23"/>
  <c r="N22"/>
  <c r="K22"/>
  <c r="J22"/>
  <c r="F22"/>
  <c r="L22" s="1"/>
  <c r="J21"/>
  <c r="F21"/>
  <c r="L21" s="1"/>
  <c r="N20"/>
  <c r="K20"/>
  <c r="J20"/>
  <c r="F20"/>
  <c r="N155"/>
  <c r="K155"/>
  <c r="J155"/>
  <c r="F155"/>
  <c r="N19"/>
  <c r="K19"/>
  <c r="L19" s="1"/>
  <c r="J19"/>
  <c r="N18"/>
  <c r="K18"/>
  <c r="L18" s="1"/>
  <c r="J18"/>
  <c r="N17"/>
  <c r="K17"/>
  <c r="J17"/>
  <c r="F17"/>
  <c r="L17" s="1"/>
  <c r="N16"/>
  <c r="K16"/>
  <c r="J16"/>
  <c r="F16"/>
  <c r="L16" s="1"/>
  <c r="N15"/>
  <c r="K15"/>
  <c r="J15"/>
  <c r="F15"/>
  <c r="L15" s="1"/>
  <c r="N14"/>
  <c r="K14"/>
  <c r="J14"/>
  <c r="F14"/>
  <c r="L14" s="1"/>
  <c r="N13"/>
  <c r="K13"/>
  <c r="L13" s="1"/>
  <c r="J13"/>
  <c r="N12"/>
  <c r="K12"/>
  <c r="J12"/>
  <c r="F12"/>
  <c r="N154"/>
  <c r="K154"/>
  <c r="J154"/>
  <c r="F154"/>
  <c r="N11"/>
  <c r="K11"/>
  <c r="J11"/>
  <c r="F11"/>
  <c r="N153"/>
  <c r="K153"/>
  <c r="J153"/>
  <c r="F153"/>
  <c r="N10"/>
  <c r="K10"/>
  <c r="J10"/>
  <c r="F10"/>
  <c r="N9"/>
  <c r="K9"/>
  <c r="J9"/>
  <c r="F9"/>
  <c r="K8"/>
  <c r="L8" s="1"/>
  <c r="J8"/>
  <c r="N7"/>
  <c r="K7"/>
  <c r="J7"/>
  <c r="F7"/>
  <c r="L7" s="1"/>
  <c r="N6"/>
  <c r="K6"/>
  <c r="F6"/>
  <c r="K139" l="1"/>
  <c r="L155"/>
  <c r="L55"/>
  <c r="L156"/>
  <c r="L20"/>
  <c r="L54"/>
  <c r="L9"/>
  <c r="L10"/>
  <c r="L153"/>
  <c r="L11"/>
  <c r="L154"/>
  <c r="L12"/>
  <c r="L35"/>
  <c r="L36"/>
  <c r="L37"/>
  <c r="L126"/>
  <c r="L129"/>
  <c r="L133"/>
  <c r="F130" i="53"/>
  <c r="L152"/>
  <c r="L45"/>
  <c r="L46"/>
  <c r="L50"/>
  <c r="L58"/>
  <c r="L59"/>
  <c r="L60"/>
  <c r="L70"/>
  <c r="L71"/>
  <c r="L72"/>
  <c r="L73"/>
  <c r="L79"/>
  <c r="L88"/>
  <c r="L89"/>
  <c r="L90"/>
  <c r="L95"/>
  <c r="L103"/>
  <c r="L111"/>
  <c r="L116"/>
  <c r="L126"/>
  <c r="L194"/>
  <c r="L220"/>
  <c r="L221"/>
  <c r="L222"/>
  <c r="L223"/>
  <c r="L224"/>
  <c r="L231"/>
  <c r="L235"/>
  <c r="L241"/>
  <c r="L245"/>
  <c r="L248"/>
  <c r="L64" i="52"/>
  <c r="L84"/>
  <c r="L100"/>
  <c r="L101"/>
  <c r="L102"/>
  <c r="L106"/>
  <c r="L116"/>
  <c r="L122"/>
  <c r="L125"/>
  <c r="L132"/>
  <c r="L135"/>
  <c r="L149"/>
  <c r="L194"/>
  <c r="L220"/>
  <c r="L221"/>
  <c r="L222"/>
  <c r="L223"/>
  <c r="L224"/>
  <c r="L231"/>
  <c r="L235"/>
  <c r="L241"/>
  <c r="L245"/>
  <c r="L248"/>
  <c r="F139"/>
  <c r="L14" i="53"/>
  <c r="L15"/>
  <c r="L16"/>
  <c r="L17"/>
  <c r="L22"/>
  <c r="L30"/>
  <c r="L31"/>
  <c r="L32"/>
  <c r="L56"/>
  <c r="L65"/>
  <c r="L153"/>
  <c r="L66"/>
  <c r="L67"/>
  <c r="L68"/>
  <c r="L83"/>
  <c r="L84"/>
  <c r="L85"/>
  <c r="L86"/>
  <c r="L102"/>
  <c r="L150"/>
  <c r="L107"/>
  <c r="L110"/>
  <c r="L115"/>
  <c r="L122"/>
  <c r="L125"/>
  <c r="L140"/>
  <c r="L144"/>
  <c r="L145"/>
  <c r="L146"/>
  <c r="L147"/>
  <c r="L148"/>
  <c r="L168"/>
  <c r="L169"/>
  <c r="L170"/>
  <c r="L171"/>
  <c r="L172"/>
  <c r="L174"/>
  <c r="L175"/>
  <c r="L176"/>
  <c r="L177"/>
  <c r="L178"/>
  <c r="L179"/>
  <c r="L192"/>
  <c r="L204"/>
  <c r="L206"/>
  <c r="L207"/>
  <c r="L208"/>
  <c r="L209"/>
  <c r="L210"/>
  <c r="L211"/>
  <c r="L212"/>
  <c r="L213"/>
  <c r="L214"/>
  <c r="L215"/>
  <c r="L216"/>
  <c r="L217"/>
  <c r="L218"/>
  <c r="L230"/>
  <c r="L234"/>
  <c r="L240"/>
  <c r="L244"/>
  <c r="L62" i="52"/>
  <c r="L73"/>
  <c r="L74"/>
  <c r="L75"/>
  <c r="L76"/>
  <c r="L82"/>
  <c r="L91"/>
  <c r="L92"/>
  <c r="L93"/>
  <c r="L98"/>
  <c r="L105"/>
  <c r="L115"/>
  <c r="L175"/>
  <c r="L176"/>
  <c r="L177"/>
  <c r="L178"/>
  <c r="L179"/>
  <c r="L192"/>
  <c r="L204"/>
  <c r="L206"/>
  <c r="L207"/>
  <c r="L208"/>
  <c r="L209"/>
  <c r="L210"/>
  <c r="L211"/>
  <c r="L212"/>
  <c r="L213"/>
  <c r="L214"/>
  <c r="L215"/>
  <c r="L216"/>
  <c r="L217"/>
  <c r="L218"/>
  <c r="L230"/>
  <c r="L234"/>
  <c r="L240"/>
  <c r="L244"/>
  <c r="K130" i="53"/>
  <c r="L9"/>
  <c r="L10"/>
  <c r="L11"/>
  <c r="L12"/>
  <c r="L35"/>
  <c r="L36"/>
  <c r="L37"/>
  <c r="L143"/>
  <c r="L6"/>
  <c r="L137" i="52"/>
  <c r="L138"/>
  <c r="L6"/>
  <c r="N259" i="51"/>
  <c r="K259"/>
  <c r="J259"/>
  <c r="F259"/>
  <c r="L259" s="1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L255" s="1"/>
  <c r="N253"/>
  <c r="K253"/>
  <c r="J253"/>
  <c r="F253"/>
  <c r="L253" s="1"/>
  <c r="N252"/>
  <c r="K252"/>
  <c r="J252"/>
  <c r="F252"/>
  <c r="L252" s="1"/>
  <c r="N251"/>
  <c r="K251"/>
  <c r="J251"/>
  <c r="F251"/>
  <c r="L251" s="1"/>
  <c r="N250"/>
  <c r="K250"/>
  <c r="J250"/>
  <c r="F250"/>
  <c r="L250" s="1"/>
  <c r="N249"/>
  <c r="K249"/>
  <c r="J249"/>
  <c r="F249"/>
  <c r="L249" s="1"/>
  <c r="K243"/>
  <c r="J243"/>
  <c r="F243"/>
  <c r="L243" s="1"/>
  <c r="K242"/>
  <c r="J242"/>
  <c r="F242"/>
  <c r="K241"/>
  <c r="L241" s="1"/>
  <c r="J241"/>
  <c r="K240"/>
  <c r="J240"/>
  <c r="F240"/>
  <c r="L240" s="1"/>
  <c r="K239"/>
  <c r="J239"/>
  <c r="F239"/>
  <c r="K238"/>
  <c r="J238"/>
  <c r="F238"/>
  <c r="K237"/>
  <c r="J237"/>
  <c r="F237"/>
  <c r="L237" s="1"/>
  <c r="K236"/>
  <c r="J236"/>
  <c r="F236"/>
  <c r="L236" s="1"/>
  <c r="K235"/>
  <c r="J235"/>
  <c r="F235"/>
  <c r="K234"/>
  <c r="J234"/>
  <c r="F234"/>
  <c r="K233"/>
  <c r="J233"/>
  <c r="F233"/>
  <c r="L233" s="1"/>
  <c r="K232"/>
  <c r="L232" s="1"/>
  <c r="J232"/>
  <c r="K231"/>
  <c r="L231" s="1"/>
  <c r="J231"/>
  <c r="K230"/>
  <c r="J230"/>
  <c r="F230"/>
  <c r="L230" s="1"/>
  <c r="K229"/>
  <c r="J229"/>
  <c r="F229"/>
  <c r="K228"/>
  <c r="J228"/>
  <c r="F228"/>
  <c r="K227"/>
  <c r="J227"/>
  <c r="F227"/>
  <c r="L227" s="1"/>
  <c r="K226"/>
  <c r="J226"/>
  <c r="F226"/>
  <c r="L226" s="1"/>
  <c r="K225"/>
  <c r="J225"/>
  <c r="F225"/>
  <c r="K224"/>
  <c r="J224"/>
  <c r="F224"/>
  <c r="K223"/>
  <c r="L223" s="1"/>
  <c r="J223"/>
  <c r="N220"/>
  <c r="K220"/>
  <c r="J220"/>
  <c r="F220"/>
  <c r="L220" s="1"/>
  <c r="N219"/>
  <c r="K219"/>
  <c r="L219" s="1"/>
  <c r="J219"/>
  <c r="N218"/>
  <c r="K218"/>
  <c r="J218"/>
  <c r="F218"/>
  <c r="N217"/>
  <c r="K217"/>
  <c r="J217"/>
  <c r="F217"/>
  <c r="N216"/>
  <c r="K216"/>
  <c r="J216"/>
  <c r="F216"/>
  <c r="N215"/>
  <c r="K215"/>
  <c r="J215"/>
  <c r="F215"/>
  <c r="N214"/>
  <c r="K214"/>
  <c r="J214"/>
  <c r="F214"/>
  <c r="N213"/>
  <c r="K213"/>
  <c r="L213" s="1"/>
  <c r="J213"/>
  <c r="N212"/>
  <c r="K212"/>
  <c r="J212"/>
  <c r="F212"/>
  <c r="N211"/>
  <c r="K211"/>
  <c r="J211"/>
  <c r="F211"/>
  <c r="N210"/>
  <c r="K210"/>
  <c r="J210"/>
  <c r="F210"/>
  <c r="N209"/>
  <c r="K209"/>
  <c r="J209"/>
  <c r="F209"/>
  <c r="N208"/>
  <c r="K208"/>
  <c r="J208"/>
  <c r="F208"/>
  <c r="N207"/>
  <c r="K207"/>
  <c r="J207"/>
  <c r="F207"/>
  <c r="N206"/>
  <c r="K206"/>
  <c r="J206"/>
  <c r="F206"/>
  <c r="N205"/>
  <c r="K205"/>
  <c r="J205"/>
  <c r="F205"/>
  <c r="N204"/>
  <c r="K204"/>
  <c r="J204"/>
  <c r="F204"/>
  <c r="N203"/>
  <c r="K203"/>
  <c r="J203"/>
  <c r="F203"/>
  <c r="N202"/>
  <c r="K202"/>
  <c r="J202"/>
  <c r="F202"/>
  <c r="N201"/>
  <c r="K201"/>
  <c r="J201"/>
  <c r="F201"/>
  <c r="N200"/>
  <c r="K200"/>
  <c r="J200"/>
  <c r="F200"/>
  <c r="N198"/>
  <c r="K198"/>
  <c r="J198"/>
  <c r="F198"/>
  <c r="N197"/>
  <c r="K197"/>
  <c r="L197" s="1"/>
  <c r="J197"/>
  <c r="N196"/>
  <c r="K196"/>
  <c r="J196"/>
  <c r="F196"/>
  <c r="L196" s="1"/>
  <c r="N194"/>
  <c r="K194"/>
  <c r="J194"/>
  <c r="F194"/>
  <c r="L194" s="1"/>
  <c r="N193"/>
  <c r="K193"/>
  <c r="L193" s="1"/>
  <c r="J193"/>
  <c r="N192"/>
  <c r="K192"/>
  <c r="J192"/>
  <c r="F192"/>
  <c r="L192" s="1"/>
  <c r="N190"/>
  <c r="K190"/>
  <c r="J190"/>
  <c r="F190"/>
  <c r="L190" s="1"/>
  <c r="K188"/>
  <c r="J188"/>
  <c r="F188"/>
  <c r="K186"/>
  <c r="J186"/>
  <c r="F186"/>
  <c r="N185"/>
  <c r="K185"/>
  <c r="L185" s="1"/>
  <c r="J185"/>
  <c r="N184"/>
  <c r="K184"/>
  <c r="J184"/>
  <c r="F184"/>
  <c r="L184" s="1"/>
  <c r="N183"/>
  <c r="K183"/>
  <c r="J183"/>
  <c r="F183"/>
  <c r="L183" s="1"/>
  <c r="N182"/>
  <c r="K182"/>
  <c r="J182"/>
  <c r="F182"/>
  <c r="L182" s="1"/>
  <c r="N181"/>
  <c r="K181"/>
  <c r="J181"/>
  <c r="F181"/>
  <c r="L181" s="1"/>
  <c r="N180"/>
  <c r="K180"/>
  <c r="L180" s="1"/>
  <c r="J180"/>
  <c r="N179"/>
  <c r="K179"/>
  <c r="J179"/>
  <c r="F179"/>
  <c r="L179" s="1"/>
  <c r="N177"/>
  <c r="K177"/>
  <c r="J177"/>
  <c r="F177"/>
  <c r="L177" s="1"/>
  <c r="N176"/>
  <c r="K176"/>
  <c r="J176"/>
  <c r="F176"/>
  <c r="L176" s="1"/>
  <c r="N175"/>
  <c r="K175"/>
  <c r="L175" s="1"/>
  <c r="J175"/>
  <c r="N174"/>
  <c r="K174"/>
  <c r="L174" s="1"/>
  <c r="J174"/>
  <c r="N173"/>
  <c r="K173"/>
  <c r="J173"/>
  <c r="F173"/>
  <c r="N172"/>
  <c r="K172"/>
  <c r="J172"/>
  <c r="F172"/>
  <c r="N171"/>
  <c r="K171"/>
  <c r="J171"/>
  <c r="F171"/>
  <c r="N170"/>
  <c r="K170"/>
  <c r="J170"/>
  <c r="F170"/>
  <c r="N169"/>
  <c r="K169"/>
  <c r="J169"/>
  <c r="F169"/>
  <c r="N168"/>
  <c r="K168"/>
  <c r="J168"/>
  <c r="F168"/>
  <c r="N166"/>
  <c r="K166"/>
  <c r="J166"/>
  <c r="F166"/>
  <c r="N165"/>
  <c r="K165"/>
  <c r="J165"/>
  <c r="F165"/>
  <c r="N164"/>
  <c r="K164"/>
  <c r="J164"/>
  <c r="F164"/>
  <c r="N163"/>
  <c r="K163"/>
  <c r="J163"/>
  <c r="F163"/>
  <c r="N162"/>
  <c r="K162"/>
  <c r="J162"/>
  <c r="F162"/>
  <c r="H141"/>
  <c r="H147" s="1"/>
  <c r="E141"/>
  <c r="D141"/>
  <c r="K116"/>
  <c r="J116"/>
  <c r="F116"/>
  <c r="L116" s="1"/>
  <c r="K63"/>
  <c r="L63" s="1"/>
  <c r="J63"/>
  <c r="K60"/>
  <c r="L60" s="1"/>
  <c r="J60"/>
  <c r="K58"/>
  <c r="J58"/>
  <c r="F58"/>
  <c r="K104"/>
  <c r="L104" s="1"/>
  <c r="J104"/>
  <c r="K52"/>
  <c r="L52" s="1"/>
  <c r="J52"/>
  <c r="K50"/>
  <c r="J50"/>
  <c r="F50"/>
  <c r="K49"/>
  <c r="J49"/>
  <c r="F49"/>
  <c r="L49" s="1"/>
  <c r="K41"/>
  <c r="L41" s="1"/>
  <c r="J41"/>
  <c r="K19"/>
  <c r="J19"/>
  <c r="F19"/>
  <c r="K8"/>
  <c r="L8" s="1"/>
  <c r="J8"/>
  <c r="K138"/>
  <c r="J138"/>
  <c r="F138"/>
  <c r="K135"/>
  <c r="J135"/>
  <c r="F135"/>
  <c r="K126"/>
  <c r="J126"/>
  <c r="F126"/>
  <c r="L126" s="1"/>
  <c r="K123"/>
  <c r="L123" s="1"/>
  <c r="J123"/>
  <c r="K106"/>
  <c r="J106"/>
  <c r="F106"/>
  <c r="K140"/>
  <c r="J140"/>
  <c r="F140"/>
  <c r="L140" s="1"/>
  <c r="K96"/>
  <c r="J96"/>
  <c r="F96"/>
  <c r="L96" s="1"/>
  <c r="K80"/>
  <c r="J80"/>
  <c r="F80"/>
  <c r="K78"/>
  <c r="J78"/>
  <c r="F78"/>
  <c r="K139"/>
  <c r="L139" s="1"/>
  <c r="J139"/>
  <c r="K137"/>
  <c r="J137"/>
  <c r="F137"/>
  <c r="K136"/>
  <c r="J136"/>
  <c r="F136"/>
  <c r="K134"/>
  <c r="J134"/>
  <c r="F134"/>
  <c r="L134" s="1"/>
  <c r="K133"/>
  <c r="L133" s="1"/>
  <c r="J133"/>
  <c r="K132"/>
  <c r="J132"/>
  <c r="F132"/>
  <c r="K131"/>
  <c r="J131"/>
  <c r="F131"/>
  <c r="L131" s="1"/>
  <c r="K130"/>
  <c r="J130"/>
  <c r="F130"/>
  <c r="L130" s="1"/>
  <c r="K129"/>
  <c r="L129" s="1"/>
  <c r="J129"/>
  <c r="K128"/>
  <c r="J128"/>
  <c r="F128"/>
  <c r="L128" s="1"/>
  <c r="K127"/>
  <c r="J127"/>
  <c r="F127"/>
  <c r="L127" s="1"/>
  <c r="K125"/>
  <c r="J125"/>
  <c r="F125"/>
  <c r="K124"/>
  <c r="J124"/>
  <c r="F124"/>
  <c r="K122"/>
  <c r="L122" s="1"/>
  <c r="J122"/>
  <c r="N106"/>
  <c r="K121"/>
  <c r="J121"/>
  <c r="F121"/>
  <c r="L121" s="1"/>
  <c r="N105"/>
  <c r="K120"/>
  <c r="J120"/>
  <c r="F120"/>
  <c r="L120" s="1"/>
  <c r="N104"/>
  <c r="K119"/>
  <c r="J119"/>
  <c r="F119"/>
  <c r="L119" s="1"/>
  <c r="N103"/>
  <c r="K118"/>
  <c r="J118"/>
  <c r="F118"/>
  <c r="L118" s="1"/>
  <c r="N102"/>
  <c r="K117"/>
  <c r="L117" s="1"/>
  <c r="J117"/>
  <c r="N101"/>
  <c r="K115"/>
  <c r="J115"/>
  <c r="F115"/>
  <c r="K114"/>
  <c r="L114" s="1"/>
  <c r="J114"/>
  <c r="N100"/>
  <c r="K113"/>
  <c r="J113"/>
  <c r="F113"/>
  <c r="L113" s="1"/>
  <c r="N99"/>
  <c r="K112"/>
  <c r="J112"/>
  <c r="F112"/>
  <c r="L112" s="1"/>
  <c r="N98"/>
  <c r="K111"/>
  <c r="J111"/>
  <c r="F111"/>
  <c r="L111" s="1"/>
  <c r="N97"/>
  <c r="K110"/>
  <c r="J110"/>
  <c r="F110"/>
  <c r="L110" s="1"/>
  <c r="N96"/>
  <c r="K109"/>
  <c r="J109"/>
  <c r="F109"/>
  <c r="L109" s="1"/>
  <c r="N95"/>
  <c r="K108"/>
  <c r="J108"/>
  <c r="F108"/>
  <c r="L108" s="1"/>
  <c r="N94"/>
  <c r="K107"/>
  <c r="J107"/>
  <c r="F107"/>
  <c r="L107" s="1"/>
  <c r="N93"/>
  <c r="K105"/>
  <c r="J105"/>
  <c r="F105"/>
  <c r="L105" s="1"/>
  <c r="N92"/>
  <c r="K103"/>
  <c r="J103"/>
  <c r="F103"/>
  <c r="L103" s="1"/>
  <c r="N91"/>
  <c r="K102"/>
  <c r="L102" s="1"/>
  <c r="J102"/>
  <c r="N90"/>
  <c r="K101"/>
  <c r="L101" s="1"/>
  <c r="J101"/>
  <c r="K159"/>
  <c r="J159"/>
  <c r="F159"/>
  <c r="N88"/>
  <c r="K100"/>
  <c r="L100" s="1"/>
  <c r="J100"/>
  <c r="N87"/>
  <c r="K99"/>
  <c r="L99" s="1"/>
  <c r="J99"/>
  <c r="K98"/>
  <c r="J98"/>
  <c r="F98"/>
  <c r="N85"/>
  <c r="K97"/>
  <c r="J97"/>
  <c r="F97"/>
  <c r="N84"/>
  <c r="K95"/>
  <c r="L95" s="1"/>
  <c r="J95"/>
  <c r="N83"/>
  <c r="K94"/>
  <c r="J94"/>
  <c r="F94"/>
  <c r="N82"/>
  <c r="K93"/>
  <c r="J93"/>
  <c r="F93"/>
  <c r="N81"/>
  <c r="K92"/>
  <c r="J92"/>
  <c r="F92"/>
  <c r="N80"/>
  <c r="K91"/>
  <c r="J91"/>
  <c r="F91"/>
  <c r="N79"/>
  <c r="K90"/>
  <c r="L90" s="1"/>
  <c r="J90"/>
  <c r="N78"/>
  <c r="K89"/>
  <c r="J89"/>
  <c r="F89"/>
  <c r="L89" s="1"/>
  <c r="N77"/>
  <c r="K88"/>
  <c r="L88" s="1"/>
  <c r="J88"/>
  <c r="N76"/>
  <c r="K87"/>
  <c r="J87"/>
  <c r="F87"/>
  <c r="L87" s="1"/>
  <c r="N75"/>
  <c r="K86"/>
  <c r="L86" s="1"/>
  <c r="J86"/>
  <c r="N74"/>
  <c r="K85"/>
  <c r="J85"/>
  <c r="F85"/>
  <c r="N73"/>
  <c r="K84"/>
  <c r="J84"/>
  <c r="F84"/>
  <c r="N72"/>
  <c r="K83"/>
  <c r="J83"/>
  <c r="F83"/>
  <c r="N71"/>
  <c r="K82"/>
  <c r="L82" s="1"/>
  <c r="J82"/>
  <c r="N70"/>
  <c r="K81"/>
  <c r="L81" s="1"/>
  <c r="J81"/>
  <c r="N69"/>
  <c r="K79"/>
  <c r="J79"/>
  <c r="F79"/>
  <c r="L79" s="1"/>
  <c r="N68"/>
  <c r="K77"/>
  <c r="J77"/>
  <c r="F77"/>
  <c r="L77" s="1"/>
  <c r="N67"/>
  <c r="K76"/>
  <c r="L76" s="1"/>
  <c r="J76"/>
  <c r="N66"/>
  <c r="K75"/>
  <c r="J75"/>
  <c r="F75"/>
  <c r="L75" s="1"/>
  <c r="N65"/>
  <c r="K74"/>
  <c r="J74"/>
  <c r="F74"/>
  <c r="L74" s="1"/>
  <c r="N64"/>
  <c r="K73"/>
  <c r="J73"/>
  <c r="F73"/>
  <c r="L73" s="1"/>
  <c r="N63"/>
  <c r="K72"/>
  <c r="J72"/>
  <c r="F72"/>
  <c r="L72" s="1"/>
  <c r="N62"/>
  <c r="K71"/>
  <c r="J71"/>
  <c r="F71"/>
  <c r="L71" s="1"/>
  <c r="N158"/>
  <c r="K70"/>
  <c r="L70" s="1"/>
  <c r="J70"/>
  <c r="N61"/>
  <c r="K69"/>
  <c r="L69" s="1"/>
  <c r="J69"/>
  <c r="N60"/>
  <c r="K68"/>
  <c r="J68"/>
  <c r="F68"/>
  <c r="N59"/>
  <c r="K67"/>
  <c r="L67" s="1"/>
  <c r="J67"/>
  <c r="N58"/>
  <c r="K66"/>
  <c r="J66"/>
  <c r="F66"/>
  <c r="L66" s="1"/>
  <c r="N57"/>
  <c r="K65"/>
  <c r="J65"/>
  <c r="F65"/>
  <c r="L65" s="1"/>
  <c r="N56"/>
  <c r="K64"/>
  <c r="J64"/>
  <c r="F64"/>
  <c r="L64" s="1"/>
  <c r="N55"/>
  <c r="K62"/>
  <c r="J62"/>
  <c r="F62"/>
  <c r="L62" s="1"/>
  <c r="K158"/>
  <c r="J158"/>
  <c r="F158"/>
  <c r="L158" s="1"/>
  <c r="N53"/>
  <c r="K61"/>
  <c r="L61" s="1"/>
  <c r="J61"/>
  <c r="N52"/>
  <c r="K59"/>
  <c r="J59"/>
  <c r="F59"/>
  <c r="N51"/>
  <c r="K57"/>
  <c r="J57"/>
  <c r="F57"/>
  <c r="N50"/>
  <c r="K56"/>
  <c r="L56" s="1"/>
  <c r="J56"/>
  <c r="N49"/>
  <c r="K55"/>
  <c r="J55"/>
  <c r="F55"/>
  <c r="N48"/>
  <c r="K54"/>
  <c r="L54" s="1"/>
  <c r="J54"/>
  <c r="N47"/>
  <c r="K53"/>
  <c r="L53" s="1"/>
  <c r="J53"/>
  <c r="N46"/>
  <c r="K51"/>
  <c r="J51"/>
  <c r="F51"/>
  <c r="L51" s="1"/>
  <c r="N45"/>
  <c r="K48"/>
  <c r="J48"/>
  <c r="F48"/>
  <c r="L48" s="1"/>
  <c r="N44"/>
  <c r="K47"/>
  <c r="J47"/>
  <c r="F47"/>
  <c r="L47" s="1"/>
  <c r="K46"/>
  <c r="J46"/>
  <c r="F46"/>
  <c r="N43"/>
  <c r="K45"/>
  <c r="J45"/>
  <c r="F45"/>
  <c r="N42"/>
  <c r="K44"/>
  <c r="J44"/>
  <c r="F44"/>
  <c r="K157"/>
  <c r="L157" s="1"/>
  <c r="J157"/>
  <c r="N40"/>
  <c r="K43"/>
  <c r="J43"/>
  <c r="F43"/>
  <c r="L43" s="1"/>
  <c r="N39"/>
  <c r="K42"/>
  <c r="J42"/>
  <c r="F42"/>
  <c r="L42" s="1"/>
  <c r="N38"/>
  <c r="K40"/>
  <c r="J40"/>
  <c r="F40"/>
  <c r="L40" s="1"/>
  <c r="N37"/>
  <c r="K39"/>
  <c r="J39"/>
  <c r="F39"/>
  <c r="L39" s="1"/>
  <c r="K38"/>
  <c r="J38"/>
  <c r="F38"/>
  <c r="L38" s="1"/>
  <c r="K37"/>
  <c r="L37" s="1"/>
  <c r="J37"/>
  <c r="N34"/>
  <c r="K36"/>
  <c r="J36"/>
  <c r="F36"/>
  <c r="N33"/>
  <c r="K35"/>
  <c r="J35"/>
  <c r="F35"/>
  <c r="N32"/>
  <c r="K34"/>
  <c r="J34"/>
  <c r="F34"/>
  <c r="N31"/>
  <c r="K33"/>
  <c r="J33"/>
  <c r="F33"/>
  <c r="N30"/>
  <c r="J32"/>
  <c r="F32"/>
  <c r="L32" s="1"/>
  <c r="N29"/>
  <c r="K31"/>
  <c r="L31" s="1"/>
  <c r="J31"/>
  <c r="N28"/>
  <c r="K30"/>
  <c r="L30" s="1"/>
  <c r="J30"/>
  <c r="N27"/>
  <c r="K29"/>
  <c r="J29"/>
  <c r="F29"/>
  <c r="N26"/>
  <c r="K28"/>
  <c r="J28"/>
  <c r="F28"/>
  <c r="N25"/>
  <c r="K27"/>
  <c r="J27"/>
  <c r="F27"/>
  <c r="K26"/>
  <c r="L26" s="1"/>
  <c r="J26"/>
  <c r="N23"/>
  <c r="K25"/>
  <c r="J25"/>
  <c r="F25"/>
  <c r="L25" s="1"/>
  <c r="N22"/>
  <c r="J24"/>
  <c r="F24"/>
  <c r="L24" s="1"/>
  <c r="N21"/>
  <c r="K23"/>
  <c r="J23"/>
  <c r="F23"/>
  <c r="L23" s="1"/>
  <c r="N20"/>
  <c r="K22"/>
  <c r="J22"/>
  <c r="F22"/>
  <c r="L22" s="1"/>
  <c r="N19"/>
  <c r="K21"/>
  <c r="L21" s="1"/>
  <c r="J21"/>
  <c r="N18"/>
  <c r="K20"/>
  <c r="L20" s="1"/>
  <c r="J20"/>
  <c r="N17"/>
  <c r="K18"/>
  <c r="J18"/>
  <c r="F18"/>
  <c r="N16"/>
  <c r="K17"/>
  <c r="J17"/>
  <c r="F17"/>
  <c r="N15"/>
  <c r="K16"/>
  <c r="J16"/>
  <c r="F16"/>
  <c r="N14"/>
  <c r="K15"/>
  <c r="L15" s="1"/>
  <c r="J15"/>
  <c r="N13"/>
  <c r="K14"/>
  <c r="J14"/>
  <c r="F14"/>
  <c r="L14" s="1"/>
  <c r="N12"/>
  <c r="K13"/>
  <c r="J13"/>
  <c r="F13"/>
  <c r="L13" s="1"/>
  <c r="N11"/>
  <c r="K12"/>
  <c r="J12"/>
  <c r="F12"/>
  <c r="L12" s="1"/>
  <c r="N10"/>
  <c r="K11"/>
  <c r="J11"/>
  <c r="F11"/>
  <c r="L11" s="1"/>
  <c r="N9"/>
  <c r="K10"/>
  <c r="J10"/>
  <c r="F10"/>
  <c r="L10" s="1"/>
  <c r="N156"/>
  <c r="K9"/>
  <c r="J9"/>
  <c r="F9"/>
  <c r="L9" s="1"/>
  <c r="K156"/>
  <c r="J156"/>
  <c r="F156"/>
  <c r="L156" s="1"/>
  <c r="N7"/>
  <c r="K7"/>
  <c r="J7"/>
  <c r="F7"/>
  <c r="L7" s="1"/>
  <c r="N6"/>
  <c r="K6"/>
  <c r="J6"/>
  <c r="F6"/>
  <c r="F141" s="1"/>
  <c r="E43" i="49"/>
  <c r="E44" s="1"/>
  <c r="E36"/>
  <c r="E35"/>
  <c r="E28"/>
  <c r="E27"/>
  <c r="J43"/>
  <c r="J36"/>
  <c r="J35"/>
  <c r="J28"/>
  <c r="J27"/>
  <c r="J20"/>
  <c r="J19"/>
  <c r="J12"/>
  <c r="C21"/>
  <c r="D44"/>
  <c r="G44"/>
  <c r="G46" s="1"/>
  <c r="C44"/>
  <c r="I43"/>
  <c r="E20"/>
  <c r="E12"/>
  <c r="E13" s="1"/>
  <c r="E19"/>
  <c r="J5"/>
  <c r="E5"/>
  <c r="E6" s="1"/>
  <c r="G37"/>
  <c r="G38" s="1"/>
  <c r="D37"/>
  <c r="C37"/>
  <c r="I36"/>
  <c r="I35"/>
  <c r="G29"/>
  <c r="D29"/>
  <c r="C29"/>
  <c r="K28"/>
  <c r="I28"/>
  <c r="K27"/>
  <c r="I27"/>
  <c r="G21"/>
  <c r="D21"/>
  <c r="I20"/>
  <c r="I19"/>
  <c r="G13"/>
  <c r="D13"/>
  <c r="C13"/>
  <c r="I12"/>
  <c r="G6"/>
  <c r="D6"/>
  <c r="C6"/>
  <c r="I5"/>
  <c r="L139" i="52" l="1"/>
  <c r="L27" i="51"/>
  <c r="L28"/>
  <c r="L29"/>
  <c r="L44"/>
  <c r="L45"/>
  <c r="L46"/>
  <c r="L57"/>
  <c r="L59"/>
  <c r="L83"/>
  <c r="L84"/>
  <c r="L85"/>
  <c r="L97"/>
  <c r="L98"/>
  <c r="L115"/>
  <c r="L125"/>
  <c r="L137"/>
  <c r="L80"/>
  <c r="L138"/>
  <c r="L58"/>
  <c r="L188"/>
  <c r="L214"/>
  <c r="L215"/>
  <c r="L216"/>
  <c r="L217"/>
  <c r="L218"/>
  <c r="L225"/>
  <c r="L229"/>
  <c r="L235"/>
  <c r="L239"/>
  <c r="L242"/>
  <c r="K141"/>
  <c r="L16"/>
  <c r="L17"/>
  <c r="L18"/>
  <c r="L33"/>
  <c r="L34"/>
  <c r="L35"/>
  <c r="L36"/>
  <c r="L55"/>
  <c r="L68"/>
  <c r="L91"/>
  <c r="L92"/>
  <c r="L93"/>
  <c r="L94"/>
  <c r="L159"/>
  <c r="L124"/>
  <c r="L132"/>
  <c r="L136"/>
  <c r="L78"/>
  <c r="L106"/>
  <c r="L135"/>
  <c r="L19"/>
  <c r="L50"/>
  <c r="L162"/>
  <c r="L163"/>
  <c r="L164"/>
  <c r="L165"/>
  <c r="L166"/>
  <c r="L168"/>
  <c r="L169"/>
  <c r="L170"/>
  <c r="L171"/>
  <c r="L172"/>
  <c r="L173"/>
  <c r="L186"/>
  <c r="L198"/>
  <c r="L200"/>
  <c r="L201"/>
  <c r="L202"/>
  <c r="L203"/>
  <c r="L204"/>
  <c r="L205"/>
  <c r="L206"/>
  <c r="L207"/>
  <c r="L208"/>
  <c r="L209"/>
  <c r="L210"/>
  <c r="L211"/>
  <c r="L212"/>
  <c r="L224"/>
  <c r="L228"/>
  <c r="L234"/>
  <c r="L238"/>
  <c r="L130" i="53"/>
  <c r="L6" i="51"/>
  <c r="K43" i="49"/>
  <c r="K44" s="1"/>
  <c r="E29"/>
  <c r="J21"/>
  <c r="J37"/>
  <c r="J44"/>
  <c r="E37"/>
  <c r="K36"/>
  <c r="E21"/>
  <c r="K20"/>
  <c r="J13"/>
  <c r="K5"/>
  <c r="K6" s="1"/>
  <c r="K29"/>
  <c r="J6"/>
  <c r="K12"/>
  <c r="K13" s="1"/>
  <c r="K19"/>
  <c r="J29"/>
  <c r="K35"/>
  <c r="K37" l="1"/>
  <c r="L141" i="51"/>
  <c r="K21" i="49"/>
  <c r="L128" i="47" l="1"/>
  <c r="L132"/>
  <c r="L136"/>
  <c r="L140"/>
  <c r="K126"/>
  <c r="K127"/>
  <c r="K128"/>
  <c r="K129"/>
  <c r="K130"/>
  <c r="L130" s="1"/>
  <c r="K131"/>
  <c r="K132"/>
  <c r="K133"/>
  <c r="K134"/>
  <c r="L134" s="1"/>
  <c r="K135"/>
  <c r="K136"/>
  <c r="K137"/>
  <c r="K138"/>
  <c r="K139"/>
  <c r="L139" s="1"/>
  <c r="K140"/>
  <c r="K141"/>
  <c r="K142"/>
  <c r="L142" s="1"/>
  <c r="K143"/>
  <c r="L143" s="1"/>
  <c r="K144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25"/>
  <c r="K125"/>
  <c r="E145"/>
  <c r="H145"/>
  <c r="H148" s="1"/>
  <c r="D145"/>
  <c r="F144"/>
  <c r="L144" s="1"/>
  <c r="F137"/>
  <c r="L137" s="1"/>
  <c r="F125"/>
  <c r="L125" s="1"/>
  <c r="F129"/>
  <c r="L129" s="1"/>
  <c r="F131"/>
  <c r="L131" s="1"/>
  <c r="F133"/>
  <c r="L133" s="1"/>
  <c r="F138"/>
  <c r="L138" s="1"/>
  <c r="F141"/>
  <c r="L141" s="1"/>
  <c r="F135"/>
  <c r="L135" s="1"/>
  <c r="F128"/>
  <c r="F132"/>
  <c r="F127"/>
  <c r="L127" s="1"/>
  <c r="F126"/>
  <c r="L126" s="1"/>
  <c r="N254"/>
  <c r="K254"/>
  <c r="J254"/>
  <c r="F254"/>
  <c r="L254" s="1"/>
  <c r="N253"/>
  <c r="K253"/>
  <c r="J253"/>
  <c r="F253"/>
  <c r="L253" s="1"/>
  <c r="N252"/>
  <c r="K252"/>
  <c r="J252"/>
  <c r="F252"/>
  <c r="L252" s="1"/>
  <c r="N251"/>
  <c r="K251"/>
  <c r="J251"/>
  <c r="F251"/>
  <c r="L251" s="1"/>
  <c r="N250"/>
  <c r="K250"/>
  <c r="J250"/>
  <c r="F250"/>
  <c r="L250" s="1"/>
  <c r="N248"/>
  <c r="K248"/>
  <c r="J248"/>
  <c r="F248"/>
  <c r="L248" s="1"/>
  <c r="N247"/>
  <c r="K247"/>
  <c r="J247"/>
  <c r="F247"/>
  <c r="L247" s="1"/>
  <c r="N246"/>
  <c r="K246"/>
  <c r="J246"/>
  <c r="F246"/>
  <c r="L246" s="1"/>
  <c r="N245"/>
  <c r="K245"/>
  <c r="J245"/>
  <c r="F245"/>
  <c r="L245" s="1"/>
  <c r="N244"/>
  <c r="K244"/>
  <c r="J244"/>
  <c r="F244"/>
  <c r="L244" s="1"/>
  <c r="K238"/>
  <c r="J238"/>
  <c r="F238"/>
  <c r="L238" s="1"/>
  <c r="K237"/>
  <c r="J237"/>
  <c r="F237"/>
  <c r="K236"/>
  <c r="L236" s="1"/>
  <c r="J236"/>
  <c r="K235"/>
  <c r="J235"/>
  <c r="F235"/>
  <c r="L235" s="1"/>
  <c r="K234"/>
  <c r="J234"/>
  <c r="F234"/>
  <c r="K233"/>
  <c r="J233"/>
  <c r="F233"/>
  <c r="K232"/>
  <c r="J232"/>
  <c r="F232"/>
  <c r="L232" s="1"/>
  <c r="K231"/>
  <c r="J231"/>
  <c r="F231"/>
  <c r="K230"/>
  <c r="J230"/>
  <c r="F230"/>
  <c r="K229"/>
  <c r="J229"/>
  <c r="F229"/>
  <c r="K228"/>
  <c r="J228"/>
  <c r="F228"/>
  <c r="L228" s="1"/>
  <c r="K227"/>
  <c r="L227" s="1"/>
  <c r="J227"/>
  <c r="K226"/>
  <c r="L226" s="1"/>
  <c r="J226"/>
  <c r="K225"/>
  <c r="J225"/>
  <c r="F225"/>
  <c r="L225" s="1"/>
  <c r="K224"/>
  <c r="J224"/>
  <c r="F224"/>
  <c r="K223"/>
  <c r="J223"/>
  <c r="F223"/>
  <c r="K222"/>
  <c r="J222"/>
  <c r="F222"/>
  <c r="L222" s="1"/>
  <c r="K221"/>
  <c r="J221"/>
  <c r="F221"/>
  <c r="L221" s="1"/>
  <c r="K220"/>
  <c r="J220"/>
  <c r="F220"/>
  <c r="K219"/>
  <c r="J219"/>
  <c r="F219"/>
  <c r="K218"/>
  <c r="L218" s="1"/>
  <c r="J218"/>
  <c r="N215"/>
  <c r="K215"/>
  <c r="J215"/>
  <c r="F215"/>
  <c r="L215" s="1"/>
  <c r="N214"/>
  <c r="K214"/>
  <c r="L214" s="1"/>
  <c r="J214"/>
  <c r="N213"/>
  <c r="K213"/>
  <c r="J213"/>
  <c r="F213"/>
  <c r="N212"/>
  <c r="K212"/>
  <c r="J212"/>
  <c r="F212"/>
  <c r="N211"/>
  <c r="K211"/>
  <c r="J211"/>
  <c r="F211"/>
  <c r="N210"/>
  <c r="K210"/>
  <c r="J210"/>
  <c r="F210"/>
  <c r="N209"/>
  <c r="K209"/>
  <c r="J209"/>
  <c r="F209"/>
  <c r="N208"/>
  <c r="K208"/>
  <c r="L208" s="1"/>
  <c r="J208"/>
  <c r="N207"/>
  <c r="K207"/>
  <c r="J207"/>
  <c r="F207"/>
  <c r="N206"/>
  <c r="K206"/>
  <c r="J206"/>
  <c r="F206"/>
  <c r="N205"/>
  <c r="K205"/>
  <c r="J205"/>
  <c r="F205"/>
  <c r="N204"/>
  <c r="K204"/>
  <c r="J204"/>
  <c r="F204"/>
  <c r="L204" s="1"/>
  <c r="N203"/>
  <c r="K203"/>
  <c r="J203"/>
  <c r="F203"/>
  <c r="L203" s="1"/>
  <c r="N202"/>
  <c r="K202"/>
  <c r="J202"/>
  <c r="F202"/>
  <c r="L202" s="1"/>
  <c r="N201"/>
  <c r="K201"/>
  <c r="J201"/>
  <c r="F201"/>
  <c r="L201" s="1"/>
  <c r="N200"/>
  <c r="K200"/>
  <c r="J200"/>
  <c r="F200"/>
  <c r="L200" s="1"/>
  <c r="N199"/>
  <c r="K199"/>
  <c r="J199"/>
  <c r="F199"/>
  <c r="L199" s="1"/>
  <c r="N198"/>
  <c r="K198"/>
  <c r="J198"/>
  <c r="F198"/>
  <c r="L198" s="1"/>
  <c r="N197"/>
  <c r="K197"/>
  <c r="J197"/>
  <c r="F197"/>
  <c r="L197" s="1"/>
  <c r="N196"/>
  <c r="K196"/>
  <c r="J196"/>
  <c r="F196"/>
  <c r="L196" s="1"/>
  <c r="N195"/>
  <c r="K195"/>
  <c r="J195"/>
  <c r="F195"/>
  <c r="L195" s="1"/>
  <c r="N193"/>
  <c r="K193"/>
  <c r="J193"/>
  <c r="F193"/>
  <c r="L193" s="1"/>
  <c r="N192"/>
  <c r="K192"/>
  <c r="L192" s="1"/>
  <c r="J192"/>
  <c r="N191"/>
  <c r="K191"/>
  <c r="J191"/>
  <c r="F191"/>
  <c r="L191" s="1"/>
  <c r="N189"/>
  <c r="K189"/>
  <c r="J189"/>
  <c r="F189"/>
  <c r="L189" s="1"/>
  <c r="N188"/>
  <c r="K188"/>
  <c r="L188" s="1"/>
  <c r="J188"/>
  <c r="N187"/>
  <c r="K187"/>
  <c r="J187"/>
  <c r="F187"/>
  <c r="N185"/>
  <c r="K185"/>
  <c r="J185"/>
  <c r="F185"/>
  <c r="K183"/>
  <c r="J183"/>
  <c r="F183"/>
  <c r="K181"/>
  <c r="J181"/>
  <c r="F181"/>
  <c r="L181" s="1"/>
  <c r="N180"/>
  <c r="K180"/>
  <c r="L180" s="1"/>
  <c r="J180"/>
  <c r="N179"/>
  <c r="K179"/>
  <c r="J179"/>
  <c r="F179"/>
  <c r="L179" s="1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L175" s="1"/>
  <c r="J175"/>
  <c r="N174"/>
  <c r="K174"/>
  <c r="J174"/>
  <c r="F174"/>
  <c r="N172"/>
  <c r="K172"/>
  <c r="J172"/>
  <c r="F172"/>
  <c r="N171"/>
  <c r="K171"/>
  <c r="J171"/>
  <c r="F171"/>
  <c r="N170"/>
  <c r="K170"/>
  <c r="L170" s="1"/>
  <c r="J170"/>
  <c r="N169"/>
  <c r="K169"/>
  <c r="L169" s="1"/>
  <c r="J169"/>
  <c r="N168"/>
  <c r="K168"/>
  <c r="J168"/>
  <c r="F168"/>
  <c r="L168" s="1"/>
  <c r="N167"/>
  <c r="K167"/>
  <c r="J167"/>
  <c r="F167"/>
  <c r="L167" s="1"/>
  <c r="N166"/>
  <c r="K166"/>
  <c r="J166"/>
  <c r="F166"/>
  <c r="L166" s="1"/>
  <c r="N165"/>
  <c r="K165"/>
  <c r="J165"/>
  <c r="F165"/>
  <c r="L165" s="1"/>
  <c r="N164"/>
  <c r="K164"/>
  <c r="J164"/>
  <c r="F164"/>
  <c r="L164" s="1"/>
  <c r="N163"/>
  <c r="K163"/>
  <c r="J163"/>
  <c r="F163"/>
  <c r="L163" s="1"/>
  <c r="K104"/>
  <c r="L104" s="1"/>
  <c r="J104"/>
  <c r="K92"/>
  <c r="J92"/>
  <c r="F92"/>
  <c r="K89"/>
  <c r="J89"/>
  <c r="F89"/>
  <c r="L89" s="1"/>
  <c r="K56"/>
  <c r="J56"/>
  <c r="F56"/>
  <c r="L56" s="1"/>
  <c r="K42"/>
  <c r="L42" s="1"/>
  <c r="J42"/>
  <c r="K8"/>
  <c r="J8"/>
  <c r="F8"/>
  <c r="L8" s="1"/>
  <c r="K124"/>
  <c r="L124" s="1"/>
  <c r="J124"/>
  <c r="K123"/>
  <c r="J123"/>
  <c r="F123"/>
  <c r="K122"/>
  <c r="J122"/>
  <c r="F122"/>
  <c r="L122" s="1"/>
  <c r="K121"/>
  <c r="J121"/>
  <c r="F121"/>
  <c r="K120"/>
  <c r="L120" s="1"/>
  <c r="J120"/>
  <c r="K119"/>
  <c r="J119"/>
  <c r="F119"/>
  <c r="L119" s="1"/>
  <c r="K118"/>
  <c r="J118"/>
  <c r="F118"/>
  <c r="L118" s="1"/>
  <c r="K117"/>
  <c r="J117"/>
  <c r="F117"/>
  <c r="K116"/>
  <c r="L116" s="1"/>
  <c r="J116"/>
  <c r="K115"/>
  <c r="J115"/>
  <c r="F115"/>
  <c r="L115" s="1"/>
  <c r="K114"/>
  <c r="J114"/>
  <c r="F114"/>
  <c r="K113"/>
  <c r="J113"/>
  <c r="F113"/>
  <c r="K112"/>
  <c r="J112"/>
  <c r="F112"/>
  <c r="L112" s="1"/>
  <c r="K111"/>
  <c r="L111" s="1"/>
  <c r="J111"/>
  <c r="N110"/>
  <c r="K110"/>
  <c r="J110"/>
  <c r="F110"/>
  <c r="N109"/>
  <c r="K109"/>
  <c r="J109"/>
  <c r="F109"/>
  <c r="N108"/>
  <c r="K108"/>
  <c r="J108"/>
  <c r="F108"/>
  <c r="N107"/>
  <c r="K107"/>
  <c r="J107"/>
  <c r="F107"/>
  <c r="N106"/>
  <c r="K106"/>
  <c r="L106" s="1"/>
  <c r="J106"/>
  <c r="N161"/>
  <c r="K161"/>
  <c r="J161"/>
  <c r="F161"/>
  <c r="N105"/>
  <c r="K105"/>
  <c r="J105"/>
  <c r="F105"/>
  <c r="N103"/>
  <c r="K103"/>
  <c r="J103"/>
  <c r="F103"/>
  <c r="N102"/>
  <c r="K102"/>
  <c r="J102"/>
  <c r="F102"/>
  <c r="N101"/>
  <c r="K101"/>
  <c r="J101"/>
  <c r="F101"/>
  <c r="N100"/>
  <c r="K100"/>
  <c r="J100"/>
  <c r="F100"/>
  <c r="N99"/>
  <c r="K99"/>
  <c r="J99"/>
  <c r="F99"/>
  <c r="N98"/>
  <c r="K98"/>
  <c r="J98"/>
  <c r="F98"/>
  <c r="N97"/>
  <c r="K97"/>
  <c r="J97"/>
  <c r="F97"/>
  <c r="N96"/>
  <c r="K96"/>
  <c r="J96"/>
  <c r="F96"/>
  <c r="N95"/>
  <c r="K95"/>
  <c r="J95"/>
  <c r="F95"/>
  <c r="N94"/>
  <c r="K94"/>
  <c r="L94" s="1"/>
  <c r="J94"/>
  <c r="N93"/>
  <c r="K93"/>
  <c r="L93" s="1"/>
  <c r="J93"/>
  <c r="N160"/>
  <c r="K160"/>
  <c r="J160"/>
  <c r="F160"/>
  <c r="L160" s="1"/>
  <c r="N91"/>
  <c r="K91"/>
  <c r="L91" s="1"/>
  <c r="J91"/>
  <c r="N90"/>
  <c r="K90"/>
  <c r="L90" s="1"/>
  <c r="J90"/>
  <c r="N88"/>
  <c r="K88"/>
  <c r="J88"/>
  <c r="F88"/>
  <c r="N87"/>
  <c r="K87"/>
  <c r="L87" s="1"/>
  <c r="J87"/>
  <c r="N86"/>
  <c r="K86"/>
  <c r="J86"/>
  <c r="F86"/>
  <c r="N85"/>
  <c r="K85"/>
  <c r="J85"/>
  <c r="F85"/>
  <c r="N84"/>
  <c r="K84"/>
  <c r="J84"/>
  <c r="F84"/>
  <c r="N83"/>
  <c r="K83"/>
  <c r="J83"/>
  <c r="F83"/>
  <c r="N82"/>
  <c r="K82"/>
  <c r="L82" s="1"/>
  <c r="J82"/>
  <c r="N81"/>
  <c r="K81"/>
  <c r="J81"/>
  <c r="F81"/>
  <c r="L81" s="1"/>
  <c r="N80"/>
  <c r="K80"/>
  <c r="L80" s="1"/>
  <c r="J80"/>
  <c r="N79"/>
  <c r="K79"/>
  <c r="J79"/>
  <c r="F79"/>
  <c r="L79" s="1"/>
  <c r="N78"/>
  <c r="K78"/>
  <c r="L78" s="1"/>
  <c r="J78"/>
  <c r="N77"/>
  <c r="K77"/>
  <c r="J77"/>
  <c r="F77"/>
  <c r="N76"/>
  <c r="K76"/>
  <c r="J76"/>
  <c r="F76"/>
  <c r="N75"/>
  <c r="K75"/>
  <c r="J75"/>
  <c r="F75"/>
  <c r="N74"/>
  <c r="K74"/>
  <c r="L74" s="1"/>
  <c r="J74"/>
  <c r="N73"/>
  <c r="K73"/>
  <c r="L73" s="1"/>
  <c r="J73"/>
  <c r="N72"/>
  <c r="K72"/>
  <c r="J72"/>
  <c r="F72"/>
  <c r="L72" s="1"/>
  <c r="N71"/>
  <c r="K71"/>
  <c r="J71"/>
  <c r="F71"/>
  <c r="L71" s="1"/>
  <c r="N70"/>
  <c r="K70"/>
  <c r="L70" s="1"/>
  <c r="J70"/>
  <c r="N69"/>
  <c r="K69"/>
  <c r="J69"/>
  <c r="F69"/>
  <c r="L69" s="1"/>
  <c r="N68"/>
  <c r="K68"/>
  <c r="J68"/>
  <c r="F68"/>
  <c r="L68" s="1"/>
  <c r="N67"/>
  <c r="K67"/>
  <c r="J67"/>
  <c r="F67"/>
  <c r="L67" s="1"/>
  <c r="N66"/>
  <c r="K66"/>
  <c r="J66"/>
  <c r="F66"/>
  <c r="L66" s="1"/>
  <c r="N65"/>
  <c r="K65"/>
  <c r="J65"/>
  <c r="F65"/>
  <c r="L65" s="1"/>
  <c r="N64"/>
  <c r="K64"/>
  <c r="L64" s="1"/>
  <c r="J64"/>
  <c r="N63"/>
  <c r="K63"/>
  <c r="L63" s="1"/>
  <c r="J63"/>
  <c r="N62"/>
  <c r="K62"/>
  <c r="J62"/>
  <c r="F62"/>
  <c r="N159"/>
  <c r="K159"/>
  <c r="J159"/>
  <c r="F159"/>
  <c r="N61"/>
  <c r="K61"/>
  <c r="L61" s="1"/>
  <c r="J61"/>
  <c r="N60"/>
  <c r="K60"/>
  <c r="J60"/>
  <c r="F60"/>
  <c r="L60" s="1"/>
  <c r="N59"/>
  <c r="K59"/>
  <c r="J59"/>
  <c r="F59"/>
  <c r="L59" s="1"/>
  <c r="N58"/>
  <c r="K58"/>
  <c r="J58"/>
  <c r="F58"/>
  <c r="L58" s="1"/>
  <c r="N57"/>
  <c r="K57"/>
  <c r="J57"/>
  <c r="F57"/>
  <c r="L57" s="1"/>
  <c r="N55"/>
  <c r="K55"/>
  <c r="L55" s="1"/>
  <c r="J55"/>
  <c r="N54"/>
  <c r="K54"/>
  <c r="J54"/>
  <c r="F54"/>
  <c r="L54" s="1"/>
  <c r="N53"/>
  <c r="K53"/>
  <c r="J53"/>
  <c r="F53"/>
  <c r="L53" s="1"/>
  <c r="N52"/>
  <c r="K52"/>
  <c r="L52" s="1"/>
  <c r="J52"/>
  <c r="N51"/>
  <c r="K51"/>
  <c r="J51"/>
  <c r="F51"/>
  <c r="N50"/>
  <c r="K50"/>
  <c r="L50" s="1"/>
  <c r="J50"/>
  <c r="N49"/>
  <c r="K49"/>
  <c r="L49" s="1"/>
  <c r="J49"/>
  <c r="N48"/>
  <c r="K48"/>
  <c r="J48"/>
  <c r="F48"/>
  <c r="L48" s="1"/>
  <c r="N47"/>
  <c r="K47"/>
  <c r="J47"/>
  <c r="F47"/>
  <c r="L47" s="1"/>
  <c r="N46"/>
  <c r="K46"/>
  <c r="J46"/>
  <c r="F46"/>
  <c r="L46" s="1"/>
  <c r="K45"/>
  <c r="J45"/>
  <c r="F45"/>
  <c r="L45" s="1"/>
  <c r="N44"/>
  <c r="K44"/>
  <c r="J44"/>
  <c r="F44"/>
  <c r="L44" s="1"/>
  <c r="N158"/>
  <c r="K158"/>
  <c r="J158"/>
  <c r="F158"/>
  <c r="L158" s="1"/>
  <c r="N43"/>
  <c r="K43"/>
  <c r="J43"/>
  <c r="F43"/>
  <c r="L43" s="1"/>
  <c r="N41"/>
  <c r="K41"/>
  <c r="J41"/>
  <c r="F41"/>
  <c r="L41" s="1"/>
  <c r="N40"/>
  <c r="K40"/>
  <c r="J40"/>
  <c r="F40"/>
  <c r="L40" s="1"/>
  <c r="N39"/>
  <c r="K39"/>
  <c r="J39"/>
  <c r="F39"/>
  <c r="L39" s="1"/>
  <c r="N38"/>
  <c r="K38"/>
  <c r="J38"/>
  <c r="F38"/>
  <c r="L38" s="1"/>
  <c r="K37"/>
  <c r="J37"/>
  <c r="F37"/>
  <c r="K36"/>
  <c r="L36" s="1"/>
  <c r="J36"/>
  <c r="N35"/>
  <c r="K35"/>
  <c r="J35"/>
  <c r="F35"/>
  <c r="L35" s="1"/>
  <c r="N34"/>
  <c r="K34"/>
  <c r="J34"/>
  <c r="F34"/>
  <c r="L34" s="1"/>
  <c r="N33"/>
  <c r="K33"/>
  <c r="J33"/>
  <c r="F33"/>
  <c r="L33" s="1"/>
  <c r="N32"/>
  <c r="K32"/>
  <c r="J32"/>
  <c r="F32"/>
  <c r="L32" s="1"/>
  <c r="N31"/>
  <c r="J31"/>
  <c r="F31"/>
  <c r="L31" s="1"/>
  <c r="N30"/>
  <c r="K30"/>
  <c r="L30" s="1"/>
  <c r="J30"/>
  <c r="N29"/>
  <c r="K29"/>
  <c r="L29" s="1"/>
  <c r="J29"/>
  <c r="N28"/>
  <c r="K28"/>
  <c r="J28"/>
  <c r="F28"/>
  <c r="N27"/>
  <c r="K27"/>
  <c r="J27"/>
  <c r="F27"/>
  <c r="N26"/>
  <c r="K26"/>
  <c r="J26"/>
  <c r="F26"/>
  <c r="K25"/>
  <c r="L25" s="1"/>
  <c r="J25"/>
  <c r="N24"/>
  <c r="K24"/>
  <c r="J24"/>
  <c r="F24"/>
  <c r="L24" s="1"/>
  <c r="N23"/>
  <c r="J23"/>
  <c r="F23"/>
  <c r="L23" s="1"/>
  <c r="N22"/>
  <c r="K22"/>
  <c r="J22"/>
  <c r="F22"/>
  <c r="N21"/>
  <c r="K21"/>
  <c r="J21"/>
  <c r="F21"/>
  <c r="N20"/>
  <c r="K20"/>
  <c r="L20" s="1"/>
  <c r="J20"/>
  <c r="N19"/>
  <c r="K19"/>
  <c r="L19" s="1"/>
  <c r="J19"/>
  <c r="N18"/>
  <c r="K18"/>
  <c r="J18"/>
  <c r="F18"/>
  <c r="L18" s="1"/>
  <c r="N17"/>
  <c r="K17"/>
  <c r="J17"/>
  <c r="F17"/>
  <c r="L17" s="1"/>
  <c r="N16"/>
  <c r="K16"/>
  <c r="J16"/>
  <c r="F16"/>
  <c r="L16" s="1"/>
  <c r="N15"/>
  <c r="K15"/>
  <c r="L15" s="1"/>
  <c r="J15"/>
  <c r="N157"/>
  <c r="K157"/>
  <c r="J157"/>
  <c r="F157"/>
  <c r="L157" s="1"/>
  <c r="N14"/>
  <c r="K14"/>
  <c r="J14"/>
  <c r="F14"/>
  <c r="L14" s="1"/>
  <c r="N13"/>
  <c r="K13"/>
  <c r="J13"/>
  <c r="F13"/>
  <c r="L13" s="1"/>
  <c r="N12"/>
  <c r="K12"/>
  <c r="J12"/>
  <c r="F12"/>
  <c r="L12" s="1"/>
  <c r="N11"/>
  <c r="K11"/>
  <c r="J11"/>
  <c r="F11"/>
  <c r="L11" s="1"/>
  <c r="N10"/>
  <c r="K10"/>
  <c r="J10"/>
  <c r="F10"/>
  <c r="L10" s="1"/>
  <c r="N9"/>
  <c r="K9"/>
  <c r="J9"/>
  <c r="F9"/>
  <c r="L9" s="1"/>
  <c r="N7"/>
  <c r="K7"/>
  <c r="J7"/>
  <c r="F7"/>
  <c r="L7" s="1"/>
  <c r="N6"/>
  <c r="K6"/>
  <c r="J6"/>
  <c r="F6"/>
  <c r="L6" s="1"/>
  <c r="L107" l="1"/>
  <c r="L108"/>
  <c r="L109"/>
  <c r="L110"/>
  <c r="L114"/>
  <c r="L117"/>
  <c r="L171"/>
  <c r="L172"/>
  <c r="L174"/>
  <c r="L185"/>
  <c r="L187"/>
  <c r="L22"/>
  <c r="L37"/>
  <c r="L51"/>
  <c r="L75"/>
  <c r="L76"/>
  <c r="L77"/>
  <c r="L88"/>
  <c r="L95"/>
  <c r="L96"/>
  <c r="L97"/>
  <c r="L98"/>
  <c r="L99"/>
  <c r="L100"/>
  <c r="L101"/>
  <c r="L102"/>
  <c r="L103"/>
  <c r="L105"/>
  <c r="L161"/>
  <c r="L113"/>
  <c r="L123"/>
  <c r="L92"/>
  <c r="L183"/>
  <c r="L209"/>
  <c r="L210"/>
  <c r="L211"/>
  <c r="L212"/>
  <c r="L213"/>
  <c r="L220"/>
  <c r="L224"/>
  <c r="L230"/>
  <c r="L234"/>
  <c r="L237"/>
  <c r="L21"/>
  <c r="L26"/>
  <c r="L27"/>
  <c r="L28"/>
  <c r="L159"/>
  <c r="L62"/>
  <c r="L83"/>
  <c r="L84"/>
  <c r="L85"/>
  <c r="L86"/>
  <c r="L205"/>
  <c r="L206"/>
  <c r="L207"/>
  <c r="L219"/>
  <c r="L223"/>
  <c r="L229"/>
  <c r="L233"/>
  <c r="F145"/>
  <c r="K145"/>
  <c r="L231"/>
  <c r="L121"/>
  <c r="L145" s="1"/>
  <c r="H130" i="45"/>
  <c r="E130"/>
  <c r="D130"/>
  <c r="K129"/>
  <c r="L129" s="1"/>
  <c r="J129"/>
  <c r="K128"/>
  <c r="J128"/>
  <c r="K127"/>
  <c r="J127"/>
  <c r="K126"/>
  <c r="J126"/>
  <c r="K125"/>
  <c r="L125" s="1"/>
  <c r="J125"/>
  <c r="K124"/>
  <c r="J124"/>
  <c r="F126"/>
  <c r="L126" s="1"/>
  <c r="F128"/>
  <c r="L128" s="1"/>
  <c r="F127"/>
  <c r="F124"/>
  <c r="L124" s="1"/>
  <c r="L127" l="1"/>
  <c r="N228" l="1"/>
  <c r="K228"/>
  <c r="J228"/>
  <c r="F228"/>
  <c r="L228" s="1"/>
  <c r="N227"/>
  <c r="K227"/>
  <c r="J227"/>
  <c r="F227"/>
  <c r="L227" s="1"/>
  <c r="N226"/>
  <c r="K226"/>
  <c r="J226"/>
  <c r="F226"/>
  <c r="L226" s="1"/>
  <c r="N225"/>
  <c r="K225"/>
  <c r="J225"/>
  <c r="F225"/>
  <c r="L225" s="1"/>
  <c r="N224"/>
  <c r="K224"/>
  <c r="J224"/>
  <c r="F224"/>
  <c r="L224" s="1"/>
  <c r="N222"/>
  <c r="K222"/>
  <c r="J222"/>
  <c r="F222"/>
  <c r="L222" s="1"/>
  <c r="N221"/>
  <c r="K221"/>
  <c r="J221"/>
  <c r="F221"/>
  <c r="L221" s="1"/>
  <c r="N220"/>
  <c r="K220"/>
  <c r="J220"/>
  <c r="F220"/>
  <c r="L220" s="1"/>
  <c r="N219"/>
  <c r="K219"/>
  <c r="J219"/>
  <c r="F219"/>
  <c r="L219" s="1"/>
  <c r="N218"/>
  <c r="K218"/>
  <c r="J218"/>
  <c r="F218"/>
  <c r="L218" s="1"/>
  <c r="K212"/>
  <c r="J212"/>
  <c r="F212"/>
  <c r="L212" s="1"/>
  <c r="K211"/>
  <c r="J211"/>
  <c r="F211"/>
  <c r="K210"/>
  <c r="L210" s="1"/>
  <c r="J210"/>
  <c r="K209"/>
  <c r="J209"/>
  <c r="F209"/>
  <c r="L209" s="1"/>
  <c r="K208"/>
  <c r="J208"/>
  <c r="F208"/>
  <c r="K207"/>
  <c r="J207"/>
  <c r="F207"/>
  <c r="K206"/>
  <c r="J206"/>
  <c r="F206"/>
  <c r="L206" s="1"/>
  <c r="K205"/>
  <c r="J205"/>
  <c r="F205"/>
  <c r="L205" s="1"/>
  <c r="K204"/>
  <c r="J204"/>
  <c r="F204"/>
  <c r="K203"/>
  <c r="J203"/>
  <c r="F203"/>
  <c r="K202"/>
  <c r="J202"/>
  <c r="F202"/>
  <c r="L202" s="1"/>
  <c r="K201"/>
  <c r="L201" s="1"/>
  <c r="J201"/>
  <c r="K200"/>
  <c r="L200" s="1"/>
  <c r="J200"/>
  <c r="K199"/>
  <c r="J199"/>
  <c r="F199"/>
  <c r="L199" s="1"/>
  <c r="K198"/>
  <c r="J198"/>
  <c r="F198"/>
  <c r="K197"/>
  <c r="J197"/>
  <c r="F197"/>
  <c r="K196"/>
  <c r="J196"/>
  <c r="F196"/>
  <c r="L196" s="1"/>
  <c r="K195"/>
  <c r="J195"/>
  <c r="F195"/>
  <c r="L195" s="1"/>
  <c r="K194"/>
  <c r="J194"/>
  <c r="F194"/>
  <c r="K193"/>
  <c r="J193"/>
  <c r="F193"/>
  <c r="K192"/>
  <c r="L192" s="1"/>
  <c r="J192"/>
  <c r="N189"/>
  <c r="K189"/>
  <c r="J189"/>
  <c r="F189"/>
  <c r="L189" s="1"/>
  <c r="N188"/>
  <c r="K188"/>
  <c r="L188" s="1"/>
  <c r="J188"/>
  <c r="N187"/>
  <c r="K187"/>
  <c r="J187"/>
  <c r="F187"/>
  <c r="N186"/>
  <c r="K186"/>
  <c r="J186"/>
  <c r="F186"/>
  <c r="N185"/>
  <c r="K185"/>
  <c r="J185"/>
  <c r="F185"/>
  <c r="N184"/>
  <c r="K184"/>
  <c r="J184"/>
  <c r="F184"/>
  <c r="N183"/>
  <c r="K183"/>
  <c r="J183"/>
  <c r="F183"/>
  <c r="N182"/>
  <c r="K182"/>
  <c r="L182" s="1"/>
  <c r="J182"/>
  <c r="N181"/>
  <c r="K181"/>
  <c r="J181"/>
  <c r="F181"/>
  <c r="N180"/>
  <c r="K180"/>
  <c r="J180"/>
  <c r="F180"/>
  <c r="N179"/>
  <c r="K179"/>
  <c r="J179"/>
  <c r="F179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3"/>
  <c r="K173"/>
  <c r="J173"/>
  <c r="F173"/>
  <c r="L173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7"/>
  <c r="K167"/>
  <c r="J167"/>
  <c r="F167"/>
  <c r="L167" s="1"/>
  <c r="N166"/>
  <c r="K166"/>
  <c r="L166" s="1"/>
  <c r="J166"/>
  <c r="N165"/>
  <c r="K165"/>
  <c r="J165"/>
  <c r="F165"/>
  <c r="L165" s="1"/>
  <c r="N163"/>
  <c r="K163"/>
  <c r="J163"/>
  <c r="F163"/>
  <c r="L163" s="1"/>
  <c r="N162"/>
  <c r="K162"/>
  <c r="L162" s="1"/>
  <c r="J162"/>
  <c r="N161"/>
  <c r="K161"/>
  <c r="J161"/>
  <c r="F161"/>
  <c r="L161" s="1"/>
  <c r="N159"/>
  <c r="K159"/>
  <c r="J159"/>
  <c r="F159"/>
  <c r="L159" s="1"/>
  <c r="K157"/>
  <c r="J157"/>
  <c r="F157"/>
  <c r="K155"/>
  <c r="J155"/>
  <c r="F155"/>
  <c r="N154"/>
  <c r="K154"/>
  <c r="L154" s="1"/>
  <c r="J154"/>
  <c r="N153"/>
  <c r="K153"/>
  <c r="J153"/>
  <c r="F153"/>
  <c r="L153" s="1"/>
  <c r="N152"/>
  <c r="K152"/>
  <c r="J152"/>
  <c r="F152"/>
  <c r="L152" s="1"/>
  <c r="N151"/>
  <c r="K151"/>
  <c r="J151"/>
  <c r="F151"/>
  <c r="L151" s="1"/>
  <c r="N150"/>
  <c r="K150"/>
  <c r="J150"/>
  <c r="F150"/>
  <c r="L150" s="1"/>
  <c r="N149"/>
  <c r="K149"/>
  <c r="L149" s="1"/>
  <c r="J149"/>
  <c r="N148"/>
  <c r="K148"/>
  <c r="J148"/>
  <c r="F148"/>
  <c r="L148" s="1"/>
  <c r="N146"/>
  <c r="K146"/>
  <c r="J146"/>
  <c r="F146"/>
  <c r="L146" s="1"/>
  <c r="N145"/>
  <c r="K145"/>
  <c r="J145"/>
  <c r="F145"/>
  <c r="L145" s="1"/>
  <c r="N144"/>
  <c r="K144"/>
  <c r="L144" s="1"/>
  <c r="J144"/>
  <c r="N143"/>
  <c r="K143"/>
  <c r="L143" s="1"/>
  <c r="J143"/>
  <c r="N142"/>
  <c r="K142"/>
  <c r="J142"/>
  <c r="F142"/>
  <c r="N141"/>
  <c r="K141"/>
  <c r="J141"/>
  <c r="F141"/>
  <c r="N140"/>
  <c r="K140"/>
  <c r="J140"/>
  <c r="F140"/>
  <c r="N139"/>
  <c r="K139"/>
  <c r="J139"/>
  <c r="F139"/>
  <c r="N138"/>
  <c r="K138"/>
  <c r="J138"/>
  <c r="F138"/>
  <c r="N137"/>
  <c r="K137"/>
  <c r="J137"/>
  <c r="F137"/>
  <c r="K78"/>
  <c r="L78" s="1"/>
  <c r="J78"/>
  <c r="K8"/>
  <c r="J8"/>
  <c r="F8"/>
  <c r="K123"/>
  <c r="L123" s="1"/>
  <c r="J123"/>
  <c r="K122"/>
  <c r="J122"/>
  <c r="F122"/>
  <c r="L122" s="1"/>
  <c r="K121"/>
  <c r="J121"/>
  <c r="F121"/>
  <c r="K120"/>
  <c r="J120"/>
  <c r="F120"/>
  <c r="K119"/>
  <c r="L119" s="1"/>
  <c r="J119"/>
  <c r="K118"/>
  <c r="J118"/>
  <c r="F118"/>
  <c r="K117"/>
  <c r="J117"/>
  <c r="F117"/>
  <c r="K116"/>
  <c r="J116"/>
  <c r="F116"/>
  <c r="L116" s="1"/>
  <c r="K115"/>
  <c r="L115" s="1"/>
  <c r="J115"/>
  <c r="K114"/>
  <c r="J114"/>
  <c r="F114"/>
  <c r="K113"/>
  <c r="J113"/>
  <c r="F113"/>
  <c r="L113" s="1"/>
  <c r="K112"/>
  <c r="J112"/>
  <c r="F112"/>
  <c r="L112" s="1"/>
  <c r="N109"/>
  <c r="K111"/>
  <c r="J111"/>
  <c r="F111"/>
  <c r="L111" s="1"/>
  <c r="N108"/>
  <c r="K110"/>
  <c r="L110" s="1"/>
  <c r="J110"/>
  <c r="N107"/>
  <c r="K109"/>
  <c r="J109"/>
  <c r="F109"/>
  <c r="N106"/>
  <c r="K108"/>
  <c r="J108"/>
  <c r="F108"/>
  <c r="N105"/>
  <c r="K107"/>
  <c r="J107"/>
  <c r="F107"/>
  <c r="N104"/>
  <c r="K106"/>
  <c r="J106"/>
  <c r="F106"/>
  <c r="N103"/>
  <c r="K105"/>
  <c r="L105" s="1"/>
  <c r="J105"/>
  <c r="N102"/>
  <c r="K104"/>
  <c r="J104"/>
  <c r="F104"/>
  <c r="N101"/>
  <c r="K103"/>
  <c r="J103"/>
  <c r="F103"/>
  <c r="N100"/>
  <c r="K102"/>
  <c r="J102"/>
  <c r="F102"/>
  <c r="N99"/>
  <c r="K101"/>
  <c r="J101"/>
  <c r="F101"/>
  <c r="N98"/>
  <c r="K100"/>
  <c r="J100"/>
  <c r="F100"/>
  <c r="N97"/>
  <c r="K99"/>
  <c r="J99"/>
  <c r="F99"/>
  <c r="N96"/>
  <c r="K98"/>
  <c r="J98"/>
  <c r="F98"/>
  <c r="N95"/>
  <c r="K97"/>
  <c r="J97"/>
  <c r="F97"/>
  <c r="N94"/>
  <c r="K96"/>
  <c r="J96"/>
  <c r="F96"/>
  <c r="N93"/>
  <c r="K95"/>
  <c r="J95"/>
  <c r="F95"/>
  <c r="N92"/>
  <c r="K94"/>
  <c r="J94"/>
  <c r="F94"/>
  <c r="N91"/>
  <c r="K93"/>
  <c r="L93" s="1"/>
  <c r="J93"/>
  <c r="N90"/>
  <c r="K92"/>
  <c r="L92" s="1"/>
  <c r="J92"/>
  <c r="N89"/>
  <c r="K91"/>
  <c r="J91"/>
  <c r="F91"/>
  <c r="L91" s="1"/>
  <c r="N88"/>
  <c r="K90"/>
  <c r="L90" s="1"/>
  <c r="J90"/>
  <c r="N87"/>
  <c r="K89"/>
  <c r="L89" s="1"/>
  <c r="J89"/>
  <c r="N86"/>
  <c r="K88"/>
  <c r="J88"/>
  <c r="F88"/>
  <c r="N85"/>
  <c r="K87"/>
  <c r="L87" s="1"/>
  <c r="J87"/>
  <c r="N84"/>
  <c r="K86"/>
  <c r="J86"/>
  <c r="F86"/>
  <c r="L86" s="1"/>
  <c r="N83"/>
  <c r="K85"/>
  <c r="J85"/>
  <c r="F85"/>
  <c r="L85" s="1"/>
  <c r="N82"/>
  <c r="K84"/>
  <c r="J84"/>
  <c r="F84"/>
  <c r="L84" s="1"/>
  <c r="N81"/>
  <c r="K83"/>
  <c r="J83"/>
  <c r="F83"/>
  <c r="L83" s="1"/>
  <c r="N80"/>
  <c r="K82"/>
  <c r="L82" s="1"/>
  <c r="J82"/>
  <c r="N79"/>
  <c r="K81"/>
  <c r="J81"/>
  <c r="F81"/>
  <c r="L81" s="1"/>
  <c r="N78"/>
  <c r="K80"/>
  <c r="L80" s="1"/>
  <c r="J80"/>
  <c r="N77"/>
  <c r="K79"/>
  <c r="J79"/>
  <c r="F79"/>
  <c r="N76"/>
  <c r="K77"/>
  <c r="J77"/>
  <c r="F77"/>
  <c r="N75"/>
  <c r="K76"/>
  <c r="J76"/>
  <c r="F76"/>
  <c r="N74"/>
  <c r="K75"/>
  <c r="J75"/>
  <c r="F75"/>
  <c r="N73"/>
  <c r="K74"/>
  <c r="L74" s="1"/>
  <c r="J74"/>
  <c r="N72"/>
  <c r="K73"/>
  <c r="L73" s="1"/>
  <c r="J73"/>
  <c r="N71"/>
  <c r="K72"/>
  <c r="J72"/>
  <c r="F72"/>
  <c r="L72" s="1"/>
  <c r="N70"/>
  <c r="K71"/>
  <c r="J71"/>
  <c r="F71"/>
  <c r="L71" s="1"/>
  <c r="N69"/>
  <c r="K70"/>
  <c r="L70" s="1"/>
  <c r="J70"/>
  <c r="N68"/>
  <c r="K69"/>
  <c r="J69"/>
  <c r="F69"/>
  <c r="L69" s="1"/>
  <c r="N67"/>
  <c r="K68"/>
  <c r="J68"/>
  <c r="F68"/>
  <c r="L68" s="1"/>
  <c r="N66"/>
  <c r="K67"/>
  <c r="J67"/>
  <c r="F67"/>
  <c r="L67" s="1"/>
  <c r="N65"/>
  <c r="K66"/>
  <c r="J66"/>
  <c r="F66"/>
  <c r="L66" s="1"/>
  <c r="N64"/>
  <c r="K65"/>
  <c r="J65"/>
  <c r="F65"/>
  <c r="L65" s="1"/>
  <c r="N63"/>
  <c r="K64"/>
  <c r="L64" s="1"/>
  <c r="J64"/>
  <c r="N62"/>
  <c r="K63"/>
  <c r="L63" s="1"/>
  <c r="J63"/>
  <c r="N61"/>
  <c r="K62"/>
  <c r="J62"/>
  <c r="F62"/>
  <c r="N60"/>
  <c r="K61"/>
  <c r="J61"/>
  <c r="F61"/>
  <c r="N59"/>
  <c r="K60"/>
  <c r="L60" s="1"/>
  <c r="J60"/>
  <c r="N58"/>
  <c r="K59"/>
  <c r="J59"/>
  <c r="F59"/>
  <c r="L59" s="1"/>
  <c r="N57"/>
  <c r="K58"/>
  <c r="J58"/>
  <c r="F58"/>
  <c r="L58" s="1"/>
  <c r="N56"/>
  <c r="K57"/>
  <c r="J57"/>
  <c r="F57"/>
  <c r="L57" s="1"/>
  <c r="N55"/>
  <c r="K56"/>
  <c r="J56"/>
  <c r="F56"/>
  <c r="L56" s="1"/>
  <c r="N54"/>
  <c r="K55"/>
  <c r="L55" s="1"/>
  <c r="J55"/>
  <c r="N53"/>
  <c r="K54"/>
  <c r="J54"/>
  <c r="F54"/>
  <c r="L54" s="1"/>
  <c r="N52"/>
  <c r="K53"/>
  <c r="J53"/>
  <c r="F53"/>
  <c r="L53" s="1"/>
  <c r="N51"/>
  <c r="K52"/>
  <c r="L52" s="1"/>
  <c r="J52"/>
  <c r="N50"/>
  <c r="K51"/>
  <c r="J51"/>
  <c r="F51"/>
  <c r="N49"/>
  <c r="K50"/>
  <c r="L50" s="1"/>
  <c r="J50"/>
  <c r="N48"/>
  <c r="K49"/>
  <c r="L49" s="1"/>
  <c r="J49"/>
  <c r="N47"/>
  <c r="K48"/>
  <c r="J48"/>
  <c r="F48"/>
  <c r="L48" s="1"/>
  <c r="N46"/>
  <c r="K47"/>
  <c r="J47"/>
  <c r="F47"/>
  <c r="L47" s="1"/>
  <c r="K46"/>
  <c r="J46"/>
  <c r="F46"/>
  <c r="L46" s="1"/>
  <c r="N44"/>
  <c r="K45"/>
  <c r="J45"/>
  <c r="F45"/>
  <c r="L45" s="1"/>
  <c r="N43"/>
  <c r="K44"/>
  <c r="J44"/>
  <c r="F44"/>
  <c r="L44" s="1"/>
  <c r="N42"/>
  <c r="K43"/>
  <c r="J43"/>
  <c r="F43"/>
  <c r="L43" s="1"/>
  <c r="N41"/>
  <c r="K42"/>
  <c r="J42"/>
  <c r="F42"/>
  <c r="L42" s="1"/>
  <c r="N40"/>
  <c r="K41"/>
  <c r="J41"/>
  <c r="F41"/>
  <c r="L41" s="1"/>
  <c r="N39"/>
  <c r="K40"/>
  <c r="J40"/>
  <c r="F40"/>
  <c r="L40" s="1"/>
  <c r="N38"/>
  <c r="K39"/>
  <c r="J39"/>
  <c r="F39"/>
  <c r="L39" s="1"/>
  <c r="K38"/>
  <c r="J38"/>
  <c r="F38"/>
  <c r="K37"/>
  <c r="J37"/>
  <c r="F37"/>
  <c r="N35"/>
  <c r="K36"/>
  <c r="L36" s="1"/>
  <c r="J36"/>
  <c r="N34"/>
  <c r="K35"/>
  <c r="J35"/>
  <c r="F35"/>
  <c r="L35" s="1"/>
  <c r="N33"/>
  <c r="K34"/>
  <c r="J34"/>
  <c r="F34"/>
  <c r="L34" s="1"/>
  <c r="N32"/>
  <c r="K33"/>
  <c r="J33"/>
  <c r="F33"/>
  <c r="L33" s="1"/>
  <c r="N31"/>
  <c r="K32"/>
  <c r="J32"/>
  <c r="F32"/>
  <c r="L32" s="1"/>
  <c r="N30"/>
  <c r="J31"/>
  <c r="F31"/>
  <c r="L31" s="1"/>
  <c r="N29"/>
  <c r="K30"/>
  <c r="L30" s="1"/>
  <c r="J30"/>
  <c r="N28"/>
  <c r="K29"/>
  <c r="L29" s="1"/>
  <c r="J29"/>
  <c r="N27"/>
  <c r="K28"/>
  <c r="J28"/>
  <c r="F28"/>
  <c r="N26"/>
  <c r="K27"/>
  <c r="J27"/>
  <c r="F27"/>
  <c r="K26"/>
  <c r="J26"/>
  <c r="F26"/>
  <c r="L26" s="1"/>
  <c r="N24"/>
  <c r="K25"/>
  <c r="L25" s="1"/>
  <c r="J25"/>
  <c r="N23"/>
  <c r="K24"/>
  <c r="J24"/>
  <c r="F24"/>
  <c r="L24" s="1"/>
  <c r="N22"/>
  <c r="J23"/>
  <c r="F23"/>
  <c r="L23" s="1"/>
  <c r="N21"/>
  <c r="K22"/>
  <c r="J22"/>
  <c r="F22"/>
  <c r="N20"/>
  <c r="K21"/>
  <c r="J21"/>
  <c r="F21"/>
  <c r="N19"/>
  <c r="K20"/>
  <c r="L20" s="1"/>
  <c r="J20"/>
  <c r="N18"/>
  <c r="K19"/>
  <c r="L19" s="1"/>
  <c r="J19"/>
  <c r="N17"/>
  <c r="K18"/>
  <c r="J18"/>
  <c r="F18"/>
  <c r="L18" s="1"/>
  <c r="N16"/>
  <c r="K17"/>
  <c r="J17"/>
  <c r="F17"/>
  <c r="L17" s="1"/>
  <c r="N15"/>
  <c r="K16"/>
  <c r="J16"/>
  <c r="F16"/>
  <c r="L16" s="1"/>
  <c r="N14"/>
  <c r="K15"/>
  <c r="L15" s="1"/>
  <c r="J15"/>
  <c r="N13"/>
  <c r="K14"/>
  <c r="J14"/>
  <c r="F14"/>
  <c r="L14" s="1"/>
  <c r="N12"/>
  <c r="K13"/>
  <c r="J13"/>
  <c r="F13"/>
  <c r="L13" s="1"/>
  <c r="N11"/>
  <c r="K12"/>
  <c r="J12"/>
  <c r="F12"/>
  <c r="L12" s="1"/>
  <c r="N10"/>
  <c r="K11"/>
  <c r="J11"/>
  <c r="F11"/>
  <c r="L11" s="1"/>
  <c r="N9"/>
  <c r="K10"/>
  <c r="J10"/>
  <c r="F10"/>
  <c r="L10" s="1"/>
  <c r="N8"/>
  <c r="K9"/>
  <c r="J9"/>
  <c r="F9"/>
  <c r="L9" s="1"/>
  <c r="N7"/>
  <c r="K7"/>
  <c r="J7"/>
  <c r="F7"/>
  <c r="L7" s="1"/>
  <c r="N6"/>
  <c r="K6"/>
  <c r="J6"/>
  <c r="F6"/>
  <c r="H124" i="42"/>
  <c r="K123"/>
  <c r="L123" s="1"/>
  <c r="J123"/>
  <c r="K122"/>
  <c r="J122"/>
  <c r="E124"/>
  <c r="D124"/>
  <c r="F122"/>
  <c r="N223"/>
  <c r="K223"/>
  <c r="J223"/>
  <c r="F223"/>
  <c r="L223" s="1"/>
  <c r="N222"/>
  <c r="K222"/>
  <c r="J222"/>
  <c r="F222"/>
  <c r="L222" s="1"/>
  <c r="N221"/>
  <c r="K221"/>
  <c r="J221"/>
  <c r="F221"/>
  <c r="L221" s="1"/>
  <c r="N220"/>
  <c r="K220"/>
  <c r="J220"/>
  <c r="F220"/>
  <c r="L220" s="1"/>
  <c r="N219"/>
  <c r="K219"/>
  <c r="J219"/>
  <c r="F219"/>
  <c r="L219" s="1"/>
  <c r="N217"/>
  <c r="K217"/>
  <c r="J217"/>
  <c r="F217"/>
  <c r="L217" s="1"/>
  <c r="N216"/>
  <c r="K216"/>
  <c r="J216"/>
  <c r="F216"/>
  <c r="L216" s="1"/>
  <c r="N215"/>
  <c r="K215"/>
  <c r="J215"/>
  <c r="F215"/>
  <c r="L215" s="1"/>
  <c r="N214"/>
  <c r="K214"/>
  <c r="J214"/>
  <c r="F214"/>
  <c r="L214" s="1"/>
  <c r="N213"/>
  <c r="K213"/>
  <c r="J213"/>
  <c r="F213"/>
  <c r="L213" s="1"/>
  <c r="K207"/>
  <c r="J207"/>
  <c r="F207"/>
  <c r="K206"/>
  <c r="J206"/>
  <c r="F206"/>
  <c r="K205"/>
  <c r="L205" s="1"/>
  <c r="J205"/>
  <c r="K204"/>
  <c r="J204"/>
  <c r="F204"/>
  <c r="K203"/>
  <c r="J203"/>
  <c r="F203"/>
  <c r="K202"/>
  <c r="J202"/>
  <c r="F202"/>
  <c r="L202" s="1"/>
  <c r="K201"/>
  <c r="J201"/>
  <c r="F201"/>
  <c r="L201" s="1"/>
  <c r="K200"/>
  <c r="J200"/>
  <c r="F200"/>
  <c r="K199"/>
  <c r="J199"/>
  <c r="F199"/>
  <c r="K198"/>
  <c r="J198"/>
  <c r="F198"/>
  <c r="L198" s="1"/>
  <c r="K197"/>
  <c r="J197"/>
  <c r="F197"/>
  <c r="L197" s="1"/>
  <c r="K196"/>
  <c r="L196" s="1"/>
  <c r="J196"/>
  <c r="K195"/>
  <c r="L195" s="1"/>
  <c r="J195"/>
  <c r="K194"/>
  <c r="J194"/>
  <c r="F194"/>
  <c r="K193"/>
  <c r="J193"/>
  <c r="F193"/>
  <c r="K192"/>
  <c r="J192"/>
  <c r="F192"/>
  <c r="L192" s="1"/>
  <c r="K191"/>
  <c r="J191"/>
  <c r="F191"/>
  <c r="L191" s="1"/>
  <c r="K190"/>
  <c r="J190"/>
  <c r="F190"/>
  <c r="K189"/>
  <c r="J189"/>
  <c r="F189"/>
  <c r="K188"/>
  <c r="J188"/>
  <c r="F188"/>
  <c r="L188" s="1"/>
  <c r="K187"/>
  <c r="L187" s="1"/>
  <c r="J187"/>
  <c r="N184"/>
  <c r="K184"/>
  <c r="J184"/>
  <c r="F184"/>
  <c r="N183"/>
  <c r="K183"/>
  <c r="L183" s="1"/>
  <c r="J183"/>
  <c r="N182"/>
  <c r="K182"/>
  <c r="J182"/>
  <c r="F182"/>
  <c r="N181"/>
  <c r="K181"/>
  <c r="J181"/>
  <c r="F181"/>
  <c r="N180"/>
  <c r="K180"/>
  <c r="J180"/>
  <c r="F180"/>
  <c r="N179"/>
  <c r="K179"/>
  <c r="J179"/>
  <c r="F179"/>
  <c r="N178"/>
  <c r="K178"/>
  <c r="J178"/>
  <c r="F178"/>
  <c r="N177"/>
  <c r="K177"/>
  <c r="L177" s="1"/>
  <c r="J177"/>
  <c r="N176"/>
  <c r="K176"/>
  <c r="J176"/>
  <c r="F176"/>
  <c r="L176" s="1"/>
  <c r="N175"/>
  <c r="K175"/>
  <c r="J175"/>
  <c r="F175"/>
  <c r="L175" s="1"/>
  <c r="N174"/>
  <c r="K174"/>
  <c r="J174"/>
  <c r="F174"/>
  <c r="L174" s="1"/>
  <c r="N173"/>
  <c r="K173"/>
  <c r="J173"/>
  <c r="F173"/>
  <c r="L173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N167"/>
  <c r="K167"/>
  <c r="J167"/>
  <c r="F167"/>
  <c r="L167" s="1"/>
  <c r="N166"/>
  <c r="K166"/>
  <c r="J166"/>
  <c r="F166"/>
  <c r="L166" s="1"/>
  <c r="N165"/>
  <c r="K165"/>
  <c r="J165"/>
  <c r="F165"/>
  <c r="L165" s="1"/>
  <c r="N164"/>
  <c r="K164"/>
  <c r="J164"/>
  <c r="F164"/>
  <c r="L164" s="1"/>
  <c r="N162"/>
  <c r="K162"/>
  <c r="J162"/>
  <c r="F162"/>
  <c r="L162" s="1"/>
  <c r="N161"/>
  <c r="K161"/>
  <c r="L161" s="1"/>
  <c r="J161"/>
  <c r="N160"/>
  <c r="K160"/>
  <c r="J160"/>
  <c r="F160"/>
  <c r="L160" s="1"/>
  <c r="N158"/>
  <c r="K158"/>
  <c r="J158"/>
  <c r="F158"/>
  <c r="L158" s="1"/>
  <c r="N157"/>
  <c r="K157"/>
  <c r="L157" s="1"/>
  <c r="J157"/>
  <c r="N156"/>
  <c r="K156"/>
  <c r="J156"/>
  <c r="F156"/>
  <c r="N154"/>
  <c r="K154"/>
  <c r="J154"/>
  <c r="F154"/>
  <c r="K152"/>
  <c r="J152"/>
  <c r="F152"/>
  <c r="K150"/>
  <c r="J150"/>
  <c r="F150"/>
  <c r="L150" s="1"/>
  <c r="N149"/>
  <c r="K149"/>
  <c r="L149" s="1"/>
  <c r="J149"/>
  <c r="N148"/>
  <c r="K148"/>
  <c r="J148"/>
  <c r="F148"/>
  <c r="L148" s="1"/>
  <c r="N147"/>
  <c r="K147"/>
  <c r="J147"/>
  <c r="F147"/>
  <c r="L147" s="1"/>
  <c r="N146"/>
  <c r="K146"/>
  <c r="J146"/>
  <c r="F146"/>
  <c r="L146" s="1"/>
  <c r="N145"/>
  <c r="K145"/>
  <c r="J145"/>
  <c r="F145"/>
  <c r="L145" s="1"/>
  <c r="N144"/>
  <c r="K144"/>
  <c r="L144" s="1"/>
  <c r="J144"/>
  <c r="N143"/>
  <c r="K143"/>
  <c r="J143"/>
  <c r="F143"/>
  <c r="H127"/>
  <c r="K37"/>
  <c r="J37"/>
  <c r="F37"/>
  <c r="K25"/>
  <c r="J25"/>
  <c r="F25"/>
  <c r="K121"/>
  <c r="L121" s="1"/>
  <c r="J121"/>
  <c r="K120"/>
  <c r="J120"/>
  <c r="F120"/>
  <c r="K119"/>
  <c r="J119"/>
  <c r="F119"/>
  <c r="K118"/>
  <c r="J118"/>
  <c r="F118"/>
  <c r="L118" s="1"/>
  <c r="K117"/>
  <c r="L117" s="1"/>
  <c r="J117"/>
  <c r="K116"/>
  <c r="J116"/>
  <c r="F116"/>
  <c r="K115"/>
  <c r="J115"/>
  <c r="F115"/>
  <c r="L115" s="1"/>
  <c r="K114"/>
  <c r="J114"/>
  <c r="F114"/>
  <c r="L114" s="1"/>
  <c r="K113"/>
  <c r="L113" s="1"/>
  <c r="J113"/>
  <c r="K112"/>
  <c r="J112"/>
  <c r="F112"/>
  <c r="L112" s="1"/>
  <c r="K111"/>
  <c r="J111"/>
  <c r="F111"/>
  <c r="L111" s="1"/>
  <c r="K110"/>
  <c r="J110"/>
  <c r="F110"/>
  <c r="N109"/>
  <c r="K109"/>
  <c r="J109"/>
  <c r="F109"/>
  <c r="N108"/>
  <c r="K108"/>
  <c r="L108" s="1"/>
  <c r="J108"/>
  <c r="N107"/>
  <c r="K107"/>
  <c r="J107"/>
  <c r="F107"/>
  <c r="N106"/>
  <c r="K106"/>
  <c r="J106"/>
  <c r="F106"/>
  <c r="N105"/>
  <c r="K105"/>
  <c r="J105"/>
  <c r="F105"/>
  <c r="N104"/>
  <c r="K104"/>
  <c r="J104"/>
  <c r="F104"/>
  <c r="N103"/>
  <c r="K103"/>
  <c r="L103" s="1"/>
  <c r="J103"/>
  <c r="N102"/>
  <c r="K102"/>
  <c r="J102"/>
  <c r="F102"/>
  <c r="L102" s="1"/>
  <c r="N101"/>
  <c r="K101"/>
  <c r="J101"/>
  <c r="F101"/>
  <c r="L101" s="1"/>
  <c r="N100"/>
  <c r="K100"/>
  <c r="J100"/>
  <c r="F100"/>
  <c r="L100" s="1"/>
  <c r="N99"/>
  <c r="K99"/>
  <c r="J99"/>
  <c r="F99"/>
  <c r="L99" s="1"/>
  <c r="N98"/>
  <c r="K98"/>
  <c r="J98"/>
  <c r="F98"/>
  <c r="L98" s="1"/>
  <c r="N141"/>
  <c r="K141"/>
  <c r="J141"/>
  <c r="F141"/>
  <c r="L141" s="1"/>
  <c r="N97"/>
  <c r="K97"/>
  <c r="J97"/>
  <c r="F97"/>
  <c r="L97" s="1"/>
  <c r="N96"/>
  <c r="K96"/>
  <c r="J96"/>
  <c r="F96"/>
  <c r="L96" s="1"/>
  <c r="N95"/>
  <c r="K95"/>
  <c r="J95"/>
  <c r="F95"/>
  <c r="L95" s="1"/>
  <c r="N94"/>
  <c r="K94"/>
  <c r="J94"/>
  <c r="F94"/>
  <c r="L94" s="1"/>
  <c r="N93"/>
  <c r="K93"/>
  <c r="J93"/>
  <c r="F93"/>
  <c r="L93" s="1"/>
  <c r="N140"/>
  <c r="K140"/>
  <c r="J140"/>
  <c r="F140"/>
  <c r="L140" s="1"/>
  <c r="N92"/>
  <c r="K92"/>
  <c r="J92"/>
  <c r="F92"/>
  <c r="L92" s="1"/>
  <c r="N91"/>
  <c r="K91"/>
  <c r="L91" s="1"/>
  <c r="J91"/>
  <c r="N90"/>
  <c r="K90"/>
  <c r="L90" s="1"/>
  <c r="J90"/>
  <c r="N89"/>
  <c r="K89"/>
  <c r="J89"/>
  <c r="F89"/>
  <c r="N139"/>
  <c r="K139"/>
  <c r="L139" s="1"/>
  <c r="J139"/>
  <c r="N88"/>
  <c r="K88"/>
  <c r="L88" s="1"/>
  <c r="J88"/>
  <c r="N87"/>
  <c r="K87"/>
  <c r="L87" s="1"/>
  <c r="J87"/>
  <c r="N86"/>
  <c r="K86"/>
  <c r="J86"/>
  <c r="F86"/>
  <c r="L86" s="1"/>
  <c r="N85"/>
  <c r="K85"/>
  <c r="L85" s="1"/>
  <c r="J85"/>
  <c r="N84"/>
  <c r="K84"/>
  <c r="J84"/>
  <c r="F84"/>
  <c r="N83"/>
  <c r="K83"/>
  <c r="J83"/>
  <c r="F83"/>
  <c r="N138"/>
  <c r="K138"/>
  <c r="L138" s="1"/>
  <c r="J138"/>
  <c r="N82"/>
  <c r="K82"/>
  <c r="J82"/>
  <c r="F82"/>
  <c r="N81"/>
  <c r="K81"/>
  <c r="J81"/>
  <c r="F81"/>
  <c r="N80"/>
  <c r="K80"/>
  <c r="L80" s="1"/>
  <c r="J80"/>
  <c r="N79"/>
  <c r="K79"/>
  <c r="J79"/>
  <c r="F79"/>
  <c r="L79" s="1"/>
  <c r="N78"/>
  <c r="K78"/>
  <c r="L78" s="1"/>
  <c r="J78"/>
  <c r="N77"/>
  <c r="K77"/>
  <c r="J77"/>
  <c r="F77"/>
  <c r="L77" s="1"/>
  <c r="N76"/>
  <c r="K76"/>
  <c r="J76"/>
  <c r="F76"/>
  <c r="L76" s="1"/>
  <c r="N75"/>
  <c r="K75"/>
  <c r="J75"/>
  <c r="F75"/>
  <c r="L75" s="1"/>
  <c r="N74"/>
  <c r="K74"/>
  <c r="J74"/>
  <c r="F74"/>
  <c r="L74" s="1"/>
  <c r="N73"/>
  <c r="K73"/>
  <c r="L73" s="1"/>
  <c r="J73"/>
  <c r="N72"/>
  <c r="K72"/>
  <c r="L72" s="1"/>
  <c r="J72"/>
  <c r="N71"/>
  <c r="K71"/>
  <c r="J71"/>
  <c r="F71"/>
  <c r="N70"/>
  <c r="K70"/>
  <c r="J70"/>
  <c r="F70"/>
  <c r="N69"/>
  <c r="K69"/>
  <c r="L69" s="1"/>
  <c r="J69"/>
  <c r="N68"/>
  <c r="K68"/>
  <c r="J68"/>
  <c r="F68"/>
  <c r="L68" s="1"/>
  <c r="N67"/>
  <c r="K67"/>
  <c r="J67"/>
  <c r="F67"/>
  <c r="L67" s="1"/>
  <c r="N66"/>
  <c r="K66"/>
  <c r="J66"/>
  <c r="F66"/>
  <c r="L66" s="1"/>
  <c r="N137"/>
  <c r="K137"/>
  <c r="J137"/>
  <c r="F137"/>
  <c r="L137" s="1"/>
  <c r="N65"/>
  <c r="K65"/>
  <c r="J65"/>
  <c r="F65"/>
  <c r="L65" s="1"/>
  <c r="N64"/>
  <c r="K64"/>
  <c r="J64"/>
  <c r="F64"/>
  <c r="L64" s="1"/>
  <c r="N63"/>
  <c r="K63"/>
  <c r="L63" s="1"/>
  <c r="J63"/>
  <c r="N136"/>
  <c r="K136"/>
  <c r="J136"/>
  <c r="F136"/>
  <c r="L136" s="1"/>
  <c r="N62"/>
  <c r="K62"/>
  <c r="L62" s="1"/>
  <c r="J62"/>
  <c r="N61"/>
  <c r="K61"/>
  <c r="J61"/>
  <c r="F61"/>
  <c r="N60"/>
  <c r="K60"/>
  <c r="J60"/>
  <c r="F60"/>
  <c r="N59"/>
  <c r="K59"/>
  <c r="L59" s="1"/>
  <c r="J59"/>
  <c r="N58"/>
  <c r="K58"/>
  <c r="J58"/>
  <c r="F58"/>
  <c r="N57"/>
  <c r="K57"/>
  <c r="J57"/>
  <c r="F57"/>
  <c r="N56"/>
  <c r="K56"/>
  <c r="J56"/>
  <c r="F56"/>
  <c r="N55"/>
  <c r="K55"/>
  <c r="J55"/>
  <c r="F55"/>
  <c r="N54"/>
  <c r="K54"/>
  <c r="L54" s="1"/>
  <c r="J54"/>
  <c r="N53"/>
  <c r="K53"/>
  <c r="J53"/>
  <c r="F53"/>
  <c r="L53" s="1"/>
  <c r="N52"/>
  <c r="K52"/>
  <c r="J52"/>
  <c r="F52"/>
  <c r="L52" s="1"/>
  <c r="N51"/>
  <c r="K51"/>
  <c r="L51" s="1"/>
  <c r="J51"/>
  <c r="N50"/>
  <c r="K50"/>
  <c r="J50"/>
  <c r="F50"/>
  <c r="L50" s="1"/>
  <c r="N49"/>
  <c r="K49"/>
  <c r="L49" s="1"/>
  <c r="J49"/>
  <c r="N48"/>
  <c r="K48"/>
  <c r="L48" s="1"/>
  <c r="J48"/>
  <c r="N47"/>
  <c r="K47"/>
  <c r="J47"/>
  <c r="F47"/>
  <c r="N46"/>
  <c r="K46"/>
  <c r="J46"/>
  <c r="F46"/>
  <c r="K45"/>
  <c r="J45"/>
  <c r="F45"/>
  <c r="L45" s="1"/>
  <c r="N44"/>
  <c r="K44"/>
  <c r="J44"/>
  <c r="F44"/>
  <c r="L44" s="1"/>
  <c r="N43"/>
  <c r="K43"/>
  <c r="J43"/>
  <c r="F43"/>
  <c r="L43" s="1"/>
  <c r="N42"/>
  <c r="K42"/>
  <c r="J42"/>
  <c r="F42"/>
  <c r="L42" s="1"/>
  <c r="N41"/>
  <c r="K41"/>
  <c r="J41"/>
  <c r="F41"/>
  <c r="L41" s="1"/>
  <c r="N40"/>
  <c r="K40"/>
  <c r="J40"/>
  <c r="F40"/>
  <c r="L40" s="1"/>
  <c r="N39"/>
  <c r="K39"/>
  <c r="J39"/>
  <c r="F39"/>
  <c r="L39" s="1"/>
  <c r="N38"/>
  <c r="K38"/>
  <c r="J38"/>
  <c r="F38"/>
  <c r="L38" s="1"/>
  <c r="K36"/>
  <c r="J36"/>
  <c r="F36"/>
  <c r="L36" s="1"/>
  <c r="N35"/>
  <c r="K35"/>
  <c r="L35" s="1"/>
  <c r="J35"/>
  <c r="N34"/>
  <c r="K34"/>
  <c r="J34"/>
  <c r="F34"/>
  <c r="N33"/>
  <c r="K33"/>
  <c r="J33"/>
  <c r="F33"/>
  <c r="N32"/>
  <c r="K32"/>
  <c r="J32"/>
  <c r="F32"/>
  <c r="N31"/>
  <c r="K31"/>
  <c r="J31"/>
  <c r="F31"/>
  <c r="N30"/>
  <c r="J30"/>
  <c r="F30"/>
  <c r="L30" s="1"/>
  <c r="N29"/>
  <c r="K29"/>
  <c r="L29" s="1"/>
  <c r="J29"/>
  <c r="N135"/>
  <c r="K135"/>
  <c r="J135"/>
  <c r="F135"/>
  <c r="L135" s="1"/>
  <c r="N28"/>
  <c r="K28"/>
  <c r="L28" s="1"/>
  <c r="J28"/>
  <c r="N27"/>
  <c r="K27"/>
  <c r="J27"/>
  <c r="F27"/>
  <c r="L27" s="1"/>
  <c r="N26"/>
  <c r="K26"/>
  <c r="J26"/>
  <c r="F26"/>
  <c r="L26" s="1"/>
  <c r="N24"/>
  <c r="K24"/>
  <c r="L24" s="1"/>
  <c r="J24"/>
  <c r="N23"/>
  <c r="K23"/>
  <c r="J23"/>
  <c r="F23"/>
  <c r="N22"/>
  <c r="J22"/>
  <c r="F22"/>
  <c r="L22" s="1"/>
  <c r="N21"/>
  <c r="K21"/>
  <c r="J21"/>
  <c r="F21"/>
  <c r="N20"/>
  <c r="K20"/>
  <c r="J20"/>
  <c r="F20"/>
  <c r="N19"/>
  <c r="K19"/>
  <c r="L19" s="1"/>
  <c r="J19"/>
  <c r="N18"/>
  <c r="K18"/>
  <c r="L18" s="1"/>
  <c r="J18"/>
  <c r="N17"/>
  <c r="K17"/>
  <c r="J17"/>
  <c r="F17"/>
  <c r="L17" s="1"/>
  <c r="N16"/>
  <c r="K16"/>
  <c r="J16"/>
  <c r="F16"/>
  <c r="L16" s="1"/>
  <c r="N15"/>
  <c r="K15"/>
  <c r="J15"/>
  <c r="F15"/>
  <c r="L15" s="1"/>
  <c r="N14"/>
  <c r="K14"/>
  <c r="L14" s="1"/>
  <c r="J14"/>
  <c r="N13"/>
  <c r="K13"/>
  <c r="J13"/>
  <c r="F13"/>
  <c r="N134"/>
  <c r="K134"/>
  <c r="J134"/>
  <c r="F134"/>
  <c r="N12"/>
  <c r="K12"/>
  <c r="J12"/>
  <c r="F12"/>
  <c r="N11"/>
  <c r="K11"/>
  <c r="J11"/>
  <c r="F11"/>
  <c r="N10"/>
  <c r="K10"/>
  <c r="J10"/>
  <c r="F10"/>
  <c r="N9"/>
  <c r="K9"/>
  <c r="J9"/>
  <c r="F9"/>
  <c r="N8"/>
  <c r="K8"/>
  <c r="J8"/>
  <c r="F8"/>
  <c r="N133"/>
  <c r="K133"/>
  <c r="J133"/>
  <c r="F133"/>
  <c r="N7"/>
  <c r="K7"/>
  <c r="J7"/>
  <c r="F7"/>
  <c r="N6"/>
  <c r="K6"/>
  <c r="J6"/>
  <c r="F6"/>
  <c r="N132"/>
  <c r="K132"/>
  <c r="J132"/>
  <c r="F132"/>
  <c r="G132" i="40"/>
  <c r="D132"/>
  <c r="C132"/>
  <c r="J131"/>
  <c r="I131"/>
  <c r="J130"/>
  <c r="I130"/>
  <c r="E131"/>
  <c r="E130"/>
  <c r="K130" s="1"/>
  <c r="M224"/>
  <c r="J224"/>
  <c r="I224"/>
  <c r="E224"/>
  <c r="K224" s="1"/>
  <c r="M223"/>
  <c r="J223"/>
  <c r="I223"/>
  <c r="E223"/>
  <c r="K223" s="1"/>
  <c r="M222"/>
  <c r="J222"/>
  <c r="I222"/>
  <c r="E222"/>
  <c r="K222" s="1"/>
  <c r="M221"/>
  <c r="J221"/>
  <c r="I221"/>
  <c r="E221"/>
  <c r="K221" s="1"/>
  <c r="M220"/>
  <c r="J220"/>
  <c r="I220"/>
  <c r="E220"/>
  <c r="K220" s="1"/>
  <c r="M218"/>
  <c r="J218"/>
  <c r="I218"/>
  <c r="E218"/>
  <c r="K218" s="1"/>
  <c r="M217"/>
  <c r="J217"/>
  <c r="I217"/>
  <c r="E217"/>
  <c r="K217" s="1"/>
  <c r="M216"/>
  <c r="J216"/>
  <c r="I216"/>
  <c r="E216"/>
  <c r="K216" s="1"/>
  <c r="M215"/>
  <c r="J215"/>
  <c r="I215"/>
  <c r="E215"/>
  <c r="K215" s="1"/>
  <c r="M214"/>
  <c r="J214"/>
  <c r="I214"/>
  <c r="E214"/>
  <c r="K214" s="1"/>
  <c r="J208"/>
  <c r="I208"/>
  <c r="E208"/>
  <c r="J207"/>
  <c r="I207"/>
  <c r="E207"/>
  <c r="J206"/>
  <c r="K206" s="1"/>
  <c r="I206"/>
  <c r="J205"/>
  <c r="I205"/>
  <c r="E205"/>
  <c r="J204"/>
  <c r="I204"/>
  <c r="E204"/>
  <c r="J203"/>
  <c r="I203"/>
  <c r="E203"/>
  <c r="K203" s="1"/>
  <c r="J202"/>
  <c r="I202"/>
  <c r="E202"/>
  <c r="K202" s="1"/>
  <c r="J201"/>
  <c r="I201"/>
  <c r="E201"/>
  <c r="J200"/>
  <c r="I200"/>
  <c r="E200"/>
  <c r="J199"/>
  <c r="I199"/>
  <c r="E199"/>
  <c r="K199" s="1"/>
  <c r="J198"/>
  <c r="I198"/>
  <c r="E198"/>
  <c r="K198" s="1"/>
  <c r="J197"/>
  <c r="K197" s="1"/>
  <c r="I197"/>
  <c r="J196"/>
  <c r="K196" s="1"/>
  <c r="I196"/>
  <c r="J195"/>
  <c r="I195"/>
  <c r="E195"/>
  <c r="J194"/>
  <c r="I194"/>
  <c r="E194"/>
  <c r="J193"/>
  <c r="I193"/>
  <c r="E193"/>
  <c r="K193" s="1"/>
  <c r="J192"/>
  <c r="I192"/>
  <c r="E192"/>
  <c r="K192" s="1"/>
  <c r="J191"/>
  <c r="I191"/>
  <c r="E191"/>
  <c r="J190"/>
  <c r="I190"/>
  <c r="E190"/>
  <c r="J189"/>
  <c r="I189"/>
  <c r="E189"/>
  <c r="K189" s="1"/>
  <c r="J188"/>
  <c r="K188" s="1"/>
  <c r="I188"/>
  <c r="M185"/>
  <c r="J185"/>
  <c r="I185"/>
  <c r="E185"/>
  <c r="M184"/>
  <c r="J184"/>
  <c r="K184" s="1"/>
  <c r="I184"/>
  <c r="M183"/>
  <c r="J183"/>
  <c r="I183"/>
  <c r="E183"/>
  <c r="M182"/>
  <c r="J182"/>
  <c r="I182"/>
  <c r="E182"/>
  <c r="M181"/>
  <c r="J181"/>
  <c r="I181"/>
  <c r="E181"/>
  <c r="M180"/>
  <c r="J180"/>
  <c r="I180"/>
  <c r="E180"/>
  <c r="M179"/>
  <c r="J179"/>
  <c r="I179"/>
  <c r="E179"/>
  <c r="M178"/>
  <c r="J178"/>
  <c r="K178" s="1"/>
  <c r="I178"/>
  <c r="M177"/>
  <c r="J177"/>
  <c r="I177"/>
  <c r="E177"/>
  <c r="K177" s="1"/>
  <c r="M176"/>
  <c r="J176"/>
  <c r="I176"/>
  <c r="E176"/>
  <c r="K176" s="1"/>
  <c r="M175"/>
  <c r="J175"/>
  <c r="I175"/>
  <c r="E175"/>
  <c r="K175" s="1"/>
  <c r="M174"/>
  <c r="J174"/>
  <c r="I174"/>
  <c r="E174"/>
  <c r="K174" s="1"/>
  <c r="M173"/>
  <c r="J173"/>
  <c r="I173"/>
  <c r="E173"/>
  <c r="K173" s="1"/>
  <c r="M172"/>
  <c r="J172"/>
  <c r="I172"/>
  <c r="E172"/>
  <c r="K172" s="1"/>
  <c r="M171"/>
  <c r="J171"/>
  <c r="I171"/>
  <c r="E171"/>
  <c r="K171" s="1"/>
  <c r="M170"/>
  <c r="J170"/>
  <c r="I170"/>
  <c r="E170"/>
  <c r="K170" s="1"/>
  <c r="M169"/>
  <c r="J169"/>
  <c r="I169"/>
  <c r="E169"/>
  <c r="K169" s="1"/>
  <c r="M168"/>
  <c r="J168"/>
  <c r="I168"/>
  <c r="E168"/>
  <c r="K168" s="1"/>
  <c r="M167"/>
  <c r="J167"/>
  <c r="I167"/>
  <c r="E167"/>
  <c r="K167" s="1"/>
  <c r="M166"/>
  <c r="J166"/>
  <c r="I166"/>
  <c r="E166"/>
  <c r="K166" s="1"/>
  <c r="M165"/>
  <c r="J165"/>
  <c r="I165"/>
  <c r="E165"/>
  <c r="K165" s="1"/>
  <c r="M163"/>
  <c r="J163"/>
  <c r="I163"/>
  <c r="E163"/>
  <c r="K163" s="1"/>
  <c r="M162"/>
  <c r="J162"/>
  <c r="K162" s="1"/>
  <c r="I162"/>
  <c r="M161"/>
  <c r="J161"/>
  <c r="I161"/>
  <c r="E161"/>
  <c r="K161" s="1"/>
  <c r="M159"/>
  <c r="J159"/>
  <c r="I159"/>
  <c r="E159"/>
  <c r="K159" s="1"/>
  <c r="M158"/>
  <c r="J158"/>
  <c r="K158" s="1"/>
  <c r="I158"/>
  <c r="M157"/>
  <c r="J157"/>
  <c r="I157"/>
  <c r="E157"/>
  <c r="M155"/>
  <c r="J155"/>
  <c r="I155"/>
  <c r="E155"/>
  <c r="J153"/>
  <c r="I153"/>
  <c r="E153"/>
  <c r="M145"/>
  <c r="J145"/>
  <c r="K145" s="1"/>
  <c r="I145"/>
  <c r="M144"/>
  <c r="J144"/>
  <c r="I144"/>
  <c r="E144"/>
  <c r="K144" s="1"/>
  <c r="G135"/>
  <c r="J74"/>
  <c r="I74"/>
  <c r="E74"/>
  <c r="K74" s="1"/>
  <c r="J129"/>
  <c r="K129" s="1"/>
  <c r="I129"/>
  <c r="J128"/>
  <c r="I128"/>
  <c r="E128"/>
  <c r="J127"/>
  <c r="I127"/>
  <c r="E127"/>
  <c r="K127" s="1"/>
  <c r="J126"/>
  <c r="I126"/>
  <c r="E126"/>
  <c r="K126" s="1"/>
  <c r="J125"/>
  <c r="K125" s="1"/>
  <c r="I125"/>
  <c r="J124"/>
  <c r="I124"/>
  <c r="E124"/>
  <c r="K124" s="1"/>
  <c r="J123"/>
  <c r="I123"/>
  <c r="E123"/>
  <c r="K123" s="1"/>
  <c r="J122"/>
  <c r="I122"/>
  <c r="E122"/>
  <c r="J151"/>
  <c r="I151"/>
  <c r="E151"/>
  <c r="J121"/>
  <c r="K121" s="1"/>
  <c r="I121"/>
  <c r="J120"/>
  <c r="I120"/>
  <c r="E120"/>
  <c r="J119"/>
  <c r="I119"/>
  <c r="E119"/>
  <c r="M117"/>
  <c r="J118"/>
  <c r="I118"/>
  <c r="E118"/>
  <c r="M116"/>
  <c r="J117"/>
  <c r="I117"/>
  <c r="E117"/>
  <c r="M115"/>
  <c r="J116"/>
  <c r="K116" s="1"/>
  <c r="I116"/>
  <c r="M114"/>
  <c r="J115"/>
  <c r="I115"/>
  <c r="E115"/>
  <c r="K115" s="1"/>
  <c r="M113"/>
  <c r="J114"/>
  <c r="I114"/>
  <c r="E114"/>
  <c r="K114" s="1"/>
  <c r="M112"/>
  <c r="J113"/>
  <c r="I113"/>
  <c r="E113"/>
  <c r="K113" s="1"/>
  <c r="M111"/>
  <c r="J112"/>
  <c r="I112"/>
  <c r="E112"/>
  <c r="K112" s="1"/>
  <c r="M110"/>
  <c r="J111"/>
  <c r="K111" s="1"/>
  <c r="I111"/>
  <c r="M109"/>
  <c r="J110"/>
  <c r="I110"/>
  <c r="E110"/>
  <c r="K110" s="1"/>
  <c r="M108"/>
  <c r="J109"/>
  <c r="I109"/>
  <c r="E109"/>
  <c r="K109" s="1"/>
  <c r="M107"/>
  <c r="J108"/>
  <c r="I108"/>
  <c r="E108"/>
  <c r="K108" s="1"/>
  <c r="M106"/>
  <c r="J107"/>
  <c r="I107"/>
  <c r="E107"/>
  <c r="K107" s="1"/>
  <c r="M105"/>
  <c r="J106"/>
  <c r="I106"/>
  <c r="E106"/>
  <c r="K106" s="1"/>
  <c r="M104"/>
  <c r="J105"/>
  <c r="I105"/>
  <c r="E105"/>
  <c r="K105" s="1"/>
  <c r="M103"/>
  <c r="J104"/>
  <c r="I104"/>
  <c r="E104"/>
  <c r="K104" s="1"/>
  <c r="M102"/>
  <c r="J103"/>
  <c r="I103"/>
  <c r="E103"/>
  <c r="K103" s="1"/>
  <c r="M101"/>
  <c r="J102"/>
  <c r="I102"/>
  <c r="E102"/>
  <c r="K102" s="1"/>
  <c r="M100"/>
  <c r="J101"/>
  <c r="I101"/>
  <c r="E101"/>
  <c r="K101" s="1"/>
  <c r="M99"/>
  <c r="J100"/>
  <c r="I100"/>
  <c r="E100"/>
  <c r="K100" s="1"/>
  <c r="M98"/>
  <c r="J99"/>
  <c r="I99"/>
  <c r="E99"/>
  <c r="K99" s="1"/>
  <c r="M97"/>
  <c r="J98"/>
  <c r="I98"/>
  <c r="E98"/>
  <c r="K98" s="1"/>
  <c r="M96"/>
  <c r="J97"/>
  <c r="K97" s="1"/>
  <c r="I97"/>
  <c r="M95"/>
  <c r="J96"/>
  <c r="K96" s="1"/>
  <c r="I96"/>
  <c r="M94"/>
  <c r="J95"/>
  <c r="I95"/>
  <c r="E95"/>
  <c r="M93"/>
  <c r="J94"/>
  <c r="K94" s="1"/>
  <c r="I94"/>
  <c r="M92"/>
  <c r="J93"/>
  <c r="K93" s="1"/>
  <c r="I93"/>
  <c r="M91"/>
  <c r="J92"/>
  <c r="K92" s="1"/>
  <c r="I92"/>
  <c r="M146"/>
  <c r="J146"/>
  <c r="I146"/>
  <c r="E146"/>
  <c r="M90"/>
  <c r="J91"/>
  <c r="I91"/>
  <c r="E91"/>
  <c r="M89"/>
  <c r="J90"/>
  <c r="K90" s="1"/>
  <c r="I90"/>
  <c r="M88"/>
  <c r="J89"/>
  <c r="I89"/>
  <c r="E89"/>
  <c r="M87"/>
  <c r="J88"/>
  <c r="I88"/>
  <c r="E88"/>
  <c r="M86"/>
  <c r="J87"/>
  <c r="K87" s="1"/>
  <c r="I87"/>
  <c r="M85"/>
  <c r="J86"/>
  <c r="I86"/>
  <c r="E86"/>
  <c r="K86" s="1"/>
  <c r="M84"/>
  <c r="J85"/>
  <c r="I85"/>
  <c r="E85"/>
  <c r="K85" s="1"/>
  <c r="M83"/>
  <c r="J84"/>
  <c r="K84" s="1"/>
  <c r="I84"/>
  <c r="M82"/>
  <c r="J83"/>
  <c r="I83"/>
  <c r="E83"/>
  <c r="K83" s="1"/>
  <c r="M81"/>
  <c r="J82"/>
  <c r="K82" s="1"/>
  <c r="I82"/>
  <c r="M80"/>
  <c r="J81"/>
  <c r="I81"/>
  <c r="E81"/>
  <c r="M79"/>
  <c r="J80"/>
  <c r="I80"/>
  <c r="E80"/>
  <c r="M78"/>
  <c r="J79"/>
  <c r="I79"/>
  <c r="E79"/>
  <c r="M77"/>
  <c r="J78"/>
  <c r="I78"/>
  <c r="E78"/>
  <c r="M76"/>
  <c r="J77"/>
  <c r="K77" s="1"/>
  <c r="I77"/>
  <c r="M75"/>
  <c r="J76"/>
  <c r="K76" s="1"/>
  <c r="I76"/>
  <c r="M74"/>
  <c r="J75"/>
  <c r="I75"/>
  <c r="E75"/>
  <c r="K75" s="1"/>
  <c r="M73"/>
  <c r="J73"/>
  <c r="K73" s="1"/>
  <c r="I73"/>
  <c r="M72"/>
  <c r="J72"/>
  <c r="I72"/>
  <c r="E72"/>
  <c r="K72" s="1"/>
  <c r="M71"/>
  <c r="J71"/>
  <c r="I71"/>
  <c r="E71"/>
  <c r="K71" s="1"/>
  <c r="M70"/>
  <c r="J70"/>
  <c r="I70"/>
  <c r="E70"/>
  <c r="K70" s="1"/>
  <c r="M69"/>
  <c r="J69"/>
  <c r="I69"/>
  <c r="E69"/>
  <c r="K69" s="1"/>
  <c r="M68"/>
  <c r="J68"/>
  <c r="I68"/>
  <c r="E68"/>
  <c r="K68" s="1"/>
  <c r="M67"/>
  <c r="J67"/>
  <c r="I67"/>
  <c r="E67"/>
  <c r="K67" s="1"/>
  <c r="M66"/>
  <c r="J66"/>
  <c r="K66" s="1"/>
  <c r="I66"/>
  <c r="M65"/>
  <c r="J65"/>
  <c r="I65"/>
  <c r="E65"/>
  <c r="M64"/>
  <c r="J64"/>
  <c r="K64" s="1"/>
  <c r="I64"/>
  <c r="M63"/>
  <c r="J63"/>
  <c r="I63"/>
  <c r="E63"/>
  <c r="M62"/>
  <c r="J62"/>
  <c r="I62"/>
  <c r="E62"/>
  <c r="M61"/>
  <c r="J61"/>
  <c r="K61" s="1"/>
  <c r="I61"/>
  <c r="M60"/>
  <c r="J60"/>
  <c r="I60"/>
  <c r="E60"/>
  <c r="K60" s="1"/>
  <c r="M59"/>
  <c r="J59"/>
  <c r="I59"/>
  <c r="E59"/>
  <c r="K59" s="1"/>
  <c r="M58"/>
  <c r="J58"/>
  <c r="I58"/>
  <c r="E58"/>
  <c r="K58" s="1"/>
  <c r="M57"/>
  <c r="J57"/>
  <c r="I57"/>
  <c r="E57"/>
  <c r="K57" s="1"/>
  <c r="M56"/>
  <c r="J56"/>
  <c r="K56" s="1"/>
  <c r="I56"/>
  <c r="M55"/>
  <c r="J55"/>
  <c r="I55"/>
  <c r="E55"/>
  <c r="K55" s="1"/>
  <c r="M54"/>
  <c r="J54"/>
  <c r="I54"/>
  <c r="E54"/>
  <c r="K54" s="1"/>
  <c r="M53"/>
  <c r="J53"/>
  <c r="K53" s="1"/>
  <c r="I53"/>
  <c r="M52"/>
  <c r="J52"/>
  <c r="I52"/>
  <c r="E52"/>
  <c r="M51"/>
  <c r="J51"/>
  <c r="K51" s="1"/>
  <c r="I51"/>
  <c r="M50"/>
  <c r="J50"/>
  <c r="K50" s="1"/>
  <c r="I50"/>
  <c r="M49"/>
  <c r="J49"/>
  <c r="I49"/>
  <c r="E49"/>
  <c r="K49" s="1"/>
  <c r="M48"/>
  <c r="J48"/>
  <c r="I48"/>
  <c r="E48"/>
  <c r="K48" s="1"/>
  <c r="J47"/>
  <c r="I47"/>
  <c r="E47"/>
  <c r="K47" s="1"/>
  <c r="M46"/>
  <c r="J46"/>
  <c r="I46"/>
  <c r="E46"/>
  <c r="K46" s="1"/>
  <c r="M45"/>
  <c r="J45"/>
  <c r="I45"/>
  <c r="E45"/>
  <c r="K45" s="1"/>
  <c r="M44"/>
  <c r="J44"/>
  <c r="I44"/>
  <c r="E44"/>
  <c r="K44" s="1"/>
  <c r="M43"/>
  <c r="J43"/>
  <c r="I43"/>
  <c r="E43"/>
  <c r="K43" s="1"/>
  <c r="M42"/>
  <c r="J42"/>
  <c r="I42"/>
  <c r="E42"/>
  <c r="K42" s="1"/>
  <c r="M41"/>
  <c r="J41"/>
  <c r="I41"/>
  <c r="E41"/>
  <c r="K41" s="1"/>
  <c r="M40"/>
  <c r="J40"/>
  <c r="I40"/>
  <c r="E40"/>
  <c r="K40" s="1"/>
  <c r="J39"/>
  <c r="I39"/>
  <c r="E39"/>
  <c r="M38"/>
  <c r="J38"/>
  <c r="K38" s="1"/>
  <c r="I38"/>
  <c r="M37"/>
  <c r="J37"/>
  <c r="I37"/>
  <c r="E37"/>
  <c r="M36"/>
  <c r="J36"/>
  <c r="I36"/>
  <c r="E36"/>
  <c r="M35"/>
  <c r="J35"/>
  <c r="I35"/>
  <c r="E35"/>
  <c r="M34"/>
  <c r="J34"/>
  <c r="I34"/>
  <c r="E34"/>
  <c r="M33"/>
  <c r="I33"/>
  <c r="E33"/>
  <c r="K33" s="1"/>
  <c r="M150"/>
  <c r="J150"/>
  <c r="K150" s="1"/>
  <c r="I150"/>
  <c r="M32"/>
  <c r="J32"/>
  <c r="K32" s="1"/>
  <c r="I32"/>
  <c r="M31"/>
  <c r="J31"/>
  <c r="I31"/>
  <c r="E31"/>
  <c r="M30"/>
  <c r="J30"/>
  <c r="K30" s="1"/>
  <c r="I30"/>
  <c r="M29"/>
  <c r="J29"/>
  <c r="I29"/>
  <c r="E29"/>
  <c r="M28"/>
  <c r="J28"/>
  <c r="I28"/>
  <c r="E28"/>
  <c r="M149"/>
  <c r="J149"/>
  <c r="I149"/>
  <c r="E149"/>
  <c r="M27"/>
  <c r="J27"/>
  <c r="K27" s="1"/>
  <c r="I27"/>
  <c r="M26"/>
  <c r="J26"/>
  <c r="I26"/>
  <c r="E26"/>
  <c r="K26" s="1"/>
  <c r="M25"/>
  <c r="I25"/>
  <c r="E25"/>
  <c r="K25" s="1"/>
  <c r="M24"/>
  <c r="J24"/>
  <c r="I24"/>
  <c r="E24"/>
  <c r="K24" s="1"/>
  <c r="M23"/>
  <c r="J23"/>
  <c r="I23"/>
  <c r="E23"/>
  <c r="K23" s="1"/>
  <c r="M22"/>
  <c r="J22"/>
  <c r="K22" s="1"/>
  <c r="I22"/>
  <c r="M21"/>
  <c r="J21"/>
  <c r="K21" s="1"/>
  <c r="I21"/>
  <c r="M20"/>
  <c r="J20"/>
  <c r="I20"/>
  <c r="E20"/>
  <c r="M19"/>
  <c r="J19"/>
  <c r="I19"/>
  <c r="E19"/>
  <c r="M18"/>
  <c r="J18"/>
  <c r="I18"/>
  <c r="E18"/>
  <c r="M17"/>
  <c r="J17"/>
  <c r="K17" s="1"/>
  <c r="I17"/>
  <c r="M16"/>
  <c r="J16"/>
  <c r="I16"/>
  <c r="E16"/>
  <c r="K16" s="1"/>
  <c r="M15"/>
  <c r="J15"/>
  <c r="I15"/>
  <c r="E15"/>
  <c r="K15" s="1"/>
  <c r="M14"/>
  <c r="J14"/>
  <c r="I14"/>
  <c r="E14"/>
  <c r="K14" s="1"/>
  <c r="M148"/>
  <c r="J148"/>
  <c r="I148"/>
  <c r="E148"/>
  <c r="K148" s="1"/>
  <c r="M13"/>
  <c r="J13"/>
  <c r="I13"/>
  <c r="E13"/>
  <c r="K13" s="1"/>
  <c r="M12"/>
  <c r="J12"/>
  <c r="I12"/>
  <c r="E12"/>
  <c r="K12" s="1"/>
  <c r="M11"/>
  <c r="J11"/>
  <c r="I11"/>
  <c r="E11"/>
  <c r="K11" s="1"/>
  <c r="M10"/>
  <c r="J10"/>
  <c r="I10"/>
  <c r="E10"/>
  <c r="K10" s="1"/>
  <c r="M9"/>
  <c r="J9"/>
  <c r="I9"/>
  <c r="E9"/>
  <c r="K9" s="1"/>
  <c r="M147"/>
  <c r="J147"/>
  <c r="I147"/>
  <c r="E147"/>
  <c r="K147" s="1"/>
  <c r="M8"/>
  <c r="J8"/>
  <c r="I8"/>
  <c r="E8"/>
  <c r="K8" s="1"/>
  <c r="M7"/>
  <c r="J7"/>
  <c r="I7"/>
  <c r="E7"/>
  <c r="K7" s="1"/>
  <c r="M6"/>
  <c r="J6"/>
  <c r="I6"/>
  <c r="E6"/>
  <c r="E132" s="1"/>
  <c r="G136" i="38"/>
  <c r="D136"/>
  <c r="C136"/>
  <c r="E135"/>
  <c r="J135"/>
  <c r="I135"/>
  <c r="M224"/>
  <c r="J224"/>
  <c r="I224"/>
  <c r="E224"/>
  <c r="M223"/>
  <c r="J223"/>
  <c r="I223"/>
  <c r="E223"/>
  <c r="M222"/>
  <c r="J222"/>
  <c r="I222"/>
  <c r="E222"/>
  <c r="M221"/>
  <c r="J221"/>
  <c r="I221"/>
  <c r="E221"/>
  <c r="M220"/>
  <c r="J220"/>
  <c r="I220"/>
  <c r="E220"/>
  <c r="M218"/>
  <c r="J218"/>
  <c r="I218"/>
  <c r="E218"/>
  <c r="M217"/>
  <c r="J217"/>
  <c r="I217"/>
  <c r="E217"/>
  <c r="M216"/>
  <c r="J216"/>
  <c r="I216"/>
  <c r="E216"/>
  <c r="M215"/>
  <c r="J215"/>
  <c r="I215"/>
  <c r="E215"/>
  <c r="M214"/>
  <c r="J214"/>
  <c r="I214"/>
  <c r="E214"/>
  <c r="J208"/>
  <c r="I208"/>
  <c r="E208"/>
  <c r="K208" s="1"/>
  <c r="J207"/>
  <c r="I207"/>
  <c r="E207"/>
  <c r="K207" s="1"/>
  <c r="J206"/>
  <c r="K206" s="1"/>
  <c r="I206"/>
  <c r="J205"/>
  <c r="I205"/>
  <c r="E205"/>
  <c r="K205" s="1"/>
  <c r="J204"/>
  <c r="I204"/>
  <c r="E204"/>
  <c r="K204" s="1"/>
  <c r="J203"/>
  <c r="I203"/>
  <c r="E203"/>
  <c r="J202"/>
  <c r="I202"/>
  <c r="E202"/>
  <c r="J201"/>
  <c r="I201"/>
  <c r="E201"/>
  <c r="K201" s="1"/>
  <c r="J200"/>
  <c r="I200"/>
  <c r="E200"/>
  <c r="K200" s="1"/>
  <c r="J199"/>
  <c r="I199"/>
  <c r="E199"/>
  <c r="J198"/>
  <c r="I198"/>
  <c r="E198"/>
  <c r="J197"/>
  <c r="K197" s="1"/>
  <c r="I197"/>
  <c r="J196"/>
  <c r="K196" s="1"/>
  <c r="I196"/>
  <c r="J195"/>
  <c r="I195"/>
  <c r="E195"/>
  <c r="K195" s="1"/>
  <c r="J194"/>
  <c r="I194"/>
  <c r="E194"/>
  <c r="K194" s="1"/>
  <c r="J193"/>
  <c r="I193"/>
  <c r="E193"/>
  <c r="J192"/>
  <c r="I192"/>
  <c r="E192"/>
  <c r="J191"/>
  <c r="I191"/>
  <c r="E191"/>
  <c r="K191" s="1"/>
  <c r="J190"/>
  <c r="I190"/>
  <c r="E190"/>
  <c r="K190" s="1"/>
  <c r="J189"/>
  <c r="I189"/>
  <c r="E189"/>
  <c r="J188"/>
  <c r="K188" s="1"/>
  <c r="I188"/>
  <c r="M185"/>
  <c r="J185"/>
  <c r="I185"/>
  <c r="E185"/>
  <c r="K185" s="1"/>
  <c r="M184"/>
  <c r="J184"/>
  <c r="K184" s="1"/>
  <c r="I184"/>
  <c r="M183"/>
  <c r="J183"/>
  <c r="I183"/>
  <c r="E183"/>
  <c r="K183" s="1"/>
  <c r="M182"/>
  <c r="J182"/>
  <c r="I182"/>
  <c r="E182"/>
  <c r="K182" s="1"/>
  <c r="M181"/>
  <c r="J181"/>
  <c r="I181"/>
  <c r="E181"/>
  <c r="K181" s="1"/>
  <c r="M180"/>
  <c r="J180"/>
  <c r="I180"/>
  <c r="E180"/>
  <c r="K180" s="1"/>
  <c r="M179"/>
  <c r="J179"/>
  <c r="I179"/>
  <c r="E179"/>
  <c r="K179" s="1"/>
  <c r="M178"/>
  <c r="J178"/>
  <c r="K178" s="1"/>
  <c r="I178"/>
  <c r="M177"/>
  <c r="J177"/>
  <c r="I177"/>
  <c r="E177"/>
  <c r="M176"/>
  <c r="J176"/>
  <c r="I176"/>
  <c r="E176"/>
  <c r="M175"/>
  <c r="J175"/>
  <c r="I175"/>
  <c r="E175"/>
  <c r="M174"/>
  <c r="J174"/>
  <c r="I174"/>
  <c r="E174"/>
  <c r="M173"/>
  <c r="J173"/>
  <c r="I173"/>
  <c r="E173"/>
  <c r="M172"/>
  <c r="J172"/>
  <c r="I172"/>
  <c r="E172"/>
  <c r="M171"/>
  <c r="J171"/>
  <c r="I171"/>
  <c r="E171"/>
  <c r="M170"/>
  <c r="J170"/>
  <c r="I170"/>
  <c r="E170"/>
  <c r="M169"/>
  <c r="J169"/>
  <c r="I169"/>
  <c r="E169"/>
  <c r="M168"/>
  <c r="J168"/>
  <c r="I168"/>
  <c r="E168"/>
  <c r="M167"/>
  <c r="J167"/>
  <c r="I167"/>
  <c r="E167"/>
  <c r="M166"/>
  <c r="J166"/>
  <c r="I166"/>
  <c r="E166"/>
  <c r="M165"/>
  <c r="J165"/>
  <c r="I165"/>
  <c r="E165"/>
  <c r="M163"/>
  <c r="J163"/>
  <c r="I163"/>
  <c r="E163"/>
  <c r="M162"/>
  <c r="J162"/>
  <c r="K162" s="1"/>
  <c r="I162"/>
  <c r="M161"/>
  <c r="J161"/>
  <c r="I161"/>
  <c r="E161"/>
  <c r="M159"/>
  <c r="J159"/>
  <c r="I159"/>
  <c r="E159"/>
  <c r="M158"/>
  <c r="J158"/>
  <c r="K158" s="1"/>
  <c r="I158"/>
  <c r="M157"/>
  <c r="J157"/>
  <c r="I157"/>
  <c r="E157"/>
  <c r="K157" s="1"/>
  <c r="G139"/>
  <c r="J124"/>
  <c r="I124"/>
  <c r="E124"/>
  <c r="K124" s="1"/>
  <c r="J115"/>
  <c r="K115" s="1"/>
  <c r="I115"/>
  <c r="J107"/>
  <c r="I107"/>
  <c r="E107"/>
  <c r="J100"/>
  <c r="K100" s="1"/>
  <c r="I100"/>
  <c r="J96"/>
  <c r="K96" s="1"/>
  <c r="I96"/>
  <c r="J61"/>
  <c r="I61"/>
  <c r="E61"/>
  <c r="K61" s="1"/>
  <c r="J55"/>
  <c r="K55" s="1"/>
  <c r="I55"/>
  <c r="J41"/>
  <c r="I41"/>
  <c r="E41"/>
  <c r="J29"/>
  <c r="K29" s="1"/>
  <c r="I29"/>
  <c r="J7"/>
  <c r="I7"/>
  <c r="E7"/>
  <c r="J134"/>
  <c r="K134" s="1"/>
  <c r="I134"/>
  <c r="J133"/>
  <c r="I133"/>
  <c r="E133"/>
  <c r="K133" s="1"/>
  <c r="M155"/>
  <c r="J155"/>
  <c r="I155"/>
  <c r="E155"/>
  <c r="K155" s="1"/>
  <c r="M122"/>
  <c r="J132"/>
  <c r="I132"/>
  <c r="E132"/>
  <c r="K132" s="1"/>
  <c r="M121"/>
  <c r="J131"/>
  <c r="I131"/>
  <c r="E131"/>
  <c r="K131" s="1"/>
  <c r="M120"/>
  <c r="J130"/>
  <c r="K130" s="1"/>
  <c r="I130"/>
  <c r="M119"/>
  <c r="J129"/>
  <c r="I129"/>
  <c r="E129"/>
  <c r="M118"/>
  <c r="J128"/>
  <c r="I128"/>
  <c r="E128"/>
  <c r="M117"/>
  <c r="J127"/>
  <c r="I127"/>
  <c r="E127"/>
  <c r="M116"/>
  <c r="J126"/>
  <c r="I126"/>
  <c r="E126"/>
  <c r="M115"/>
  <c r="J125"/>
  <c r="K125" s="1"/>
  <c r="I125"/>
  <c r="M114"/>
  <c r="J123"/>
  <c r="I123"/>
  <c r="E123"/>
  <c r="M113"/>
  <c r="J122"/>
  <c r="I122"/>
  <c r="E122"/>
  <c r="M112"/>
  <c r="J121"/>
  <c r="I121"/>
  <c r="E121"/>
  <c r="M111"/>
  <c r="J120"/>
  <c r="K120" s="1"/>
  <c r="I120"/>
  <c r="M110"/>
  <c r="J119"/>
  <c r="I119"/>
  <c r="E119"/>
  <c r="K119" s="1"/>
  <c r="M109"/>
  <c r="J118"/>
  <c r="I118"/>
  <c r="E118"/>
  <c r="K118" s="1"/>
  <c r="M108"/>
  <c r="J117"/>
  <c r="I117"/>
  <c r="E117"/>
  <c r="K117" s="1"/>
  <c r="M107"/>
  <c r="J116"/>
  <c r="I116"/>
  <c r="E116"/>
  <c r="K116" s="1"/>
  <c r="M106"/>
  <c r="J114"/>
  <c r="I114"/>
  <c r="E114"/>
  <c r="K114" s="1"/>
  <c r="M105"/>
  <c r="J113"/>
  <c r="I113"/>
  <c r="E113"/>
  <c r="K113" s="1"/>
  <c r="M151"/>
  <c r="J112"/>
  <c r="I112"/>
  <c r="E112"/>
  <c r="K112" s="1"/>
  <c r="M104"/>
  <c r="J111"/>
  <c r="I111"/>
  <c r="E111"/>
  <c r="K111" s="1"/>
  <c r="M103"/>
  <c r="J110"/>
  <c r="I110"/>
  <c r="E110"/>
  <c r="K110" s="1"/>
  <c r="M102"/>
  <c r="J109"/>
  <c r="I109"/>
  <c r="E109"/>
  <c r="K109" s="1"/>
  <c r="M101"/>
  <c r="J108"/>
  <c r="I108"/>
  <c r="E108"/>
  <c r="K108" s="1"/>
  <c r="M100"/>
  <c r="J106"/>
  <c r="I106"/>
  <c r="E106"/>
  <c r="K106" s="1"/>
  <c r="J153"/>
  <c r="I153"/>
  <c r="E153"/>
  <c r="K153" s="1"/>
  <c r="M99"/>
  <c r="J105"/>
  <c r="I105"/>
  <c r="E105"/>
  <c r="K105" s="1"/>
  <c r="M98"/>
  <c r="J151"/>
  <c r="K151" s="1"/>
  <c r="I151"/>
  <c r="M97"/>
  <c r="J104"/>
  <c r="I104"/>
  <c r="E104"/>
  <c r="M96"/>
  <c r="J103"/>
  <c r="I103"/>
  <c r="E103"/>
  <c r="M95"/>
  <c r="J102"/>
  <c r="I102"/>
  <c r="E102"/>
  <c r="M94"/>
  <c r="J101"/>
  <c r="K101" s="1"/>
  <c r="I101"/>
  <c r="M93"/>
  <c r="J99"/>
  <c r="I99"/>
  <c r="E99"/>
  <c r="M92"/>
  <c r="J98"/>
  <c r="K98" s="1"/>
  <c r="I98"/>
  <c r="M91"/>
  <c r="J97"/>
  <c r="K97" s="1"/>
  <c r="I97"/>
  <c r="M90"/>
  <c r="J95"/>
  <c r="I95"/>
  <c r="E95"/>
  <c r="K95" s="1"/>
  <c r="M89"/>
  <c r="J94"/>
  <c r="I94"/>
  <c r="E94"/>
  <c r="K94" s="1"/>
  <c r="M88"/>
  <c r="J93"/>
  <c r="K93" s="1"/>
  <c r="I93"/>
  <c r="M87"/>
  <c r="J92"/>
  <c r="I92"/>
  <c r="E92"/>
  <c r="M86"/>
  <c r="J91"/>
  <c r="I91"/>
  <c r="E91"/>
  <c r="M85"/>
  <c r="J90"/>
  <c r="K90" s="1"/>
  <c r="I90"/>
  <c r="M84"/>
  <c r="J89"/>
  <c r="I89"/>
  <c r="E89"/>
  <c r="M83"/>
  <c r="J88"/>
  <c r="I88"/>
  <c r="E88"/>
  <c r="M82"/>
  <c r="J87"/>
  <c r="K87" s="1"/>
  <c r="I87"/>
  <c r="M81"/>
  <c r="J86"/>
  <c r="I86"/>
  <c r="E86"/>
  <c r="K86" s="1"/>
  <c r="M80"/>
  <c r="J85"/>
  <c r="K85" s="1"/>
  <c r="I85"/>
  <c r="M79"/>
  <c r="J84"/>
  <c r="I84"/>
  <c r="E84"/>
  <c r="K84" s="1"/>
  <c r="M78"/>
  <c r="J83"/>
  <c r="I83"/>
  <c r="E83"/>
  <c r="K83" s="1"/>
  <c r="M77"/>
  <c r="J82"/>
  <c r="I82"/>
  <c r="E82"/>
  <c r="K82" s="1"/>
  <c r="M76"/>
  <c r="J81"/>
  <c r="I81"/>
  <c r="E81"/>
  <c r="K81" s="1"/>
  <c r="M75"/>
  <c r="J80"/>
  <c r="K80" s="1"/>
  <c r="I80"/>
  <c r="M74"/>
  <c r="J79"/>
  <c r="K79" s="1"/>
  <c r="I79"/>
  <c r="M73"/>
  <c r="J78"/>
  <c r="I78"/>
  <c r="E78"/>
  <c r="M72"/>
  <c r="J77"/>
  <c r="K77" s="1"/>
  <c r="I77"/>
  <c r="M71"/>
  <c r="J76"/>
  <c r="I76"/>
  <c r="E76"/>
  <c r="K76" s="1"/>
  <c r="M70"/>
  <c r="J75"/>
  <c r="I75"/>
  <c r="E75"/>
  <c r="K75" s="1"/>
  <c r="M69"/>
  <c r="J74"/>
  <c r="I74"/>
  <c r="E74"/>
  <c r="K74" s="1"/>
  <c r="M68"/>
  <c r="J73"/>
  <c r="I73"/>
  <c r="E73"/>
  <c r="K73" s="1"/>
  <c r="M67"/>
  <c r="J72"/>
  <c r="I72"/>
  <c r="E72"/>
  <c r="K72" s="1"/>
  <c r="M66"/>
  <c r="J71"/>
  <c r="I71"/>
  <c r="E71"/>
  <c r="K71" s="1"/>
  <c r="M65"/>
  <c r="J70"/>
  <c r="K70" s="1"/>
  <c r="I70"/>
  <c r="M64"/>
  <c r="J69"/>
  <c r="I69"/>
  <c r="E69"/>
  <c r="K69" s="1"/>
  <c r="M63"/>
  <c r="J68"/>
  <c r="K68" s="1"/>
  <c r="I68"/>
  <c r="M62"/>
  <c r="J67"/>
  <c r="I67"/>
  <c r="E67"/>
  <c r="M61"/>
  <c r="J66"/>
  <c r="I66"/>
  <c r="E66"/>
  <c r="M60"/>
  <c r="J65"/>
  <c r="K65" s="1"/>
  <c r="I65"/>
  <c r="M59"/>
  <c r="J64"/>
  <c r="I64"/>
  <c r="E64"/>
  <c r="M58"/>
  <c r="J63"/>
  <c r="I63"/>
  <c r="E63"/>
  <c r="M57"/>
  <c r="J62"/>
  <c r="I62"/>
  <c r="E62"/>
  <c r="M56"/>
  <c r="J60"/>
  <c r="K60" s="1"/>
  <c r="I60"/>
  <c r="M55"/>
  <c r="J59"/>
  <c r="I59"/>
  <c r="E59"/>
  <c r="K59" s="1"/>
  <c r="M54"/>
  <c r="J58"/>
  <c r="I58"/>
  <c r="E58"/>
  <c r="K58" s="1"/>
  <c r="M53"/>
  <c r="J57"/>
  <c r="K57" s="1"/>
  <c r="I57"/>
  <c r="M52"/>
  <c r="J56"/>
  <c r="I56"/>
  <c r="E56"/>
  <c r="K56" s="1"/>
  <c r="J54"/>
  <c r="K54" s="1"/>
  <c r="I54"/>
  <c r="M50"/>
  <c r="J53"/>
  <c r="I53"/>
  <c r="E53"/>
  <c r="M49"/>
  <c r="J52"/>
  <c r="I52"/>
  <c r="E52"/>
  <c r="M48"/>
  <c r="J51"/>
  <c r="I51"/>
  <c r="E51"/>
  <c r="M47"/>
  <c r="J50"/>
  <c r="I50"/>
  <c r="E50"/>
  <c r="M46"/>
  <c r="J49"/>
  <c r="I49"/>
  <c r="E49"/>
  <c r="M45"/>
  <c r="J48"/>
  <c r="I48"/>
  <c r="E48"/>
  <c r="M44"/>
  <c r="J47"/>
  <c r="I47"/>
  <c r="E47"/>
  <c r="J46"/>
  <c r="I46"/>
  <c r="E46"/>
  <c r="K46" s="1"/>
  <c r="M42"/>
  <c r="J45"/>
  <c r="I45"/>
  <c r="E45"/>
  <c r="K45" s="1"/>
  <c r="M41"/>
  <c r="J44"/>
  <c r="I44"/>
  <c r="E44"/>
  <c r="K44" s="1"/>
  <c r="M40"/>
  <c r="J43"/>
  <c r="I43"/>
  <c r="E43"/>
  <c r="K43" s="1"/>
  <c r="M39"/>
  <c r="J42"/>
  <c r="K42" s="1"/>
  <c r="I42"/>
  <c r="M38"/>
  <c r="J40"/>
  <c r="I40"/>
  <c r="E40"/>
  <c r="K40" s="1"/>
  <c r="M37"/>
  <c r="J39"/>
  <c r="I39"/>
  <c r="E39"/>
  <c r="K39" s="1"/>
  <c r="M36"/>
  <c r="J38"/>
  <c r="I38"/>
  <c r="E38"/>
  <c r="K38" s="1"/>
  <c r="M35"/>
  <c r="I37"/>
  <c r="E37"/>
  <c r="K37" s="1"/>
  <c r="M150"/>
  <c r="J36"/>
  <c r="K36" s="1"/>
  <c r="I36"/>
  <c r="M34"/>
  <c r="J35"/>
  <c r="K35" s="1"/>
  <c r="I35"/>
  <c r="M33"/>
  <c r="J150"/>
  <c r="I150"/>
  <c r="E150"/>
  <c r="K150" s="1"/>
  <c r="M32"/>
  <c r="J34"/>
  <c r="I34"/>
  <c r="E34"/>
  <c r="K34" s="1"/>
  <c r="M31"/>
  <c r="J33"/>
  <c r="K33" s="1"/>
  <c r="I33"/>
  <c r="M30"/>
  <c r="J32"/>
  <c r="I32"/>
  <c r="E32"/>
  <c r="K32" s="1"/>
  <c r="M29"/>
  <c r="J31"/>
  <c r="I31"/>
  <c r="E31"/>
  <c r="K31" s="1"/>
  <c r="M28"/>
  <c r="J30"/>
  <c r="I30"/>
  <c r="E30"/>
  <c r="K30" s="1"/>
  <c r="M27"/>
  <c r="J28"/>
  <c r="I28"/>
  <c r="E28"/>
  <c r="K28" s="1"/>
  <c r="M26"/>
  <c r="I27"/>
  <c r="E27"/>
  <c r="K27" s="1"/>
  <c r="M25"/>
  <c r="J26"/>
  <c r="I26"/>
  <c r="E26"/>
  <c r="M24"/>
  <c r="J25"/>
  <c r="I25"/>
  <c r="E25"/>
  <c r="M23"/>
  <c r="J24"/>
  <c r="K24" s="1"/>
  <c r="I24"/>
  <c r="M22"/>
  <c r="J23"/>
  <c r="K23" s="1"/>
  <c r="I23"/>
  <c r="M21"/>
  <c r="J22"/>
  <c r="I22"/>
  <c r="E22"/>
  <c r="K22" s="1"/>
  <c r="M20"/>
  <c r="J21"/>
  <c r="I21"/>
  <c r="E21"/>
  <c r="K21" s="1"/>
  <c r="M19"/>
  <c r="J20"/>
  <c r="I20"/>
  <c r="E20"/>
  <c r="K20" s="1"/>
  <c r="M18"/>
  <c r="J19"/>
  <c r="K19" s="1"/>
  <c r="I19"/>
  <c r="M17"/>
  <c r="J18"/>
  <c r="I18"/>
  <c r="E18"/>
  <c r="K18" s="1"/>
  <c r="M16"/>
  <c r="J17"/>
  <c r="I17"/>
  <c r="E17"/>
  <c r="K17" s="1"/>
  <c r="M15"/>
  <c r="J16"/>
  <c r="I16"/>
  <c r="E16"/>
  <c r="K16" s="1"/>
  <c r="M14"/>
  <c r="J15"/>
  <c r="I15"/>
  <c r="E15"/>
  <c r="K15" s="1"/>
  <c r="M13"/>
  <c r="J14"/>
  <c r="I14"/>
  <c r="E14"/>
  <c r="K14" s="1"/>
  <c r="M12"/>
  <c r="J13"/>
  <c r="I13"/>
  <c r="E13"/>
  <c r="K13" s="1"/>
  <c r="M11"/>
  <c r="J12"/>
  <c r="I12"/>
  <c r="E12"/>
  <c r="K12" s="1"/>
  <c r="M10"/>
  <c r="J11"/>
  <c r="I11"/>
  <c r="E11"/>
  <c r="K11" s="1"/>
  <c r="M9"/>
  <c r="J10"/>
  <c r="I10"/>
  <c r="E10"/>
  <c r="K10" s="1"/>
  <c r="M8"/>
  <c r="J9"/>
  <c r="I9"/>
  <c r="E9"/>
  <c r="K9" s="1"/>
  <c r="M7"/>
  <c r="J8"/>
  <c r="I8"/>
  <c r="E8"/>
  <c r="K8" s="1"/>
  <c r="M6"/>
  <c r="J6"/>
  <c r="I6"/>
  <c r="E6"/>
  <c r="E136" s="1"/>
  <c r="D139" i="36"/>
  <c r="C139"/>
  <c r="G139"/>
  <c r="K137"/>
  <c r="K133"/>
  <c r="K132"/>
  <c r="J138"/>
  <c r="J137"/>
  <c r="J136"/>
  <c r="J135"/>
  <c r="K135" s="1"/>
  <c r="J134"/>
  <c r="K134" s="1"/>
  <c r="J133"/>
  <c r="J132"/>
  <c r="J131"/>
  <c r="J130"/>
  <c r="K130" s="1"/>
  <c r="J129"/>
  <c r="J128"/>
  <c r="K128" s="1"/>
  <c r="I138"/>
  <c r="I137"/>
  <c r="I136"/>
  <c r="I135"/>
  <c r="I134"/>
  <c r="I133"/>
  <c r="I132"/>
  <c r="I131"/>
  <c r="I130"/>
  <c r="I129"/>
  <c r="I128"/>
  <c r="E136"/>
  <c r="K136" s="1"/>
  <c r="E131"/>
  <c r="K131" s="1"/>
  <c r="E138"/>
  <c r="K138" s="1"/>
  <c r="E133"/>
  <c r="E129"/>
  <c r="K129" s="1"/>
  <c r="M223"/>
  <c r="J223"/>
  <c r="I223"/>
  <c r="E223"/>
  <c r="K223" s="1"/>
  <c r="M222"/>
  <c r="J222"/>
  <c r="I222"/>
  <c r="E222"/>
  <c r="K222" s="1"/>
  <c r="M221"/>
  <c r="J221"/>
  <c r="I221"/>
  <c r="E221"/>
  <c r="K221" s="1"/>
  <c r="M220"/>
  <c r="J220"/>
  <c r="I220"/>
  <c r="E220"/>
  <c r="K220" s="1"/>
  <c r="M218"/>
  <c r="J218"/>
  <c r="I218"/>
  <c r="E218"/>
  <c r="K218" s="1"/>
  <c r="M217"/>
  <c r="J217"/>
  <c r="I217"/>
  <c r="E217"/>
  <c r="K217" s="1"/>
  <c r="M216"/>
  <c r="J216"/>
  <c r="I216"/>
  <c r="E216"/>
  <c r="K216" s="1"/>
  <c r="M215"/>
  <c r="J215"/>
  <c r="I215"/>
  <c r="E215"/>
  <c r="K215" s="1"/>
  <c r="M214"/>
  <c r="J214"/>
  <c r="I214"/>
  <c r="E214"/>
  <c r="K214" s="1"/>
  <c r="J208"/>
  <c r="I208"/>
  <c r="E208"/>
  <c r="J207"/>
  <c r="I207"/>
  <c r="E207"/>
  <c r="J206"/>
  <c r="K206" s="1"/>
  <c r="I206"/>
  <c r="J205"/>
  <c r="I205"/>
  <c r="E205"/>
  <c r="J204"/>
  <c r="I204"/>
  <c r="E204"/>
  <c r="J203"/>
  <c r="I203"/>
  <c r="E203"/>
  <c r="K203" s="1"/>
  <c r="J202"/>
  <c r="I202"/>
  <c r="E202"/>
  <c r="K202" s="1"/>
  <c r="J201"/>
  <c r="I201"/>
  <c r="E201"/>
  <c r="J200"/>
  <c r="I200"/>
  <c r="E200"/>
  <c r="J199"/>
  <c r="I199"/>
  <c r="E199"/>
  <c r="K199" s="1"/>
  <c r="J198"/>
  <c r="I198"/>
  <c r="E198"/>
  <c r="K198" s="1"/>
  <c r="J197"/>
  <c r="K197" s="1"/>
  <c r="I197"/>
  <c r="J196"/>
  <c r="K196" s="1"/>
  <c r="I196"/>
  <c r="J195"/>
  <c r="I195"/>
  <c r="E195"/>
  <c r="J194"/>
  <c r="I194"/>
  <c r="E194"/>
  <c r="J193"/>
  <c r="I193"/>
  <c r="E193"/>
  <c r="K193" s="1"/>
  <c r="J192"/>
  <c r="I192"/>
  <c r="E192"/>
  <c r="K192" s="1"/>
  <c r="J191"/>
  <c r="I191"/>
  <c r="E191"/>
  <c r="J190"/>
  <c r="I190"/>
  <c r="E190"/>
  <c r="J189"/>
  <c r="I189"/>
  <c r="E189"/>
  <c r="K189" s="1"/>
  <c r="J188"/>
  <c r="K188" s="1"/>
  <c r="I188"/>
  <c r="J101"/>
  <c r="I101"/>
  <c r="E101"/>
  <c r="J52"/>
  <c r="K52" s="1"/>
  <c r="I52"/>
  <c r="M163"/>
  <c r="J163"/>
  <c r="I163"/>
  <c r="E163"/>
  <c r="K163" s="1"/>
  <c r="M162"/>
  <c r="J162"/>
  <c r="K162" s="1"/>
  <c r="I162"/>
  <c r="J127"/>
  <c r="I127"/>
  <c r="E127"/>
  <c r="M126"/>
  <c r="J126"/>
  <c r="I126"/>
  <c r="E126"/>
  <c r="M161"/>
  <c r="J161"/>
  <c r="I161"/>
  <c r="E161"/>
  <c r="M125"/>
  <c r="J125"/>
  <c r="I125"/>
  <c r="E125"/>
  <c r="M124"/>
  <c r="J124"/>
  <c r="I124"/>
  <c r="E124"/>
  <c r="M123"/>
  <c r="J123"/>
  <c r="K123" s="1"/>
  <c r="I123"/>
  <c r="M122"/>
  <c r="J122"/>
  <c r="I122"/>
  <c r="E122"/>
  <c r="K122" s="1"/>
  <c r="M121"/>
  <c r="J121"/>
  <c r="I121"/>
  <c r="E121"/>
  <c r="K121" s="1"/>
  <c r="M120"/>
  <c r="J120"/>
  <c r="I120"/>
  <c r="E120"/>
  <c r="K120" s="1"/>
  <c r="M119"/>
  <c r="J119"/>
  <c r="I119"/>
  <c r="E119"/>
  <c r="K119" s="1"/>
  <c r="M118"/>
  <c r="J118"/>
  <c r="K118" s="1"/>
  <c r="I118"/>
  <c r="M117"/>
  <c r="J117"/>
  <c r="I117"/>
  <c r="E117"/>
  <c r="K117" s="1"/>
  <c r="M116"/>
  <c r="J116"/>
  <c r="I116"/>
  <c r="E116"/>
  <c r="K116" s="1"/>
  <c r="M115"/>
  <c r="J115"/>
  <c r="I115"/>
  <c r="E115"/>
  <c r="K115" s="1"/>
  <c r="M114"/>
  <c r="J114"/>
  <c r="K114" s="1"/>
  <c r="I114"/>
  <c r="M113"/>
  <c r="J113"/>
  <c r="I113"/>
  <c r="E113"/>
  <c r="M112"/>
  <c r="J112"/>
  <c r="I112"/>
  <c r="E112"/>
  <c r="M111"/>
  <c r="J111"/>
  <c r="I111"/>
  <c r="E111"/>
  <c r="M110"/>
  <c r="J110"/>
  <c r="I110"/>
  <c r="E110"/>
  <c r="M109"/>
  <c r="J109"/>
  <c r="I109"/>
  <c r="E109"/>
  <c r="M108"/>
  <c r="J108"/>
  <c r="I108"/>
  <c r="E108"/>
  <c r="M107"/>
  <c r="J107"/>
  <c r="I107"/>
  <c r="E107"/>
  <c r="M106"/>
  <c r="J106"/>
  <c r="I106"/>
  <c r="E106"/>
  <c r="M105"/>
  <c r="J105"/>
  <c r="I105"/>
  <c r="E105"/>
  <c r="M104"/>
  <c r="J104"/>
  <c r="I104"/>
  <c r="E104"/>
  <c r="M103"/>
  <c r="J103"/>
  <c r="I103"/>
  <c r="E103"/>
  <c r="M102"/>
  <c r="J102"/>
  <c r="I102"/>
  <c r="E102"/>
  <c r="M100"/>
  <c r="J100"/>
  <c r="I100"/>
  <c r="E100"/>
  <c r="M99"/>
  <c r="J99"/>
  <c r="K99" s="1"/>
  <c r="I99"/>
  <c r="M98"/>
  <c r="J98"/>
  <c r="I98"/>
  <c r="E98"/>
  <c r="M97"/>
  <c r="J97"/>
  <c r="I97"/>
  <c r="E97"/>
  <c r="M159"/>
  <c r="J159"/>
  <c r="I159"/>
  <c r="E159"/>
  <c r="M96"/>
  <c r="J96"/>
  <c r="I96"/>
  <c r="E96"/>
  <c r="M95"/>
  <c r="J95"/>
  <c r="K95" s="1"/>
  <c r="I95"/>
  <c r="M94"/>
  <c r="J94"/>
  <c r="I94"/>
  <c r="E94"/>
  <c r="K94" s="1"/>
  <c r="M93"/>
  <c r="J93"/>
  <c r="K93" s="1"/>
  <c r="I93"/>
  <c r="M92"/>
  <c r="J92"/>
  <c r="K92" s="1"/>
  <c r="I92"/>
  <c r="M91"/>
  <c r="J91"/>
  <c r="I91"/>
  <c r="E91"/>
  <c r="M90"/>
  <c r="J90"/>
  <c r="I90"/>
  <c r="E90"/>
  <c r="M89"/>
  <c r="J89"/>
  <c r="K89" s="1"/>
  <c r="I89"/>
  <c r="M88"/>
  <c r="J88"/>
  <c r="I88"/>
  <c r="E88"/>
  <c r="M87"/>
  <c r="J87"/>
  <c r="I87"/>
  <c r="E87"/>
  <c r="M86"/>
  <c r="J86"/>
  <c r="K86" s="1"/>
  <c r="I86"/>
  <c r="M85"/>
  <c r="J85"/>
  <c r="I85"/>
  <c r="E85"/>
  <c r="K85" s="1"/>
  <c r="M84"/>
  <c r="J84"/>
  <c r="I84"/>
  <c r="E84"/>
  <c r="K84" s="1"/>
  <c r="M83"/>
  <c r="J83"/>
  <c r="K83" s="1"/>
  <c r="I83"/>
  <c r="M82"/>
  <c r="J82"/>
  <c r="I82"/>
  <c r="E82"/>
  <c r="K82" s="1"/>
  <c r="M81"/>
  <c r="J81"/>
  <c r="K81" s="1"/>
  <c r="I81"/>
  <c r="M80"/>
  <c r="J80"/>
  <c r="I80"/>
  <c r="E80"/>
  <c r="M79"/>
  <c r="J79"/>
  <c r="I79"/>
  <c r="E79"/>
  <c r="M78"/>
  <c r="J78"/>
  <c r="I78"/>
  <c r="E78"/>
  <c r="M77"/>
  <c r="J77"/>
  <c r="I77"/>
  <c r="E77"/>
  <c r="M76"/>
  <c r="J76"/>
  <c r="K76" s="1"/>
  <c r="I76"/>
  <c r="M75"/>
  <c r="J75"/>
  <c r="K75" s="1"/>
  <c r="I75"/>
  <c r="M74"/>
  <c r="J74"/>
  <c r="I74"/>
  <c r="E74"/>
  <c r="K74" s="1"/>
  <c r="M73"/>
  <c r="J73"/>
  <c r="K73" s="1"/>
  <c r="I73"/>
  <c r="M72"/>
  <c r="J72"/>
  <c r="I72"/>
  <c r="E72"/>
  <c r="K72" s="1"/>
  <c r="M71"/>
  <c r="J71"/>
  <c r="I71"/>
  <c r="E71"/>
  <c r="K71" s="1"/>
  <c r="M70"/>
  <c r="J70"/>
  <c r="I70"/>
  <c r="E70"/>
  <c r="K70" s="1"/>
  <c r="M69"/>
  <c r="J69"/>
  <c r="I69"/>
  <c r="E69"/>
  <c r="K69" s="1"/>
  <c r="M158"/>
  <c r="J158"/>
  <c r="K158" s="1"/>
  <c r="I158"/>
  <c r="M68"/>
  <c r="J68"/>
  <c r="I68"/>
  <c r="E68"/>
  <c r="M185"/>
  <c r="J185"/>
  <c r="I185"/>
  <c r="E185"/>
  <c r="M67"/>
  <c r="J67"/>
  <c r="I67"/>
  <c r="E67"/>
  <c r="M184"/>
  <c r="J184"/>
  <c r="K184" s="1"/>
  <c r="I184"/>
  <c r="M66"/>
  <c r="J66"/>
  <c r="K66" s="1"/>
  <c r="I66"/>
  <c r="M65"/>
  <c r="J65"/>
  <c r="I65"/>
  <c r="E65"/>
  <c r="K65" s="1"/>
  <c r="M183"/>
  <c r="J183"/>
  <c r="I183"/>
  <c r="E183"/>
  <c r="K183" s="1"/>
  <c r="M64"/>
  <c r="J64"/>
  <c r="K64" s="1"/>
  <c r="I64"/>
  <c r="M182"/>
  <c r="J182"/>
  <c r="I182"/>
  <c r="E182"/>
  <c r="K182" s="1"/>
  <c r="M63"/>
  <c r="J63"/>
  <c r="I63"/>
  <c r="E63"/>
  <c r="K63" s="1"/>
  <c r="M62"/>
  <c r="J62"/>
  <c r="I62"/>
  <c r="E62"/>
  <c r="K62" s="1"/>
  <c r="M61"/>
  <c r="J61"/>
  <c r="K61" s="1"/>
  <c r="I61"/>
  <c r="M181"/>
  <c r="J181"/>
  <c r="I181"/>
  <c r="E181"/>
  <c r="M180"/>
  <c r="J180"/>
  <c r="I180"/>
  <c r="E180"/>
  <c r="M60"/>
  <c r="J60"/>
  <c r="I60"/>
  <c r="E60"/>
  <c r="M59"/>
  <c r="J59"/>
  <c r="I59"/>
  <c r="E59"/>
  <c r="M179"/>
  <c r="J179"/>
  <c r="I179"/>
  <c r="E179"/>
  <c r="M58"/>
  <c r="J58"/>
  <c r="I58"/>
  <c r="E58"/>
  <c r="M178"/>
  <c r="J178"/>
  <c r="K178" s="1"/>
  <c r="I178"/>
  <c r="M57"/>
  <c r="J57"/>
  <c r="K57" s="1"/>
  <c r="I57"/>
  <c r="M177"/>
  <c r="J177"/>
  <c r="I177"/>
  <c r="E177"/>
  <c r="K177" s="1"/>
  <c r="M56"/>
  <c r="J56"/>
  <c r="I56"/>
  <c r="E56"/>
  <c r="K56" s="1"/>
  <c r="M55"/>
  <c r="J55"/>
  <c r="I55"/>
  <c r="E55"/>
  <c r="K55" s="1"/>
  <c r="M54"/>
  <c r="J54"/>
  <c r="K54" s="1"/>
  <c r="I54"/>
  <c r="M53"/>
  <c r="J53"/>
  <c r="I53"/>
  <c r="E53"/>
  <c r="K53" s="1"/>
  <c r="M176"/>
  <c r="J176"/>
  <c r="I176"/>
  <c r="E176"/>
  <c r="K176" s="1"/>
  <c r="M175"/>
  <c r="J175"/>
  <c r="I175"/>
  <c r="E175"/>
  <c r="K175" s="1"/>
  <c r="M51"/>
  <c r="J51"/>
  <c r="I51"/>
  <c r="E51"/>
  <c r="K51" s="1"/>
  <c r="M50"/>
  <c r="J50"/>
  <c r="I50"/>
  <c r="E50"/>
  <c r="K50" s="1"/>
  <c r="M49"/>
  <c r="J49"/>
  <c r="I49"/>
  <c r="E49"/>
  <c r="K49" s="1"/>
  <c r="M48"/>
  <c r="J48"/>
  <c r="I48"/>
  <c r="E48"/>
  <c r="K48" s="1"/>
  <c r="M47"/>
  <c r="J47"/>
  <c r="I47"/>
  <c r="E47"/>
  <c r="K47" s="1"/>
  <c r="M46"/>
  <c r="J46"/>
  <c r="I46"/>
  <c r="E46"/>
  <c r="K46" s="1"/>
  <c r="M45"/>
  <c r="J45"/>
  <c r="I45"/>
  <c r="E45"/>
  <c r="K45" s="1"/>
  <c r="M174"/>
  <c r="J174"/>
  <c r="I174"/>
  <c r="E174"/>
  <c r="K174" s="1"/>
  <c r="J44"/>
  <c r="I44"/>
  <c r="E44"/>
  <c r="M43"/>
  <c r="J43"/>
  <c r="I43"/>
  <c r="E43"/>
  <c r="M42"/>
  <c r="J42"/>
  <c r="I42"/>
  <c r="E42"/>
  <c r="M41"/>
  <c r="J41"/>
  <c r="I41"/>
  <c r="E41"/>
  <c r="M40"/>
  <c r="J40"/>
  <c r="K40" s="1"/>
  <c r="I40"/>
  <c r="M173"/>
  <c r="J173"/>
  <c r="I173"/>
  <c r="E173"/>
  <c r="M39"/>
  <c r="J39"/>
  <c r="I39"/>
  <c r="E39"/>
  <c r="M38"/>
  <c r="J38"/>
  <c r="I38"/>
  <c r="E38"/>
  <c r="M37"/>
  <c r="J37"/>
  <c r="I37"/>
  <c r="E37"/>
  <c r="M172"/>
  <c r="J172"/>
  <c r="I172"/>
  <c r="E172"/>
  <c r="M36"/>
  <c r="I36"/>
  <c r="E36"/>
  <c r="K36" s="1"/>
  <c r="M35"/>
  <c r="J35"/>
  <c r="K35" s="1"/>
  <c r="I35"/>
  <c r="M34"/>
  <c r="J34"/>
  <c r="K34" s="1"/>
  <c r="I34"/>
  <c r="M33"/>
  <c r="J33"/>
  <c r="I33"/>
  <c r="E33"/>
  <c r="M32"/>
  <c r="J32"/>
  <c r="I32"/>
  <c r="E32"/>
  <c r="M31"/>
  <c r="J31"/>
  <c r="K31" s="1"/>
  <c r="I31"/>
  <c r="M171"/>
  <c r="J171"/>
  <c r="I171"/>
  <c r="E171"/>
  <c r="M30"/>
  <c r="J30"/>
  <c r="I30"/>
  <c r="E30"/>
  <c r="M29"/>
  <c r="J29"/>
  <c r="I29"/>
  <c r="E29"/>
  <c r="M170"/>
  <c r="J170"/>
  <c r="I170"/>
  <c r="E170"/>
  <c r="M28"/>
  <c r="J28"/>
  <c r="I28"/>
  <c r="E28"/>
  <c r="M169"/>
  <c r="J169"/>
  <c r="I169"/>
  <c r="E169"/>
  <c r="M27"/>
  <c r="J27"/>
  <c r="I27"/>
  <c r="E27"/>
  <c r="M26"/>
  <c r="I26"/>
  <c r="E26"/>
  <c r="K26" s="1"/>
  <c r="M25"/>
  <c r="J25"/>
  <c r="I25"/>
  <c r="E25"/>
  <c r="K25" s="1"/>
  <c r="M24"/>
  <c r="J24"/>
  <c r="I24"/>
  <c r="E24"/>
  <c r="K24" s="1"/>
  <c r="M23"/>
  <c r="J23"/>
  <c r="K23" s="1"/>
  <c r="I23"/>
  <c r="M22"/>
  <c r="J22"/>
  <c r="K22" s="1"/>
  <c r="I22"/>
  <c r="M21"/>
  <c r="J21"/>
  <c r="I21"/>
  <c r="E21"/>
  <c r="M20"/>
  <c r="J20"/>
  <c r="I20"/>
  <c r="E20"/>
  <c r="M168"/>
  <c r="J168"/>
  <c r="I168"/>
  <c r="E168"/>
  <c r="M19"/>
  <c r="J19"/>
  <c r="I19"/>
  <c r="E19"/>
  <c r="M18"/>
  <c r="J18"/>
  <c r="K18" s="1"/>
  <c r="I18"/>
  <c r="M17"/>
  <c r="J17"/>
  <c r="I17"/>
  <c r="E17"/>
  <c r="M16"/>
  <c r="J16"/>
  <c r="I16"/>
  <c r="E16"/>
  <c r="M15"/>
  <c r="J15"/>
  <c r="I15"/>
  <c r="E15"/>
  <c r="M14"/>
  <c r="J14"/>
  <c r="I14"/>
  <c r="E14"/>
  <c r="M167"/>
  <c r="J167"/>
  <c r="I167"/>
  <c r="E167"/>
  <c r="M157"/>
  <c r="J157"/>
  <c r="I157"/>
  <c r="E157"/>
  <c r="M166"/>
  <c r="J166"/>
  <c r="I166"/>
  <c r="E166"/>
  <c r="M13"/>
  <c r="J13"/>
  <c r="I13"/>
  <c r="E13"/>
  <c r="M12"/>
  <c r="J12"/>
  <c r="I12"/>
  <c r="E12"/>
  <c r="K12" s="1"/>
  <c r="M11"/>
  <c r="J11"/>
  <c r="I11"/>
  <c r="E11"/>
  <c r="K11" s="1"/>
  <c r="M10"/>
  <c r="J10"/>
  <c r="I10"/>
  <c r="E10"/>
  <c r="K10" s="1"/>
  <c r="M165"/>
  <c r="J165"/>
  <c r="I165"/>
  <c r="E165"/>
  <c r="K165" s="1"/>
  <c r="M224"/>
  <c r="J224"/>
  <c r="I224"/>
  <c r="E224"/>
  <c r="K224" s="1"/>
  <c r="M9"/>
  <c r="J9"/>
  <c r="I9"/>
  <c r="E9"/>
  <c r="K9" s="1"/>
  <c r="M8"/>
  <c r="J8"/>
  <c r="I8"/>
  <c r="E8"/>
  <c r="K8" s="1"/>
  <c r="M7"/>
  <c r="J7"/>
  <c r="I7"/>
  <c r="E7"/>
  <c r="K7" s="1"/>
  <c r="M6"/>
  <c r="J6"/>
  <c r="J139" s="1"/>
  <c r="I6"/>
  <c r="E6"/>
  <c r="K6" s="1"/>
  <c r="D156" i="33"/>
  <c r="G156"/>
  <c r="C156"/>
  <c r="E155"/>
  <c r="J154"/>
  <c r="K154" s="1"/>
  <c r="I154"/>
  <c r="I155"/>
  <c r="K155"/>
  <c r="J155"/>
  <c r="E139" i="36" l="1"/>
  <c r="J132" i="40"/>
  <c r="J136" i="38"/>
  <c r="K124" i="42"/>
  <c r="K135" i="38"/>
  <c r="K19" i="36"/>
  <c r="K168"/>
  <c r="K20"/>
  <c r="K21"/>
  <c r="K32"/>
  <c r="K33"/>
  <c r="K41"/>
  <c r="K42"/>
  <c r="K43"/>
  <c r="K44"/>
  <c r="K58"/>
  <c r="K179"/>
  <c r="K59"/>
  <c r="K60"/>
  <c r="K180"/>
  <c r="K181"/>
  <c r="K67"/>
  <c r="K185"/>
  <c r="K68"/>
  <c r="K77"/>
  <c r="K78"/>
  <c r="K79"/>
  <c r="K80"/>
  <c r="K90"/>
  <c r="K91"/>
  <c r="K100"/>
  <c r="K102"/>
  <c r="K103"/>
  <c r="K104"/>
  <c r="K105"/>
  <c r="K106"/>
  <c r="K107"/>
  <c r="K108"/>
  <c r="K109"/>
  <c r="K110"/>
  <c r="K111"/>
  <c r="K112"/>
  <c r="K113"/>
  <c r="K191"/>
  <c r="K195"/>
  <c r="K201"/>
  <c r="K205"/>
  <c r="K208"/>
  <c r="K25" i="38"/>
  <c r="K26"/>
  <c r="K66"/>
  <c r="K67"/>
  <c r="K91"/>
  <c r="K92"/>
  <c r="K102"/>
  <c r="K103"/>
  <c r="K104"/>
  <c r="K126"/>
  <c r="K127"/>
  <c r="K128"/>
  <c r="K129"/>
  <c r="K7"/>
  <c r="K163"/>
  <c r="K165"/>
  <c r="K166"/>
  <c r="K167"/>
  <c r="K168"/>
  <c r="K169"/>
  <c r="K170"/>
  <c r="K171"/>
  <c r="K172"/>
  <c r="K173"/>
  <c r="K174"/>
  <c r="K175"/>
  <c r="K176"/>
  <c r="K177"/>
  <c r="K189"/>
  <c r="K193"/>
  <c r="K199"/>
  <c r="K203"/>
  <c r="K31" i="40"/>
  <c r="K39"/>
  <c r="K52"/>
  <c r="K65"/>
  <c r="K78"/>
  <c r="K79"/>
  <c r="K80"/>
  <c r="K81"/>
  <c r="K91"/>
  <c r="K146"/>
  <c r="K120"/>
  <c r="K122"/>
  <c r="K155"/>
  <c r="K157"/>
  <c r="K185"/>
  <c r="K191"/>
  <c r="K195"/>
  <c r="K201"/>
  <c r="K205"/>
  <c r="K208"/>
  <c r="L6" i="42"/>
  <c r="L7"/>
  <c r="L133"/>
  <c r="L8"/>
  <c r="L9"/>
  <c r="L10"/>
  <c r="L11"/>
  <c r="L12"/>
  <c r="L134"/>
  <c r="L13"/>
  <c r="L23"/>
  <c r="L31"/>
  <c r="L32"/>
  <c r="L33"/>
  <c r="L34"/>
  <c r="L60"/>
  <c r="L61"/>
  <c r="L83"/>
  <c r="L84"/>
  <c r="L89"/>
  <c r="L109"/>
  <c r="L110"/>
  <c r="L120"/>
  <c r="L37"/>
  <c r="L143"/>
  <c r="L154"/>
  <c r="L156"/>
  <c r="L184"/>
  <c r="L190"/>
  <c r="L194"/>
  <c r="L200"/>
  <c r="L204"/>
  <c r="L207"/>
  <c r="L21" i="45"/>
  <c r="L22"/>
  <c r="L38"/>
  <c r="L51"/>
  <c r="L75"/>
  <c r="L76"/>
  <c r="L77"/>
  <c r="L79"/>
  <c r="L106"/>
  <c r="L107"/>
  <c r="L108"/>
  <c r="L109"/>
  <c r="L118"/>
  <c r="L121"/>
  <c r="L8"/>
  <c r="L157"/>
  <c r="L183"/>
  <c r="L184"/>
  <c r="L185"/>
  <c r="L186"/>
  <c r="L187"/>
  <c r="L194"/>
  <c r="L198"/>
  <c r="L204"/>
  <c r="L208"/>
  <c r="L211"/>
  <c r="K13" i="36"/>
  <c r="K139" s="1"/>
  <c r="K166"/>
  <c r="K157"/>
  <c r="K167"/>
  <c r="K14"/>
  <c r="K15"/>
  <c r="K16"/>
  <c r="K17"/>
  <c r="K27"/>
  <c r="K169"/>
  <c r="K28"/>
  <c r="K170"/>
  <c r="K29"/>
  <c r="K30"/>
  <c r="K171"/>
  <c r="K172"/>
  <c r="K37"/>
  <c r="K38"/>
  <c r="K39"/>
  <c r="K173"/>
  <c r="K87"/>
  <c r="K88"/>
  <c r="K96"/>
  <c r="K159"/>
  <c r="K97"/>
  <c r="K98"/>
  <c r="K124"/>
  <c r="K125"/>
  <c r="K161"/>
  <c r="K126"/>
  <c r="K127"/>
  <c r="K101"/>
  <c r="K190"/>
  <c r="K194"/>
  <c r="K200"/>
  <c r="K204"/>
  <c r="K207"/>
  <c r="K47" i="38"/>
  <c r="K48"/>
  <c r="K49"/>
  <c r="K50"/>
  <c r="K51"/>
  <c r="K52"/>
  <c r="K53"/>
  <c r="K62"/>
  <c r="K63"/>
  <c r="K64"/>
  <c r="K78"/>
  <c r="K88"/>
  <c r="K89"/>
  <c r="K99"/>
  <c r="K121"/>
  <c r="K122"/>
  <c r="K123"/>
  <c r="K41"/>
  <c r="K107"/>
  <c r="K159"/>
  <c r="K161"/>
  <c r="K192"/>
  <c r="K198"/>
  <c r="K202"/>
  <c r="K214"/>
  <c r="K215"/>
  <c r="K216"/>
  <c r="K217"/>
  <c r="K218"/>
  <c r="K220"/>
  <c r="K221"/>
  <c r="K222"/>
  <c r="K224"/>
  <c r="K18" i="40"/>
  <c r="K19"/>
  <c r="K20"/>
  <c r="K149"/>
  <c r="K28"/>
  <c r="K29"/>
  <c r="K34"/>
  <c r="K35"/>
  <c r="K36"/>
  <c r="K37"/>
  <c r="K62"/>
  <c r="K63"/>
  <c r="K88"/>
  <c r="K89"/>
  <c r="K95"/>
  <c r="K117"/>
  <c r="K118"/>
  <c r="K119"/>
  <c r="K151"/>
  <c r="K128"/>
  <c r="K153"/>
  <c r="K179"/>
  <c r="K180"/>
  <c r="K181"/>
  <c r="K182"/>
  <c r="K183"/>
  <c r="K190"/>
  <c r="K194"/>
  <c r="K200"/>
  <c r="K204"/>
  <c r="K207"/>
  <c r="K131"/>
  <c r="L20" i="42"/>
  <c r="L21"/>
  <c r="L46"/>
  <c r="L47"/>
  <c r="L55"/>
  <c r="L56"/>
  <c r="L57"/>
  <c r="L58"/>
  <c r="L70"/>
  <c r="L71"/>
  <c r="L81"/>
  <c r="L82"/>
  <c r="L104"/>
  <c r="L105"/>
  <c r="L106"/>
  <c r="L107"/>
  <c r="L116"/>
  <c r="L119"/>
  <c r="L25"/>
  <c r="L152"/>
  <c r="L178"/>
  <c r="L179"/>
  <c r="L180"/>
  <c r="L181"/>
  <c r="L182"/>
  <c r="L189"/>
  <c r="L193"/>
  <c r="L199"/>
  <c r="L203"/>
  <c r="L206"/>
  <c r="L27" i="45"/>
  <c r="L28"/>
  <c r="L37"/>
  <c r="L61"/>
  <c r="L62"/>
  <c r="L88"/>
  <c r="L94"/>
  <c r="L95"/>
  <c r="L96"/>
  <c r="L97"/>
  <c r="L98"/>
  <c r="L99"/>
  <c r="L100"/>
  <c r="L101"/>
  <c r="L102"/>
  <c r="L103"/>
  <c r="L104"/>
  <c r="L114"/>
  <c r="L117"/>
  <c r="L120"/>
  <c r="L137"/>
  <c r="L138"/>
  <c r="L139"/>
  <c r="L140"/>
  <c r="L141"/>
  <c r="L142"/>
  <c r="L155"/>
  <c r="L179"/>
  <c r="L180"/>
  <c r="L181"/>
  <c r="L193"/>
  <c r="L197"/>
  <c r="L203"/>
  <c r="L207"/>
  <c r="F130"/>
  <c r="K130"/>
  <c r="H133"/>
  <c r="L6"/>
  <c r="F124" i="42"/>
  <c r="L122"/>
  <c r="L132"/>
  <c r="K6" i="40"/>
  <c r="K223" i="38"/>
  <c r="K6"/>
  <c r="K136" l="1"/>
  <c r="L124" i="42"/>
  <c r="K132" i="40"/>
  <c r="L130" i="45"/>
  <c r="M197" i="33"/>
  <c r="J197"/>
  <c r="I197"/>
  <c r="E197"/>
  <c r="M196"/>
  <c r="J196"/>
  <c r="I196"/>
  <c r="E196"/>
  <c r="M195"/>
  <c r="J195"/>
  <c r="I195"/>
  <c r="E195"/>
  <c r="M194"/>
  <c r="J194"/>
  <c r="I194"/>
  <c r="E194"/>
  <c r="M193"/>
  <c r="J193"/>
  <c r="I193"/>
  <c r="E193"/>
  <c r="J187"/>
  <c r="I187"/>
  <c r="E187"/>
  <c r="J186"/>
  <c r="I186"/>
  <c r="E186"/>
  <c r="J185"/>
  <c r="I185"/>
  <c r="J184"/>
  <c r="I184"/>
  <c r="E184"/>
  <c r="J183"/>
  <c r="I183"/>
  <c r="E183"/>
  <c r="J182"/>
  <c r="I182"/>
  <c r="E182"/>
  <c r="J181"/>
  <c r="I181"/>
  <c r="E181"/>
  <c r="J180"/>
  <c r="I180"/>
  <c r="E180"/>
  <c r="J179"/>
  <c r="I179"/>
  <c r="E179"/>
  <c r="J178"/>
  <c r="I178"/>
  <c r="E178"/>
  <c r="J177"/>
  <c r="I177"/>
  <c r="E177"/>
  <c r="J176"/>
  <c r="I176"/>
  <c r="J175"/>
  <c r="I175"/>
  <c r="J174"/>
  <c r="I174"/>
  <c r="E174"/>
  <c r="J173"/>
  <c r="I173"/>
  <c r="E173"/>
  <c r="J172"/>
  <c r="I172"/>
  <c r="E172"/>
  <c r="J171"/>
  <c r="I171"/>
  <c r="E171"/>
  <c r="J170"/>
  <c r="I170"/>
  <c r="E170"/>
  <c r="J169"/>
  <c r="I169"/>
  <c r="E169"/>
  <c r="J168"/>
  <c r="I168"/>
  <c r="E168"/>
  <c r="J167"/>
  <c r="I167"/>
  <c r="J151"/>
  <c r="I151"/>
  <c r="E151"/>
  <c r="J55"/>
  <c r="I55"/>
  <c r="E55"/>
  <c r="M153"/>
  <c r="J153"/>
  <c r="I153"/>
  <c r="E153"/>
  <c r="M152"/>
  <c r="J152"/>
  <c r="I152"/>
  <c r="M150"/>
  <c r="J150"/>
  <c r="I150"/>
  <c r="E150"/>
  <c r="M149"/>
  <c r="J149"/>
  <c r="I149"/>
  <c r="E149"/>
  <c r="M148"/>
  <c r="J148"/>
  <c r="I148"/>
  <c r="E148"/>
  <c r="M147"/>
  <c r="J147"/>
  <c r="I147"/>
  <c r="E147"/>
  <c r="M146"/>
  <c r="J146"/>
  <c r="I146"/>
  <c r="M145"/>
  <c r="J145"/>
  <c r="I145"/>
  <c r="E145"/>
  <c r="M144"/>
  <c r="J144"/>
  <c r="I144"/>
  <c r="E144"/>
  <c r="M143"/>
  <c r="J143"/>
  <c r="I143"/>
  <c r="E143"/>
  <c r="M142"/>
  <c r="J142"/>
  <c r="I142"/>
  <c r="E142"/>
  <c r="M141"/>
  <c r="J141"/>
  <c r="I141"/>
  <c r="M140"/>
  <c r="J140"/>
  <c r="I140"/>
  <c r="E140"/>
  <c r="M139"/>
  <c r="J139"/>
  <c r="I139"/>
  <c r="E139"/>
  <c r="M138"/>
  <c r="J138"/>
  <c r="I138"/>
  <c r="E138"/>
  <c r="M137"/>
  <c r="J137"/>
  <c r="I137"/>
  <c r="M136"/>
  <c r="J136"/>
  <c r="I136"/>
  <c r="E136"/>
  <c r="M135"/>
  <c r="J135"/>
  <c r="I135"/>
  <c r="E135"/>
  <c r="M134"/>
  <c r="J134"/>
  <c r="I134"/>
  <c r="E134"/>
  <c r="M133"/>
  <c r="J133"/>
  <c r="I133"/>
  <c r="E133"/>
  <c r="M132"/>
  <c r="J132"/>
  <c r="I132"/>
  <c r="E132"/>
  <c r="M131"/>
  <c r="J131"/>
  <c r="I131"/>
  <c r="E131"/>
  <c r="M130"/>
  <c r="J130"/>
  <c r="I130"/>
  <c r="E130"/>
  <c r="M129"/>
  <c r="J129"/>
  <c r="I129"/>
  <c r="E129"/>
  <c r="M128"/>
  <c r="J128"/>
  <c r="I128"/>
  <c r="E128"/>
  <c r="M127"/>
  <c r="J127"/>
  <c r="I127"/>
  <c r="E127"/>
  <c r="M126"/>
  <c r="J126"/>
  <c r="I126"/>
  <c r="E126"/>
  <c r="M125"/>
  <c r="J125"/>
  <c r="I125"/>
  <c r="E125"/>
  <c r="M201"/>
  <c r="J201"/>
  <c r="I201"/>
  <c r="E201"/>
  <c r="M124"/>
  <c r="J124"/>
  <c r="I124"/>
  <c r="E124"/>
  <c r="M123"/>
  <c r="J123"/>
  <c r="I123"/>
  <c r="M202"/>
  <c r="J202"/>
  <c r="I202"/>
  <c r="E202"/>
  <c r="M122"/>
  <c r="J122"/>
  <c r="I122"/>
  <c r="E122"/>
  <c r="M121"/>
  <c r="J121"/>
  <c r="I121"/>
  <c r="E121"/>
  <c r="M120"/>
  <c r="J120"/>
  <c r="I120"/>
  <c r="E120"/>
  <c r="M119"/>
  <c r="J119"/>
  <c r="I119"/>
  <c r="E119"/>
  <c r="M118"/>
  <c r="J118"/>
  <c r="I118"/>
  <c r="M117"/>
  <c r="J117"/>
  <c r="I117"/>
  <c r="E117"/>
  <c r="M116"/>
  <c r="J116"/>
  <c r="I116"/>
  <c r="M115"/>
  <c r="J115"/>
  <c r="I115"/>
  <c r="M114"/>
  <c r="J114"/>
  <c r="I114"/>
  <c r="E114"/>
  <c r="M113"/>
  <c r="J113"/>
  <c r="I113"/>
  <c r="E113"/>
  <c r="M112"/>
  <c r="J112"/>
  <c r="I112"/>
  <c r="M111"/>
  <c r="J111"/>
  <c r="I111"/>
  <c r="E111"/>
  <c r="M110"/>
  <c r="J110"/>
  <c r="I110"/>
  <c r="E110"/>
  <c r="M109"/>
  <c r="J109"/>
  <c r="I109"/>
  <c r="M200"/>
  <c r="J200"/>
  <c r="I200"/>
  <c r="E200"/>
  <c r="M108"/>
  <c r="J108"/>
  <c r="I108"/>
  <c r="E108"/>
  <c r="M107"/>
  <c r="J107"/>
  <c r="I107"/>
  <c r="E107"/>
  <c r="M106"/>
  <c r="J106"/>
  <c r="I106"/>
  <c r="M105"/>
  <c r="J105"/>
  <c r="I105"/>
  <c r="E105"/>
  <c r="M104"/>
  <c r="J104"/>
  <c r="I104"/>
  <c r="M103"/>
  <c r="J103"/>
  <c r="I103"/>
  <c r="E103"/>
  <c r="M102"/>
  <c r="J102"/>
  <c r="I102"/>
  <c r="E102"/>
  <c r="M101"/>
  <c r="J101"/>
  <c r="I101"/>
  <c r="E101"/>
  <c r="M100"/>
  <c r="J100"/>
  <c r="I100"/>
  <c r="E100"/>
  <c r="M99"/>
  <c r="J99"/>
  <c r="I99"/>
  <c r="M98"/>
  <c r="J98"/>
  <c r="I98"/>
  <c r="M97"/>
  <c r="J97"/>
  <c r="I97"/>
  <c r="E97"/>
  <c r="M96"/>
  <c r="J96"/>
  <c r="I96"/>
  <c r="M95"/>
  <c r="J95"/>
  <c r="I95"/>
  <c r="E95"/>
  <c r="M94"/>
  <c r="J94"/>
  <c r="I94"/>
  <c r="E94"/>
  <c r="M93"/>
  <c r="J93"/>
  <c r="I93"/>
  <c r="E93"/>
  <c r="M92"/>
  <c r="J92"/>
  <c r="I92"/>
  <c r="E92"/>
  <c r="M91"/>
  <c r="J91"/>
  <c r="I91"/>
  <c r="M90"/>
  <c r="J90"/>
  <c r="I90"/>
  <c r="E90"/>
  <c r="M89"/>
  <c r="J89"/>
  <c r="I89"/>
  <c r="E89"/>
  <c r="M88"/>
  <c r="J88"/>
  <c r="I88"/>
  <c r="E88"/>
  <c r="M87"/>
  <c r="J87"/>
  <c r="I87"/>
  <c r="M86"/>
  <c r="J86"/>
  <c r="I86"/>
  <c r="M85"/>
  <c r="J85"/>
  <c r="I85"/>
  <c r="E85"/>
  <c r="M84"/>
  <c r="J84"/>
  <c r="I84"/>
  <c r="E84"/>
  <c r="M83"/>
  <c r="J83"/>
  <c r="I83"/>
  <c r="M82"/>
  <c r="J82"/>
  <c r="I82"/>
  <c r="E82"/>
  <c r="M81"/>
  <c r="J81"/>
  <c r="I81"/>
  <c r="E81"/>
  <c r="M80"/>
  <c r="J80"/>
  <c r="I80"/>
  <c r="E80"/>
  <c r="M79"/>
  <c r="J79"/>
  <c r="I79"/>
  <c r="M199"/>
  <c r="J199"/>
  <c r="I199"/>
  <c r="E199"/>
  <c r="M78"/>
  <c r="J78"/>
  <c r="I78"/>
  <c r="E78"/>
  <c r="M77"/>
  <c r="J77"/>
  <c r="I77"/>
  <c r="E77"/>
  <c r="M76"/>
  <c r="J76"/>
  <c r="I76"/>
  <c r="E76"/>
  <c r="M75"/>
  <c r="J75"/>
  <c r="I75"/>
  <c r="E75"/>
  <c r="M74"/>
  <c r="J74"/>
  <c r="I74"/>
  <c r="E74"/>
  <c r="M73"/>
  <c r="J73"/>
  <c r="I73"/>
  <c r="E73"/>
  <c r="M72"/>
  <c r="J72"/>
  <c r="I72"/>
  <c r="M71"/>
  <c r="J71"/>
  <c r="I71"/>
  <c r="M70"/>
  <c r="J70"/>
  <c r="I70"/>
  <c r="E70"/>
  <c r="M69"/>
  <c r="J69"/>
  <c r="I69"/>
  <c r="E69"/>
  <c r="M68"/>
  <c r="J68"/>
  <c r="I68"/>
  <c r="E68"/>
  <c r="M67"/>
  <c r="J67"/>
  <c r="I67"/>
  <c r="M66"/>
  <c r="J66"/>
  <c r="I66"/>
  <c r="E66"/>
  <c r="M65"/>
  <c r="J65"/>
  <c r="I65"/>
  <c r="E65"/>
  <c r="M64"/>
  <c r="J64"/>
  <c r="I64"/>
  <c r="E64"/>
  <c r="M63"/>
  <c r="J63"/>
  <c r="I63"/>
  <c r="E63"/>
  <c r="M62"/>
  <c r="J62"/>
  <c r="I62"/>
  <c r="E62"/>
  <c r="M61"/>
  <c r="J61"/>
  <c r="I61"/>
  <c r="E61"/>
  <c r="M60"/>
  <c r="J60"/>
  <c r="I60"/>
  <c r="E60"/>
  <c r="M59"/>
  <c r="J59"/>
  <c r="I59"/>
  <c r="E59"/>
  <c r="M58"/>
  <c r="J58"/>
  <c r="I58"/>
  <c r="E58"/>
  <c r="M57"/>
  <c r="J57"/>
  <c r="I57"/>
  <c r="E57"/>
  <c r="M56"/>
  <c r="J56"/>
  <c r="I56"/>
  <c r="E56"/>
  <c r="M54"/>
  <c r="J54"/>
  <c r="I54"/>
  <c r="E54"/>
  <c r="M53"/>
  <c r="J53"/>
  <c r="I53"/>
  <c r="E53"/>
  <c r="M52"/>
  <c r="J52"/>
  <c r="I52"/>
  <c r="E52"/>
  <c r="M51"/>
  <c r="J51"/>
  <c r="I51"/>
  <c r="M50"/>
  <c r="J50"/>
  <c r="I50"/>
  <c r="E50"/>
  <c r="M49"/>
  <c r="J49"/>
  <c r="I49"/>
  <c r="E49"/>
  <c r="M48"/>
  <c r="J48"/>
  <c r="I48"/>
  <c r="E48"/>
  <c r="M47"/>
  <c r="J47"/>
  <c r="I47"/>
  <c r="E47"/>
  <c r="M46"/>
  <c r="J46"/>
  <c r="I46"/>
  <c r="E46"/>
  <c r="M45"/>
  <c r="I45"/>
  <c r="E45"/>
  <c r="M44"/>
  <c r="J44"/>
  <c r="I44"/>
  <c r="M43"/>
  <c r="J43"/>
  <c r="I43"/>
  <c r="M42"/>
  <c r="J42"/>
  <c r="I42"/>
  <c r="E42"/>
  <c r="M41"/>
  <c r="J41"/>
  <c r="I41"/>
  <c r="E41"/>
  <c r="M40"/>
  <c r="J40"/>
  <c r="I40"/>
  <c r="M39"/>
  <c r="J39"/>
  <c r="I39"/>
  <c r="E39"/>
  <c r="M38"/>
  <c r="J38"/>
  <c r="I38"/>
  <c r="E38"/>
  <c r="M37"/>
  <c r="J37"/>
  <c r="I37"/>
  <c r="E37"/>
  <c r="M36"/>
  <c r="J36"/>
  <c r="I36"/>
  <c r="E36"/>
  <c r="M35"/>
  <c r="J35"/>
  <c r="I35"/>
  <c r="E35"/>
  <c r="M34"/>
  <c r="J34"/>
  <c r="I34"/>
  <c r="E34"/>
  <c r="M33"/>
  <c r="J33"/>
  <c r="I33"/>
  <c r="E33"/>
  <c r="M32"/>
  <c r="I32"/>
  <c r="E32"/>
  <c r="M31"/>
  <c r="J31"/>
  <c r="I31"/>
  <c r="E31"/>
  <c r="M30"/>
  <c r="J30"/>
  <c r="I30"/>
  <c r="E30"/>
  <c r="M29"/>
  <c r="J29"/>
  <c r="I29"/>
  <c r="M28"/>
  <c r="J28"/>
  <c r="I28"/>
  <c r="M27"/>
  <c r="J27"/>
  <c r="I27"/>
  <c r="E27"/>
  <c r="M26"/>
  <c r="J26"/>
  <c r="I26"/>
  <c r="E26"/>
  <c r="M25"/>
  <c r="J25"/>
  <c r="I25"/>
  <c r="E25"/>
  <c r="M24"/>
  <c r="J24"/>
  <c r="I24"/>
  <c r="E24"/>
  <c r="M23"/>
  <c r="J23"/>
  <c r="I23"/>
  <c r="M22"/>
  <c r="J22"/>
  <c r="I22"/>
  <c r="E22"/>
  <c r="M21"/>
  <c r="J21"/>
  <c r="I21"/>
  <c r="E21"/>
  <c r="M20"/>
  <c r="J20"/>
  <c r="I20"/>
  <c r="E20"/>
  <c r="M19"/>
  <c r="J19"/>
  <c r="I19"/>
  <c r="E19"/>
  <c r="M18"/>
  <c r="J18"/>
  <c r="I18"/>
  <c r="E18"/>
  <c r="M17"/>
  <c r="J17"/>
  <c r="I17"/>
  <c r="E17"/>
  <c r="M16"/>
  <c r="J16"/>
  <c r="I16"/>
  <c r="E16"/>
  <c r="M15"/>
  <c r="J15"/>
  <c r="I15"/>
  <c r="E15"/>
  <c r="M14"/>
  <c r="J14"/>
  <c r="I14"/>
  <c r="E14"/>
  <c r="M13"/>
  <c r="J13"/>
  <c r="I13"/>
  <c r="E13"/>
  <c r="M12"/>
  <c r="J12"/>
  <c r="I12"/>
  <c r="E12"/>
  <c r="M11"/>
  <c r="J11"/>
  <c r="I11"/>
  <c r="E11"/>
  <c r="M10"/>
  <c r="J10"/>
  <c r="I10"/>
  <c r="E10"/>
  <c r="M9"/>
  <c r="J9"/>
  <c r="I9"/>
  <c r="E9"/>
  <c r="M8"/>
  <c r="J8"/>
  <c r="I8"/>
  <c r="E8"/>
  <c r="M7"/>
  <c r="J7"/>
  <c r="I7"/>
  <c r="E7"/>
  <c r="M6"/>
  <c r="J6"/>
  <c r="I6"/>
  <c r="E6"/>
  <c r="M200" i="32"/>
  <c r="K200" s="1"/>
  <c r="J200"/>
  <c r="I200"/>
  <c r="E200"/>
  <c r="M199"/>
  <c r="K199" s="1"/>
  <c r="J199"/>
  <c r="I199"/>
  <c r="E199"/>
  <c r="M198"/>
  <c r="K198" s="1"/>
  <c r="J198"/>
  <c r="I198"/>
  <c r="E198"/>
  <c r="M197"/>
  <c r="K197" s="1"/>
  <c r="J197"/>
  <c r="I197"/>
  <c r="E197"/>
  <c r="M196"/>
  <c r="K196" s="1"/>
  <c r="J196"/>
  <c r="I196"/>
  <c r="E196"/>
  <c r="J190"/>
  <c r="I190"/>
  <c r="E190"/>
  <c r="K189" s="1"/>
  <c r="J189"/>
  <c r="I189"/>
  <c r="E189"/>
  <c r="J188"/>
  <c r="I188"/>
  <c r="J187"/>
  <c r="I187"/>
  <c r="E187"/>
  <c r="K186" s="1"/>
  <c r="J186"/>
  <c r="I186"/>
  <c r="E186"/>
  <c r="J185"/>
  <c r="I185"/>
  <c r="E185"/>
  <c r="K184" s="1"/>
  <c r="J184"/>
  <c r="I184"/>
  <c r="E184"/>
  <c r="J183"/>
  <c r="I183"/>
  <c r="E183"/>
  <c r="K182" s="1"/>
  <c r="J182"/>
  <c r="I182"/>
  <c r="E182"/>
  <c r="J181"/>
  <c r="I181"/>
  <c r="E181"/>
  <c r="K180" s="1"/>
  <c r="J180"/>
  <c r="I180"/>
  <c r="E180"/>
  <c r="J179"/>
  <c r="I179"/>
  <c r="J177"/>
  <c r="I177"/>
  <c r="J176"/>
  <c r="I176"/>
  <c r="E176"/>
  <c r="K174" s="1"/>
  <c r="J174"/>
  <c r="I174"/>
  <c r="E174"/>
  <c r="J173"/>
  <c r="I173"/>
  <c r="E173"/>
  <c r="K172" s="1"/>
  <c r="J172"/>
  <c r="I172"/>
  <c r="E172"/>
  <c r="J171"/>
  <c r="I171"/>
  <c r="E171"/>
  <c r="K169" s="1"/>
  <c r="J169"/>
  <c r="I169"/>
  <c r="E169"/>
  <c r="J168"/>
  <c r="I168"/>
  <c r="E168"/>
  <c r="K167" s="1"/>
  <c r="J167"/>
  <c r="I167"/>
  <c r="G163"/>
  <c r="K157"/>
  <c r="J157"/>
  <c r="I157"/>
  <c r="E157"/>
  <c r="J156"/>
  <c r="I156"/>
  <c r="E156"/>
  <c r="M155"/>
  <c r="J155"/>
  <c r="I155"/>
  <c r="E155"/>
  <c r="M154"/>
  <c r="J154"/>
  <c r="I154"/>
  <c r="M153"/>
  <c r="K153" s="1"/>
  <c r="J153"/>
  <c r="I153"/>
  <c r="E153"/>
  <c r="M152"/>
  <c r="K152" s="1"/>
  <c r="J152"/>
  <c r="I152"/>
  <c r="E152"/>
  <c r="M151"/>
  <c r="K151" s="1"/>
  <c r="J151"/>
  <c r="I151"/>
  <c r="E151"/>
  <c r="M150"/>
  <c r="K150" s="1"/>
  <c r="J150"/>
  <c r="I150"/>
  <c r="E150"/>
  <c r="M149"/>
  <c r="K149" s="1"/>
  <c r="J149"/>
  <c r="I149"/>
  <c r="M148"/>
  <c r="J148"/>
  <c r="I148"/>
  <c r="E148"/>
  <c r="M147"/>
  <c r="J147"/>
  <c r="I147"/>
  <c r="E147"/>
  <c r="M146"/>
  <c r="J146"/>
  <c r="I146"/>
  <c r="E146"/>
  <c r="M145"/>
  <c r="J145"/>
  <c r="I145"/>
  <c r="E145"/>
  <c r="M144"/>
  <c r="J144"/>
  <c r="I144"/>
  <c r="M143"/>
  <c r="K143" s="1"/>
  <c r="J143"/>
  <c r="I143"/>
  <c r="E143"/>
  <c r="M142"/>
  <c r="K142" s="1"/>
  <c r="J142"/>
  <c r="I142"/>
  <c r="E142"/>
  <c r="M141"/>
  <c r="K141" s="1"/>
  <c r="J141"/>
  <c r="I141"/>
  <c r="E141"/>
  <c r="M140"/>
  <c r="K140" s="1"/>
  <c r="J140"/>
  <c r="I140"/>
  <c r="M139"/>
  <c r="J139"/>
  <c r="I139"/>
  <c r="E139"/>
  <c r="M138"/>
  <c r="J138"/>
  <c r="I138"/>
  <c r="E138"/>
  <c r="M137"/>
  <c r="J137"/>
  <c r="I137"/>
  <c r="E137"/>
  <c r="M136"/>
  <c r="J136"/>
  <c r="I136"/>
  <c r="E136"/>
  <c r="M135"/>
  <c r="J135"/>
  <c r="I135"/>
  <c r="E135"/>
  <c r="M134"/>
  <c r="J134"/>
  <c r="I134"/>
  <c r="E134"/>
  <c r="M133"/>
  <c r="J133"/>
  <c r="I133"/>
  <c r="E133"/>
  <c r="M132"/>
  <c r="J132"/>
  <c r="I132"/>
  <c r="E132"/>
  <c r="M131"/>
  <c r="J131"/>
  <c r="I131"/>
  <c r="E131"/>
  <c r="M130"/>
  <c r="J130"/>
  <c r="I130"/>
  <c r="E130"/>
  <c r="M129"/>
  <c r="J129"/>
  <c r="I129"/>
  <c r="E129"/>
  <c r="M128"/>
  <c r="J128"/>
  <c r="I128"/>
  <c r="E128"/>
  <c r="M127"/>
  <c r="J127"/>
  <c r="I127"/>
  <c r="E127"/>
  <c r="M126"/>
  <c r="J126"/>
  <c r="I126"/>
  <c r="E126"/>
  <c r="M125"/>
  <c r="J125"/>
  <c r="I125"/>
  <c r="M124"/>
  <c r="K124" s="1"/>
  <c r="J124"/>
  <c r="I124"/>
  <c r="E124"/>
  <c r="M123"/>
  <c r="K123" s="1"/>
  <c r="J123"/>
  <c r="I123"/>
  <c r="E123"/>
  <c r="M122"/>
  <c r="K122" s="1"/>
  <c r="J122"/>
  <c r="I122"/>
  <c r="E122"/>
  <c r="M121"/>
  <c r="K121" s="1"/>
  <c r="J121"/>
  <c r="I121"/>
  <c r="E121"/>
  <c r="M120"/>
  <c r="K120" s="1"/>
  <c r="J120"/>
  <c r="I120"/>
  <c r="E120"/>
  <c r="M119"/>
  <c r="K119" s="1"/>
  <c r="J119"/>
  <c r="I119"/>
  <c r="M118"/>
  <c r="J118"/>
  <c r="I118"/>
  <c r="E118"/>
  <c r="M117"/>
  <c r="J117"/>
  <c r="I117"/>
  <c r="M116"/>
  <c r="K116" s="1"/>
  <c r="J116"/>
  <c r="I116"/>
  <c r="M115"/>
  <c r="J115"/>
  <c r="I115"/>
  <c r="E115"/>
  <c r="M114"/>
  <c r="J114"/>
  <c r="I114"/>
  <c r="E114"/>
  <c r="M113"/>
  <c r="J113"/>
  <c r="I113"/>
  <c r="M112"/>
  <c r="K112" s="1"/>
  <c r="J112"/>
  <c r="I112"/>
  <c r="E112"/>
  <c r="M111"/>
  <c r="K111" s="1"/>
  <c r="J111"/>
  <c r="I111"/>
  <c r="E111"/>
  <c r="M110"/>
  <c r="K110" s="1"/>
  <c r="J110"/>
  <c r="I110"/>
  <c r="M109"/>
  <c r="J109"/>
  <c r="I109"/>
  <c r="E109"/>
  <c r="M108"/>
  <c r="J108"/>
  <c r="I108"/>
  <c r="E108"/>
  <c r="M107"/>
  <c r="J107"/>
  <c r="I107"/>
  <c r="E107"/>
  <c r="M106"/>
  <c r="J106"/>
  <c r="I106"/>
  <c r="M105"/>
  <c r="K105" s="1"/>
  <c r="J105"/>
  <c r="I105"/>
  <c r="E105"/>
  <c r="M104"/>
  <c r="K104" s="1"/>
  <c r="J104"/>
  <c r="I104"/>
  <c r="M103"/>
  <c r="J103"/>
  <c r="I103"/>
  <c r="E103"/>
  <c r="M102"/>
  <c r="J102"/>
  <c r="I102"/>
  <c r="E102"/>
  <c r="M101"/>
  <c r="J101"/>
  <c r="I101"/>
  <c r="E101"/>
  <c r="M100"/>
  <c r="J100"/>
  <c r="I100"/>
  <c r="E100"/>
  <c r="M99"/>
  <c r="J99"/>
  <c r="I99"/>
  <c r="M98"/>
  <c r="K98" s="1"/>
  <c r="J98"/>
  <c r="I98"/>
  <c r="M97"/>
  <c r="J97"/>
  <c r="I97"/>
  <c r="E97"/>
  <c r="M96"/>
  <c r="J96"/>
  <c r="I96"/>
  <c r="M95"/>
  <c r="K95" s="1"/>
  <c r="J95"/>
  <c r="I95"/>
  <c r="E95"/>
  <c r="M94"/>
  <c r="K94" s="1"/>
  <c r="J94"/>
  <c r="I94"/>
  <c r="E94"/>
  <c r="M93"/>
  <c r="K93" s="1"/>
  <c r="J93"/>
  <c r="I93"/>
  <c r="E93"/>
  <c r="M92"/>
  <c r="K92" s="1"/>
  <c r="J92"/>
  <c r="I92"/>
  <c r="E92"/>
  <c r="M91"/>
  <c r="K91" s="1"/>
  <c r="J91"/>
  <c r="I91"/>
  <c r="M90"/>
  <c r="J90"/>
  <c r="I90"/>
  <c r="E90"/>
  <c r="M89"/>
  <c r="J89"/>
  <c r="I89"/>
  <c r="E89"/>
  <c r="M88"/>
  <c r="J88"/>
  <c r="I88"/>
  <c r="E88"/>
  <c r="M87"/>
  <c r="J87"/>
  <c r="I87"/>
  <c r="M86"/>
  <c r="K86" s="1"/>
  <c r="J86"/>
  <c r="I86"/>
  <c r="M85"/>
  <c r="J85"/>
  <c r="I85"/>
  <c r="E85"/>
  <c r="M84"/>
  <c r="J84"/>
  <c r="I84"/>
  <c r="E84"/>
  <c r="M83"/>
  <c r="J83"/>
  <c r="I83"/>
  <c r="M82"/>
  <c r="K82" s="1"/>
  <c r="J82"/>
  <c r="I82"/>
  <c r="E82"/>
  <c r="M81"/>
  <c r="K81" s="1"/>
  <c r="J81"/>
  <c r="I81"/>
  <c r="E81"/>
  <c r="M80"/>
  <c r="K80" s="1"/>
  <c r="J80"/>
  <c r="I80"/>
  <c r="E80"/>
  <c r="M79"/>
  <c r="K79" s="1"/>
  <c r="J79"/>
  <c r="I79"/>
  <c r="M78"/>
  <c r="J78"/>
  <c r="I78"/>
  <c r="E78"/>
  <c r="M77"/>
  <c r="J77"/>
  <c r="I77"/>
  <c r="E77"/>
  <c r="M76"/>
  <c r="J76"/>
  <c r="I76"/>
  <c r="E76"/>
  <c r="M75"/>
  <c r="J75"/>
  <c r="I75"/>
  <c r="E75"/>
  <c r="M74"/>
  <c r="J74"/>
  <c r="I74"/>
  <c r="E74"/>
  <c r="M73"/>
  <c r="J73"/>
  <c r="I73"/>
  <c r="E73"/>
  <c r="M72"/>
  <c r="J72"/>
  <c r="I72"/>
  <c r="E72"/>
  <c r="M71"/>
  <c r="J71"/>
  <c r="I71"/>
  <c r="M70"/>
  <c r="K70" s="1"/>
  <c r="J70"/>
  <c r="I70"/>
  <c r="M69"/>
  <c r="J69"/>
  <c r="I69"/>
  <c r="E69"/>
  <c r="M68"/>
  <c r="J68"/>
  <c r="I68"/>
  <c r="E68"/>
  <c r="M67"/>
  <c r="J67"/>
  <c r="I67"/>
  <c r="E67"/>
  <c r="M66"/>
  <c r="J66"/>
  <c r="I66"/>
  <c r="M65"/>
  <c r="K65" s="1"/>
  <c r="J65"/>
  <c r="I65"/>
  <c r="E65"/>
  <c r="M64"/>
  <c r="K64" s="1"/>
  <c r="J64"/>
  <c r="I64"/>
  <c r="E64"/>
  <c r="M63"/>
  <c r="K63" s="1"/>
  <c r="J63"/>
  <c r="I63"/>
  <c r="E63"/>
  <c r="M62"/>
  <c r="K62" s="1"/>
  <c r="J62"/>
  <c r="I62"/>
  <c r="E62"/>
  <c r="M61"/>
  <c r="K61" s="1"/>
  <c r="J61"/>
  <c r="I61"/>
  <c r="E61"/>
  <c r="M60"/>
  <c r="K60" s="1"/>
  <c r="J60"/>
  <c r="I60"/>
  <c r="E60"/>
  <c r="M59"/>
  <c r="K59" s="1"/>
  <c r="J59"/>
  <c r="I59"/>
  <c r="E59"/>
  <c r="M58"/>
  <c r="K58" s="1"/>
  <c r="J58"/>
  <c r="I58"/>
  <c r="E58"/>
  <c r="M57"/>
  <c r="K57" s="1"/>
  <c r="J57"/>
  <c r="I57"/>
  <c r="E57"/>
  <c r="M56"/>
  <c r="K56" s="1"/>
  <c r="J56"/>
  <c r="I56"/>
  <c r="E56"/>
  <c r="M55"/>
  <c r="K55" s="1"/>
  <c r="J55"/>
  <c r="I55"/>
  <c r="E55"/>
  <c r="M54"/>
  <c r="K54" s="1"/>
  <c r="J54"/>
  <c r="I54"/>
  <c r="E54"/>
  <c r="M53"/>
  <c r="K53" s="1"/>
  <c r="J53"/>
  <c r="I53"/>
  <c r="E53"/>
  <c r="M52"/>
  <c r="K52" s="1"/>
  <c r="J52"/>
  <c r="I52"/>
  <c r="E52"/>
  <c r="M51"/>
  <c r="K51" s="1"/>
  <c r="J51"/>
  <c r="I51"/>
  <c r="M50"/>
  <c r="J50"/>
  <c r="I50"/>
  <c r="E50"/>
  <c r="M49"/>
  <c r="J49"/>
  <c r="I49"/>
  <c r="E49"/>
  <c r="M48"/>
  <c r="J48"/>
  <c r="I48"/>
  <c r="E48"/>
  <c r="M47"/>
  <c r="J47"/>
  <c r="I47"/>
  <c r="E47"/>
  <c r="M46"/>
  <c r="J46"/>
  <c r="I46"/>
  <c r="E46"/>
  <c r="M45"/>
  <c r="K45" s="1"/>
  <c r="I45"/>
  <c r="E45"/>
  <c r="M44"/>
  <c r="K44" s="1"/>
  <c r="J44"/>
  <c r="I44"/>
  <c r="M43"/>
  <c r="J43"/>
  <c r="I43"/>
  <c r="M42"/>
  <c r="K42" s="1"/>
  <c r="J42"/>
  <c r="I42"/>
  <c r="E42"/>
  <c r="M41"/>
  <c r="K41" s="1"/>
  <c r="J41"/>
  <c r="I41"/>
  <c r="E41"/>
  <c r="M40"/>
  <c r="K40" s="1"/>
  <c r="J40"/>
  <c r="I40"/>
  <c r="M39"/>
  <c r="J39"/>
  <c r="I39"/>
  <c r="E39"/>
  <c r="M38"/>
  <c r="J38"/>
  <c r="I38"/>
  <c r="E38"/>
  <c r="M37"/>
  <c r="J37"/>
  <c r="I37"/>
  <c r="E37"/>
  <c r="M36"/>
  <c r="J36"/>
  <c r="I36"/>
  <c r="E36"/>
  <c r="M35"/>
  <c r="J35"/>
  <c r="I35"/>
  <c r="E35"/>
  <c r="M34"/>
  <c r="J34"/>
  <c r="I34"/>
  <c r="E34"/>
  <c r="M33"/>
  <c r="J33"/>
  <c r="I33"/>
  <c r="E33"/>
  <c r="M32"/>
  <c r="K32" s="1"/>
  <c r="I32"/>
  <c r="E32"/>
  <c r="M31"/>
  <c r="K31" s="1"/>
  <c r="J31"/>
  <c r="I31"/>
  <c r="E31"/>
  <c r="M30"/>
  <c r="K30" s="1"/>
  <c r="J30"/>
  <c r="I30"/>
  <c r="E30"/>
  <c r="M29"/>
  <c r="K29" s="1"/>
  <c r="J29"/>
  <c r="I29"/>
  <c r="M28"/>
  <c r="J28"/>
  <c r="I28"/>
  <c r="M27"/>
  <c r="K27" s="1"/>
  <c r="J27"/>
  <c r="I27"/>
  <c r="E27"/>
  <c r="M26"/>
  <c r="K26" s="1"/>
  <c r="J26"/>
  <c r="I26"/>
  <c r="E26"/>
  <c r="M25"/>
  <c r="K25" s="1"/>
  <c r="J25"/>
  <c r="I25"/>
  <c r="E25"/>
  <c r="M24"/>
  <c r="K24" s="1"/>
  <c r="J24"/>
  <c r="I24"/>
  <c r="E24"/>
  <c r="M23"/>
  <c r="K23" s="1"/>
  <c r="J23"/>
  <c r="I23"/>
  <c r="M22"/>
  <c r="J22"/>
  <c r="I22"/>
  <c r="E22"/>
  <c r="M21"/>
  <c r="J21"/>
  <c r="I21"/>
  <c r="E21"/>
  <c r="M20"/>
  <c r="J20"/>
  <c r="I20"/>
  <c r="E20"/>
  <c r="M19"/>
  <c r="J19"/>
  <c r="I19"/>
  <c r="E19"/>
  <c r="M18"/>
  <c r="J18"/>
  <c r="I18"/>
  <c r="E18"/>
  <c r="M17"/>
  <c r="J17"/>
  <c r="I17"/>
  <c r="E17"/>
  <c r="M16"/>
  <c r="J16"/>
  <c r="I16"/>
  <c r="E16"/>
  <c r="M15"/>
  <c r="J15"/>
  <c r="I15"/>
  <c r="E15"/>
  <c r="M14"/>
  <c r="J14"/>
  <c r="I14"/>
  <c r="E14"/>
  <c r="M13"/>
  <c r="J13"/>
  <c r="I13"/>
  <c r="E13"/>
  <c r="M12"/>
  <c r="J12"/>
  <c r="I12"/>
  <c r="E12"/>
  <c r="M11"/>
  <c r="J11"/>
  <c r="I11"/>
  <c r="E11"/>
  <c r="M10"/>
  <c r="J10"/>
  <c r="I10"/>
  <c r="E10"/>
  <c r="M9"/>
  <c r="J9"/>
  <c r="I9"/>
  <c r="E9"/>
  <c r="M8"/>
  <c r="J8"/>
  <c r="I8"/>
  <c r="E8"/>
  <c r="M7"/>
  <c r="J7"/>
  <c r="I7"/>
  <c r="E7"/>
  <c r="M6"/>
  <c r="K6"/>
  <c r="J6"/>
  <c r="I6"/>
  <c r="E6"/>
  <c r="J193" i="29"/>
  <c r="I193"/>
  <c r="E193"/>
  <c r="K192" s="1"/>
  <c r="J192"/>
  <c r="I192"/>
  <c r="E192"/>
  <c r="J191"/>
  <c r="I191"/>
  <c r="J190"/>
  <c r="I190"/>
  <c r="E190"/>
  <c r="K189" s="1"/>
  <c r="J189"/>
  <c r="I189"/>
  <c r="E189"/>
  <c r="J188"/>
  <c r="I188"/>
  <c r="E188"/>
  <c r="K187" s="1"/>
  <c r="J187"/>
  <c r="I187"/>
  <c r="E187"/>
  <c r="J186"/>
  <c r="I186"/>
  <c r="E186"/>
  <c r="K185" s="1"/>
  <c r="J185"/>
  <c r="I185"/>
  <c r="E185"/>
  <c r="J184"/>
  <c r="I184"/>
  <c r="E184"/>
  <c r="K183" s="1"/>
  <c r="J183"/>
  <c r="I183"/>
  <c r="E183"/>
  <c r="J182"/>
  <c r="I182"/>
  <c r="J180"/>
  <c r="I180"/>
  <c r="J179"/>
  <c r="I179"/>
  <c r="E179"/>
  <c r="K177" s="1"/>
  <c r="J177"/>
  <c r="I177"/>
  <c r="E177"/>
  <c r="J176"/>
  <c r="I176"/>
  <c r="E176"/>
  <c r="K175" s="1"/>
  <c r="J175"/>
  <c r="I175"/>
  <c r="E175"/>
  <c r="J174"/>
  <c r="I174"/>
  <c r="E174"/>
  <c r="K172" s="1"/>
  <c r="J172"/>
  <c r="I172"/>
  <c r="E172"/>
  <c r="J171"/>
  <c r="I171"/>
  <c r="E171"/>
  <c r="K170" s="1"/>
  <c r="J170"/>
  <c r="I170"/>
  <c r="G164" s="1"/>
  <c r="G161"/>
  <c r="D161"/>
  <c r="C161"/>
  <c r="M160"/>
  <c r="J160"/>
  <c r="I160"/>
  <c r="E160"/>
  <c r="M159"/>
  <c r="J159"/>
  <c r="I159"/>
  <c r="M158"/>
  <c r="K158" s="1"/>
  <c r="J158"/>
  <c r="I158"/>
  <c r="E158"/>
  <c r="M157"/>
  <c r="K157" s="1"/>
  <c r="J157"/>
  <c r="I157"/>
  <c r="E157"/>
  <c r="M156"/>
  <c r="K156" s="1"/>
  <c r="J156"/>
  <c r="I156"/>
  <c r="E156"/>
  <c r="M155"/>
  <c r="K155" s="1"/>
  <c r="J155"/>
  <c r="I155"/>
  <c r="E155"/>
  <c r="M154"/>
  <c r="K154" s="1"/>
  <c r="J154"/>
  <c r="I154"/>
  <c r="M153"/>
  <c r="J153"/>
  <c r="I153"/>
  <c r="E153"/>
  <c r="M152"/>
  <c r="J152"/>
  <c r="I152"/>
  <c r="E152"/>
  <c r="M151"/>
  <c r="J151"/>
  <c r="I151"/>
  <c r="E151"/>
  <c r="M150"/>
  <c r="J150"/>
  <c r="I150"/>
  <c r="E150"/>
  <c r="M149"/>
  <c r="J149"/>
  <c r="I149"/>
  <c r="M148"/>
  <c r="K148" s="1"/>
  <c r="J148"/>
  <c r="I148"/>
  <c r="E148"/>
  <c r="M147"/>
  <c r="K147" s="1"/>
  <c r="J147"/>
  <c r="I147"/>
  <c r="E147"/>
  <c r="M146"/>
  <c r="K146" s="1"/>
  <c r="J146"/>
  <c r="I146"/>
  <c r="E146"/>
  <c r="M145"/>
  <c r="K145" s="1"/>
  <c r="J145"/>
  <c r="I145"/>
  <c r="M144"/>
  <c r="J144"/>
  <c r="I144"/>
  <c r="E144"/>
  <c r="M143"/>
  <c r="J143"/>
  <c r="I143"/>
  <c r="E143"/>
  <c r="M142"/>
  <c r="J142"/>
  <c r="I142"/>
  <c r="E142"/>
  <c r="M141"/>
  <c r="J141"/>
  <c r="I141"/>
  <c r="E141"/>
  <c r="M140"/>
  <c r="J140"/>
  <c r="I140"/>
  <c r="E140"/>
  <c r="M139"/>
  <c r="J139"/>
  <c r="I139"/>
  <c r="E139"/>
  <c r="M138"/>
  <c r="J138"/>
  <c r="I138"/>
  <c r="E138"/>
  <c r="M137"/>
  <c r="J137"/>
  <c r="I137"/>
  <c r="E137"/>
  <c r="M136"/>
  <c r="J136"/>
  <c r="I136"/>
  <c r="E136"/>
  <c r="M135"/>
  <c r="J135"/>
  <c r="I135"/>
  <c r="E135"/>
  <c r="M134"/>
  <c r="J134"/>
  <c r="I134"/>
  <c r="E134"/>
  <c r="M133"/>
  <c r="J133"/>
  <c r="I133"/>
  <c r="E133"/>
  <c r="M132"/>
  <c r="J132"/>
  <c r="I132"/>
  <c r="E132"/>
  <c r="M131"/>
  <c r="K131"/>
  <c r="J131"/>
  <c r="I131"/>
  <c r="E131"/>
  <c r="M130"/>
  <c r="K130" s="1"/>
  <c r="J130"/>
  <c r="I130"/>
  <c r="M129"/>
  <c r="J129"/>
  <c r="I129"/>
  <c r="E129"/>
  <c r="M128"/>
  <c r="J128"/>
  <c r="I128"/>
  <c r="E128"/>
  <c r="M127"/>
  <c r="J127"/>
  <c r="I127"/>
  <c r="E127"/>
  <c r="M126"/>
  <c r="J126"/>
  <c r="I126"/>
  <c r="E126"/>
  <c r="M125"/>
  <c r="J125"/>
  <c r="I125"/>
  <c r="E125"/>
  <c r="M124"/>
  <c r="J124"/>
  <c r="I124"/>
  <c r="M123"/>
  <c r="K123" s="1"/>
  <c r="J123"/>
  <c r="I123"/>
  <c r="E123"/>
  <c r="M122"/>
  <c r="K122" s="1"/>
  <c r="J122"/>
  <c r="I122"/>
  <c r="M121"/>
  <c r="J121"/>
  <c r="I121"/>
  <c r="M120"/>
  <c r="K120" s="1"/>
  <c r="J120"/>
  <c r="I120"/>
  <c r="E120"/>
  <c r="M119"/>
  <c r="K119" s="1"/>
  <c r="J119"/>
  <c r="I119"/>
  <c r="E119"/>
  <c r="M118"/>
  <c r="K118" s="1"/>
  <c r="J118"/>
  <c r="I118"/>
  <c r="M117"/>
  <c r="J117"/>
  <c r="I117"/>
  <c r="E117"/>
  <c r="M116"/>
  <c r="K116"/>
  <c r="J116"/>
  <c r="I116"/>
  <c r="E116"/>
  <c r="M115"/>
  <c r="K115" s="1"/>
  <c r="J115"/>
  <c r="I115"/>
  <c r="M114"/>
  <c r="J114"/>
  <c r="I114"/>
  <c r="E114"/>
  <c r="M113"/>
  <c r="J113"/>
  <c r="I113"/>
  <c r="E113"/>
  <c r="M112"/>
  <c r="J112"/>
  <c r="I112"/>
  <c r="E112"/>
  <c r="M111"/>
  <c r="J111"/>
  <c r="I111"/>
  <c r="M110"/>
  <c r="K110" s="1"/>
  <c r="J110"/>
  <c r="I110"/>
  <c r="E110"/>
  <c r="M109"/>
  <c r="K109" s="1"/>
  <c r="J109"/>
  <c r="I109"/>
  <c r="M108"/>
  <c r="J108"/>
  <c r="I108"/>
  <c r="E108"/>
  <c r="M107"/>
  <c r="J107"/>
  <c r="I107"/>
  <c r="E107"/>
  <c r="M106"/>
  <c r="J106"/>
  <c r="I106"/>
  <c r="E106"/>
  <c r="M105"/>
  <c r="J105"/>
  <c r="I105"/>
  <c r="E105"/>
  <c r="M104"/>
  <c r="J104"/>
  <c r="I104"/>
  <c r="M103"/>
  <c r="K103" s="1"/>
  <c r="J103"/>
  <c r="I103"/>
  <c r="M102"/>
  <c r="J102"/>
  <c r="I102"/>
  <c r="E102"/>
  <c r="M101"/>
  <c r="J101"/>
  <c r="I101"/>
  <c r="M100"/>
  <c r="K100" s="1"/>
  <c r="J100"/>
  <c r="I100"/>
  <c r="E100"/>
  <c r="M99"/>
  <c r="K99" s="1"/>
  <c r="J99"/>
  <c r="I99"/>
  <c r="E99"/>
  <c r="M98"/>
  <c r="K98" s="1"/>
  <c r="J98"/>
  <c r="I98"/>
  <c r="E98"/>
  <c r="M97"/>
  <c r="K97" s="1"/>
  <c r="J97"/>
  <c r="I97"/>
  <c r="E97"/>
  <c r="M96"/>
  <c r="K96" s="1"/>
  <c r="J96"/>
  <c r="I96"/>
  <c r="E96"/>
  <c r="M95"/>
  <c r="K95" s="1"/>
  <c r="J95"/>
  <c r="I95"/>
  <c r="M94"/>
  <c r="K94"/>
  <c r="J94"/>
  <c r="I94"/>
  <c r="E94"/>
  <c r="M93"/>
  <c r="K93" s="1"/>
  <c r="J93"/>
  <c r="I93"/>
  <c r="E93"/>
  <c r="M92"/>
  <c r="K92" s="1"/>
  <c r="J92"/>
  <c r="I92"/>
  <c r="E92"/>
  <c r="M91"/>
  <c r="K91" s="1"/>
  <c r="J91"/>
  <c r="I91"/>
  <c r="M90"/>
  <c r="J90"/>
  <c r="I90"/>
  <c r="M89"/>
  <c r="K89" s="1"/>
  <c r="J89"/>
  <c r="I89"/>
  <c r="E89"/>
  <c r="M88"/>
  <c r="K88" s="1"/>
  <c r="J88"/>
  <c r="I88"/>
  <c r="E88"/>
  <c r="M87"/>
  <c r="K87" s="1"/>
  <c r="J87"/>
  <c r="I87"/>
  <c r="M86"/>
  <c r="J86"/>
  <c r="I86"/>
  <c r="E86"/>
  <c r="M85"/>
  <c r="J85"/>
  <c r="I85"/>
  <c r="E85"/>
  <c r="M84"/>
  <c r="J84"/>
  <c r="I84"/>
  <c r="E84"/>
  <c r="M83"/>
  <c r="J83"/>
  <c r="I83"/>
  <c r="M82"/>
  <c r="K82" s="1"/>
  <c r="J82"/>
  <c r="I82"/>
  <c r="E82"/>
  <c r="M81"/>
  <c r="K81" s="1"/>
  <c r="J81"/>
  <c r="I81"/>
  <c r="E81"/>
  <c r="M80"/>
  <c r="K80" s="1"/>
  <c r="J80"/>
  <c r="I80"/>
  <c r="E80"/>
  <c r="M79"/>
  <c r="K79" s="1"/>
  <c r="J79"/>
  <c r="I79"/>
  <c r="E79"/>
  <c r="M78"/>
  <c r="K78" s="1"/>
  <c r="J78"/>
  <c r="I78"/>
  <c r="E78"/>
  <c r="M77"/>
  <c r="K77" s="1"/>
  <c r="J77"/>
  <c r="I77"/>
  <c r="E77"/>
  <c r="M76"/>
  <c r="K76" s="1"/>
  <c r="J76"/>
  <c r="I76"/>
  <c r="E76"/>
  <c r="M75"/>
  <c r="K75" s="1"/>
  <c r="J75"/>
  <c r="I75"/>
  <c r="E75"/>
  <c r="M74"/>
  <c r="K74" s="1"/>
  <c r="J74"/>
  <c r="I74"/>
  <c r="M73"/>
  <c r="J73"/>
  <c r="I73"/>
  <c r="M72"/>
  <c r="K72" s="1"/>
  <c r="J72"/>
  <c r="I72"/>
  <c r="E72"/>
  <c r="M71"/>
  <c r="K71" s="1"/>
  <c r="J71"/>
  <c r="I71"/>
  <c r="E71"/>
  <c r="M70"/>
  <c r="K70" s="1"/>
  <c r="J70"/>
  <c r="I70"/>
  <c r="E70"/>
  <c r="M69"/>
  <c r="K69" s="1"/>
  <c r="J69"/>
  <c r="I69"/>
  <c r="M68"/>
  <c r="J68"/>
  <c r="I68"/>
  <c r="E68"/>
  <c r="M67"/>
  <c r="J67"/>
  <c r="I67"/>
  <c r="E67"/>
  <c r="M66"/>
  <c r="J66"/>
  <c r="I66"/>
  <c r="E66"/>
  <c r="M65"/>
  <c r="J65"/>
  <c r="I65"/>
  <c r="E65"/>
  <c r="M64"/>
  <c r="K64"/>
  <c r="J64"/>
  <c r="I64"/>
  <c r="E64"/>
  <c r="M63"/>
  <c r="K63" s="1"/>
  <c r="J63"/>
  <c r="I63"/>
  <c r="E63"/>
  <c r="M62"/>
  <c r="K62" s="1"/>
  <c r="J62"/>
  <c r="I62"/>
  <c r="E62"/>
  <c r="M61"/>
  <c r="K61" s="1"/>
  <c r="J61"/>
  <c r="I61"/>
  <c r="E61"/>
  <c r="M60"/>
  <c r="J60"/>
  <c r="I60"/>
  <c r="E60"/>
  <c r="K60" s="1"/>
  <c r="M59"/>
  <c r="J59"/>
  <c r="I59"/>
  <c r="E59"/>
  <c r="M58"/>
  <c r="J58"/>
  <c r="I58"/>
  <c r="E58"/>
  <c r="M57"/>
  <c r="J57"/>
  <c r="I57"/>
  <c r="E57"/>
  <c r="M56"/>
  <c r="K56"/>
  <c r="J56"/>
  <c r="I56"/>
  <c r="E56"/>
  <c r="M55"/>
  <c r="K55" s="1"/>
  <c r="J55"/>
  <c r="I55"/>
  <c r="E55"/>
  <c r="M54"/>
  <c r="K54" s="1"/>
  <c r="J54"/>
  <c r="I54"/>
  <c r="M53"/>
  <c r="J53"/>
  <c r="I53"/>
  <c r="E53"/>
  <c r="M52"/>
  <c r="J52"/>
  <c r="I52"/>
  <c r="E52"/>
  <c r="M51"/>
  <c r="J51"/>
  <c r="I51"/>
  <c r="E51"/>
  <c r="M50"/>
  <c r="J50"/>
  <c r="I50"/>
  <c r="E50"/>
  <c r="M49"/>
  <c r="J49"/>
  <c r="I49"/>
  <c r="E49"/>
  <c r="M48"/>
  <c r="J48"/>
  <c r="I48"/>
  <c r="E48"/>
  <c r="M47"/>
  <c r="I47"/>
  <c r="E47"/>
  <c r="M46"/>
  <c r="K46" s="1"/>
  <c r="J46"/>
  <c r="I46"/>
  <c r="M45"/>
  <c r="J45"/>
  <c r="I45"/>
  <c r="M44"/>
  <c r="J44"/>
  <c r="I44"/>
  <c r="E44"/>
  <c r="K44" s="1"/>
  <c r="M43"/>
  <c r="J43"/>
  <c r="I43"/>
  <c r="E43"/>
  <c r="M42"/>
  <c r="J42"/>
  <c r="I42"/>
  <c r="M41"/>
  <c r="K41" s="1"/>
  <c r="J41"/>
  <c r="I41"/>
  <c r="E41"/>
  <c r="M40"/>
  <c r="K40" s="1"/>
  <c r="J40"/>
  <c r="I40"/>
  <c r="E40"/>
  <c r="M39"/>
  <c r="K39" s="1"/>
  <c r="J39"/>
  <c r="I39"/>
  <c r="E39"/>
  <c r="M38"/>
  <c r="K38" s="1"/>
  <c r="J38"/>
  <c r="I38"/>
  <c r="E38"/>
  <c r="M37"/>
  <c r="J37"/>
  <c r="I37"/>
  <c r="E37"/>
  <c r="K37" s="1"/>
  <c r="M36"/>
  <c r="J36"/>
  <c r="I36"/>
  <c r="E36"/>
  <c r="M35"/>
  <c r="J35"/>
  <c r="I35"/>
  <c r="E35"/>
  <c r="M34"/>
  <c r="K34" s="1"/>
  <c r="I34"/>
  <c r="E34"/>
  <c r="M33"/>
  <c r="K33" s="1"/>
  <c r="J33"/>
  <c r="I33"/>
  <c r="E33"/>
  <c r="M32"/>
  <c r="K32" s="1"/>
  <c r="J32"/>
  <c r="I32"/>
  <c r="E32"/>
  <c r="M31"/>
  <c r="K31" s="1"/>
  <c r="J31"/>
  <c r="I31"/>
  <c r="M30"/>
  <c r="J30"/>
  <c r="I30"/>
  <c r="M29"/>
  <c r="K29" s="1"/>
  <c r="J29"/>
  <c r="I29"/>
  <c r="E29"/>
  <c r="M28"/>
  <c r="K28" s="1"/>
  <c r="J28"/>
  <c r="I28"/>
  <c r="E28"/>
  <c r="M27"/>
  <c r="K27" s="1"/>
  <c r="J27"/>
  <c r="I27"/>
  <c r="E27"/>
  <c r="M26"/>
  <c r="K26" s="1"/>
  <c r="J26"/>
  <c r="I26"/>
  <c r="E26"/>
  <c r="M25"/>
  <c r="K25" s="1"/>
  <c r="J25"/>
  <c r="I25"/>
  <c r="M24"/>
  <c r="J24"/>
  <c r="I24"/>
  <c r="E24"/>
  <c r="M23"/>
  <c r="J23"/>
  <c r="I23"/>
  <c r="E23"/>
  <c r="M22"/>
  <c r="J22"/>
  <c r="I22"/>
  <c r="E22"/>
  <c r="M21"/>
  <c r="J21"/>
  <c r="I21"/>
  <c r="E21"/>
  <c r="M20"/>
  <c r="J20"/>
  <c r="I20"/>
  <c r="E20"/>
  <c r="M19"/>
  <c r="J19"/>
  <c r="I19"/>
  <c r="E19"/>
  <c r="M18"/>
  <c r="J18"/>
  <c r="I18"/>
  <c r="E18"/>
  <c r="M17"/>
  <c r="J17"/>
  <c r="I17"/>
  <c r="E17"/>
  <c r="M16"/>
  <c r="J16"/>
  <c r="I16"/>
  <c r="E16"/>
  <c r="M15"/>
  <c r="J15"/>
  <c r="I15"/>
  <c r="E15"/>
  <c r="M14"/>
  <c r="J14"/>
  <c r="I14"/>
  <c r="E14"/>
  <c r="M13"/>
  <c r="K13"/>
  <c r="J13"/>
  <c r="I13"/>
  <c r="E13"/>
  <c r="M12"/>
  <c r="K12" s="1"/>
  <c r="J12"/>
  <c r="I12"/>
  <c r="E12"/>
  <c r="M11"/>
  <c r="K11" s="1"/>
  <c r="J11"/>
  <c r="I11"/>
  <c r="E11"/>
  <c r="M10"/>
  <c r="K10" s="1"/>
  <c r="J10"/>
  <c r="I10"/>
  <c r="E10"/>
  <c r="M9"/>
  <c r="J9"/>
  <c r="I9"/>
  <c r="E9"/>
  <c r="K9" s="1"/>
  <c r="M8"/>
  <c r="J8"/>
  <c r="I8"/>
  <c r="E8"/>
  <c r="M7"/>
  <c r="J7"/>
  <c r="I7"/>
  <c r="E7"/>
  <c r="M6"/>
  <c r="K6"/>
  <c r="J6"/>
  <c r="I6"/>
  <c r="E6"/>
  <c r="E161" s="1"/>
  <c r="M281" i="26"/>
  <c r="J281"/>
  <c r="I281"/>
  <c r="E281"/>
  <c r="M280"/>
  <c r="J280"/>
  <c r="I280"/>
  <c r="E280"/>
  <c r="J273"/>
  <c r="I273"/>
  <c r="E273"/>
  <c r="J272"/>
  <c r="I272"/>
  <c r="E272"/>
  <c r="K272" s="1"/>
  <c r="J271"/>
  <c r="I271"/>
  <c r="E271"/>
  <c r="K271" s="1"/>
  <c r="M273"/>
  <c r="J270"/>
  <c r="I270"/>
  <c r="E270"/>
  <c r="K270" s="1"/>
  <c r="M272"/>
  <c r="J269"/>
  <c r="I269"/>
  <c r="M271"/>
  <c r="J268"/>
  <c r="I268"/>
  <c r="E268"/>
  <c r="M270"/>
  <c r="J267"/>
  <c r="I267"/>
  <c r="E267"/>
  <c r="M269"/>
  <c r="M268"/>
  <c r="J266"/>
  <c r="I266"/>
  <c r="M267"/>
  <c r="J265"/>
  <c r="I265"/>
  <c r="E265"/>
  <c r="M266"/>
  <c r="J264"/>
  <c r="I264"/>
  <c r="E264"/>
  <c r="M265"/>
  <c r="M264"/>
  <c r="J263"/>
  <c r="I263"/>
  <c r="M263"/>
  <c r="M262"/>
  <c r="J262"/>
  <c r="I262"/>
  <c r="E262"/>
  <c r="K262" s="1"/>
  <c r="M261"/>
  <c r="J261"/>
  <c r="I261"/>
  <c r="E261"/>
  <c r="K261" s="1"/>
  <c r="M260"/>
  <c r="J260"/>
  <c r="I260"/>
  <c r="E260"/>
  <c r="K260" s="1"/>
  <c r="M259"/>
  <c r="J259"/>
  <c r="I259"/>
  <c r="E259"/>
  <c r="K259" s="1"/>
  <c r="M258"/>
  <c r="J258"/>
  <c r="E258"/>
  <c r="M257"/>
  <c r="J257"/>
  <c r="E257"/>
  <c r="K257" s="1"/>
  <c r="M256"/>
  <c r="J256"/>
  <c r="E256"/>
  <c r="M255"/>
  <c r="J255"/>
  <c r="E255"/>
  <c r="K255" s="1"/>
  <c r="G252"/>
  <c r="D252"/>
  <c r="C252"/>
  <c r="J249"/>
  <c r="I249"/>
  <c r="J246"/>
  <c r="I246"/>
  <c r="E246"/>
  <c r="K241" s="1"/>
  <c r="J241"/>
  <c r="I241"/>
  <c r="M240"/>
  <c r="J240"/>
  <c r="I240"/>
  <c r="E240"/>
  <c r="M239"/>
  <c r="J239"/>
  <c r="I239"/>
  <c r="M238"/>
  <c r="J238"/>
  <c r="I238"/>
  <c r="E238"/>
  <c r="K238" s="1"/>
  <c r="M237"/>
  <c r="J237"/>
  <c r="I237"/>
  <c r="E237"/>
  <c r="M236"/>
  <c r="J236"/>
  <c r="I236"/>
  <c r="E236"/>
  <c r="K236" s="1"/>
  <c r="M234"/>
  <c r="J234"/>
  <c r="I234"/>
  <c r="E234"/>
  <c r="K234" s="1"/>
  <c r="M232"/>
  <c r="J232"/>
  <c r="I232"/>
  <c r="E232"/>
  <c r="K232" s="1"/>
  <c r="M231"/>
  <c r="J231"/>
  <c r="I231"/>
  <c r="E231"/>
  <c r="M230"/>
  <c r="J230"/>
  <c r="I230"/>
  <c r="E230"/>
  <c r="M229"/>
  <c r="J229"/>
  <c r="I229"/>
  <c r="E229"/>
  <c r="K229" s="1"/>
  <c r="M228"/>
  <c r="J228"/>
  <c r="I228"/>
  <c r="E228"/>
  <c r="K228" s="1"/>
  <c r="M227"/>
  <c r="J227"/>
  <c r="I227"/>
  <c r="E227"/>
  <c r="K227" s="1"/>
  <c r="M226"/>
  <c r="J226"/>
  <c r="I226"/>
  <c r="E226"/>
  <c r="K226" s="1"/>
  <c r="M225"/>
  <c r="J225"/>
  <c r="I225"/>
  <c r="E225"/>
  <c r="K225" s="1"/>
  <c r="M224"/>
  <c r="J224"/>
  <c r="I224"/>
  <c r="E224"/>
  <c r="K224" s="1"/>
  <c r="M223"/>
  <c r="J223"/>
  <c r="I223"/>
  <c r="E223"/>
  <c r="M222"/>
  <c r="K222" s="1"/>
  <c r="J222"/>
  <c r="I222"/>
  <c r="M221"/>
  <c r="J221"/>
  <c r="I221"/>
  <c r="E221"/>
  <c r="K221" s="1"/>
  <c r="M220"/>
  <c r="J220"/>
  <c r="I220"/>
  <c r="E220"/>
  <c r="K220" s="1"/>
  <c r="M219"/>
  <c r="J219"/>
  <c r="I219"/>
  <c r="E219"/>
  <c r="K219" s="1"/>
  <c r="M218"/>
  <c r="J218"/>
  <c r="I218"/>
  <c r="E218"/>
  <c r="M217"/>
  <c r="J217"/>
  <c r="I217"/>
  <c r="E217"/>
  <c r="K217" s="1"/>
  <c r="M216"/>
  <c r="J216"/>
  <c r="I216"/>
  <c r="E216"/>
  <c r="K216" s="1"/>
  <c r="M215"/>
  <c r="J215"/>
  <c r="I215"/>
  <c r="M214"/>
  <c r="J214"/>
  <c r="I214"/>
  <c r="E214"/>
  <c r="M213"/>
  <c r="J213"/>
  <c r="I213"/>
  <c r="E213"/>
  <c r="M212"/>
  <c r="J212"/>
  <c r="I212"/>
  <c r="E212"/>
  <c r="M211"/>
  <c r="J211"/>
  <c r="I211"/>
  <c r="E211"/>
  <c r="M210"/>
  <c r="J210"/>
  <c r="I210"/>
  <c r="E210"/>
  <c r="M209"/>
  <c r="J209"/>
  <c r="I209"/>
  <c r="E209"/>
  <c r="M208"/>
  <c r="J208"/>
  <c r="I208"/>
  <c r="E208"/>
  <c r="M207"/>
  <c r="J207"/>
  <c r="I207"/>
  <c r="E207"/>
  <c r="M206"/>
  <c r="J206"/>
  <c r="I206"/>
  <c r="E206"/>
  <c r="M205"/>
  <c r="J205"/>
  <c r="I205"/>
  <c r="E205"/>
  <c r="M204"/>
  <c r="K204" s="1"/>
  <c r="J204"/>
  <c r="I204"/>
  <c r="M203"/>
  <c r="J203"/>
  <c r="I203"/>
  <c r="E203"/>
  <c r="M202"/>
  <c r="J202"/>
  <c r="I202"/>
  <c r="E202"/>
  <c r="M201"/>
  <c r="E201"/>
  <c r="M200"/>
  <c r="J200"/>
  <c r="I200"/>
  <c r="E200"/>
  <c r="K200" s="1"/>
  <c r="M199"/>
  <c r="J199"/>
  <c r="I199"/>
  <c r="M198"/>
  <c r="J198"/>
  <c r="I198"/>
  <c r="E198"/>
  <c r="M197"/>
  <c r="J197"/>
  <c r="I197"/>
  <c r="E197"/>
  <c r="M196"/>
  <c r="J196"/>
  <c r="I196"/>
  <c r="E196"/>
  <c r="M195"/>
  <c r="J195"/>
  <c r="I195"/>
  <c r="E195"/>
  <c r="M194"/>
  <c r="J194"/>
  <c r="I194"/>
  <c r="E194"/>
  <c r="M193"/>
  <c r="J193"/>
  <c r="I193"/>
  <c r="E193"/>
  <c r="M192"/>
  <c r="J192"/>
  <c r="I192"/>
  <c r="E192"/>
  <c r="M191"/>
  <c r="J191"/>
  <c r="I191"/>
  <c r="E191"/>
  <c r="K191" s="1"/>
  <c r="M190"/>
  <c r="J190"/>
  <c r="I190"/>
  <c r="E190"/>
  <c r="K190" s="1"/>
  <c r="M189"/>
  <c r="J189"/>
  <c r="I189"/>
  <c r="E189"/>
  <c r="K189" s="1"/>
  <c r="M188"/>
  <c r="K188" s="1"/>
  <c r="J188"/>
  <c r="I188"/>
  <c r="E188"/>
  <c r="M187"/>
  <c r="J187"/>
  <c r="I187"/>
  <c r="E187"/>
  <c r="K187" s="1"/>
  <c r="M186"/>
  <c r="J186"/>
  <c r="I186"/>
  <c r="M185"/>
  <c r="J185"/>
  <c r="I185"/>
  <c r="E185"/>
  <c r="M184"/>
  <c r="J184"/>
  <c r="I184"/>
  <c r="E184"/>
  <c r="M183"/>
  <c r="J183"/>
  <c r="I183"/>
  <c r="E183"/>
  <c r="M182"/>
  <c r="J182"/>
  <c r="I182"/>
  <c r="M181"/>
  <c r="J181"/>
  <c r="I181"/>
  <c r="E181"/>
  <c r="G169"/>
  <c r="G172" s="1"/>
  <c r="M168"/>
  <c r="K141"/>
  <c r="J141"/>
  <c r="I141"/>
  <c r="E141"/>
  <c r="M167"/>
  <c r="K140" s="1"/>
  <c r="J140"/>
  <c r="I140"/>
  <c r="M166"/>
  <c r="J168"/>
  <c r="I168"/>
  <c r="E168"/>
  <c r="M165"/>
  <c r="K139"/>
  <c r="J139"/>
  <c r="I139"/>
  <c r="E139"/>
  <c r="M164"/>
  <c r="J164"/>
  <c r="I164"/>
  <c r="E164"/>
  <c r="K164" s="1"/>
  <c r="M163"/>
  <c r="J13"/>
  <c r="I13"/>
  <c r="E13"/>
  <c r="K13" s="1"/>
  <c r="M162"/>
  <c r="J68"/>
  <c r="I68"/>
  <c r="M161"/>
  <c r="J67"/>
  <c r="I67"/>
  <c r="E67"/>
  <c r="M160"/>
  <c r="J66"/>
  <c r="I66"/>
  <c r="E66"/>
  <c r="M159"/>
  <c r="J82"/>
  <c r="I82"/>
  <c r="M158"/>
  <c r="J93"/>
  <c r="I93"/>
  <c r="E93"/>
  <c r="M157"/>
  <c r="J92"/>
  <c r="I92"/>
  <c r="E92"/>
  <c r="K92" s="1"/>
  <c r="M156"/>
  <c r="J65"/>
  <c r="I65"/>
  <c r="M155"/>
  <c r="J81"/>
  <c r="I81"/>
  <c r="E81"/>
  <c r="K81" s="1"/>
  <c r="M154"/>
  <c r="J64"/>
  <c r="I64"/>
  <c r="E64"/>
  <c r="M153"/>
  <c r="J80"/>
  <c r="I80"/>
  <c r="E80"/>
  <c r="K80" s="1"/>
  <c r="M152"/>
  <c r="K63"/>
  <c r="J63"/>
  <c r="I63"/>
  <c r="E63"/>
  <c r="M151"/>
  <c r="J12"/>
  <c r="I12"/>
  <c r="E12"/>
  <c r="K12" s="1"/>
  <c r="M150"/>
  <c r="J148"/>
  <c r="I148"/>
  <c r="E148"/>
  <c r="M149"/>
  <c r="J62"/>
  <c r="I62"/>
  <c r="E62"/>
  <c r="K62" s="1"/>
  <c r="M148"/>
  <c r="J61"/>
  <c r="I61"/>
  <c r="E61"/>
  <c r="K61" s="1"/>
  <c r="M147"/>
  <c r="J163"/>
  <c r="I163"/>
  <c r="E163"/>
  <c r="K163" s="1"/>
  <c r="M146"/>
  <c r="J60"/>
  <c r="I60"/>
  <c r="E60"/>
  <c r="M145"/>
  <c r="J138"/>
  <c r="I138"/>
  <c r="E138"/>
  <c r="K138" s="1"/>
  <c r="M144"/>
  <c r="J79"/>
  <c r="I79"/>
  <c r="E79"/>
  <c r="K79" s="1"/>
  <c r="M143"/>
  <c r="J158"/>
  <c r="I158"/>
  <c r="E158"/>
  <c r="K158" s="1"/>
  <c r="M138"/>
  <c r="J137"/>
  <c r="I137"/>
  <c r="M137"/>
  <c r="J59"/>
  <c r="I59"/>
  <c r="E59"/>
  <c r="K59" s="1"/>
  <c r="M136"/>
  <c r="J147"/>
  <c r="I147"/>
  <c r="M135"/>
  <c r="J162"/>
  <c r="I162"/>
  <c r="E162"/>
  <c r="M134"/>
  <c r="J58"/>
  <c r="I58"/>
  <c r="E58"/>
  <c r="K58" s="1"/>
  <c r="M133"/>
  <c r="J136"/>
  <c r="I136"/>
  <c r="E136"/>
  <c r="K136" s="1"/>
  <c r="M132"/>
  <c r="J91"/>
  <c r="I91"/>
  <c r="E91"/>
  <c r="K91" s="1"/>
  <c r="M131"/>
  <c r="J146"/>
  <c r="K146" s="1"/>
  <c r="I146"/>
  <c r="M130"/>
  <c r="J57"/>
  <c r="I57"/>
  <c r="E57"/>
  <c r="M129"/>
  <c r="J78"/>
  <c r="I78"/>
  <c r="M128"/>
  <c r="J135"/>
  <c r="I135"/>
  <c r="M127"/>
  <c r="J56"/>
  <c r="I56"/>
  <c r="M126"/>
  <c r="J77"/>
  <c r="I77"/>
  <c r="E77"/>
  <c r="K77" s="1"/>
  <c r="M125"/>
  <c r="J55"/>
  <c r="I55"/>
  <c r="M124"/>
  <c r="J54"/>
  <c r="I54"/>
  <c r="E54"/>
  <c r="M123"/>
  <c r="J134"/>
  <c r="I134"/>
  <c r="M122"/>
  <c r="J133"/>
  <c r="I133"/>
  <c r="E133"/>
  <c r="M121"/>
  <c r="J53"/>
  <c r="I53"/>
  <c r="E53"/>
  <c r="M120"/>
  <c r="J76"/>
  <c r="I76"/>
  <c r="E76"/>
  <c r="M119"/>
  <c r="J52"/>
  <c r="I52"/>
  <c r="M118"/>
  <c r="J51"/>
  <c r="I51"/>
  <c r="E51"/>
  <c r="K51" s="1"/>
  <c r="M117"/>
  <c r="J50"/>
  <c r="I50"/>
  <c r="M116"/>
  <c r="J49"/>
  <c r="I49"/>
  <c r="E49"/>
  <c r="M115"/>
  <c r="J48"/>
  <c r="I48"/>
  <c r="E48"/>
  <c r="K48" s="1"/>
  <c r="M114"/>
  <c r="J47"/>
  <c r="I47"/>
  <c r="E47"/>
  <c r="K47" s="1"/>
  <c r="M113"/>
  <c r="J75"/>
  <c r="I75"/>
  <c r="E75"/>
  <c r="K75" s="1"/>
  <c r="M112"/>
  <c r="J74"/>
  <c r="I74"/>
  <c r="M111"/>
  <c r="K46" s="1"/>
  <c r="J46"/>
  <c r="I46"/>
  <c r="M110"/>
  <c r="J45"/>
  <c r="I45"/>
  <c r="E45"/>
  <c r="M109"/>
  <c r="J44"/>
  <c r="I44"/>
  <c r="M108"/>
  <c r="J161"/>
  <c r="I161"/>
  <c r="E161"/>
  <c r="M107"/>
  <c r="J43"/>
  <c r="I43"/>
  <c r="E43"/>
  <c r="K43" s="1"/>
  <c r="M106"/>
  <c r="J132"/>
  <c r="I132"/>
  <c r="E132"/>
  <c r="M105"/>
  <c r="J42"/>
  <c r="I42"/>
  <c r="E42"/>
  <c r="M104"/>
  <c r="J157"/>
  <c r="I157"/>
  <c r="E157"/>
  <c r="M103"/>
  <c r="J156"/>
  <c r="I156"/>
  <c r="M102"/>
  <c r="J131"/>
  <c r="I131"/>
  <c r="E131"/>
  <c r="K131" s="1"/>
  <c r="M101"/>
  <c r="J160"/>
  <c r="I160"/>
  <c r="E160"/>
  <c r="K160" s="1"/>
  <c r="M100"/>
  <c r="J130"/>
  <c r="I130"/>
  <c r="M99"/>
  <c r="J73"/>
  <c r="I73"/>
  <c r="M98"/>
  <c r="J129"/>
  <c r="I129"/>
  <c r="E129"/>
  <c r="M97"/>
  <c r="J128"/>
  <c r="I128"/>
  <c r="E128"/>
  <c r="M96"/>
  <c r="K41" s="1"/>
  <c r="J41"/>
  <c r="I41"/>
  <c r="M95"/>
  <c r="K127"/>
  <c r="J127"/>
  <c r="I127"/>
  <c r="E127"/>
  <c r="M94"/>
  <c r="J10"/>
  <c r="I10"/>
  <c r="E10"/>
  <c r="M93"/>
  <c r="J40"/>
  <c r="I40"/>
  <c r="E40"/>
  <c r="K40" s="1"/>
  <c r="M92"/>
  <c r="J72"/>
  <c r="I72"/>
  <c r="M91"/>
  <c r="J126"/>
  <c r="I126"/>
  <c r="E126"/>
  <c r="M90"/>
  <c r="J167"/>
  <c r="I167"/>
  <c r="E167"/>
  <c r="M89"/>
  <c r="J125"/>
  <c r="I125"/>
  <c r="E125"/>
  <c r="M88"/>
  <c r="J39"/>
  <c r="I39"/>
  <c r="E39"/>
  <c r="M87"/>
  <c r="J38"/>
  <c r="I38"/>
  <c r="E38"/>
  <c r="M86"/>
  <c r="J124"/>
  <c r="I124"/>
  <c r="E124"/>
  <c r="M85"/>
  <c r="J37"/>
  <c r="I37"/>
  <c r="E37"/>
  <c r="M84"/>
  <c r="J123"/>
  <c r="I123"/>
  <c r="E123"/>
  <c r="M83"/>
  <c r="J122"/>
  <c r="I122"/>
  <c r="M82"/>
  <c r="J155"/>
  <c r="I155"/>
  <c r="E155"/>
  <c r="M81"/>
  <c r="J36"/>
  <c r="I36"/>
  <c r="M80"/>
  <c r="J154"/>
  <c r="I154"/>
  <c r="E154"/>
  <c r="K154" s="1"/>
  <c r="M79"/>
  <c r="J121"/>
  <c r="I121"/>
  <c r="E121"/>
  <c r="K121" s="1"/>
  <c r="M78"/>
  <c r="J120"/>
  <c r="I120"/>
  <c r="M77"/>
  <c r="J119"/>
  <c r="I119"/>
  <c r="E119"/>
  <c r="K119" s="1"/>
  <c r="M76"/>
  <c r="J16"/>
  <c r="I16"/>
  <c r="E16"/>
  <c r="K16" s="1"/>
  <c r="M75"/>
  <c r="J118"/>
  <c r="I118"/>
  <c r="E118"/>
  <c r="K118" s="1"/>
  <c r="M74"/>
  <c r="J117"/>
  <c r="I117"/>
  <c r="E117"/>
  <c r="K117" s="1"/>
  <c r="M73"/>
  <c r="J153"/>
  <c r="I153"/>
  <c r="E153"/>
  <c r="K153" s="1"/>
  <c r="M72"/>
  <c r="J159"/>
  <c r="I159"/>
  <c r="E159"/>
  <c r="K159" s="1"/>
  <c r="M71"/>
  <c r="J35"/>
  <c r="I35"/>
  <c r="M70"/>
  <c r="J34"/>
  <c r="I34"/>
  <c r="E34"/>
  <c r="K34" s="1"/>
  <c r="M69"/>
  <c r="J116"/>
  <c r="I116"/>
  <c r="E116"/>
  <c r="K116" s="1"/>
  <c r="M68"/>
  <c r="J152"/>
  <c r="I152"/>
  <c r="E152"/>
  <c r="K152" s="1"/>
  <c r="M67"/>
  <c r="J90"/>
  <c r="I90"/>
  <c r="E90"/>
  <c r="M66"/>
  <c r="J33"/>
  <c r="I33"/>
  <c r="E33"/>
  <c r="K33" s="1"/>
  <c r="M65"/>
  <c r="J32"/>
  <c r="I32"/>
  <c r="E32"/>
  <c r="K32" s="1"/>
  <c r="M64"/>
  <c r="J31"/>
  <c r="I31"/>
  <c r="E31"/>
  <c r="M63"/>
  <c r="J94"/>
  <c r="I94"/>
  <c r="E94"/>
  <c r="K94" s="1"/>
  <c r="M62"/>
  <c r="J89"/>
  <c r="I89"/>
  <c r="E89"/>
  <c r="K89" s="1"/>
  <c r="M61"/>
  <c r="J115"/>
  <c r="I115"/>
  <c r="E115"/>
  <c r="K115" s="1"/>
  <c r="M60"/>
  <c r="J88"/>
  <c r="I88"/>
  <c r="E88"/>
  <c r="K88" s="1"/>
  <c r="M59"/>
  <c r="J30"/>
  <c r="I30"/>
  <c r="E30"/>
  <c r="K30" s="1"/>
  <c r="M58"/>
  <c r="K71" s="1"/>
  <c r="J71"/>
  <c r="I71"/>
  <c r="M57"/>
  <c r="J114"/>
  <c r="I114"/>
  <c r="E114"/>
  <c r="M56"/>
  <c r="J113"/>
  <c r="I113"/>
  <c r="E113"/>
  <c r="M55"/>
  <c r="J142"/>
  <c r="I142"/>
  <c r="E142"/>
  <c r="M54"/>
  <c r="J112"/>
  <c r="I112"/>
  <c r="E112"/>
  <c r="M53"/>
  <c r="J29"/>
  <c r="I29"/>
  <c r="E29"/>
  <c r="M52"/>
  <c r="J28"/>
  <c r="I28"/>
  <c r="E28"/>
  <c r="M51"/>
  <c r="J111"/>
  <c r="I111"/>
  <c r="M50"/>
  <c r="J27"/>
  <c r="I27"/>
  <c r="E27"/>
  <c r="M49"/>
  <c r="J145"/>
  <c r="I145"/>
  <c r="E145"/>
  <c r="M48"/>
  <c r="J110"/>
  <c r="I110"/>
  <c r="E110"/>
  <c r="M47"/>
  <c r="I166"/>
  <c r="E166"/>
  <c r="M46"/>
  <c r="J26"/>
  <c r="I26"/>
  <c r="M45"/>
  <c r="J25"/>
  <c r="I25"/>
  <c r="M44"/>
  <c r="J144"/>
  <c r="I144"/>
  <c r="E144"/>
  <c r="M43"/>
  <c r="J24"/>
  <c r="I24"/>
  <c r="M42"/>
  <c r="J109"/>
  <c r="I109"/>
  <c r="E109"/>
  <c r="M41"/>
  <c r="J87"/>
  <c r="I87"/>
  <c r="E87"/>
  <c r="M40"/>
  <c r="J86"/>
  <c r="I86"/>
  <c r="E86"/>
  <c r="M39"/>
  <c r="J108"/>
  <c r="I108"/>
  <c r="E108"/>
  <c r="M38"/>
  <c r="J107"/>
  <c r="I107"/>
  <c r="E107"/>
  <c r="M37"/>
  <c r="J23"/>
  <c r="I23"/>
  <c r="E23"/>
  <c r="M36"/>
  <c r="I165"/>
  <c r="E165"/>
  <c r="M35"/>
  <c r="J22"/>
  <c r="I22"/>
  <c r="E22"/>
  <c r="K22" s="1"/>
  <c r="M34"/>
  <c r="J106"/>
  <c r="I106"/>
  <c r="E106"/>
  <c r="K106" s="1"/>
  <c r="M33"/>
  <c r="J15"/>
  <c r="I15"/>
  <c r="E15"/>
  <c r="K15" s="1"/>
  <c r="M32"/>
  <c r="J70"/>
  <c r="I70"/>
  <c r="M31"/>
  <c r="J69"/>
  <c r="I69"/>
  <c r="M30"/>
  <c r="J21"/>
  <c r="I21"/>
  <c r="E21"/>
  <c r="M29"/>
  <c r="J85"/>
  <c r="I85"/>
  <c r="E85"/>
  <c r="M28"/>
  <c r="J105"/>
  <c r="I105"/>
  <c r="E105"/>
  <c r="M27"/>
  <c r="J20"/>
  <c r="I20"/>
  <c r="E20"/>
  <c r="M26"/>
  <c r="J19"/>
  <c r="I19"/>
  <c r="M25"/>
  <c r="J18"/>
  <c r="I18"/>
  <c r="E18"/>
  <c r="M24"/>
  <c r="J104"/>
  <c r="I104"/>
  <c r="E104"/>
  <c r="M23"/>
  <c r="J151"/>
  <c r="I151"/>
  <c r="E151"/>
  <c r="M22"/>
  <c r="J17"/>
  <c r="I17"/>
  <c r="E17"/>
  <c r="M21"/>
  <c r="J103"/>
  <c r="I103"/>
  <c r="E103"/>
  <c r="M20"/>
  <c r="J84"/>
  <c r="I84"/>
  <c r="E84"/>
  <c r="M19"/>
  <c r="J102"/>
  <c r="I102"/>
  <c r="E102"/>
  <c r="M18"/>
  <c r="J83"/>
  <c r="I83"/>
  <c r="E83"/>
  <c r="M17"/>
  <c r="J101"/>
  <c r="I101"/>
  <c r="E101"/>
  <c r="M16"/>
  <c r="J95"/>
  <c r="I95"/>
  <c r="E95"/>
  <c r="M15"/>
  <c r="J11"/>
  <c r="I11"/>
  <c r="E11"/>
  <c r="M14"/>
  <c r="J14"/>
  <c r="I14"/>
  <c r="E14"/>
  <c r="M13"/>
  <c r="J150"/>
  <c r="I150"/>
  <c r="E150"/>
  <c r="M12"/>
  <c r="J96"/>
  <c r="I96"/>
  <c r="E96"/>
  <c r="M11"/>
  <c r="J100"/>
  <c r="I100"/>
  <c r="E100"/>
  <c r="K100" s="1"/>
  <c r="M10"/>
  <c r="J99"/>
  <c r="I99"/>
  <c r="E99"/>
  <c r="M9"/>
  <c r="J143"/>
  <c r="I143"/>
  <c r="E143"/>
  <c r="K143" s="1"/>
  <c r="M8"/>
  <c r="J98"/>
  <c r="I98"/>
  <c r="E98"/>
  <c r="K98" s="1"/>
  <c r="M7"/>
  <c r="J149"/>
  <c r="I149"/>
  <c r="E149"/>
  <c r="M6"/>
  <c r="J97"/>
  <c r="I97"/>
  <c r="E97"/>
  <c r="K97" s="1"/>
  <c r="K10" l="1"/>
  <c r="K128"/>
  <c r="K129"/>
  <c r="K44"/>
  <c r="K54"/>
  <c r="K57"/>
  <c r="K162"/>
  <c r="K182"/>
  <c r="K192"/>
  <c r="K193"/>
  <c r="K194"/>
  <c r="K195"/>
  <c r="K197"/>
  <c r="K198"/>
  <c r="K205"/>
  <c r="K206"/>
  <c r="K207"/>
  <c r="K208"/>
  <c r="K209"/>
  <c r="K211"/>
  <c r="K212"/>
  <c r="K213"/>
  <c r="K239"/>
  <c r="K264"/>
  <c r="K265"/>
  <c r="K267"/>
  <c r="K280"/>
  <c r="K281"/>
  <c r="K7" i="29"/>
  <c r="K8"/>
  <c r="K30"/>
  <c r="K47"/>
  <c r="K48"/>
  <c r="K49"/>
  <c r="K50"/>
  <c r="K51"/>
  <c r="K52"/>
  <c r="K53"/>
  <c r="K57"/>
  <c r="K58"/>
  <c r="K59"/>
  <c r="K73"/>
  <c r="K90"/>
  <c r="K104"/>
  <c r="K105"/>
  <c r="K106"/>
  <c r="K107"/>
  <c r="K108"/>
  <c r="K121"/>
  <c r="K149"/>
  <c r="K150"/>
  <c r="K151"/>
  <c r="K152"/>
  <c r="K153"/>
  <c r="K171"/>
  <c r="K176"/>
  <c r="K180"/>
  <c r="K184"/>
  <c r="K188"/>
  <c r="K191"/>
  <c r="J160" i="32"/>
  <c r="K28"/>
  <c r="K43"/>
  <c r="K66"/>
  <c r="K67"/>
  <c r="K68"/>
  <c r="K69"/>
  <c r="K83"/>
  <c r="K84"/>
  <c r="K85"/>
  <c r="K96"/>
  <c r="K97"/>
  <c r="K106"/>
  <c r="K107"/>
  <c r="K108"/>
  <c r="K109"/>
  <c r="K117"/>
  <c r="K118"/>
  <c r="K144"/>
  <c r="K145"/>
  <c r="K146"/>
  <c r="K147"/>
  <c r="K148"/>
  <c r="K168"/>
  <c r="K173"/>
  <c r="K177"/>
  <c r="K181"/>
  <c r="K185"/>
  <c r="K188"/>
  <c r="J156" i="33"/>
  <c r="K105" i="26"/>
  <c r="K144"/>
  <c r="K28"/>
  <c r="K29"/>
  <c r="K112"/>
  <c r="K113"/>
  <c r="K114"/>
  <c r="K37"/>
  <c r="K124"/>
  <c r="K39"/>
  <c r="K125"/>
  <c r="K167"/>
  <c r="K126"/>
  <c r="K157"/>
  <c r="K42"/>
  <c r="K132"/>
  <c r="K45"/>
  <c r="K76"/>
  <c r="K53"/>
  <c r="K133"/>
  <c r="K66"/>
  <c r="K67"/>
  <c r="K183"/>
  <c r="K184"/>
  <c r="K185"/>
  <c r="K202"/>
  <c r="K203"/>
  <c r="K240"/>
  <c r="K273"/>
  <c r="K20"/>
  <c r="K21"/>
  <c r="K142"/>
  <c r="K150"/>
  <c r="K14"/>
  <c r="K11"/>
  <c r="K95"/>
  <c r="K101"/>
  <c r="K83"/>
  <c r="K102"/>
  <c r="K84"/>
  <c r="K103"/>
  <c r="K17"/>
  <c r="K151"/>
  <c r="K18"/>
  <c r="K70"/>
  <c r="K23"/>
  <c r="K108"/>
  <c r="K86"/>
  <c r="K87"/>
  <c r="K109"/>
  <c r="K110"/>
  <c r="K145"/>
  <c r="K120"/>
  <c r="K155"/>
  <c r="K93"/>
  <c r="K181"/>
  <c r="K215"/>
  <c r="J252"/>
  <c r="K256"/>
  <c r="K263"/>
  <c r="K266"/>
  <c r="K269"/>
  <c r="K14" i="29"/>
  <c r="K161" s="1"/>
  <c r="J161" s="1"/>
  <c r="K15"/>
  <c r="K16"/>
  <c r="K17"/>
  <c r="K18"/>
  <c r="K19"/>
  <c r="K20"/>
  <c r="K21"/>
  <c r="K22"/>
  <c r="K23"/>
  <c r="K24"/>
  <c r="K35"/>
  <c r="K36"/>
  <c r="K42"/>
  <c r="K43"/>
  <c r="K45"/>
  <c r="K65"/>
  <c r="K66"/>
  <c r="K67"/>
  <c r="K68"/>
  <c r="K83"/>
  <c r="K84"/>
  <c r="K85"/>
  <c r="K86"/>
  <c r="K101"/>
  <c r="K102"/>
  <c r="K111"/>
  <c r="K112"/>
  <c r="K113"/>
  <c r="K114"/>
  <c r="K117"/>
  <c r="K124"/>
  <c r="K125"/>
  <c r="K126"/>
  <c r="K127"/>
  <c r="K128"/>
  <c r="K129"/>
  <c r="K132"/>
  <c r="K133"/>
  <c r="K134"/>
  <c r="K135"/>
  <c r="K136"/>
  <c r="K137"/>
  <c r="K138"/>
  <c r="K139"/>
  <c r="K140"/>
  <c r="K141"/>
  <c r="K142"/>
  <c r="K143"/>
  <c r="K144"/>
  <c r="K159"/>
  <c r="K160"/>
  <c r="K174"/>
  <c r="K179"/>
  <c r="K182"/>
  <c r="K186"/>
  <c r="K190"/>
  <c r="K193"/>
  <c r="E160" i="32"/>
  <c r="K7"/>
  <c r="K160" s="1"/>
  <c r="K8"/>
  <c r="K9"/>
  <c r="K10"/>
  <c r="K11"/>
  <c r="K12"/>
  <c r="K13"/>
  <c r="K14"/>
  <c r="K15"/>
  <c r="K16"/>
  <c r="K17"/>
  <c r="K18"/>
  <c r="K19"/>
  <c r="K20"/>
  <c r="K21"/>
  <c r="K22"/>
  <c r="K33"/>
  <c r="K34"/>
  <c r="K35"/>
  <c r="K36"/>
  <c r="K37"/>
  <c r="K38"/>
  <c r="K39"/>
  <c r="K46"/>
  <c r="K47"/>
  <c r="K48"/>
  <c r="K49"/>
  <c r="K50"/>
  <c r="K71"/>
  <c r="K72"/>
  <c r="K73"/>
  <c r="K74"/>
  <c r="K75"/>
  <c r="K76"/>
  <c r="K77"/>
  <c r="K78"/>
  <c r="K87"/>
  <c r="K88"/>
  <c r="K89"/>
  <c r="K90"/>
  <c r="K99"/>
  <c r="K100"/>
  <c r="K101"/>
  <c r="K102"/>
  <c r="K103"/>
  <c r="K113"/>
  <c r="K114"/>
  <c r="K115"/>
  <c r="K125"/>
  <c r="K126"/>
  <c r="K127"/>
  <c r="K128"/>
  <c r="K129"/>
  <c r="K130"/>
  <c r="K131"/>
  <c r="K132"/>
  <c r="K133"/>
  <c r="K134"/>
  <c r="K135"/>
  <c r="K136"/>
  <c r="K137"/>
  <c r="K138"/>
  <c r="K139"/>
  <c r="K154"/>
  <c r="K155"/>
  <c r="K156"/>
  <c r="K171"/>
  <c r="K176"/>
  <c r="K179"/>
  <c r="K183"/>
  <c r="K187"/>
  <c r="K190"/>
  <c r="E156" i="33"/>
  <c r="K129"/>
  <c r="K27" i="26"/>
  <c r="K96"/>
  <c r="K49"/>
  <c r="K60"/>
  <c r="K24"/>
  <c r="K25"/>
  <c r="K199"/>
  <c r="K210"/>
  <c r="K230"/>
  <c r="K258"/>
  <c r="K72"/>
  <c r="K130"/>
  <c r="K135"/>
  <c r="K64"/>
  <c r="K65"/>
  <c r="K68"/>
  <c r="K218"/>
  <c r="K237"/>
  <c r="K149"/>
  <c r="K99"/>
  <c r="K104"/>
  <c r="K19"/>
  <c r="K85"/>
  <c r="K69"/>
  <c r="K107"/>
  <c r="K26"/>
  <c r="K111"/>
  <c r="K31"/>
  <c r="K90"/>
  <c r="K35"/>
  <c r="K36"/>
  <c r="K122"/>
  <c r="K123"/>
  <c r="K38"/>
  <c r="K73"/>
  <c r="K156"/>
  <c r="K161"/>
  <c r="K74"/>
  <c r="K50"/>
  <c r="K52"/>
  <c r="K134"/>
  <c r="K55"/>
  <c r="K56"/>
  <c r="K78"/>
  <c r="K147"/>
  <c r="K137"/>
  <c r="K148"/>
  <c r="K82"/>
  <c r="K168"/>
  <c r="K214"/>
  <c r="K249"/>
  <c r="E252"/>
  <c r="K165"/>
  <c r="K166"/>
  <c r="K186"/>
  <c r="K196"/>
  <c r="K223"/>
  <c r="K231"/>
  <c r="K246"/>
  <c r="G253"/>
  <c r="K268"/>
  <c r="K51" i="33"/>
  <c r="K23"/>
  <c r="K24"/>
  <c r="K25"/>
  <c r="K26"/>
  <c r="K27"/>
  <c r="K29"/>
  <c r="K30"/>
  <c r="K31"/>
  <c r="K40"/>
  <c r="K41"/>
  <c r="K42"/>
  <c r="K44"/>
  <c r="K52"/>
  <c r="K53"/>
  <c r="K54"/>
  <c r="K56"/>
  <c r="K57"/>
  <c r="K58"/>
  <c r="K61"/>
  <c r="K62"/>
  <c r="K63"/>
  <c r="K64"/>
  <c r="K71"/>
  <c r="K79"/>
  <c r="K80"/>
  <c r="K86"/>
  <c r="K91"/>
  <c r="K92"/>
  <c r="K98"/>
  <c r="K104"/>
  <c r="K105"/>
  <c r="K109"/>
  <c r="K115"/>
  <c r="K118"/>
  <c r="K119"/>
  <c r="K120"/>
  <c r="K121"/>
  <c r="K122"/>
  <c r="K130"/>
  <c r="K131"/>
  <c r="K132"/>
  <c r="K141"/>
  <c r="K167"/>
  <c r="K169"/>
  <c r="K177"/>
  <c r="K179"/>
  <c r="K181"/>
  <c r="K183"/>
  <c r="K186"/>
  <c r="K133"/>
  <c r="K134"/>
  <c r="K135"/>
  <c r="K136"/>
  <c r="K142"/>
  <c r="K143"/>
  <c r="K144"/>
  <c r="K145"/>
  <c r="K152"/>
  <c r="K153"/>
  <c r="K55"/>
  <c r="K171"/>
  <c r="K173"/>
  <c r="K193"/>
  <c r="K194"/>
  <c r="K195"/>
  <c r="K196"/>
  <c r="K197"/>
  <c r="K6"/>
  <c r="K59"/>
  <c r="K60"/>
  <c r="K65"/>
  <c r="K66"/>
  <c r="K81"/>
  <c r="K82"/>
  <c r="K93"/>
  <c r="K94"/>
  <c r="K95"/>
  <c r="K110"/>
  <c r="K111"/>
  <c r="K202"/>
  <c r="G159"/>
  <c r="K7"/>
  <c r="K8"/>
  <c r="K9"/>
  <c r="K10"/>
  <c r="K11"/>
  <c r="K12"/>
  <c r="K13"/>
  <c r="K14"/>
  <c r="K15"/>
  <c r="K16"/>
  <c r="K17"/>
  <c r="K18"/>
  <c r="K19"/>
  <c r="K20"/>
  <c r="K21"/>
  <c r="K22"/>
  <c r="K28"/>
  <c r="K32"/>
  <c r="K33"/>
  <c r="K34"/>
  <c r="K35"/>
  <c r="K36"/>
  <c r="K37"/>
  <c r="K38"/>
  <c r="K39"/>
  <c r="K43"/>
  <c r="K45"/>
  <c r="K46"/>
  <c r="K47"/>
  <c r="K48"/>
  <c r="K49"/>
  <c r="K50"/>
  <c r="K67"/>
  <c r="K68"/>
  <c r="K69"/>
  <c r="K70"/>
  <c r="K72"/>
  <c r="K73"/>
  <c r="K74"/>
  <c r="K75"/>
  <c r="K76"/>
  <c r="K77"/>
  <c r="K78"/>
  <c r="K199"/>
  <c r="K83"/>
  <c r="K84"/>
  <c r="K85"/>
  <c r="K87"/>
  <c r="K88"/>
  <c r="K89"/>
  <c r="K90"/>
  <c r="K96"/>
  <c r="K97"/>
  <c r="K99"/>
  <c r="K100"/>
  <c r="K101"/>
  <c r="K102"/>
  <c r="K103"/>
  <c r="K106"/>
  <c r="K107"/>
  <c r="K108"/>
  <c r="K200"/>
  <c r="K112"/>
  <c r="K113"/>
  <c r="K114"/>
  <c r="K116"/>
  <c r="K117"/>
  <c r="K123"/>
  <c r="K124"/>
  <c r="K201"/>
  <c r="K125"/>
  <c r="K126"/>
  <c r="K127"/>
  <c r="K128"/>
  <c r="K137"/>
  <c r="K138"/>
  <c r="K139"/>
  <c r="K140"/>
  <c r="K146"/>
  <c r="K147"/>
  <c r="K148"/>
  <c r="K149"/>
  <c r="K150"/>
  <c r="K151"/>
  <c r="K168"/>
  <c r="K170"/>
  <c r="K172"/>
  <c r="K174"/>
  <c r="K175"/>
  <c r="K176"/>
  <c r="K178"/>
  <c r="K180"/>
  <c r="K182"/>
  <c r="K184"/>
  <c r="K185"/>
  <c r="K187"/>
  <c r="N280" i="23"/>
  <c r="K280"/>
  <c r="J280"/>
  <c r="F280"/>
  <c r="L280" s="1"/>
  <c r="N279"/>
  <c r="L279"/>
  <c r="K279"/>
  <c r="J279"/>
  <c r="F279"/>
  <c r="N271"/>
  <c r="K271"/>
  <c r="J271"/>
  <c r="F271"/>
  <c r="L271" s="1"/>
  <c r="N270"/>
  <c r="K270"/>
  <c r="J270"/>
  <c r="F270"/>
  <c r="L270" s="1"/>
  <c r="N269"/>
  <c r="K269"/>
  <c r="J269"/>
  <c r="F269"/>
  <c r="L269" s="1"/>
  <c r="N268"/>
  <c r="L268"/>
  <c r="K268"/>
  <c r="J268"/>
  <c r="F268"/>
  <c r="N267"/>
  <c r="K267"/>
  <c r="J267"/>
  <c r="F267"/>
  <c r="L267" s="1"/>
  <c r="N266"/>
  <c r="L266" s="1"/>
  <c r="K266"/>
  <c r="J266"/>
  <c r="N265"/>
  <c r="K265"/>
  <c r="J265"/>
  <c r="F265"/>
  <c r="L265" s="1"/>
  <c r="N264"/>
  <c r="K264"/>
  <c r="J264"/>
  <c r="F264"/>
  <c r="L264" s="1"/>
  <c r="N263"/>
  <c r="K263"/>
  <c r="J263"/>
  <c r="F263"/>
  <c r="L263" s="1"/>
  <c r="N262"/>
  <c r="K262"/>
  <c r="J262"/>
  <c r="N261"/>
  <c r="K261"/>
  <c r="J261"/>
  <c r="F261"/>
  <c r="L261" s="1"/>
  <c r="N260"/>
  <c r="L260"/>
  <c r="K260"/>
  <c r="J260"/>
  <c r="F260"/>
  <c r="N259"/>
  <c r="K259"/>
  <c r="J259"/>
  <c r="F259"/>
  <c r="L259" s="1"/>
  <c r="N258"/>
  <c r="L258" s="1"/>
  <c r="K258"/>
  <c r="J258"/>
  <c r="N257"/>
  <c r="K257"/>
  <c r="J257"/>
  <c r="F257"/>
  <c r="L257" s="1"/>
  <c r="N256"/>
  <c r="K256"/>
  <c r="J256"/>
  <c r="F256"/>
  <c r="L256" s="1"/>
  <c r="N255"/>
  <c r="K255"/>
  <c r="J255"/>
  <c r="F255"/>
  <c r="L255" s="1"/>
  <c r="N254"/>
  <c r="L254"/>
  <c r="K254"/>
  <c r="J254"/>
  <c r="F254"/>
  <c r="N253"/>
  <c r="K253"/>
  <c r="J253"/>
  <c r="F253"/>
  <c r="L253" s="1"/>
  <c r="N252"/>
  <c r="L252" s="1"/>
  <c r="K252"/>
  <c r="F252"/>
  <c r="N251"/>
  <c r="L251"/>
  <c r="K251"/>
  <c r="F251"/>
  <c r="N250"/>
  <c r="L250"/>
  <c r="K250"/>
  <c r="F250"/>
  <c r="N249"/>
  <c r="L249"/>
  <c r="K249"/>
  <c r="F249"/>
  <c r="L262" l="1"/>
  <c r="K156" i="33"/>
  <c r="H246" i="23"/>
  <c r="E246"/>
  <c r="D246"/>
  <c r="L243" s="1"/>
  <c r="K243"/>
  <c r="J243"/>
  <c r="K240"/>
  <c r="L240" s="1"/>
  <c r="J240"/>
  <c r="F240"/>
  <c r="F246" s="1"/>
  <c r="K235"/>
  <c r="K246" s="1"/>
  <c r="J235"/>
  <c r="N230"/>
  <c r="K230"/>
  <c r="L230" s="1"/>
  <c r="J230"/>
  <c r="F230"/>
  <c r="N229"/>
  <c r="K229"/>
  <c r="J229"/>
  <c r="N228"/>
  <c r="K228"/>
  <c r="L228" s="1"/>
  <c r="J228"/>
  <c r="F228"/>
  <c r="N227"/>
  <c r="L227"/>
  <c r="K227"/>
  <c r="J227"/>
  <c r="F227"/>
  <c r="N226"/>
  <c r="K226"/>
  <c r="J226"/>
  <c r="F226"/>
  <c r="L226" s="1"/>
  <c r="N225"/>
  <c r="K225"/>
  <c r="L225" s="1"/>
  <c r="J225"/>
  <c r="F225"/>
  <c r="N224"/>
  <c r="K224"/>
  <c r="L224" s="1"/>
  <c r="J224"/>
  <c r="F224"/>
  <c r="N222"/>
  <c r="L222"/>
  <c r="K222"/>
  <c r="J222"/>
  <c r="F222"/>
  <c r="N221"/>
  <c r="K221"/>
  <c r="J221"/>
  <c r="F221"/>
  <c r="L221" s="1"/>
  <c r="N220"/>
  <c r="K220"/>
  <c r="L220" s="1"/>
  <c r="J220"/>
  <c r="F220"/>
  <c r="N219"/>
  <c r="K219"/>
  <c r="L219" s="1"/>
  <c r="J219"/>
  <c r="F219"/>
  <c r="N218"/>
  <c r="L218"/>
  <c r="K218"/>
  <c r="J218"/>
  <c r="F218"/>
  <c r="N217"/>
  <c r="K217"/>
  <c r="J217"/>
  <c r="F217"/>
  <c r="L217" s="1"/>
  <c r="N216"/>
  <c r="K216"/>
  <c r="L216" s="1"/>
  <c r="J216"/>
  <c r="F216"/>
  <c r="N215"/>
  <c r="K215"/>
  <c r="L215" s="1"/>
  <c r="J215"/>
  <c r="F215"/>
  <c r="N214"/>
  <c r="L214"/>
  <c r="K214"/>
  <c r="J214"/>
  <c r="F214"/>
  <c r="N213"/>
  <c r="K213"/>
  <c r="J213"/>
  <c r="F213"/>
  <c r="L213" s="1"/>
  <c r="N212"/>
  <c r="K212"/>
  <c r="J212"/>
  <c r="N211"/>
  <c r="K211"/>
  <c r="J211"/>
  <c r="F211"/>
  <c r="L211" s="1"/>
  <c r="N210"/>
  <c r="K210"/>
  <c r="L210" s="1"/>
  <c r="J210"/>
  <c r="F210"/>
  <c r="N209"/>
  <c r="K209"/>
  <c r="L209" s="1"/>
  <c r="J209"/>
  <c r="F209"/>
  <c r="N208"/>
  <c r="L208"/>
  <c r="K208"/>
  <c r="J208"/>
  <c r="F208"/>
  <c r="N207"/>
  <c r="K207"/>
  <c r="J207"/>
  <c r="F207"/>
  <c r="L207" s="1"/>
  <c r="N206"/>
  <c r="K206"/>
  <c r="L206" s="1"/>
  <c r="J206"/>
  <c r="F206"/>
  <c r="N205"/>
  <c r="K205"/>
  <c r="J205"/>
  <c r="N204"/>
  <c r="K204"/>
  <c r="L204" s="1"/>
  <c r="J204"/>
  <c r="F204"/>
  <c r="N203"/>
  <c r="K203"/>
  <c r="L203" s="1"/>
  <c r="J203"/>
  <c r="F203"/>
  <c r="N202"/>
  <c r="L202"/>
  <c r="K202"/>
  <c r="J202"/>
  <c r="F202"/>
  <c r="N201"/>
  <c r="K201"/>
  <c r="J201"/>
  <c r="F201"/>
  <c r="L201" s="1"/>
  <c r="N200"/>
  <c r="K200"/>
  <c r="L200" s="1"/>
  <c r="J200"/>
  <c r="F200"/>
  <c r="N199"/>
  <c r="K199"/>
  <c r="L199" s="1"/>
  <c r="J199"/>
  <c r="F199"/>
  <c r="N198"/>
  <c r="L198"/>
  <c r="K198"/>
  <c r="J198"/>
  <c r="F198"/>
  <c r="N197"/>
  <c r="K197"/>
  <c r="J197"/>
  <c r="F197"/>
  <c r="L197" s="1"/>
  <c r="N196"/>
  <c r="K196"/>
  <c r="L196" s="1"/>
  <c r="J196"/>
  <c r="F196"/>
  <c r="N195"/>
  <c r="K195"/>
  <c r="L195" s="1"/>
  <c r="J195"/>
  <c r="F195"/>
  <c r="N194"/>
  <c r="K194"/>
  <c r="J194"/>
  <c r="N193"/>
  <c r="K193"/>
  <c r="L193" s="1"/>
  <c r="J193"/>
  <c r="F193"/>
  <c r="N192"/>
  <c r="L192"/>
  <c r="K192"/>
  <c r="J192"/>
  <c r="F192"/>
  <c r="N191"/>
  <c r="F191"/>
  <c r="N190"/>
  <c r="K190"/>
  <c r="L190" s="1"/>
  <c r="J190"/>
  <c r="F190"/>
  <c r="N189"/>
  <c r="K189"/>
  <c r="J189"/>
  <c r="N188"/>
  <c r="K188"/>
  <c r="L188" s="1"/>
  <c r="J188"/>
  <c r="F188"/>
  <c r="N187"/>
  <c r="L187"/>
  <c r="K187"/>
  <c r="J187"/>
  <c r="F187"/>
  <c r="N186"/>
  <c r="K186"/>
  <c r="J186"/>
  <c r="F186"/>
  <c r="L186" s="1"/>
  <c r="N185"/>
  <c r="K185"/>
  <c r="L185" s="1"/>
  <c r="J185"/>
  <c r="F185"/>
  <c r="N184"/>
  <c r="K184"/>
  <c r="L184" s="1"/>
  <c r="J184"/>
  <c r="F184"/>
  <c r="N183"/>
  <c r="L183"/>
  <c r="K183"/>
  <c r="J183"/>
  <c r="F183"/>
  <c r="N182"/>
  <c r="K182"/>
  <c r="J182"/>
  <c r="F182"/>
  <c r="L182" s="1"/>
  <c r="N181"/>
  <c r="K181"/>
  <c r="L181" s="1"/>
  <c r="J181"/>
  <c r="F181"/>
  <c r="N180"/>
  <c r="K180"/>
  <c r="L180" s="1"/>
  <c r="J180"/>
  <c r="F180"/>
  <c r="N179"/>
  <c r="L179"/>
  <c r="K179"/>
  <c r="J179"/>
  <c r="F179"/>
  <c r="N178"/>
  <c r="K178"/>
  <c r="J178"/>
  <c r="F178"/>
  <c r="L178" s="1"/>
  <c r="N177"/>
  <c r="K177"/>
  <c r="L177" s="1"/>
  <c r="J177"/>
  <c r="F177"/>
  <c r="N176"/>
  <c r="K176"/>
  <c r="J176"/>
  <c r="N175"/>
  <c r="K175"/>
  <c r="L175" s="1"/>
  <c r="J175"/>
  <c r="F175"/>
  <c r="H163"/>
  <c r="H247" s="1"/>
  <c r="N162"/>
  <c r="L162" s="1"/>
  <c r="J162"/>
  <c r="F162"/>
  <c r="N161"/>
  <c r="J161"/>
  <c r="F161"/>
  <c r="N160"/>
  <c r="L189" l="1"/>
  <c r="L194"/>
  <c r="L229"/>
  <c r="L235"/>
  <c r="L246" s="1"/>
  <c r="L205"/>
  <c r="L161"/>
  <c r="L176"/>
  <c r="L212"/>
  <c r="K160"/>
  <c r="J160"/>
  <c r="F160"/>
  <c r="L160" s="1"/>
  <c r="N159"/>
  <c r="K159"/>
  <c r="J159"/>
  <c r="F159"/>
  <c r="L159" s="1"/>
  <c r="N158"/>
  <c r="K158"/>
  <c r="J158"/>
  <c r="F158"/>
  <c r="L158" s="1"/>
  <c r="N157"/>
  <c r="K157"/>
  <c r="L157" s="1"/>
  <c r="J157"/>
  <c r="F157"/>
  <c r="N156"/>
  <c r="L156"/>
  <c r="K156"/>
  <c r="J156"/>
  <c r="F156"/>
  <c r="N155"/>
  <c r="K155"/>
  <c r="J155"/>
  <c r="F155"/>
  <c r="L155" s="1"/>
  <c r="N154"/>
  <c r="K154"/>
  <c r="J154"/>
  <c r="F154"/>
  <c r="L154" s="1"/>
  <c r="N153"/>
  <c r="K153"/>
  <c r="L153" s="1"/>
  <c r="J153"/>
  <c r="F153"/>
  <c r="N152"/>
  <c r="K152" l="1"/>
  <c r="L152" s="1"/>
  <c r="J152"/>
  <c r="N151"/>
  <c r="K151"/>
  <c r="J151"/>
  <c r="F151"/>
  <c r="L151" s="1"/>
  <c r="N150"/>
  <c r="K150"/>
  <c r="J150"/>
  <c r="F150"/>
  <c r="L150" s="1"/>
  <c r="N149"/>
  <c r="K149"/>
  <c r="J149"/>
  <c r="F149"/>
  <c r="L149" s="1"/>
  <c r="N148"/>
  <c r="K148"/>
  <c r="L148" s="1"/>
  <c r="J148"/>
  <c r="F148"/>
  <c r="N147"/>
  <c r="K147"/>
  <c r="J147"/>
  <c r="F147"/>
  <c r="L147" s="1"/>
  <c r="N146"/>
  <c r="K146"/>
  <c r="J146"/>
  <c r="F146"/>
  <c r="L146" s="1"/>
  <c r="N145"/>
  <c r="K145"/>
  <c r="J145"/>
  <c r="F145"/>
  <c r="L145" s="1"/>
  <c r="N144"/>
  <c r="K144"/>
  <c r="L144" s="1"/>
  <c r="J144"/>
  <c r="F144"/>
  <c r="N143"/>
  <c r="K143"/>
  <c r="J143"/>
  <c r="F143"/>
  <c r="L143" s="1"/>
  <c r="N142"/>
  <c r="K142"/>
  <c r="J142"/>
  <c r="F142"/>
  <c r="L142" s="1"/>
  <c r="N141"/>
  <c r="K141"/>
  <c r="J141"/>
  <c r="F141"/>
  <c r="L141" s="1"/>
  <c r="N140"/>
  <c r="K140"/>
  <c r="L140" s="1"/>
  <c r="J140"/>
  <c r="F140"/>
  <c r="N139"/>
  <c r="K139"/>
  <c r="J139"/>
  <c r="F139"/>
  <c r="L139" s="1"/>
  <c r="N138"/>
  <c r="L138"/>
  <c r="K138"/>
  <c r="J138"/>
  <c r="N137"/>
  <c r="K137"/>
  <c r="J137"/>
  <c r="F137"/>
  <c r="L137" s="1"/>
  <c r="N136"/>
  <c r="K136"/>
  <c r="J136"/>
  <c r="F136"/>
  <c r="L136" s="1"/>
  <c r="N135"/>
  <c r="K135"/>
  <c r="L135" s="1"/>
  <c r="J135"/>
  <c r="F135"/>
  <c r="N134"/>
  <c r="K134"/>
  <c r="J134"/>
  <c r="F134"/>
  <c r="L134" s="1"/>
  <c r="N133"/>
  <c r="K133"/>
  <c r="J133"/>
  <c r="F133"/>
  <c r="L133" s="1"/>
  <c r="N132"/>
  <c r="K132"/>
  <c r="J132"/>
  <c r="F132"/>
  <c r="L132" s="1"/>
  <c r="N131"/>
  <c r="K131"/>
  <c r="L131" s="1"/>
  <c r="J131"/>
  <c r="F131"/>
  <c r="N130"/>
  <c r="L130"/>
  <c r="K130"/>
  <c r="J130"/>
  <c r="N129"/>
  <c r="K129"/>
  <c r="J129"/>
  <c r="F129"/>
  <c r="L129" s="1"/>
  <c r="N128"/>
  <c r="L128"/>
  <c r="K128"/>
  <c r="J128"/>
  <c r="N127"/>
  <c r="L127"/>
  <c r="K127"/>
  <c r="J127"/>
  <c r="N126"/>
  <c r="K126"/>
  <c r="J126"/>
  <c r="F126"/>
  <c r="L126" s="1"/>
  <c r="N125"/>
  <c r="K125"/>
  <c r="J125"/>
  <c r="F125"/>
  <c r="L125" s="1"/>
  <c r="N124"/>
  <c r="L124"/>
  <c r="K124"/>
  <c r="J124"/>
  <c r="F124"/>
  <c r="N123"/>
  <c r="L123"/>
  <c r="K123"/>
  <c r="J123"/>
  <c r="N122"/>
  <c r="K122"/>
  <c r="J122"/>
  <c r="F122"/>
  <c r="L122" s="1"/>
  <c r="N121"/>
  <c r="K121"/>
  <c r="J121"/>
  <c r="F121"/>
  <c r="L121" s="1"/>
  <c r="N120"/>
  <c r="K120"/>
  <c r="J120"/>
  <c r="F120"/>
  <c r="L120" s="1"/>
  <c r="N119"/>
  <c r="L119"/>
  <c r="K119"/>
  <c r="J119"/>
  <c r="N118"/>
  <c r="L118"/>
  <c r="K118"/>
  <c r="J118"/>
  <c r="F118"/>
  <c r="N117"/>
  <c r="K117"/>
  <c r="J117"/>
  <c r="F117"/>
  <c r="L117" s="1"/>
  <c r="N116"/>
  <c r="K116"/>
  <c r="J116"/>
  <c r="F116"/>
  <c r="L116" s="1"/>
  <c r="N115"/>
  <c r="K115"/>
  <c r="J115"/>
  <c r="F115"/>
  <c r="L115" s="1"/>
  <c r="N114"/>
  <c r="L114"/>
  <c r="K114"/>
  <c r="J114"/>
  <c r="N113"/>
  <c r="L113"/>
  <c r="K113"/>
  <c r="J113"/>
  <c r="F113"/>
  <c r="N112"/>
  <c r="K112"/>
  <c r="J112"/>
  <c r="F112"/>
  <c r="L112" s="1"/>
  <c r="N111"/>
  <c r="K111"/>
  <c r="J111"/>
  <c r="F111"/>
  <c r="L111" s="1"/>
  <c r="N110"/>
  <c r="K110"/>
  <c r="J110"/>
  <c r="F110"/>
  <c r="L110" s="1"/>
  <c r="N109"/>
  <c r="L109"/>
  <c r="K109"/>
  <c r="J109"/>
  <c r="F109"/>
  <c r="N108"/>
  <c r="K108"/>
  <c r="J108"/>
  <c r="F108"/>
  <c r="L108" s="1"/>
  <c r="N107"/>
  <c r="K107"/>
  <c r="J107"/>
  <c r="F107"/>
  <c r="L107" s="1"/>
  <c r="N106"/>
  <c r="K106"/>
  <c r="J106"/>
  <c r="F106"/>
  <c r="L106" s="1"/>
  <c r="N105"/>
  <c r="L105"/>
  <c r="K105"/>
  <c r="J105"/>
  <c r="F105"/>
  <c r="N104"/>
  <c r="K104"/>
  <c r="J104"/>
  <c r="F104"/>
  <c r="L104" s="1"/>
  <c r="N103"/>
  <c r="K103"/>
  <c r="J103"/>
  <c r="F103"/>
  <c r="L103" s="1"/>
  <c r="N102"/>
  <c r="K102"/>
  <c r="J102"/>
  <c r="F102"/>
  <c r="L102" s="1"/>
  <c r="N101"/>
  <c r="L101"/>
  <c r="K101"/>
  <c r="J101"/>
  <c r="F101"/>
  <c r="N100"/>
  <c r="L100"/>
  <c r="K100"/>
  <c r="J100"/>
  <c r="N99"/>
  <c r="K99"/>
  <c r="J99"/>
  <c r="F99"/>
  <c r="L99" s="1"/>
  <c r="N98"/>
  <c r="K98"/>
  <c r="J98"/>
  <c r="F98"/>
  <c r="L98" s="1"/>
  <c r="N97"/>
  <c r="K97"/>
  <c r="L97" s="1"/>
  <c r="J97"/>
  <c r="N96"/>
  <c r="K96"/>
  <c r="J96"/>
  <c r="F96"/>
  <c r="L96" s="1"/>
  <c r="N95"/>
  <c r="L95"/>
  <c r="K95"/>
  <c r="J95"/>
  <c r="F95"/>
  <c r="N94"/>
  <c r="K94"/>
  <c r="J94"/>
  <c r="F94"/>
  <c r="L94" s="1"/>
  <c r="N93"/>
  <c r="L93"/>
  <c r="K93"/>
  <c r="J93"/>
  <c r="N92"/>
  <c r="K92"/>
  <c r="J92"/>
  <c r="F92"/>
  <c r="L92" s="1"/>
  <c r="N91"/>
  <c r="L91"/>
  <c r="K91"/>
  <c r="J91"/>
  <c r="F91"/>
  <c r="N90"/>
  <c r="L90"/>
  <c r="K90"/>
  <c r="J90"/>
  <c r="F90"/>
  <c r="N89"/>
  <c r="K89"/>
  <c r="J89"/>
  <c r="F89"/>
  <c r="L89" s="1"/>
  <c r="N88"/>
  <c r="K88"/>
  <c r="J88"/>
  <c r="F88"/>
  <c r="L88" s="1"/>
  <c r="N87"/>
  <c r="K87"/>
  <c r="J87"/>
  <c r="F87"/>
  <c r="N86"/>
  <c r="K86"/>
  <c r="J86"/>
  <c r="F86"/>
  <c r="L86" s="1"/>
  <c r="N85"/>
  <c r="L85"/>
  <c r="K85"/>
  <c r="J85"/>
  <c r="F85"/>
  <c r="N84"/>
  <c r="K84"/>
  <c r="J84"/>
  <c r="F84"/>
  <c r="L84" s="1"/>
  <c r="N83"/>
  <c r="K83"/>
  <c r="J83"/>
  <c r="F83"/>
  <c r="L83" s="1"/>
  <c r="N82"/>
  <c r="K82"/>
  <c r="J82"/>
  <c r="F82"/>
  <c r="L82" s="1"/>
  <c r="N81"/>
  <c r="L81"/>
  <c r="K81"/>
  <c r="J81"/>
  <c r="F81"/>
  <c r="N80"/>
  <c r="K80"/>
  <c r="J80"/>
  <c r="F80"/>
  <c r="L80" s="1"/>
  <c r="L87" l="1"/>
  <c r="N79"/>
  <c r="K79"/>
  <c r="J79"/>
  <c r="F79"/>
  <c r="L79" s="1"/>
  <c r="N78"/>
  <c r="K78"/>
  <c r="J78"/>
  <c r="F78"/>
  <c r="L78" s="1"/>
  <c r="N77"/>
  <c r="K77"/>
  <c r="J77"/>
  <c r="F77"/>
  <c r="L77" s="1"/>
  <c r="N76"/>
  <c r="K76"/>
  <c r="L76" s="1"/>
  <c r="J76"/>
  <c r="N75"/>
  <c r="K75"/>
  <c r="L75" s="1"/>
  <c r="J75"/>
  <c r="N74"/>
  <c r="K74"/>
  <c r="L74" s="1"/>
  <c r="J74"/>
  <c r="N73"/>
  <c r="K73"/>
  <c r="L73" s="1"/>
  <c r="J73"/>
  <c r="N72"/>
  <c r="K72"/>
  <c r="L72" s="1"/>
  <c r="J72"/>
  <c r="N71"/>
  <c r="K71"/>
  <c r="L71" s="1"/>
  <c r="J71"/>
  <c r="N70"/>
  <c r="K70"/>
  <c r="L70" s="1"/>
  <c r="J70"/>
  <c r="F70"/>
  <c r="N69"/>
  <c r="L69"/>
  <c r="K69"/>
  <c r="J69"/>
  <c r="F69"/>
  <c r="N68"/>
  <c r="K68"/>
  <c r="J68"/>
  <c r="F68"/>
  <c r="L68" s="1"/>
  <c r="N67"/>
  <c r="K67"/>
  <c r="J67"/>
  <c r="F67"/>
  <c r="L67" s="1"/>
  <c r="N66"/>
  <c r="K66"/>
  <c r="L66" s="1"/>
  <c r="J66"/>
  <c r="N65"/>
  <c r="K65"/>
  <c r="L65" s="1"/>
  <c r="J65"/>
  <c r="F65"/>
  <c r="N64"/>
  <c r="L64"/>
  <c r="K64"/>
  <c r="J64"/>
  <c r="F64"/>
  <c r="N63"/>
  <c r="K63"/>
  <c r="J63"/>
  <c r="F63"/>
  <c r="L63" s="1"/>
  <c r="N62"/>
  <c r="K62"/>
  <c r="L62" s="1"/>
  <c r="J62"/>
  <c r="N61"/>
  <c r="K61"/>
  <c r="L61" s="1"/>
  <c r="J61"/>
  <c r="N60"/>
  <c r="K60"/>
  <c r="L60" s="1"/>
  <c r="J60"/>
  <c r="N59"/>
  <c r="K59"/>
  <c r="L59" s="1"/>
  <c r="J59"/>
  <c r="N58"/>
  <c r="K58"/>
  <c r="L58" s="1"/>
  <c r="J58"/>
  <c r="N57"/>
  <c r="K57"/>
  <c r="L57" s="1"/>
  <c r="J57"/>
  <c r="N56"/>
  <c r="K56"/>
  <c r="L56" s="1"/>
  <c r="J56"/>
  <c r="N55"/>
  <c r="K55"/>
  <c r="L55" s="1"/>
  <c r="J55"/>
  <c r="N54"/>
  <c r="K54"/>
  <c r="L54" s="1"/>
  <c r="J54"/>
  <c r="N53"/>
  <c r="K53"/>
  <c r="L53" s="1"/>
  <c r="J53"/>
  <c r="N52"/>
  <c r="K52"/>
  <c r="L52" s="1"/>
  <c r="J52"/>
  <c r="N51"/>
  <c r="K51"/>
  <c r="L51" s="1"/>
  <c r="J51"/>
  <c r="N50"/>
  <c r="K50"/>
  <c r="J50"/>
  <c r="F50"/>
  <c r="L50" s="1"/>
  <c r="N49"/>
  <c r="K49"/>
  <c r="L49" s="1"/>
  <c r="J49"/>
  <c r="F49"/>
  <c r="N48"/>
  <c r="K48"/>
  <c r="L48" s="1"/>
  <c r="J48"/>
  <c r="F48"/>
  <c r="N47"/>
  <c r="L47"/>
  <c r="K47"/>
  <c r="J47"/>
  <c r="N46"/>
  <c r="L46"/>
  <c r="K46"/>
  <c r="J46"/>
  <c r="F46"/>
  <c r="N45"/>
  <c r="K45"/>
  <c r="J45"/>
  <c r="F45"/>
  <c r="L45" s="1"/>
  <c r="N44"/>
  <c r="K44" l="1"/>
  <c r="J44"/>
  <c r="F44"/>
  <c r="L44" s="1"/>
  <c r="N43"/>
  <c r="K43"/>
  <c r="J43"/>
  <c r="F43"/>
  <c r="L43" s="1"/>
  <c r="N42"/>
  <c r="K42"/>
  <c r="J42"/>
  <c r="F42"/>
  <c r="L42" s="1"/>
  <c r="N41"/>
  <c r="L41"/>
  <c r="K41"/>
  <c r="J41"/>
  <c r="F41"/>
  <c r="N40"/>
  <c r="K40"/>
  <c r="J40"/>
  <c r="F40"/>
  <c r="L40" s="1"/>
  <c r="N39"/>
  <c r="K39"/>
  <c r="L39" s="1"/>
  <c r="J39"/>
  <c r="F39"/>
  <c r="N38"/>
  <c r="K38"/>
  <c r="J38"/>
  <c r="F38"/>
  <c r="N37"/>
  <c r="K37"/>
  <c r="J37"/>
  <c r="F37"/>
  <c r="L37" s="1"/>
  <c r="N36"/>
  <c r="L36"/>
  <c r="K36"/>
  <c r="J36"/>
  <c r="F36"/>
  <c r="N35"/>
  <c r="K35"/>
  <c r="L35" s="1"/>
  <c r="J35"/>
  <c r="N34"/>
  <c r="K34"/>
  <c r="J34"/>
  <c r="F34"/>
  <c r="L34" s="1"/>
  <c r="N33"/>
  <c r="K33"/>
  <c r="L33" s="1"/>
  <c r="J33"/>
  <c r="F33"/>
  <c r="N32"/>
  <c r="K32"/>
  <c r="J32"/>
  <c r="F32"/>
  <c r="L32" s="1"/>
  <c r="N31"/>
  <c r="L31"/>
  <c r="K31"/>
  <c r="J31"/>
  <c r="F31"/>
  <c r="N30"/>
  <c r="K30"/>
  <c r="J30"/>
  <c r="F30"/>
  <c r="L30" s="1"/>
  <c r="N29"/>
  <c r="K29"/>
  <c r="L29" s="1"/>
  <c r="J29"/>
  <c r="N28"/>
  <c r="K28"/>
  <c r="L28" s="1"/>
  <c r="J28"/>
  <c r="F28"/>
  <c r="N27"/>
  <c r="K27"/>
  <c r="J27"/>
  <c r="F27"/>
  <c r="L27" s="1"/>
  <c r="N26"/>
  <c r="L26"/>
  <c r="K26"/>
  <c r="J26"/>
  <c r="F26"/>
  <c r="N25"/>
  <c r="K25"/>
  <c r="J25"/>
  <c r="F25"/>
  <c r="L25" s="1"/>
  <c r="N24"/>
  <c r="K24"/>
  <c r="J24"/>
  <c r="F24"/>
  <c r="N23"/>
  <c r="K23"/>
  <c r="J23"/>
  <c r="F23"/>
  <c r="L23" s="1"/>
  <c r="N22"/>
  <c r="K22"/>
  <c r="L22" s="1"/>
  <c r="J22"/>
  <c r="F22"/>
  <c r="N21"/>
  <c r="L21"/>
  <c r="K21"/>
  <c r="J21"/>
  <c r="F21"/>
  <c r="N20"/>
  <c r="K20"/>
  <c r="J20"/>
  <c r="F20"/>
  <c r="L20" s="1"/>
  <c r="N19"/>
  <c r="K19"/>
  <c r="J19"/>
  <c r="F19"/>
  <c r="L19" s="1"/>
  <c r="N18"/>
  <c r="K18"/>
  <c r="L18" s="1"/>
  <c r="J18"/>
  <c r="F18"/>
  <c r="N17"/>
  <c r="L17"/>
  <c r="K17"/>
  <c r="J17"/>
  <c r="F17"/>
  <c r="N16"/>
  <c r="K16"/>
  <c r="J16"/>
  <c r="F16"/>
  <c r="L16" s="1"/>
  <c r="N15"/>
  <c r="K15"/>
  <c r="J15"/>
  <c r="F15"/>
  <c r="L15" s="1"/>
  <c r="N14"/>
  <c r="K14"/>
  <c r="L14" s="1"/>
  <c r="J14"/>
  <c r="F14"/>
  <c r="N13"/>
  <c r="L13"/>
  <c r="K13"/>
  <c r="J13"/>
  <c r="F13"/>
  <c r="N12"/>
  <c r="K12"/>
  <c r="J12"/>
  <c r="F12"/>
  <c r="L12" s="1"/>
  <c r="N11"/>
  <c r="K11"/>
  <c r="J11"/>
  <c r="F11"/>
  <c r="L11" s="1"/>
  <c r="N10"/>
  <c r="K10"/>
  <c r="L10" s="1"/>
  <c r="J10"/>
  <c r="F10"/>
  <c r="N9"/>
  <c r="L9"/>
  <c r="K9"/>
  <c r="J9"/>
  <c r="F9"/>
  <c r="N8"/>
  <c r="K8"/>
  <c r="J8"/>
  <c r="F8"/>
  <c r="L8" s="1"/>
  <c r="N7"/>
  <c r="K7"/>
  <c r="J7"/>
  <c r="F7"/>
  <c r="L7" s="1"/>
  <c r="N6"/>
  <c r="K6"/>
  <c r="L6" s="1"/>
  <c r="J6"/>
  <c r="F6"/>
  <c r="N277" i="22"/>
  <c r="L277"/>
  <c r="K277"/>
  <c r="J277"/>
  <c r="F277"/>
  <c r="N276"/>
  <c r="K276"/>
  <c r="J276"/>
  <c r="F276"/>
  <c r="L276" s="1"/>
  <c r="N268"/>
  <c r="K268"/>
  <c r="J268"/>
  <c r="F268"/>
  <c r="L268" s="1"/>
  <c r="N267"/>
  <c r="K267"/>
  <c r="J267"/>
  <c r="F267"/>
  <c r="L267" s="1"/>
  <c r="N266"/>
  <c r="L266"/>
  <c r="K266"/>
  <c r="J266"/>
  <c r="F266"/>
  <c r="N265"/>
  <c r="K265"/>
  <c r="J265"/>
  <c r="F265"/>
  <c r="L265" s="1"/>
  <c r="N264"/>
  <c r="L264"/>
  <c r="K264"/>
  <c r="J264"/>
  <c r="F264"/>
  <c r="N263"/>
  <c r="L263" s="1"/>
  <c r="K263"/>
  <c r="J263"/>
  <c r="N262"/>
  <c r="L262"/>
  <c r="K262"/>
  <c r="J262"/>
  <c r="F262"/>
  <c r="N261"/>
  <c r="K261"/>
  <c r="J261"/>
  <c r="F261"/>
  <c r="L261" s="1"/>
  <c r="N260"/>
  <c r="L260"/>
  <c r="K260"/>
  <c r="J260"/>
  <c r="F260"/>
  <c r="N259"/>
  <c r="L259" s="1"/>
  <c r="K259"/>
  <c r="J259"/>
  <c r="N258"/>
  <c r="L258"/>
  <c r="K258"/>
  <c r="J258"/>
  <c r="F258"/>
  <c r="N257"/>
  <c r="K257"/>
  <c r="J257"/>
  <c r="F257"/>
  <c r="L257" s="1"/>
  <c r="N256"/>
  <c r="L256"/>
  <c r="K256"/>
  <c r="J256"/>
  <c r="F256"/>
  <c r="N255"/>
  <c r="L255" s="1"/>
  <c r="K255"/>
  <c r="J255"/>
  <c r="N254"/>
  <c r="L254"/>
  <c r="K254"/>
  <c r="J254"/>
  <c r="F254"/>
  <c r="N253"/>
  <c r="K253"/>
  <c r="J253"/>
  <c r="F253"/>
  <c r="L253" s="1"/>
  <c r="N252"/>
  <c r="L252"/>
  <c r="K252"/>
  <c r="J252"/>
  <c r="F252"/>
  <c r="N251"/>
  <c r="K251"/>
  <c r="J251"/>
  <c r="F251"/>
  <c r="L251" s="1"/>
  <c r="N250"/>
  <c r="L250"/>
  <c r="K250"/>
  <c r="J250"/>
  <c r="F250"/>
  <c r="N249"/>
  <c r="K249"/>
  <c r="F249"/>
  <c r="L249" s="1"/>
  <c r="N248"/>
  <c r="K248"/>
  <c r="F248"/>
  <c r="L248" s="1"/>
  <c r="N247"/>
  <c r="K247"/>
  <c r="F247"/>
  <c r="L247" s="1"/>
  <c r="N246"/>
  <c r="K246"/>
  <c r="F246"/>
  <c r="L246" s="1"/>
  <c r="L38" i="23" l="1"/>
  <c r="L24"/>
  <c r="H243" i="22"/>
  <c r="E243"/>
  <c r="D243"/>
  <c r="K241"/>
  <c r="J241"/>
  <c r="F241"/>
  <c r="L240" s="1"/>
  <c r="K240"/>
  <c r="J240"/>
  <c r="K237"/>
  <c r="J237"/>
  <c r="F237"/>
  <c r="F243" s="1"/>
  <c r="K232"/>
  <c r="K243" s="1"/>
  <c r="J232"/>
  <c r="N227"/>
  <c r="K227"/>
  <c r="J227"/>
  <c r="F227"/>
  <c r="L227" s="1"/>
  <c r="N226"/>
  <c r="K226"/>
  <c r="J226"/>
  <c r="N225"/>
  <c r="K225"/>
  <c r="J225"/>
  <c r="F225"/>
  <c r="L225" s="1"/>
  <c r="N224"/>
  <c r="L224"/>
  <c r="K224"/>
  <c r="J224"/>
  <c r="F224"/>
  <c r="N223"/>
  <c r="K223"/>
  <c r="J223"/>
  <c r="F223"/>
  <c r="L223" s="1"/>
  <c r="N222"/>
  <c r="K222"/>
  <c r="L222" s="1"/>
  <c r="J222"/>
  <c r="F222"/>
  <c r="N221"/>
  <c r="K221"/>
  <c r="J221"/>
  <c r="F221"/>
  <c r="L221" s="1"/>
  <c r="N216"/>
  <c r="L216"/>
  <c r="K216"/>
  <c r="J216"/>
  <c r="F216"/>
  <c r="N215"/>
  <c r="K215"/>
  <c r="J215"/>
  <c r="F215"/>
  <c r="L215" s="1"/>
  <c r="N212"/>
  <c r="K212"/>
  <c r="L212" s="1"/>
  <c r="J212"/>
  <c r="F212"/>
  <c r="N209"/>
  <c r="L209" s="1"/>
  <c r="K209"/>
  <c r="J209"/>
  <c r="N208"/>
  <c r="L208"/>
  <c r="K208"/>
  <c r="J208"/>
  <c r="F208"/>
  <c r="N207"/>
  <c r="K207"/>
  <c r="J207"/>
  <c r="F207"/>
  <c r="L207" s="1"/>
  <c r="N206"/>
  <c r="L206"/>
  <c r="K206"/>
  <c r="J206"/>
  <c r="F206"/>
  <c r="N205"/>
  <c r="K205"/>
  <c r="J205"/>
  <c r="F205"/>
  <c r="L205" s="1"/>
  <c r="N204"/>
  <c r="L204"/>
  <c r="K204"/>
  <c r="J204"/>
  <c r="F204"/>
  <c r="N203"/>
  <c r="K203"/>
  <c r="J203"/>
  <c r="F203"/>
  <c r="L203" s="1"/>
  <c r="N202"/>
  <c r="K202"/>
  <c r="J202"/>
  <c r="N201"/>
  <c r="K201"/>
  <c r="J201"/>
  <c r="F201"/>
  <c r="L201" s="1"/>
  <c r="N200"/>
  <c r="L200"/>
  <c r="K200"/>
  <c r="J200"/>
  <c r="F200"/>
  <c r="N199"/>
  <c r="K199"/>
  <c r="J199"/>
  <c r="F199"/>
  <c r="L199" s="1"/>
  <c r="N198"/>
  <c r="L198"/>
  <c r="K198"/>
  <c r="J198"/>
  <c r="F198"/>
  <c r="N197"/>
  <c r="K197"/>
  <c r="J197"/>
  <c r="F197"/>
  <c r="L197" s="1"/>
  <c r="H192"/>
  <c r="H244" s="1"/>
  <c r="N191"/>
  <c r="K191"/>
  <c r="L191" s="1"/>
  <c r="J191"/>
  <c r="N190"/>
  <c r="K190"/>
  <c r="J190"/>
  <c r="F190"/>
  <c r="L190" s="1"/>
  <c r="N189"/>
  <c r="K189"/>
  <c r="L189" s="1"/>
  <c r="J189"/>
  <c r="N188"/>
  <c r="K188"/>
  <c r="L188" s="1"/>
  <c r="J188"/>
  <c r="F188"/>
  <c r="N187"/>
  <c r="K187"/>
  <c r="L187" s="1"/>
  <c r="J187"/>
  <c r="F187"/>
  <c r="N186"/>
  <c r="L186"/>
  <c r="K186"/>
  <c r="J186"/>
  <c r="F186"/>
  <c r="N185"/>
  <c r="K185"/>
  <c r="J185"/>
  <c r="F185"/>
  <c r="L185" s="1"/>
  <c r="N184"/>
  <c r="K184"/>
  <c r="L184" s="1"/>
  <c r="J184"/>
  <c r="N183"/>
  <c r="K183"/>
  <c r="L183" s="1"/>
  <c r="J183"/>
  <c r="F183"/>
  <c r="N182"/>
  <c r="K182"/>
  <c r="L182" s="1"/>
  <c r="J182"/>
  <c r="F182"/>
  <c r="N181"/>
  <c r="L181"/>
  <c r="K181"/>
  <c r="J181"/>
  <c r="F181"/>
  <c r="N180"/>
  <c r="K180"/>
  <c r="J180"/>
  <c r="F180"/>
  <c r="L180" s="1"/>
  <c r="N179"/>
  <c r="K179"/>
  <c r="L179" s="1"/>
  <c r="J179"/>
  <c r="F179"/>
  <c r="N178"/>
  <c r="K178"/>
  <c r="L178" s="1"/>
  <c r="J178"/>
  <c r="N177"/>
  <c r="K177"/>
  <c r="L177" s="1"/>
  <c r="J177"/>
  <c r="F177"/>
  <c r="N176"/>
  <c r="L176"/>
  <c r="K176"/>
  <c r="J176"/>
  <c r="F176"/>
  <c r="N175"/>
  <c r="K175"/>
  <c r="J175"/>
  <c r="F175"/>
  <c r="L175" s="1"/>
  <c r="N174"/>
  <c r="K174"/>
  <c r="L174" s="1"/>
  <c r="J174"/>
  <c r="N173"/>
  <c r="K173"/>
  <c r="J173"/>
  <c r="F173"/>
  <c r="L173" s="1"/>
  <c r="N172"/>
  <c r="K172"/>
  <c r="L172" s="1"/>
  <c r="J172"/>
  <c r="F172"/>
  <c r="N171"/>
  <c r="L171"/>
  <c r="K171"/>
  <c r="J171"/>
  <c r="F171"/>
  <c r="N170"/>
  <c r="K170"/>
  <c r="J170"/>
  <c r="F170"/>
  <c r="L170" s="1"/>
  <c r="N169"/>
  <c r="K169"/>
  <c r="J169"/>
  <c r="F169"/>
  <c r="L169" s="1"/>
  <c r="N168"/>
  <c r="K168"/>
  <c r="L168" s="1"/>
  <c r="J168"/>
  <c r="F168"/>
  <c r="N167"/>
  <c r="L167"/>
  <c r="K167"/>
  <c r="J167"/>
  <c r="F167"/>
  <c r="N166"/>
  <c r="K166"/>
  <c r="J166"/>
  <c r="F166"/>
  <c r="L166" s="1"/>
  <c r="N165"/>
  <c r="K165"/>
  <c r="J165"/>
  <c r="F165"/>
  <c r="L165" s="1"/>
  <c r="N164"/>
  <c r="K164"/>
  <c r="L164" s="1"/>
  <c r="J164"/>
  <c r="F164"/>
  <c r="N163"/>
  <c r="L163"/>
  <c r="K163"/>
  <c r="J163"/>
  <c r="F163"/>
  <c r="N162"/>
  <c r="K162"/>
  <c r="J162"/>
  <c r="F162"/>
  <c r="L162" s="1"/>
  <c r="N161"/>
  <c r="K161"/>
  <c r="L161" s="1"/>
  <c r="J161"/>
  <c r="F161"/>
  <c r="N160"/>
  <c r="K160"/>
  <c r="L160" s="1"/>
  <c r="J160"/>
  <c r="F160"/>
  <c r="N159"/>
  <c r="L159"/>
  <c r="K159"/>
  <c r="J159"/>
  <c r="F159"/>
  <c r="N158"/>
  <c r="K158"/>
  <c r="J158"/>
  <c r="F158"/>
  <c r="L158" s="1"/>
  <c r="N157"/>
  <c r="K157"/>
  <c r="L157" s="1"/>
  <c r="J157"/>
  <c r="N156"/>
  <c r="K156"/>
  <c r="L156" s="1"/>
  <c r="J156"/>
  <c r="F156"/>
  <c r="N155"/>
  <c r="K155"/>
  <c r="L155" s="1"/>
  <c r="J155"/>
  <c r="F155"/>
  <c r="N154"/>
  <c r="L154"/>
  <c r="K154"/>
  <c r="J154"/>
  <c r="F154"/>
  <c r="N153"/>
  <c r="K153"/>
  <c r="J153"/>
  <c r="F153"/>
  <c r="L153" s="1"/>
  <c r="N152"/>
  <c r="K152"/>
  <c r="L152" s="1"/>
  <c r="J152"/>
  <c r="N151"/>
  <c r="K151"/>
  <c r="L151" s="1"/>
  <c r="J151"/>
  <c r="F151"/>
  <c r="N150"/>
  <c r="K150"/>
  <c r="L150" s="1"/>
  <c r="J150"/>
  <c r="N149"/>
  <c r="K149"/>
  <c r="L149" s="1"/>
  <c r="J149"/>
  <c r="F149"/>
  <c r="N148"/>
  <c r="L148"/>
  <c r="K148"/>
  <c r="J148"/>
  <c r="N147"/>
  <c r="L147"/>
  <c r="K147"/>
  <c r="J147"/>
  <c r="F147"/>
  <c r="N146"/>
  <c r="K146"/>
  <c r="L146" s="1"/>
  <c r="J146"/>
  <c r="N145"/>
  <c r="K145"/>
  <c r="J145"/>
  <c r="F145"/>
  <c r="L145" s="1"/>
  <c r="N144"/>
  <c r="K144"/>
  <c r="L144" s="1"/>
  <c r="J144"/>
  <c r="N143"/>
  <c r="K143"/>
  <c r="L143" s="1"/>
  <c r="J143"/>
  <c r="F143"/>
  <c r="N142"/>
  <c r="K142"/>
  <c r="L142" s="1"/>
  <c r="J142"/>
  <c r="F142"/>
  <c r="N141"/>
  <c r="L141"/>
  <c r="K141"/>
  <c r="J141"/>
  <c r="N140"/>
  <c r="L140"/>
  <c r="K140"/>
  <c r="J140"/>
  <c r="F140"/>
  <c r="N139"/>
  <c r="K139"/>
  <c r="J139"/>
  <c r="F139"/>
  <c r="L139" s="1"/>
  <c r="N138"/>
  <c r="K138"/>
  <c r="L138" s="1"/>
  <c r="J138"/>
  <c r="F138"/>
  <c r="N137"/>
  <c r="K137"/>
  <c r="L137" s="1"/>
  <c r="J137"/>
  <c r="N136"/>
  <c r="K136"/>
  <c r="L136" s="1"/>
  <c r="J136"/>
  <c r="F136"/>
  <c r="N135"/>
  <c r="L135"/>
  <c r="K135"/>
  <c r="J135"/>
  <c r="N134"/>
  <c r="L134"/>
  <c r="K134"/>
  <c r="J134"/>
  <c r="F134"/>
  <c r="N133"/>
  <c r="K133"/>
  <c r="J133"/>
  <c r="F133"/>
  <c r="L133" s="1"/>
  <c r="N132"/>
  <c r="K132"/>
  <c r="L132" s="1"/>
  <c r="J132"/>
  <c r="F132"/>
  <c r="N131"/>
  <c r="K131"/>
  <c r="L131" s="1"/>
  <c r="J131"/>
  <c r="N130"/>
  <c r="K130"/>
  <c r="L130" s="1"/>
  <c r="J130"/>
  <c r="N129"/>
  <c r="K129"/>
  <c r="L129" s="1"/>
  <c r="J129"/>
  <c r="F129"/>
  <c r="N128"/>
  <c r="L128"/>
  <c r="K128"/>
  <c r="J128"/>
  <c r="N127"/>
  <c r="L127"/>
  <c r="K127"/>
  <c r="J127"/>
  <c r="F127"/>
  <c r="N126"/>
  <c r="K126"/>
  <c r="J126"/>
  <c r="F126"/>
  <c r="L126" s="1"/>
  <c r="N125"/>
  <c r="K125"/>
  <c r="L125" s="1"/>
  <c r="J125"/>
  <c r="F125"/>
  <c r="N124"/>
  <c r="K124"/>
  <c r="L124" s="1"/>
  <c r="J124"/>
  <c r="F124"/>
  <c r="N123"/>
  <c r="L123"/>
  <c r="K123"/>
  <c r="J123"/>
  <c r="F123"/>
  <c r="N122"/>
  <c r="K122"/>
  <c r="L122" s="1"/>
  <c r="J122"/>
  <c r="N121"/>
  <c r="K121"/>
  <c r="J121"/>
  <c r="F121"/>
  <c r="L121" s="1"/>
  <c r="N120"/>
  <c r="K120"/>
  <c r="L120" s="1"/>
  <c r="J120"/>
  <c r="F120"/>
  <c r="N119"/>
  <c r="K119"/>
  <c r="L119" s="1"/>
  <c r="J119"/>
  <c r="N118"/>
  <c r="K118"/>
  <c r="L118" s="1"/>
  <c r="J118"/>
  <c r="N117"/>
  <c r="K117"/>
  <c r="L117" s="1"/>
  <c r="J117"/>
  <c r="F117"/>
  <c r="N116"/>
  <c r="L116"/>
  <c r="K116"/>
  <c r="J116"/>
  <c r="F116"/>
  <c r="N115"/>
  <c r="K115"/>
  <c r="L115" s="1"/>
  <c r="J115"/>
  <c r="N114"/>
  <c r="K114"/>
  <c r="J114"/>
  <c r="F114"/>
  <c r="L114" s="1"/>
  <c r="N113"/>
  <c r="K113"/>
  <c r="L113" s="1"/>
  <c r="J113"/>
  <c r="F113"/>
  <c r="N112"/>
  <c r="K112"/>
  <c r="L112" s="1"/>
  <c r="J112"/>
  <c r="F112"/>
  <c r="N111"/>
  <c r="L111"/>
  <c r="K111"/>
  <c r="J111"/>
  <c r="N110"/>
  <c r="L110"/>
  <c r="K110"/>
  <c r="J110"/>
  <c r="F110"/>
  <c r="N109"/>
  <c r="K109"/>
  <c r="J109"/>
  <c r="F109"/>
  <c r="L109" s="1"/>
  <c r="N108"/>
  <c r="K108"/>
  <c r="L108" s="1"/>
  <c r="J108"/>
  <c r="F108"/>
  <c r="N107"/>
  <c r="K107"/>
  <c r="L107" s="1"/>
  <c r="J107"/>
  <c r="F107"/>
  <c r="N106"/>
  <c r="L106"/>
  <c r="K106"/>
  <c r="J106"/>
  <c r="F106"/>
  <c r="N105"/>
  <c r="K105"/>
  <c r="J105"/>
  <c r="F105"/>
  <c r="L105" s="1"/>
  <c r="N104"/>
  <c r="K104"/>
  <c r="L104" s="1"/>
  <c r="J104"/>
  <c r="F104"/>
  <c r="N103"/>
  <c r="K103"/>
  <c r="L103" s="1"/>
  <c r="J103"/>
  <c r="F103"/>
  <c r="N102"/>
  <c r="L102"/>
  <c r="K102"/>
  <c r="J102"/>
  <c r="F102"/>
  <c r="N101"/>
  <c r="K101"/>
  <c r="L101" s="1"/>
  <c r="J101"/>
  <c r="N100"/>
  <c r="K100"/>
  <c r="J100"/>
  <c r="F100"/>
  <c r="L100" s="1"/>
  <c r="N99"/>
  <c r="K99"/>
  <c r="L99" s="1"/>
  <c r="J99"/>
  <c r="N98"/>
  <c r="K98"/>
  <c r="L98" s="1"/>
  <c r="J98"/>
  <c r="F98"/>
  <c r="N97"/>
  <c r="K97"/>
  <c r="L97" s="1"/>
  <c r="J97"/>
  <c r="F97"/>
  <c r="N96"/>
  <c r="L96"/>
  <c r="K96"/>
  <c r="J96"/>
  <c r="N95"/>
  <c r="L95"/>
  <c r="K95"/>
  <c r="J95"/>
  <c r="F95"/>
  <c r="N94"/>
  <c r="K94"/>
  <c r="J94"/>
  <c r="F94"/>
  <c r="L94" s="1"/>
  <c r="N93"/>
  <c r="K93"/>
  <c r="L93" s="1"/>
  <c r="J93"/>
  <c r="F93"/>
  <c r="N92"/>
  <c r="K92"/>
  <c r="L92" s="1"/>
  <c r="J92"/>
  <c r="N91"/>
  <c r="K91"/>
  <c r="L91" s="1"/>
  <c r="J91"/>
  <c r="F91"/>
  <c r="N90"/>
  <c r="L90"/>
  <c r="K90"/>
  <c r="J90"/>
  <c r="F90"/>
  <c r="N89"/>
  <c r="K89"/>
  <c r="J89"/>
  <c r="F89"/>
  <c r="L89" s="1"/>
  <c r="N88"/>
  <c r="K88"/>
  <c r="L88" s="1"/>
  <c r="J88"/>
  <c r="N87"/>
  <c r="K87"/>
  <c r="L87" s="1"/>
  <c r="J87"/>
  <c r="F87"/>
  <c r="N86"/>
  <c r="K86"/>
  <c r="L86" s="1"/>
  <c r="J86"/>
  <c r="F86"/>
  <c r="N85"/>
  <c r="L85"/>
  <c r="K85"/>
  <c r="J85"/>
  <c r="F85"/>
  <c r="N84"/>
  <c r="K84"/>
  <c r="J84"/>
  <c r="F84"/>
  <c r="L84" s="1"/>
  <c r="N83"/>
  <c r="K83"/>
  <c r="L83" s="1"/>
  <c r="J83"/>
  <c r="F83"/>
  <c r="N82"/>
  <c r="F82"/>
  <c r="N81"/>
  <c r="K81"/>
  <c r="J81"/>
  <c r="F81"/>
  <c r="L81" s="1"/>
  <c r="N80"/>
  <c r="K80"/>
  <c r="L80" s="1"/>
  <c r="J80"/>
  <c r="F80"/>
  <c r="N79"/>
  <c r="K79"/>
  <c r="L79" s="1"/>
  <c r="J79"/>
  <c r="F79"/>
  <c r="N78"/>
  <c r="L78"/>
  <c r="K78"/>
  <c r="J78"/>
  <c r="F78"/>
  <c r="N77"/>
  <c r="K77"/>
  <c r="J77"/>
  <c r="F77"/>
  <c r="L77" s="1"/>
  <c r="N76"/>
  <c r="F76"/>
  <c r="N75"/>
  <c r="L75"/>
  <c r="K75"/>
  <c r="J75"/>
  <c r="F75"/>
  <c r="N74"/>
  <c r="K74"/>
  <c r="J74"/>
  <c r="F74"/>
  <c r="L74" s="1"/>
  <c r="N73"/>
  <c r="K73"/>
  <c r="L73" s="1"/>
  <c r="J73"/>
  <c r="N72"/>
  <c r="K72"/>
  <c r="L72" s="1"/>
  <c r="J72"/>
  <c r="F72"/>
  <c r="N71"/>
  <c r="K71"/>
  <c r="L71" s="1"/>
  <c r="J71"/>
  <c r="F71"/>
  <c r="N70"/>
  <c r="L70"/>
  <c r="K70"/>
  <c r="J70"/>
  <c r="F70"/>
  <c r="N69"/>
  <c r="K69"/>
  <c r="J69"/>
  <c r="F69"/>
  <c r="L69" s="1"/>
  <c r="N68"/>
  <c r="K68"/>
  <c r="L68" s="1"/>
  <c r="J68"/>
  <c r="N67"/>
  <c r="K67"/>
  <c r="L67" s="1"/>
  <c r="J67"/>
  <c r="F67"/>
  <c r="N66"/>
  <c r="K66"/>
  <c r="L66" s="1"/>
  <c r="J66"/>
  <c r="F66"/>
  <c r="N65"/>
  <c r="L65"/>
  <c r="K65"/>
  <c r="J65"/>
  <c r="F65"/>
  <c r="N64"/>
  <c r="K64"/>
  <c r="J64"/>
  <c r="F64"/>
  <c r="L64" s="1"/>
  <c r="N63"/>
  <c r="K63"/>
  <c r="L63" s="1"/>
  <c r="J63"/>
  <c r="F63"/>
  <c r="N62"/>
  <c r="K62"/>
  <c r="L62" s="1"/>
  <c r="J62"/>
  <c r="F62"/>
  <c r="N61"/>
  <c r="L202" l="1"/>
  <c r="L226"/>
  <c r="L232"/>
  <c r="L237"/>
  <c r="L241"/>
  <c r="K61"/>
  <c r="J61"/>
  <c r="F61"/>
  <c r="L61" s="1"/>
  <c r="N60"/>
  <c r="L60"/>
  <c r="K60"/>
  <c r="J60"/>
  <c r="F60"/>
  <c r="N59"/>
  <c r="K59"/>
  <c r="J59"/>
  <c r="F59"/>
  <c r="L59" s="1"/>
  <c r="N58"/>
  <c r="K58"/>
  <c r="J58"/>
  <c r="F58"/>
  <c r="L58" s="1"/>
  <c r="N57"/>
  <c r="K57"/>
  <c r="L57" s="1"/>
  <c r="J57"/>
  <c r="N56"/>
  <c r="K56"/>
  <c r="L56" s="1"/>
  <c r="J56"/>
  <c r="F56"/>
  <c r="N55"/>
  <c r="L55"/>
  <c r="K55"/>
  <c r="J55"/>
  <c r="F55"/>
  <c r="N54"/>
  <c r="K54"/>
  <c r="J54"/>
  <c r="F54"/>
  <c r="L54" s="1"/>
  <c r="N53"/>
  <c r="L53" s="1"/>
  <c r="J53"/>
  <c r="F53"/>
  <c r="N52"/>
  <c r="L52"/>
  <c r="K52"/>
  <c r="N51"/>
  <c r="K51"/>
  <c r="L51" s="1"/>
  <c r="J51"/>
  <c r="N50"/>
  <c r="K50"/>
  <c r="L50" s="1"/>
  <c r="J50"/>
  <c r="F50"/>
  <c r="N49"/>
  <c r="K49"/>
  <c r="J49"/>
  <c r="F49"/>
  <c r="L49" s="1"/>
  <c r="N48"/>
  <c r="K48"/>
  <c r="L48" s="1"/>
  <c r="J48"/>
  <c r="N47"/>
  <c r="K47"/>
  <c r="J47"/>
  <c r="F47"/>
  <c r="L47" s="1"/>
  <c r="N46"/>
  <c r="K46"/>
  <c r="L46" s="1"/>
  <c r="J46"/>
  <c r="F46"/>
  <c r="N45"/>
  <c r="K45"/>
  <c r="L45" s="1"/>
  <c r="J45"/>
  <c r="F45"/>
  <c r="N44"/>
  <c r="K44"/>
  <c r="J44"/>
  <c r="F44"/>
  <c r="L44" s="1"/>
  <c r="N43"/>
  <c r="K43"/>
  <c r="J43"/>
  <c r="F43"/>
  <c r="L43" s="1"/>
  <c r="N42"/>
  <c r="F42"/>
  <c r="N41"/>
  <c r="K41"/>
  <c r="J41"/>
  <c r="F41"/>
  <c r="L41" s="1"/>
  <c r="N40"/>
  <c r="K40"/>
  <c r="J40"/>
  <c r="F40"/>
  <c r="L40" s="1"/>
  <c r="N39"/>
  <c r="K39"/>
  <c r="L39" s="1"/>
  <c r="J39"/>
  <c r="F39"/>
  <c r="N38"/>
  <c r="K38"/>
  <c r="L38" s="1"/>
  <c r="J38"/>
  <c r="N37"/>
  <c r="K37"/>
  <c r="L37" s="1"/>
  <c r="J37"/>
  <c r="N36"/>
  <c r="K36"/>
  <c r="L36" s="1"/>
  <c r="J36"/>
  <c r="F36"/>
  <c r="N35"/>
  <c r="K35"/>
  <c r="J35"/>
  <c r="F35"/>
  <c r="L35" s="1"/>
  <c r="N34"/>
  <c r="K34"/>
  <c r="J34"/>
  <c r="F34"/>
  <c r="L34" s="1"/>
  <c r="N33"/>
  <c r="K33"/>
  <c r="L33" s="1"/>
  <c r="J33"/>
  <c r="F33"/>
  <c r="N32"/>
  <c r="L32"/>
  <c r="K32"/>
  <c r="J32"/>
  <c r="N31"/>
  <c r="L31"/>
  <c r="K31"/>
  <c r="J31"/>
  <c r="F31"/>
  <c r="N30"/>
  <c r="K30"/>
  <c r="J30"/>
  <c r="F30"/>
  <c r="L30" s="1"/>
  <c r="N29"/>
  <c r="K29"/>
  <c r="J29"/>
  <c r="F29"/>
  <c r="L29" s="1"/>
  <c r="N28"/>
  <c r="K28"/>
  <c r="L28" s="1"/>
  <c r="J28"/>
  <c r="F28"/>
  <c r="N27"/>
  <c r="L27"/>
  <c r="K27"/>
  <c r="J27"/>
  <c r="F27"/>
  <c r="N26"/>
  <c r="K26"/>
  <c r="J26"/>
  <c r="F26"/>
  <c r="L26" s="1"/>
  <c r="N25"/>
  <c r="K25"/>
  <c r="J25"/>
  <c r="F25"/>
  <c r="L25" s="1"/>
  <c r="N24"/>
  <c r="K24"/>
  <c r="L24" s="1"/>
  <c r="J24"/>
  <c r="F24"/>
  <c r="N23"/>
  <c r="L23"/>
  <c r="K23"/>
  <c r="J23"/>
  <c r="F23"/>
  <c r="N22"/>
  <c r="K22"/>
  <c r="J22"/>
  <c r="F22"/>
  <c r="L22" s="1"/>
  <c r="N21"/>
  <c r="K21"/>
  <c r="J21"/>
  <c r="F21"/>
  <c r="L21" s="1"/>
  <c r="N20"/>
  <c r="K20"/>
  <c r="L20" s="1"/>
  <c r="J20"/>
  <c r="F20"/>
  <c r="N19"/>
  <c r="L19"/>
  <c r="K19"/>
  <c r="J19"/>
  <c r="F19"/>
  <c r="N18"/>
  <c r="K18"/>
  <c r="J18"/>
  <c r="F18"/>
  <c r="L18" s="1"/>
  <c r="N17"/>
  <c r="K17"/>
  <c r="J17"/>
  <c r="F17"/>
  <c r="L17" s="1"/>
  <c r="N16"/>
  <c r="K16"/>
  <c r="L16" s="1"/>
  <c r="J16"/>
  <c r="F16"/>
  <c r="N15"/>
  <c r="L15"/>
  <c r="K15"/>
  <c r="J15"/>
  <c r="F15"/>
  <c r="N14"/>
  <c r="K14"/>
  <c r="J14"/>
  <c r="F14"/>
  <c r="L14" s="1"/>
  <c r="N13"/>
  <c r="K13"/>
  <c r="J13"/>
  <c r="F13"/>
  <c r="L13" s="1"/>
  <c r="N12"/>
  <c r="L12"/>
  <c r="K12"/>
  <c r="J12"/>
  <c r="F12"/>
  <c r="N11"/>
  <c r="L11"/>
  <c r="K11"/>
  <c r="J11"/>
  <c r="F11"/>
  <c r="N10"/>
  <c r="K10"/>
  <c r="J10"/>
  <c r="F10"/>
  <c r="L10" s="1"/>
  <c r="N9"/>
  <c r="K9"/>
  <c r="J9"/>
  <c r="F9"/>
  <c r="L9" s="1"/>
  <c r="N8"/>
  <c r="K8"/>
  <c r="L8" s="1"/>
  <c r="J8"/>
  <c r="F8"/>
  <c r="N7"/>
  <c r="L7"/>
  <c r="K7"/>
  <c r="J7"/>
  <c r="F7"/>
  <c r="N6"/>
  <c r="K6"/>
  <c r="J6"/>
  <c r="F6"/>
  <c r="L6" s="1"/>
  <c r="N266" i="19"/>
  <c r="K266"/>
  <c r="J266"/>
  <c r="F266"/>
  <c r="L266" s="1"/>
  <c r="N265"/>
  <c r="K265"/>
  <c r="J265"/>
  <c r="F265"/>
  <c r="L265" s="1"/>
  <c r="N264"/>
  <c r="L264"/>
  <c r="K264"/>
  <c r="J264"/>
  <c r="F264"/>
  <c r="N263"/>
  <c r="K263"/>
  <c r="J263"/>
  <c r="F263"/>
  <c r="L263" s="1"/>
  <c r="N262"/>
  <c r="K262"/>
  <c r="J262"/>
  <c r="F262"/>
  <c r="L262" s="1"/>
  <c r="N261"/>
  <c r="K261"/>
  <c r="J261"/>
  <c r="F261"/>
  <c r="L261" s="1"/>
  <c r="N260"/>
  <c r="K260"/>
  <c r="J260"/>
  <c r="F260"/>
  <c r="N259"/>
  <c r="L259"/>
  <c r="K259"/>
  <c r="J259"/>
  <c r="F259"/>
  <c r="N258"/>
  <c r="K258"/>
  <c r="J258"/>
  <c r="F258"/>
  <c r="L258" s="1"/>
  <c r="N257"/>
  <c r="K257"/>
  <c r="J257"/>
  <c r="F257"/>
  <c r="L257" s="1"/>
  <c r="N256"/>
  <c r="K256"/>
  <c r="J256"/>
  <c r="F256"/>
  <c r="L256" s="1"/>
  <c r="N255"/>
  <c r="K255"/>
  <c r="J255"/>
  <c r="F255"/>
  <c r="N254"/>
  <c r="K254"/>
  <c r="J254"/>
  <c r="F254"/>
  <c r="L254" s="1"/>
  <c r="N253"/>
  <c r="K253"/>
  <c r="J253"/>
  <c r="F253"/>
  <c r="L253" s="1"/>
  <c r="N252"/>
  <c r="K252"/>
  <c r="L252" s="1"/>
  <c r="J252"/>
  <c r="N251"/>
  <c r="K251"/>
  <c r="J251"/>
  <c r="F251"/>
  <c r="L251" s="1"/>
  <c r="N250"/>
  <c r="K250"/>
  <c r="L250" s="1"/>
  <c r="J250"/>
  <c r="F250"/>
  <c r="N249"/>
  <c r="K249"/>
  <c r="J249"/>
  <c r="F249"/>
  <c r="L249" s="1"/>
  <c r="N248"/>
  <c r="K248"/>
  <c r="L248" s="1"/>
  <c r="J248"/>
  <c r="N247"/>
  <c r="K247"/>
  <c r="J247"/>
  <c r="F247"/>
  <c r="L247" s="1"/>
  <c r="N246"/>
  <c r="K246"/>
  <c r="J246"/>
  <c r="F246"/>
  <c r="L246" s="1"/>
  <c r="N245"/>
  <c r="K245"/>
  <c r="J245"/>
  <c r="F245"/>
  <c r="L245" s="1"/>
  <c r="N244"/>
  <c r="L244"/>
  <c r="K244"/>
  <c r="J244"/>
  <c r="N243"/>
  <c r="K243"/>
  <c r="J243"/>
  <c r="F243"/>
  <c r="L243" s="1"/>
  <c r="N242"/>
  <c r="K242"/>
  <c r="J242"/>
  <c r="F242"/>
  <c r="L242" s="1"/>
  <c r="N241"/>
  <c r="K241"/>
  <c r="J241"/>
  <c r="F241"/>
  <c r="L241" s="1"/>
  <c r="N240"/>
  <c r="K240"/>
  <c r="L240" s="1"/>
  <c r="J240"/>
  <c r="F240"/>
  <c r="N239"/>
  <c r="K239"/>
  <c r="J239"/>
  <c r="F239"/>
  <c r="L239" s="1"/>
  <c r="N238"/>
  <c r="K238"/>
  <c r="F238"/>
  <c r="L238" s="1"/>
  <c r="N237"/>
  <c r="K237"/>
  <c r="F237"/>
  <c r="L237" s="1"/>
  <c r="N236"/>
  <c r="K236"/>
  <c r="F236"/>
  <c r="L236" s="1"/>
  <c r="N235"/>
  <c r="K235"/>
  <c r="F235"/>
  <c r="L235" s="1"/>
  <c r="L243" i="22" l="1"/>
  <c r="L255" i="19"/>
  <c r="L260"/>
  <c r="K232"/>
  <c r="H232"/>
  <c r="E232"/>
  <c r="D232"/>
  <c r="K230"/>
  <c r="J230"/>
  <c r="F230"/>
  <c r="L230" s="1"/>
  <c r="K229"/>
  <c r="L229" s="1"/>
  <c r="J229"/>
  <c r="L226"/>
  <c r="K226"/>
  <c r="J226"/>
  <c r="F226"/>
  <c r="F232" s="1"/>
  <c r="L221"/>
  <c r="K221"/>
  <c r="J221"/>
  <c r="N209"/>
  <c r="L209"/>
  <c r="K209"/>
  <c r="J209"/>
  <c r="N208"/>
  <c r="L208"/>
  <c r="K208"/>
  <c r="J208"/>
  <c r="F208"/>
  <c r="N207"/>
  <c r="K207"/>
  <c r="J207"/>
  <c r="F207"/>
  <c r="L207" s="1"/>
  <c r="N206"/>
  <c r="K206"/>
  <c r="J206"/>
  <c r="F206"/>
  <c r="L206" s="1"/>
  <c r="N205"/>
  <c r="K205"/>
  <c r="J205"/>
  <c r="F205"/>
  <c r="L205" s="1"/>
  <c r="N204"/>
  <c r="K204"/>
  <c r="J204"/>
  <c r="F204"/>
  <c r="N203"/>
  <c r="L203"/>
  <c r="K203"/>
  <c r="J203"/>
  <c r="F203"/>
  <c r="N202"/>
  <c r="K202"/>
  <c r="J202"/>
  <c r="F202"/>
  <c r="L202" s="1"/>
  <c r="N201"/>
  <c r="K201"/>
  <c r="L201" s="1"/>
  <c r="J201"/>
  <c r="F201"/>
  <c r="N200"/>
  <c r="K200"/>
  <c r="J200"/>
  <c r="F200"/>
  <c r="L200" s="1"/>
  <c r="N199"/>
  <c r="L199"/>
  <c r="K199"/>
  <c r="J199"/>
  <c r="N198"/>
  <c r="L198"/>
  <c r="K198"/>
  <c r="J198"/>
  <c r="F198"/>
  <c r="N197"/>
  <c r="K197"/>
  <c r="J197"/>
  <c r="F197"/>
  <c r="L197" s="1"/>
  <c r="N196"/>
  <c r="K196"/>
  <c r="L196" s="1"/>
  <c r="J196"/>
  <c r="N195"/>
  <c r="K195"/>
  <c r="L195" s="1"/>
  <c r="J195"/>
  <c r="F195"/>
  <c r="H187"/>
  <c r="H233" s="1"/>
  <c r="N186"/>
  <c r="L186"/>
  <c r="K186"/>
  <c r="J186"/>
  <c r="F186"/>
  <c r="N185"/>
  <c r="K185"/>
  <c r="L185" s="1"/>
  <c r="J185"/>
  <c r="N184"/>
  <c r="K184"/>
  <c r="J184"/>
  <c r="F184"/>
  <c r="L184" s="1"/>
  <c r="N183"/>
  <c r="L183"/>
  <c r="K183"/>
  <c r="J183"/>
  <c r="F183"/>
  <c r="N182"/>
  <c r="K182"/>
  <c r="J182"/>
  <c r="F182"/>
  <c r="L182" s="1"/>
  <c r="N181"/>
  <c r="L181"/>
  <c r="K181"/>
  <c r="J181"/>
  <c r="F181"/>
  <c r="N180"/>
  <c r="K180"/>
  <c r="L180" s="1"/>
  <c r="J180"/>
  <c r="N179"/>
  <c r="K179"/>
  <c r="J179"/>
  <c r="F179"/>
  <c r="L179" s="1"/>
  <c r="N178"/>
  <c r="L178"/>
  <c r="K178"/>
  <c r="J178"/>
  <c r="F178"/>
  <c r="N177"/>
  <c r="K177"/>
  <c r="J177"/>
  <c r="F177"/>
  <c r="L177" s="1"/>
  <c r="N176"/>
  <c r="L176"/>
  <c r="K176"/>
  <c r="J176"/>
  <c r="F176"/>
  <c r="N175"/>
  <c r="K175"/>
  <c r="J175"/>
  <c r="F175"/>
  <c r="L175" s="1"/>
  <c r="N174"/>
  <c r="L174"/>
  <c r="K174"/>
  <c r="J174"/>
  <c r="N173"/>
  <c r="L173"/>
  <c r="K173"/>
  <c r="J173"/>
  <c r="F173"/>
  <c r="N172"/>
  <c r="L172" s="1"/>
  <c r="K172"/>
  <c r="J172"/>
  <c r="F172"/>
  <c r="N171"/>
  <c r="K171"/>
  <c r="J171"/>
  <c r="F171"/>
  <c r="L171" s="1"/>
  <c r="N170"/>
  <c r="L170"/>
  <c r="K170"/>
  <c r="J170"/>
  <c r="F170"/>
  <c r="N169"/>
  <c r="K169"/>
  <c r="L169" s="1"/>
  <c r="J169"/>
  <c r="N168"/>
  <c r="K168"/>
  <c r="J168"/>
  <c r="F168"/>
  <c r="L168" s="1"/>
  <c r="N167"/>
  <c r="L167"/>
  <c r="K167"/>
  <c r="J167"/>
  <c r="F167"/>
  <c r="N166"/>
  <c r="K166"/>
  <c r="J166"/>
  <c r="F166"/>
  <c r="L166" s="1"/>
  <c r="N165"/>
  <c r="L165"/>
  <c r="K165"/>
  <c r="J165"/>
  <c r="F165"/>
  <c r="N164"/>
  <c r="K164"/>
  <c r="J164"/>
  <c r="F164"/>
  <c r="L164" s="1"/>
  <c r="N163"/>
  <c r="L163"/>
  <c r="K163"/>
  <c r="J163"/>
  <c r="F163"/>
  <c r="N162"/>
  <c r="L162" s="1"/>
  <c r="K162"/>
  <c r="J162"/>
  <c r="F162"/>
  <c r="N161"/>
  <c r="K161"/>
  <c r="J161"/>
  <c r="F161"/>
  <c r="L161" s="1"/>
  <c r="N160"/>
  <c r="L160"/>
  <c r="K160"/>
  <c r="J160"/>
  <c r="F160"/>
  <c r="N159"/>
  <c r="K159"/>
  <c r="J159"/>
  <c r="F159"/>
  <c r="L159" s="1"/>
  <c r="N158"/>
  <c r="L158"/>
  <c r="K158"/>
  <c r="J158"/>
  <c r="F158"/>
  <c r="N157"/>
  <c r="L157" s="1"/>
  <c r="K157"/>
  <c r="J157"/>
  <c r="F157"/>
  <c r="N156"/>
  <c r="K156"/>
  <c r="J156"/>
  <c r="F156"/>
  <c r="L156" s="1"/>
  <c r="N155"/>
  <c r="L155"/>
  <c r="K155"/>
  <c r="J155"/>
  <c r="F155"/>
  <c r="N154"/>
  <c r="K154"/>
  <c r="J154"/>
  <c r="F154"/>
  <c r="L154" s="1"/>
  <c r="N153"/>
  <c r="L153"/>
  <c r="K153"/>
  <c r="J153"/>
  <c r="N152"/>
  <c r="L152"/>
  <c r="K152"/>
  <c r="J152"/>
  <c r="F152"/>
  <c r="N151"/>
  <c r="K151"/>
  <c r="J151"/>
  <c r="F151"/>
  <c r="L151" s="1"/>
  <c r="N150"/>
  <c r="L150"/>
  <c r="K150"/>
  <c r="J150"/>
  <c r="F150"/>
  <c r="N149"/>
  <c r="K149"/>
  <c r="J149"/>
  <c r="F149"/>
  <c r="L149" s="1"/>
  <c r="N148"/>
  <c r="L148"/>
  <c r="K148"/>
  <c r="J148"/>
  <c r="N147"/>
  <c r="L147"/>
  <c r="K147"/>
  <c r="J147"/>
  <c r="N146"/>
  <c r="L146"/>
  <c r="K146"/>
  <c r="J146"/>
  <c r="F146"/>
  <c r="N145"/>
  <c r="K145"/>
  <c r="L145" s="1"/>
  <c r="J145"/>
  <c r="N144"/>
  <c r="K144"/>
  <c r="J144"/>
  <c r="F144"/>
  <c r="L144" s="1"/>
  <c r="N143"/>
  <c r="L143"/>
  <c r="K143"/>
  <c r="J143"/>
  <c r="N142"/>
  <c r="L142"/>
  <c r="K142"/>
  <c r="J142"/>
  <c r="N141"/>
  <c r="L141"/>
  <c r="K141"/>
  <c r="J141"/>
  <c r="F141"/>
  <c r="N140"/>
  <c r="K140"/>
  <c r="J140"/>
  <c r="F140"/>
  <c r="L140" s="1"/>
  <c r="N139"/>
  <c r="L139"/>
  <c r="K139"/>
  <c r="J139"/>
  <c r="N138"/>
  <c r="L138"/>
  <c r="K138"/>
  <c r="J138"/>
  <c r="F138"/>
  <c r="N137"/>
  <c r="K137"/>
  <c r="J137"/>
  <c r="F137"/>
  <c r="L137" s="1"/>
  <c r="N136"/>
  <c r="L136"/>
  <c r="K136"/>
  <c r="J136"/>
  <c r="F136"/>
  <c r="N135"/>
  <c r="K135"/>
  <c r="L135" s="1"/>
  <c r="J135"/>
  <c r="N134"/>
  <c r="K134"/>
  <c r="J134"/>
  <c r="F134"/>
  <c r="L134" s="1"/>
  <c r="N133"/>
  <c r="L133"/>
  <c r="K133"/>
  <c r="J133"/>
  <c r="F133"/>
  <c r="N132"/>
  <c r="K132"/>
  <c r="J132"/>
  <c r="F132"/>
  <c r="L132" s="1"/>
  <c r="N131"/>
  <c r="L131"/>
  <c r="K131"/>
  <c r="J131"/>
  <c r="N130"/>
  <c r="L130"/>
  <c r="K130"/>
  <c r="J130"/>
  <c r="F130"/>
  <c r="N129"/>
  <c r="K129"/>
  <c r="L129" s="1"/>
  <c r="J129"/>
  <c r="N128"/>
  <c r="K128"/>
  <c r="J128"/>
  <c r="F128"/>
  <c r="L128" s="1"/>
  <c r="N127"/>
  <c r="L127"/>
  <c r="K127"/>
  <c r="J127"/>
  <c r="F127"/>
  <c r="N126"/>
  <c r="K126"/>
  <c r="J126"/>
  <c r="F126"/>
  <c r="L126" s="1"/>
  <c r="N125"/>
  <c r="L125"/>
  <c r="K125"/>
  <c r="J125"/>
  <c r="F125"/>
  <c r="N124"/>
  <c r="K124"/>
  <c r="L124" s="1"/>
  <c r="J124"/>
  <c r="N123"/>
  <c r="K123"/>
  <c r="J123"/>
  <c r="F123"/>
  <c r="L123" s="1"/>
  <c r="N122"/>
  <c r="L122"/>
  <c r="K122"/>
  <c r="J122"/>
  <c r="N121"/>
  <c r="L121"/>
  <c r="K121"/>
  <c r="J121"/>
  <c r="F121"/>
  <c r="N120"/>
  <c r="K120"/>
  <c r="J120"/>
  <c r="F120"/>
  <c r="L120" s="1"/>
  <c r="N119"/>
  <c r="L119"/>
  <c r="K119"/>
  <c r="J119"/>
  <c r="F119"/>
  <c r="N118"/>
  <c r="K118"/>
  <c r="J118"/>
  <c r="F118"/>
  <c r="L118" s="1"/>
  <c r="N117"/>
  <c r="L117"/>
  <c r="K117"/>
  <c r="J117"/>
  <c r="F117"/>
  <c r="N116"/>
  <c r="L116"/>
  <c r="J116"/>
  <c r="N115"/>
  <c r="L115"/>
  <c r="K115"/>
  <c r="J115"/>
  <c r="F115"/>
  <c r="N114"/>
  <c r="K114"/>
  <c r="J114"/>
  <c r="F114"/>
  <c r="L114" s="1"/>
  <c r="N113"/>
  <c r="L113"/>
  <c r="K113"/>
  <c r="J113"/>
  <c r="F113"/>
  <c r="N112"/>
  <c r="K112"/>
  <c r="L112" s="1"/>
  <c r="J112"/>
  <c r="N111"/>
  <c r="K111"/>
  <c r="L111" s="1"/>
  <c r="J111"/>
  <c r="N110"/>
  <c r="K110"/>
  <c r="J110"/>
  <c r="F110"/>
  <c r="L110" s="1"/>
  <c r="N109"/>
  <c r="L109"/>
  <c r="K109"/>
  <c r="J109"/>
  <c r="F109"/>
  <c r="N108"/>
  <c r="K108"/>
  <c r="L108" s="1"/>
  <c r="J108"/>
  <c r="N107"/>
  <c r="K107"/>
  <c r="J107"/>
  <c r="F107"/>
  <c r="L107" s="1"/>
  <c r="N106"/>
  <c r="L106"/>
  <c r="K106"/>
  <c r="J106"/>
  <c r="F106"/>
  <c r="N105"/>
  <c r="K105"/>
  <c r="J105"/>
  <c r="F105"/>
  <c r="L105" s="1"/>
  <c r="N104"/>
  <c r="L104"/>
  <c r="K104"/>
  <c r="J104"/>
  <c r="N103"/>
  <c r="L103"/>
  <c r="K103"/>
  <c r="J103"/>
  <c r="F103"/>
  <c r="N102"/>
  <c r="K102"/>
  <c r="J102"/>
  <c r="F102"/>
  <c r="L102" s="1"/>
  <c r="N101"/>
  <c r="L101"/>
  <c r="K101"/>
  <c r="J101"/>
  <c r="F101"/>
  <c r="N100"/>
  <c r="K100"/>
  <c r="J100"/>
  <c r="F100"/>
  <c r="L100" s="1"/>
  <c r="N99"/>
  <c r="L99"/>
  <c r="K99"/>
  <c r="J99"/>
  <c r="F99"/>
  <c r="N98"/>
  <c r="K98"/>
  <c r="J98"/>
  <c r="F98"/>
  <c r="L98" s="1"/>
  <c r="N97"/>
  <c r="L97"/>
  <c r="K97"/>
  <c r="J97"/>
  <c r="F97"/>
  <c r="N96"/>
  <c r="K96"/>
  <c r="J96"/>
  <c r="F96"/>
  <c r="L96" s="1"/>
  <c r="N95"/>
  <c r="L95"/>
  <c r="K95"/>
  <c r="J95"/>
  <c r="N94"/>
  <c r="L94"/>
  <c r="K94"/>
  <c r="J94"/>
  <c r="F94"/>
  <c r="N93"/>
  <c r="K93"/>
  <c r="L93" s="1"/>
  <c r="J93"/>
  <c r="N92"/>
  <c r="K92"/>
  <c r="J92"/>
  <c r="F92"/>
  <c r="L92" s="1"/>
  <c r="N91"/>
  <c r="L91"/>
  <c r="K91"/>
  <c r="J91"/>
  <c r="F91"/>
  <c r="N90"/>
  <c r="K90"/>
  <c r="L90" s="1"/>
  <c r="J90"/>
  <c r="N89"/>
  <c r="K89"/>
  <c r="J89"/>
  <c r="F89"/>
  <c r="L89" s="1"/>
  <c r="N88"/>
  <c r="L88"/>
  <c r="K88"/>
  <c r="J88"/>
  <c r="F88"/>
  <c r="N87"/>
  <c r="K87"/>
  <c r="J87"/>
  <c r="F87"/>
  <c r="L87" s="1"/>
  <c r="N86"/>
  <c r="L86"/>
  <c r="K86"/>
  <c r="J86"/>
  <c r="N85"/>
  <c r="L85"/>
  <c r="K85"/>
  <c r="J85"/>
  <c r="F85"/>
  <c r="N84"/>
  <c r="K84"/>
  <c r="J84"/>
  <c r="F84"/>
  <c r="L84" s="1"/>
  <c r="N83"/>
  <c r="L83"/>
  <c r="K83"/>
  <c r="J83"/>
  <c r="F83"/>
  <c r="N82"/>
  <c r="K82"/>
  <c r="L82" s="1"/>
  <c r="J82"/>
  <c r="N81"/>
  <c r="K81"/>
  <c r="J81"/>
  <c r="F81"/>
  <c r="L81" s="1"/>
  <c r="N80"/>
  <c r="L80"/>
  <c r="K80"/>
  <c r="J80"/>
  <c r="F80"/>
  <c r="N79"/>
  <c r="K79"/>
  <c r="J79"/>
  <c r="F79"/>
  <c r="L79" s="1"/>
  <c r="N78"/>
  <c r="L78"/>
  <c r="K78"/>
  <c r="J78"/>
  <c r="F78"/>
  <c r="N77"/>
  <c r="K77"/>
  <c r="J77"/>
  <c r="F77"/>
  <c r="L77" s="1"/>
  <c r="N76"/>
  <c r="L76"/>
  <c r="K76"/>
  <c r="J76"/>
  <c r="F76"/>
  <c r="N75"/>
  <c r="K75"/>
  <c r="J75"/>
  <c r="F75"/>
  <c r="L75" s="1"/>
  <c r="N74"/>
  <c r="L74"/>
  <c r="K74"/>
  <c r="J74"/>
  <c r="F74"/>
  <c r="N73"/>
  <c r="K73"/>
  <c r="J73"/>
  <c r="F73"/>
  <c r="L73" s="1"/>
  <c r="N72"/>
  <c r="L72"/>
  <c r="K72"/>
  <c r="J72"/>
  <c r="F72"/>
  <c r="N71"/>
  <c r="K71"/>
  <c r="J71"/>
  <c r="F71"/>
  <c r="L71" s="1"/>
  <c r="N70"/>
  <c r="L70"/>
  <c r="K70"/>
  <c r="J70"/>
  <c r="F70"/>
  <c r="N69"/>
  <c r="K69"/>
  <c r="J69"/>
  <c r="F69"/>
  <c r="L69" s="1"/>
  <c r="N68"/>
  <c r="L68"/>
  <c r="K68"/>
  <c r="J68"/>
  <c r="F68"/>
  <c r="N67"/>
  <c r="K67"/>
  <c r="J67"/>
  <c r="F67"/>
  <c r="L67" s="1"/>
  <c r="N66"/>
  <c r="L66"/>
  <c r="K66"/>
  <c r="J66"/>
  <c r="F66"/>
  <c r="N65"/>
  <c r="K65"/>
  <c r="L65" s="1"/>
  <c r="J65"/>
  <c r="N64"/>
  <c r="K64"/>
  <c r="J64"/>
  <c r="F64"/>
  <c r="L64" s="1"/>
  <c r="N63"/>
  <c r="L63"/>
  <c r="K63"/>
  <c r="J63"/>
  <c r="F63"/>
  <c r="N62"/>
  <c r="K62"/>
  <c r="J62"/>
  <c r="F62"/>
  <c r="L62" s="1"/>
  <c r="N61"/>
  <c r="L61"/>
  <c r="K61"/>
  <c r="J61"/>
  <c r="F61"/>
  <c r="N60"/>
  <c r="K60"/>
  <c r="J60"/>
  <c r="F60"/>
  <c r="L60" s="1"/>
  <c r="N59"/>
  <c r="L59"/>
  <c r="K59"/>
  <c r="J59"/>
  <c r="F59"/>
  <c r="N58"/>
  <c r="K58"/>
  <c r="L58" s="1"/>
  <c r="J58"/>
  <c r="N57"/>
  <c r="K57"/>
  <c r="J57"/>
  <c r="F57"/>
  <c r="L57" s="1"/>
  <c r="N56"/>
  <c r="L56"/>
  <c r="K56"/>
  <c r="J56"/>
  <c r="F56"/>
  <c r="N55"/>
  <c r="K55"/>
  <c r="J55"/>
  <c r="F55"/>
  <c r="L55" s="1"/>
  <c r="N54"/>
  <c r="L54"/>
  <c r="K54"/>
  <c r="J54"/>
  <c r="N53"/>
  <c r="L53"/>
  <c r="K53"/>
  <c r="J53"/>
  <c r="F53"/>
  <c r="N52"/>
  <c r="K52"/>
  <c r="J52"/>
  <c r="F52"/>
  <c r="L52" s="1"/>
  <c r="N51"/>
  <c r="L51"/>
  <c r="K51"/>
  <c r="J51"/>
  <c r="F51"/>
  <c r="N50"/>
  <c r="L232" l="1"/>
  <c r="L204"/>
  <c r="K50"/>
  <c r="L50" s="1"/>
  <c r="J50"/>
  <c r="F50"/>
  <c r="N49"/>
  <c r="L49" s="1"/>
  <c r="J49"/>
  <c r="F49"/>
  <c r="N48"/>
  <c r="K48"/>
  <c r="L48" s="1"/>
  <c r="J48"/>
  <c r="N47"/>
  <c r="K47"/>
  <c r="L47" s="1"/>
  <c r="J47"/>
  <c r="N46"/>
  <c r="K46"/>
  <c r="L46" s="1"/>
  <c r="J46"/>
  <c r="F46"/>
  <c r="N45"/>
  <c r="L45"/>
  <c r="K45"/>
  <c r="J45"/>
  <c r="F45"/>
  <c r="N44"/>
  <c r="K44"/>
  <c r="L44" s="1"/>
  <c r="J44"/>
  <c r="N43"/>
  <c r="K43"/>
  <c r="J43"/>
  <c r="F43"/>
  <c r="L43" s="1"/>
  <c r="N42"/>
  <c r="K42"/>
  <c r="L42" s="1"/>
  <c r="J42"/>
  <c r="F42"/>
  <c r="N41"/>
  <c r="K41"/>
  <c r="L41" s="1"/>
  <c r="J41"/>
  <c r="F41"/>
  <c r="N40"/>
  <c r="L40"/>
  <c r="K40"/>
  <c r="J40"/>
  <c r="F40"/>
  <c r="N39"/>
  <c r="K39"/>
  <c r="J39"/>
  <c r="F39"/>
  <c r="L39" s="1"/>
  <c r="N38"/>
  <c r="K38"/>
  <c r="L38" s="1"/>
  <c r="J38"/>
  <c r="F38"/>
  <c r="N37"/>
  <c r="K37"/>
  <c r="L37" s="1"/>
  <c r="J37"/>
  <c r="F37"/>
  <c r="N36"/>
  <c r="L36"/>
  <c r="K36"/>
  <c r="J36"/>
  <c r="F36"/>
  <c r="N35"/>
  <c r="K35"/>
  <c r="L35" s="1"/>
  <c r="J35"/>
  <c r="N34"/>
  <c r="K34"/>
  <c r="L34" s="1"/>
  <c r="J34"/>
  <c r="N33"/>
  <c r="K33"/>
  <c r="J33"/>
  <c r="F33"/>
  <c r="L33" s="1"/>
  <c r="N32"/>
  <c r="K32"/>
  <c r="L32" s="1"/>
  <c r="J32"/>
  <c r="F32"/>
  <c r="N31"/>
  <c r="K31"/>
  <c r="L31" s="1"/>
  <c r="J31"/>
  <c r="F31"/>
  <c r="N30"/>
  <c r="L30"/>
  <c r="K30"/>
  <c r="J30"/>
  <c r="N29"/>
  <c r="L29"/>
  <c r="K29"/>
  <c r="J29"/>
  <c r="F29"/>
  <c r="N28"/>
  <c r="K28"/>
  <c r="J28"/>
  <c r="F28"/>
  <c r="L28" s="1"/>
  <c r="N27"/>
  <c r="K27"/>
  <c r="L27" s="1"/>
  <c r="J27"/>
  <c r="F27"/>
  <c r="N26"/>
  <c r="K26"/>
  <c r="L26" s="1"/>
  <c r="J26"/>
  <c r="F26"/>
  <c r="N25"/>
  <c r="L25"/>
  <c r="K25"/>
  <c r="J25"/>
  <c r="F25"/>
  <c r="N24"/>
  <c r="K24"/>
  <c r="J24"/>
  <c r="F24"/>
  <c r="L24" s="1"/>
  <c r="N23"/>
  <c r="K23"/>
  <c r="L23" s="1"/>
  <c r="J23"/>
  <c r="F23"/>
  <c r="N22"/>
  <c r="K22"/>
  <c r="L22" s="1"/>
  <c r="J22"/>
  <c r="F22"/>
  <c r="N21"/>
  <c r="K21"/>
  <c r="J21"/>
  <c r="F21"/>
  <c r="N20"/>
  <c r="L20"/>
  <c r="K20"/>
  <c r="J20"/>
  <c r="F20"/>
  <c r="N19"/>
  <c r="K19"/>
  <c r="J19"/>
  <c r="F19"/>
  <c r="L19" s="1"/>
  <c r="N18"/>
  <c r="K18"/>
  <c r="L18" s="1"/>
  <c r="J18"/>
  <c r="F18"/>
  <c r="N17"/>
  <c r="K17"/>
  <c r="L17" s="1"/>
  <c r="J17"/>
  <c r="F17"/>
  <c r="N16"/>
  <c r="L16"/>
  <c r="K16"/>
  <c r="J16"/>
  <c r="F16"/>
  <c r="N15"/>
  <c r="K15"/>
  <c r="J15"/>
  <c r="F15"/>
  <c r="L15" s="1"/>
  <c r="N14"/>
  <c r="K14"/>
  <c r="L14" s="1"/>
  <c r="J14"/>
  <c r="F14"/>
  <c r="N13"/>
  <c r="L13"/>
  <c r="K13"/>
  <c r="J13"/>
  <c r="F13"/>
  <c r="N12"/>
  <c r="L12"/>
  <c r="K12"/>
  <c r="J12"/>
  <c r="F12"/>
  <c r="N11"/>
  <c r="K11"/>
  <c r="J11"/>
  <c r="F11"/>
  <c r="L11" s="1"/>
  <c r="N10"/>
  <c r="K10"/>
  <c r="L10" s="1"/>
  <c r="J10"/>
  <c r="F10"/>
  <c r="N9"/>
  <c r="K9"/>
  <c r="L9" s="1"/>
  <c r="J9"/>
  <c r="F9"/>
  <c r="N8"/>
  <c r="L8"/>
  <c r="K8"/>
  <c r="J8"/>
  <c r="F8"/>
  <c r="N7"/>
  <c r="K7"/>
  <c r="J7"/>
  <c r="F7"/>
  <c r="L7" s="1"/>
  <c r="N6"/>
  <c r="K6"/>
  <c r="L6" s="1"/>
  <c r="J6"/>
  <c r="F6"/>
  <c r="N271" i="17"/>
  <c r="K271"/>
  <c r="L271" s="1"/>
  <c r="J271"/>
  <c r="F271"/>
  <c r="N270"/>
  <c r="L270"/>
  <c r="K270"/>
  <c r="J270"/>
  <c r="F270"/>
  <c r="N269"/>
  <c r="K269"/>
  <c r="J269"/>
  <c r="F269"/>
  <c r="L269" s="1"/>
  <c r="N268"/>
  <c r="K268"/>
  <c r="J268"/>
  <c r="F268"/>
  <c r="L268" s="1"/>
  <c r="N267"/>
  <c r="K267"/>
  <c r="L267" s="1"/>
  <c r="J267"/>
  <c r="F267"/>
  <c r="N266"/>
  <c r="K266"/>
  <c r="J266"/>
  <c r="N265"/>
  <c r="K265"/>
  <c r="J265"/>
  <c r="F265"/>
  <c r="N264"/>
  <c r="K264"/>
  <c r="L264" s="1"/>
  <c r="J264"/>
  <c r="F264"/>
  <c r="N263"/>
  <c r="K263"/>
  <c r="J263"/>
  <c r="F263"/>
  <c r="N262"/>
  <c r="K262"/>
  <c r="J262"/>
  <c r="N261"/>
  <c r="K261"/>
  <c r="L261" s="1"/>
  <c r="J261"/>
  <c r="F261"/>
  <c r="N260"/>
  <c r="L260"/>
  <c r="K260"/>
  <c r="J260"/>
  <c r="F260"/>
  <c r="N259"/>
  <c r="K259"/>
  <c r="J259"/>
  <c r="F259"/>
  <c r="L259" s="1"/>
  <c r="N258"/>
  <c r="L258" s="1"/>
  <c r="K258"/>
  <c r="J258"/>
  <c r="N257"/>
  <c r="K257"/>
  <c r="J257"/>
  <c r="F257"/>
  <c r="L257" s="1"/>
  <c r="N256"/>
  <c r="K256"/>
  <c r="J256"/>
  <c r="F256"/>
  <c r="L256" s="1"/>
  <c r="N255"/>
  <c r="K255"/>
  <c r="L255" s="1"/>
  <c r="J255"/>
  <c r="F255"/>
  <c r="N254"/>
  <c r="L254"/>
  <c r="K254"/>
  <c r="J254"/>
  <c r="F254"/>
  <c r="N253"/>
  <c r="K253"/>
  <c r="J253"/>
  <c r="F253"/>
  <c r="L253" s="1"/>
  <c r="N252"/>
  <c r="K252"/>
  <c r="F252"/>
  <c r="L252" s="1"/>
  <c r="N251"/>
  <c r="K251"/>
  <c r="F251"/>
  <c r="L251" s="1"/>
  <c r="N250"/>
  <c r="K250"/>
  <c r="F250"/>
  <c r="L250" s="1"/>
  <c r="N249"/>
  <c r="K249"/>
  <c r="F249"/>
  <c r="L249" s="1"/>
  <c r="L262" l="1"/>
  <c r="L263"/>
  <c r="L266"/>
  <c r="L265"/>
  <c r="L21" i="19"/>
  <c r="H246" i="17"/>
  <c r="E246"/>
  <c r="D246"/>
  <c r="K244"/>
  <c r="J244"/>
  <c r="F244"/>
  <c r="L243" s="1"/>
  <c r="K243"/>
  <c r="J243"/>
  <c r="K240"/>
  <c r="L240" s="1"/>
  <c r="J240"/>
  <c r="F240"/>
  <c r="K235"/>
  <c r="K246" s="1"/>
  <c r="J235"/>
  <c r="H209"/>
  <c r="H247" s="1"/>
  <c r="E209"/>
  <c r="E247" s="1"/>
  <c r="D209"/>
  <c r="D247" s="1"/>
  <c r="N208"/>
  <c r="K208"/>
  <c r="L208" s="1"/>
  <c r="J208"/>
  <c r="N207"/>
  <c r="K207"/>
  <c r="J207"/>
  <c r="F207"/>
  <c r="L207" s="1"/>
  <c r="N206"/>
  <c r="K206"/>
  <c r="L206" s="1"/>
  <c r="J206"/>
  <c r="N205"/>
  <c r="K205"/>
  <c r="J205"/>
  <c r="F205"/>
  <c r="N204"/>
  <c r="K204"/>
  <c r="L204" s="1"/>
  <c r="J204"/>
  <c r="F204"/>
  <c r="N203"/>
  <c r="L203" s="1"/>
  <c r="K203"/>
  <c r="J203"/>
  <c r="F203"/>
  <c r="N202"/>
  <c r="K202"/>
  <c r="J202"/>
  <c r="F202"/>
  <c r="L202" s="1"/>
  <c r="N201"/>
  <c r="L201"/>
  <c r="K201"/>
  <c r="J201"/>
  <c r="N200"/>
  <c r="L200"/>
  <c r="K200"/>
  <c r="J200"/>
  <c r="F200"/>
  <c r="N199"/>
  <c r="K199"/>
  <c r="J199"/>
  <c r="F199"/>
  <c r="L199" s="1"/>
  <c r="N198"/>
  <c r="L198"/>
  <c r="K198"/>
  <c r="J198"/>
  <c r="F198"/>
  <c r="N197"/>
  <c r="K197"/>
  <c r="J197"/>
  <c r="F197"/>
  <c r="L197" s="1"/>
  <c r="N196"/>
  <c r="L196"/>
  <c r="K196"/>
  <c r="J196"/>
  <c r="F196"/>
  <c r="N195"/>
  <c r="K195"/>
  <c r="J195"/>
  <c r="F195"/>
  <c r="L195" s="1"/>
  <c r="N194"/>
  <c r="L194"/>
  <c r="K194"/>
  <c r="J194"/>
  <c r="N193"/>
  <c r="L193"/>
  <c r="K193"/>
  <c r="J193"/>
  <c r="F193"/>
  <c r="N192"/>
  <c r="K192"/>
  <c r="J192"/>
  <c r="F192"/>
  <c r="L192" s="1"/>
  <c r="N191"/>
  <c r="L191"/>
  <c r="K191"/>
  <c r="J191"/>
  <c r="F191"/>
  <c r="N190"/>
  <c r="K190"/>
  <c r="J190"/>
  <c r="F190"/>
  <c r="L190" s="1"/>
  <c r="N189"/>
  <c r="L189"/>
  <c r="K189"/>
  <c r="J189"/>
  <c r="N188"/>
  <c r="K188"/>
  <c r="J188"/>
  <c r="F188"/>
  <c r="N187"/>
  <c r="L187"/>
  <c r="K187"/>
  <c r="J187"/>
  <c r="F187"/>
  <c r="N186"/>
  <c r="K186"/>
  <c r="J186"/>
  <c r="F186"/>
  <c r="L186" s="1"/>
  <c r="N185"/>
  <c r="L185"/>
  <c r="K185"/>
  <c r="J185"/>
  <c r="F185"/>
  <c r="N184"/>
  <c r="K184"/>
  <c r="J184"/>
  <c r="F184"/>
  <c r="L184" s="1"/>
  <c r="N183"/>
  <c r="L183"/>
  <c r="K183"/>
  <c r="J183"/>
  <c r="F183"/>
  <c r="N182"/>
  <c r="L182" s="1"/>
  <c r="K182"/>
  <c r="J182"/>
  <c r="F182"/>
  <c r="N181"/>
  <c r="K181"/>
  <c r="J181"/>
  <c r="F181"/>
  <c r="L181" s="1"/>
  <c r="N180"/>
  <c r="L180"/>
  <c r="K180"/>
  <c r="J180"/>
  <c r="F180"/>
  <c r="N179"/>
  <c r="K179"/>
  <c r="J179"/>
  <c r="F179"/>
  <c r="L179" s="1"/>
  <c r="N178"/>
  <c r="L178"/>
  <c r="K178"/>
  <c r="J178"/>
  <c r="F178"/>
  <c r="N177"/>
  <c r="K177"/>
  <c r="J177"/>
  <c r="F177"/>
  <c r="L177" s="1"/>
  <c r="N176"/>
  <c r="K176"/>
  <c r="J176"/>
  <c r="F176"/>
  <c r="N175"/>
  <c r="L175"/>
  <c r="K175"/>
  <c r="J175"/>
  <c r="F175"/>
  <c r="N174"/>
  <c r="K174"/>
  <c r="J174"/>
  <c r="F174"/>
  <c r="L174" s="1"/>
  <c r="N173"/>
  <c r="K173"/>
  <c r="J173"/>
  <c r="F173"/>
  <c r="N172"/>
  <c r="L172"/>
  <c r="K172"/>
  <c r="J172"/>
  <c r="F172"/>
  <c r="N171"/>
  <c r="K171"/>
  <c r="L171" s="1"/>
  <c r="J171"/>
  <c r="N170"/>
  <c r="K170"/>
  <c r="J170"/>
  <c r="F170"/>
  <c r="L170" s="1"/>
  <c r="N169"/>
  <c r="L169"/>
  <c r="K169"/>
  <c r="J169"/>
  <c r="F169"/>
  <c r="N168"/>
  <c r="K168"/>
  <c r="J168"/>
  <c r="F168"/>
  <c r="L168" s="1"/>
  <c r="N167"/>
  <c r="K167"/>
  <c r="J167"/>
  <c r="F167"/>
  <c r="N166"/>
  <c r="L166"/>
  <c r="K166"/>
  <c r="J166"/>
  <c r="F166"/>
  <c r="N165"/>
  <c r="K165"/>
  <c r="J165"/>
  <c r="F165"/>
  <c r="L165" s="1"/>
  <c r="N164"/>
  <c r="L164"/>
  <c r="K164"/>
  <c r="J164"/>
  <c r="N163"/>
  <c r="L163"/>
  <c r="K163"/>
  <c r="J163"/>
  <c r="N162"/>
  <c r="L162"/>
  <c r="K162"/>
  <c r="J162"/>
  <c r="F162"/>
  <c r="N161"/>
  <c r="K161"/>
  <c r="L161" s="1"/>
  <c r="J161"/>
  <c r="N160"/>
  <c r="K160"/>
  <c r="J160"/>
  <c r="F160"/>
  <c r="L160" s="1"/>
  <c r="N159"/>
  <c r="L159"/>
  <c r="K159"/>
  <c r="J159"/>
  <c r="N158"/>
  <c r="L158"/>
  <c r="K158"/>
  <c r="J158"/>
  <c r="F158"/>
  <c r="N157"/>
  <c r="K157"/>
  <c r="L157" s="1"/>
  <c r="J157"/>
  <c r="N156"/>
  <c r="K156"/>
  <c r="J156"/>
  <c r="F156"/>
  <c r="L156" s="1"/>
  <c r="N155"/>
  <c r="L155"/>
  <c r="K155"/>
  <c r="J155"/>
  <c r="F155"/>
  <c r="N154"/>
  <c r="K154"/>
  <c r="L154" s="1"/>
  <c r="J154"/>
  <c r="N153"/>
  <c r="L153" s="1"/>
  <c r="K153"/>
  <c r="J153"/>
  <c r="F153"/>
  <c r="N152"/>
  <c r="L152" s="1"/>
  <c r="K152"/>
  <c r="J152"/>
  <c r="F152"/>
  <c r="N151"/>
  <c r="K151"/>
  <c r="J151"/>
  <c r="F151"/>
  <c r="L151" s="1"/>
  <c r="N150"/>
  <c r="L150"/>
  <c r="K150"/>
  <c r="J150"/>
  <c r="N149"/>
  <c r="L149"/>
  <c r="K149"/>
  <c r="J149"/>
  <c r="F149"/>
  <c r="N148"/>
  <c r="K148"/>
  <c r="J148"/>
  <c r="F148"/>
  <c r="L148" s="1"/>
  <c r="N147"/>
  <c r="L147"/>
  <c r="K147"/>
  <c r="J147"/>
  <c r="F147"/>
  <c r="N146"/>
  <c r="L146" s="1"/>
  <c r="K146"/>
  <c r="J146"/>
  <c r="F146"/>
  <c r="N145"/>
  <c r="K145"/>
  <c r="L145" s="1"/>
  <c r="J145"/>
  <c r="N144"/>
  <c r="K144"/>
  <c r="J144"/>
  <c r="F144"/>
  <c r="L144" s="1"/>
  <c r="N143"/>
  <c r="L143"/>
  <c r="K143"/>
  <c r="J143"/>
  <c r="N142"/>
  <c r="L142"/>
  <c r="K142"/>
  <c r="J142"/>
  <c r="F142"/>
  <c r="N141"/>
  <c r="L141" s="1"/>
  <c r="K141"/>
  <c r="J141"/>
  <c r="F141"/>
  <c r="N140"/>
  <c r="K140"/>
  <c r="J140"/>
  <c r="F140"/>
  <c r="L140" s="1"/>
  <c r="N139"/>
  <c r="L139"/>
  <c r="K139"/>
  <c r="J139"/>
  <c r="F139"/>
  <c r="N138"/>
  <c r="K138"/>
  <c r="L138" s="1"/>
  <c r="J138"/>
  <c r="N137"/>
  <c r="K137"/>
  <c r="J137"/>
  <c r="F137"/>
  <c r="L137" s="1"/>
  <c r="N136"/>
  <c r="L136"/>
  <c r="K136"/>
  <c r="J136"/>
  <c r="N135"/>
  <c r="K135"/>
  <c r="J135"/>
  <c r="F135"/>
  <c r="N134"/>
  <c r="L134"/>
  <c r="K134"/>
  <c r="J134"/>
  <c r="F134"/>
  <c r="N133"/>
  <c r="K133"/>
  <c r="J133"/>
  <c r="F133"/>
  <c r="L133" s="1"/>
  <c r="N132"/>
  <c r="L132"/>
  <c r="K132"/>
  <c r="J132"/>
  <c r="F132"/>
  <c r="N131"/>
  <c r="K131"/>
  <c r="J131"/>
  <c r="F131"/>
  <c r="L131" s="1"/>
  <c r="N130"/>
  <c r="L130"/>
  <c r="J130"/>
  <c r="N129"/>
  <c r="K129"/>
  <c r="J129"/>
  <c r="F129"/>
  <c r="L129" s="1"/>
  <c r="N128"/>
  <c r="K128"/>
  <c r="J128"/>
  <c r="F128"/>
  <c r="N127"/>
  <c r="L127"/>
  <c r="K127"/>
  <c r="J127"/>
  <c r="F127"/>
  <c r="N126"/>
  <c r="K126"/>
  <c r="L126" s="1"/>
  <c r="J126"/>
  <c r="N125"/>
  <c r="K125"/>
  <c r="L125" s="1"/>
  <c r="J125"/>
  <c r="N124"/>
  <c r="K124"/>
  <c r="J124"/>
  <c r="F124"/>
  <c r="L124" s="1"/>
  <c r="N123"/>
  <c r="L123"/>
  <c r="K123"/>
  <c r="J123"/>
  <c r="F123"/>
  <c r="N122"/>
  <c r="K122"/>
  <c r="L122" s="1"/>
  <c r="J122"/>
  <c r="N121"/>
  <c r="K121"/>
  <c r="J121"/>
  <c r="F121"/>
  <c r="L121" s="1"/>
  <c r="N120"/>
  <c r="L120"/>
  <c r="K120"/>
  <c r="J120"/>
  <c r="F120"/>
  <c r="N119"/>
  <c r="K119"/>
  <c r="J119"/>
  <c r="F119"/>
  <c r="L119" s="1"/>
  <c r="N118"/>
  <c r="L118"/>
  <c r="K118"/>
  <c r="J118"/>
  <c r="N117"/>
  <c r="L117"/>
  <c r="K117"/>
  <c r="J117"/>
  <c r="F117"/>
  <c r="N116"/>
  <c r="K116"/>
  <c r="J116"/>
  <c r="F116"/>
  <c r="L116" s="1"/>
  <c r="N115"/>
  <c r="K115"/>
  <c r="J115"/>
  <c r="F115"/>
  <c r="N114"/>
  <c r="K114"/>
  <c r="J114"/>
  <c r="F114"/>
  <c r="N113"/>
  <c r="K113"/>
  <c r="J113"/>
  <c r="F113"/>
  <c r="N112"/>
  <c r="L112"/>
  <c r="K112"/>
  <c r="J112"/>
  <c r="F112"/>
  <c r="N111"/>
  <c r="K111"/>
  <c r="J111"/>
  <c r="F111"/>
  <c r="L111" s="1"/>
  <c r="N110"/>
  <c r="L110"/>
  <c r="K110"/>
  <c r="J110"/>
  <c r="F110"/>
  <c r="N109"/>
  <c r="L109" s="1"/>
  <c r="K109"/>
  <c r="J109"/>
  <c r="F109"/>
  <c r="N108"/>
  <c r="K108"/>
  <c r="L108" s="1"/>
  <c r="J108"/>
  <c r="N107"/>
  <c r="L107" s="1"/>
  <c r="K107"/>
  <c r="J107"/>
  <c r="F107"/>
  <c r="N106"/>
  <c r="K106"/>
  <c r="L106" s="1"/>
  <c r="J106"/>
  <c r="N105"/>
  <c r="K105"/>
  <c r="J105"/>
  <c r="F105"/>
  <c r="L105" s="1"/>
  <c r="N104"/>
  <c r="L104"/>
  <c r="K104"/>
  <c r="J104"/>
  <c r="F104"/>
  <c r="N103"/>
  <c r="K103"/>
  <c r="L103" s="1"/>
  <c r="J103"/>
  <c r="N102"/>
  <c r="K102"/>
  <c r="J102"/>
  <c r="F102"/>
  <c r="L102" s="1"/>
  <c r="N101"/>
  <c r="L101"/>
  <c r="K101"/>
  <c r="J101"/>
  <c r="F101"/>
  <c r="N100"/>
  <c r="K100"/>
  <c r="J100"/>
  <c r="F100"/>
  <c r="L100" s="1"/>
  <c r="N99"/>
  <c r="L99"/>
  <c r="K99"/>
  <c r="J99"/>
  <c r="N98"/>
  <c r="L98"/>
  <c r="K98"/>
  <c r="J98"/>
  <c r="N97"/>
  <c r="K97"/>
  <c r="J97"/>
  <c r="F97"/>
  <c r="N96"/>
  <c r="L96"/>
  <c r="K96"/>
  <c r="J96"/>
  <c r="F96"/>
  <c r="N95"/>
  <c r="K95"/>
  <c r="J95"/>
  <c r="F95"/>
  <c r="L95" s="1"/>
  <c r="N94"/>
  <c r="L94"/>
  <c r="K94"/>
  <c r="J94"/>
  <c r="N93"/>
  <c r="L93"/>
  <c r="K93"/>
  <c r="J93"/>
  <c r="F93"/>
  <c r="N92"/>
  <c r="K92"/>
  <c r="J92"/>
  <c r="F92"/>
  <c r="L92" s="1"/>
  <c r="N91"/>
  <c r="L91"/>
  <c r="K91"/>
  <c r="J91"/>
  <c r="F91"/>
  <c r="N90"/>
  <c r="K90"/>
  <c r="J90"/>
  <c r="F90"/>
  <c r="L90" s="1"/>
  <c r="N89"/>
  <c r="L89"/>
  <c r="K89"/>
  <c r="J89"/>
  <c r="F89"/>
  <c r="N88"/>
  <c r="K88"/>
  <c r="J88"/>
  <c r="F88"/>
  <c r="L88" s="1"/>
  <c r="N87"/>
  <c r="L87"/>
  <c r="K87"/>
  <c r="J87"/>
  <c r="F87"/>
  <c r="N86"/>
  <c r="K86"/>
  <c r="J86"/>
  <c r="F86"/>
  <c r="L86" s="1"/>
  <c r="N85"/>
  <c r="L85"/>
  <c r="K85"/>
  <c r="J85"/>
  <c r="F85"/>
  <c r="N84"/>
  <c r="K84"/>
  <c r="J84"/>
  <c r="F84"/>
  <c r="L84" s="1"/>
  <c r="N83"/>
  <c r="L83"/>
  <c r="K83"/>
  <c r="J83"/>
  <c r="F83"/>
  <c r="N82"/>
  <c r="K82"/>
  <c r="J82"/>
  <c r="F82"/>
  <c r="L82" s="1"/>
  <c r="N81"/>
  <c r="L81"/>
  <c r="K81"/>
  <c r="J81"/>
  <c r="F81"/>
  <c r="N80"/>
  <c r="K80"/>
  <c r="J80"/>
  <c r="F80"/>
  <c r="L80" s="1"/>
  <c r="N79"/>
  <c r="L79"/>
  <c r="K79"/>
  <c r="J79"/>
  <c r="N78"/>
  <c r="L78"/>
  <c r="K78"/>
  <c r="J78"/>
  <c r="F78"/>
  <c r="N77"/>
  <c r="K77"/>
  <c r="J77"/>
  <c r="F77"/>
  <c r="L77" s="1"/>
  <c r="N76"/>
  <c r="L76"/>
  <c r="K76"/>
  <c r="J76"/>
  <c r="F76"/>
  <c r="N75"/>
  <c r="K75"/>
  <c r="J75"/>
  <c r="F75"/>
  <c r="L75" s="1"/>
  <c r="N74"/>
  <c r="L74"/>
  <c r="K74"/>
  <c r="J74"/>
  <c r="N73"/>
  <c r="L73"/>
  <c r="K73"/>
  <c r="J73"/>
  <c r="F73"/>
  <c r="N72"/>
  <c r="K72"/>
  <c r="J72"/>
  <c r="F72"/>
  <c r="L72" s="1"/>
  <c r="N71"/>
  <c r="L71"/>
  <c r="K71"/>
  <c r="J71"/>
  <c r="F71"/>
  <c r="N70"/>
  <c r="K70"/>
  <c r="J70"/>
  <c r="F70"/>
  <c r="L70" s="1"/>
  <c r="N69"/>
  <c r="L69"/>
  <c r="K69"/>
  <c r="J69"/>
  <c r="F69"/>
  <c r="N68"/>
  <c r="K68"/>
  <c r="J68"/>
  <c r="F68"/>
  <c r="L68" s="1"/>
  <c r="N67"/>
  <c r="L67"/>
  <c r="K67"/>
  <c r="J67"/>
  <c r="F67"/>
  <c r="N66"/>
  <c r="K66"/>
  <c r="J66"/>
  <c r="F66"/>
  <c r="L66" s="1"/>
  <c r="N65"/>
  <c r="L65"/>
  <c r="K65"/>
  <c r="J65"/>
  <c r="F65"/>
  <c r="N64"/>
  <c r="K64"/>
  <c r="L64" s="1"/>
  <c r="J64"/>
  <c r="N63"/>
  <c r="K63"/>
  <c r="J63"/>
  <c r="F63"/>
  <c r="L63" s="1"/>
  <c r="N62"/>
  <c r="L62"/>
  <c r="K62"/>
  <c r="J62"/>
  <c r="F62"/>
  <c r="N61"/>
  <c r="K61"/>
  <c r="J61"/>
  <c r="F61"/>
  <c r="L61" s="1"/>
  <c r="N60"/>
  <c r="K60"/>
  <c r="J60"/>
  <c r="F60"/>
  <c r="L60" s="1"/>
  <c r="N59"/>
  <c r="K59"/>
  <c r="J59"/>
  <c r="F59"/>
  <c r="L59" s="1"/>
  <c r="N58"/>
  <c r="K58"/>
  <c r="L58" s="1"/>
  <c r="J58"/>
  <c r="N57"/>
  <c r="K57"/>
  <c r="L57" s="1"/>
  <c r="J57"/>
  <c r="F57"/>
  <c r="N56"/>
  <c r="L56"/>
  <c r="K56"/>
  <c r="J56"/>
  <c r="F56"/>
  <c r="N55"/>
  <c r="K55"/>
  <c r="J55"/>
  <c r="F55"/>
  <c r="L55" s="1"/>
  <c r="N54"/>
  <c r="K54"/>
  <c r="J54"/>
  <c r="F54"/>
  <c r="L54" s="1"/>
  <c r="N53"/>
  <c r="J53"/>
  <c r="F53"/>
  <c r="N52"/>
  <c r="K52"/>
  <c r="L52" s="1"/>
  <c r="J52"/>
  <c r="N51"/>
  <c r="K51"/>
  <c r="J51"/>
  <c r="F51"/>
  <c r="N50"/>
  <c r="K50"/>
  <c r="J50"/>
  <c r="F50"/>
  <c r="L50" s="1"/>
  <c r="N49"/>
  <c r="K49"/>
  <c r="L49" s="1"/>
  <c r="J49"/>
  <c r="N48"/>
  <c r="K48"/>
  <c r="L48" s="1"/>
  <c r="J48"/>
  <c r="F48"/>
  <c r="N47"/>
  <c r="L47"/>
  <c r="K47"/>
  <c r="J47"/>
  <c r="F47"/>
  <c r="N46"/>
  <c r="K46"/>
  <c r="J46"/>
  <c r="F46"/>
  <c r="L46" s="1"/>
  <c r="N45"/>
  <c r="K45"/>
  <c r="J45"/>
  <c r="F45"/>
  <c r="L45" s="1"/>
  <c r="N44"/>
  <c r="K44"/>
  <c r="L44" s="1"/>
  <c r="J44"/>
  <c r="F44"/>
  <c r="N43"/>
  <c r="L43"/>
  <c r="K43"/>
  <c r="J43"/>
  <c r="F43"/>
  <c r="N42"/>
  <c r="K42"/>
  <c r="J42"/>
  <c r="F42"/>
  <c r="L42" s="1"/>
  <c r="N41"/>
  <c r="K41"/>
  <c r="J41"/>
  <c r="F41"/>
  <c r="L41" s="1"/>
  <c r="N40"/>
  <c r="K40"/>
  <c r="L40" s="1"/>
  <c r="J40"/>
  <c r="N39"/>
  <c r="K39"/>
  <c r="L39" s="1"/>
  <c r="J39"/>
  <c r="N38"/>
  <c r="K38"/>
  <c r="L38" s="1"/>
  <c r="J38"/>
  <c r="F38"/>
  <c r="N37"/>
  <c r="L37"/>
  <c r="K37"/>
  <c r="J37"/>
  <c r="F37"/>
  <c r="N36"/>
  <c r="K36"/>
  <c r="J36"/>
  <c r="F36"/>
  <c r="L36" s="1"/>
  <c r="N35"/>
  <c r="K35"/>
  <c r="L35" s="1"/>
  <c r="J35"/>
  <c r="N34"/>
  <c r="K34"/>
  <c r="J34"/>
  <c r="F34"/>
  <c r="L34" s="1"/>
  <c r="N33"/>
  <c r="K33"/>
  <c r="L33" s="1"/>
  <c r="J33"/>
  <c r="F33"/>
  <c r="N32"/>
  <c r="L32"/>
  <c r="K32"/>
  <c r="J32"/>
  <c r="F32"/>
  <c r="N31"/>
  <c r="K31"/>
  <c r="J31"/>
  <c r="F31"/>
  <c r="L31" s="1"/>
  <c r="N30"/>
  <c r="K30"/>
  <c r="J30"/>
  <c r="F30"/>
  <c r="L30" s="1"/>
  <c r="N29"/>
  <c r="K29"/>
  <c r="L29" s="1"/>
  <c r="J29"/>
  <c r="F29"/>
  <c r="N28"/>
  <c r="L28"/>
  <c r="K28"/>
  <c r="J28"/>
  <c r="F28"/>
  <c r="N27"/>
  <c r="K27"/>
  <c r="J27"/>
  <c r="F27"/>
  <c r="L27" s="1"/>
  <c r="N26"/>
  <c r="K26"/>
  <c r="J26"/>
  <c r="F26"/>
  <c r="L26" s="1"/>
  <c r="N25"/>
  <c r="K25"/>
  <c r="L25" s="1"/>
  <c r="J25"/>
  <c r="F25"/>
  <c r="N24"/>
  <c r="L24"/>
  <c r="K24"/>
  <c r="J24"/>
  <c r="F24"/>
  <c r="N23"/>
  <c r="K23"/>
  <c r="J23"/>
  <c r="F23"/>
  <c r="L23" s="1"/>
  <c r="N22"/>
  <c r="K22"/>
  <c r="J22"/>
  <c r="F22"/>
  <c r="L22" s="1"/>
  <c r="N21"/>
  <c r="K21"/>
  <c r="L21" s="1"/>
  <c r="J21"/>
  <c r="F21"/>
  <c r="N20"/>
  <c r="L20"/>
  <c r="K20"/>
  <c r="J20"/>
  <c r="F20"/>
  <c r="N19"/>
  <c r="K19"/>
  <c r="J19"/>
  <c r="F19"/>
  <c r="L19" s="1"/>
  <c r="N18"/>
  <c r="K18"/>
  <c r="J18"/>
  <c r="F18"/>
  <c r="L18" s="1"/>
  <c r="N17"/>
  <c r="K17"/>
  <c r="L17" s="1"/>
  <c r="J17"/>
  <c r="F17"/>
  <c r="N16"/>
  <c r="L16"/>
  <c r="K16"/>
  <c r="J16"/>
  <c r="F16"/>
  <c r="N15"/>
  <c r="K15"/>
  <c r="J15"/>
  <c r="F15"/>
  <c r="L15" s="1"/>
  <c r="N14"/>
  <c r="K14"/>
  <c r="J14"/>
  <c r="F14"/>
  <c r="L14" s="1"/>
  <c r="N13"/>
  <c r="K13"/>
  <c r="L13" s="1"/>
  <c r="J13"/>
  <c r="F13"/>
  <c r="N12"/>
  <c r="L12"/>
  <c r="K12"/>
  <c r="J12"/>
  <c r="F12"/>
  <c r="N11"/>
  <c r="K11"/>
  <c r="J11"/>
  <c r="F11"/>
  <c r="L11" s="1"/>
  <c r="N10"/>
  <c r="K10"/>
  <c r="J10"/>
  <c r="F10"/>
  <c r="L10" s="1"/>
  <c r="N9"/>
  <c r="K9"/>
  <c r="L9" s="1"/>
  <c r="J9"/>
  <c r="F9"/>
  <c r="N8"/>
  <c r="L8"/>
  <c r="K8"/>
  <c r="J8"/>
  <c r="F8"/>
  <c r="N7"/>
  <c r="K7"/>
  <c r="J7"/>
  <c r="F7"/>
  <c r="L7" s="1"/>
  <c r="N6"/>
  <c r="K6"/>
  <c r="K209" s="1"/>
  <c r="K247" s="1"/>
  <c r="J6"/>
  <c r="F6"/>
  <c r="L6" s="1"/>
  <c r="N245" i="15"/>
  <c r="K245"/>
  <c r="F245"/>
  <c r="L245" s="1"/>
  <c r="N244"/>
  <c r="K244"/>
  <c r="F244"/>
  <c r="L244" s="1"/>
  <c r="N243"/>
  <c r="K243"/>
  <c r="F243"/>
  <c r="N242"/>
  <c r="K242"/>
  <c r="F242"/>
  <c r="H239"/>
  <c r="E239"/>
  <c r="E240" s="1"/>
  <c r="D239"/>
  <c r="K237"/>
  <c r="J237"/>
  <c r="F237"/>
  <c r="K238"/>
  <c r="J238"/>
  <c r="F238"/>
  <c r="K239"/>
  <c r="H240"/>
  <c r="K218"/>
  <c r="J218"/>
  <c r="K217"/>
  <c r="J217"/>
  <c r="K216"/>
  <c r="J216"/>
  <c r="K215"/>
  <c r="J215"/>
  <c r="K214"/>
  <c r="J214"/>
  <c r="K213"/>
  <c r="J213"/>
  <c r="K212"/>
  <c r="J212"/>
  <c r="N211"/>
  <c r="K211"/>
  <c r="J211"/>
  <c r="K210"/>
  <c r="J210"/>
  <c r="K209"/>
  <c r="J209"/>
  <c r="K208"/>
  <c r="J208"/>
  <c r="K207"/>
  <c r="J207"/>
  <c r="K206"/>
  <c r="J206"/>
  <c r="K205"/>
  <c r="J205"/>
  <c r="K204"/>
  <c r="J204"/>
  <c r="K203"/>
  <c r="L203" s="1"/>
  <c r="J203"/>
  <c r="N202"/>
  <c r="K202"/>
  <c r="J202"/>
  <c r="F202"/>
  <c r="K201"/>
  <c r="J201"/>
  <c r="N200"/>
  <c r="K200"/>
  <c r="L200" s="1"/>
  <c r="J200"/>
  <c r="N199"/>
  <c r="K199"/>
  <c r="J199"/>
  <c r="N198"/>
  <c r="K198"/>
  <c r="J198"/>
  <c r="F198"/>
  <c r="N197"/>
  <c r="K197"/>
  <c r="J197"/>
  <c r="N196"/>
  <c r="K196"/>
  <c r="J196"/>
  <c r="F196"/>
  <c r="N195"/>
  <c r="K195"/>
  <c r="J195"/>
  <c r="F195"/>
  <c r="N194"/>
  <c r="K194"/>
  <c r="J194"/>
  <c r="N193"/>
  <c r="K193"/>
  <c r="J193"/>
  <c r="F193"/>
  <c r="L193" s="1"/>
  <c r="N192"/>
  <c r="K192"/>
  <c r="J192"/>
  <c r="N191"/>
  <c r="K191"/>
  <c r="J191"/>
  <c r="N190"/>
  <c r="K190"/>
  <c r="J190"/>
  <c r="N189"/>
  <c r="K189"/>
  <c r="J189"/>
  <c r="N188"/>
  <c r="K188"/>
  <c r="J188"/>
  <c r="F188"/>
  <c r="L188" s="1"/>
  <c r="N187"/>
  <c r="K187"/>
  <c r="J187"/>
  <c r="N186"/>
  <c r="K186"/>
  <c r="J186"/>
  <c r="F186"/>
  <c r="L186" s="1"/>
  <c r="N185"/>
  <c r="K185"/>
  <c r="J185"/>
  <c r="F185"/>
  <c r="L185" s="1"/>
  <c r="N184"/>
  <c r="K184"/>
  <c r="J184"/>
  <c r="F184"/>
  <c r="L184" s="1"/>
  <c r="N183"/>
  <c r="K183"/>
  <c r="J183"/>
  <c r="F183"/>
  <c r="L183" s="1"/>
  <c r="N182"/>
  <c r="K182"/>
  <c r="J182"/>
  <c r="F182"/>
  <c r="L182" s="1"/>
  <c r="N181"/>
  <c r="K181"/>
  <c r="J181"/>
  <c r="F181"/>
  <c r="L181" s="1"/>
  <c r="N180"/>
  <c r="K180"/>
  <c r="J180"/>
  <c r="F180"/>
  <c r="L180" s="1"/>
  <c r="N179"/>
  <c r="K179"/>
  <c r="J179"/>
  <c r="F179"/>
  <c r="L179" s="1"/>
  <c r="N178"/>
  <c r="K178"/>
  <c r="J178"/>
  <c r="F178"/>
  <c r="L178" s="1"/>
  <c r="N177"/>
  <c r="K177"/>
  <c r="J177"/>
  <c r="F177"/>
  <c r="L177" s="1"/>
  <c r="N176"/>
  <c r="K176"/>
  <c r="J176"/>
  <c r="F176"/>
  <c r="L176" s="1"/>
  <c r="N175"/>
  <c r="K175"/>
  <c r="J175"/>
  <c r="F175"/>
  <c r="L175" s="1"/>
  <c r="N174"/>
  <c r="K174"/>
  <c r="J174"/>
  <c r="F174"/>
  <c r="L174" s="1"/>
  <c r="N173"/>
  <c r="K173"/>
  <c r="J173"/>
  <c r="F173"/>
  <c r="L173" s="1"/>
  <c r="N172"/>
  <c r="K172"/>
  <c r="J172"/>
  <c r="F172"/>
  <c r="L172" s="1"/>
  <c r="N171"/>
  <c r="K171"/>
  <c r="J171"/>
  <c r="F171"/>
  <c r="L171" s="1"/>
  <c r="N170"/>
  <c r="K170"/>
  <c r="J170"/>
  <c r="F170"/>
  <c r="L170" s="1"/>
  <c r="N169"/>
  <c r="K169"/>
  <c r="J169"/>
  <c r="F169"/>
  <c r="L169" s="1"/>
  <c r="N168"/>
  <c r="K168"/>
  <c r="J168"/>
  <c r="F168"/>
  <c r="L168" s="1"/>
  <c r="N167"/>
  <c r="K167"/>
  <c r="J167"/>
  <c r="F167"/>
  <c r="L167" s="1"/>
  <c r="N166"/>
  <c r="K166"/>
  <c r="J166"/>
  <c r="F166"/>
  <c r="L166" s="1"/>
  <c r="N165"/>
  <c r="K165"/>
  <c r="J165"/>
  <c r="F165"/>
  <c r="L165" s="1"/>
  <c r="N164"/>
  <c r="K164"/>
  <c r="J164"/>
  <c r="F164"/>
  <c r="L164" s="1"/>
  <c r="N163"/>
  <c r="K163"/>
  <c r="J163"/>
  <c r="F163"/>
  <c r="L163" s="1"/>
  <c r="N162"/>
  <c r="K162"/>
  <c r="J162"/>
  <c r="F162"/>
  <c r="L162" s="1"/>
  <c r="N161"/>
  <c r="K161"/>
  <c r="J161"/>
  <c r="F161"/>
  <c r="L161" s="1"/>
  <c r="N160"/>
  <c r="K160"/>
  <c r="J160"/>
  <c r="F160"/>
  <c r="L160" s="1"/>
  <c r="N159"/>
  <c r="K159"/>
  <c r="J159"/>
  <c r="F159"/>
  <c r="L159" s="1"/>
  <c r="N158"/>
  <c r="K158"/>
  <c r="J158"/>
  <c r="F158"/>
  <c r="L158" s="1"/>
  <c r="N157"/>
  <c r="K157"/>
  <c r="J157"/>
  <c r="F157"/>
  <c r="L157" s="1"/>
  <c r="N156"/>
  <c r="K156"/>
  <c r="J156"/>
  <c r="F156"/>
  <c r="L156" s="1"/>
  <c r="N155"/>
  <c r="K155"/>
  <c r="J155"/>
  <c r="F155"/>
  <c r="L155" s="1"/>
  <c r="N154"/>
  <c r="K154"/>
  <c r="J154"/>
  <c r="F154"/>
  <c r="L154" s="1"/>
  <c r="N153"/>
  <c r="K153"/>
  <c r="J153"/>
  <c r="F153"/>
  <c r="L153" s="1"/>
  <c r="N152"/>
  <c r="K152"/>
  <c r="J152"/>
  <c r="F152"/>
  <c r="L152" s="1"/>
  <c r="N151"/>
  <c r="K151"/>
  <c r="J151"/>
  <c r="F151"/>
  <c r="L151" s="1"/>
  <c r="N150"/>
  <c r="K150"/>
  <c r="J150"/>
  <c r="F150"/>
  <c r="L150" s="1"/>
  <c r="N149"/>
  <c r="K149"/>
  <c r="J149"/>
  <c r="F149"/>
  <c r="L149" s="1"/>
  <c r="N148"/>
  <c r="K148"/>
  <c r="J148"/>
  <c r="F148"/>
  <c r="L148" s="1"/>
  <c r="N147"/>
  <c r="K147"/>
  <c r="J147"/>
  <c r="F147"/>
  <c r="L147" s="1"/>
  <c r="N146"/>
  <c r="K146"/>
  <c r="J146"/>
  <c r="F146"/>
  <c r="L146" s="1"/>
  <c r="N145"/>
  <c r="K145"/>
  <c r="J145"/>
  <c r="F145"/>
  <c r="L145" s="1"/>
  <c r="N144"/>
  <c r="K144"/>
  <c r="J144"/>
  <c r="F144"/>
  <c r="L144" s="1"/>
  <c r="N143"/>
  <c r="K143"/>
  <c r="J143"/>
  <c r="F143"/>
  <c r="L143" s="1"/>
  <c r="N142"/>
  <c r="K142"/>
  <c r="J142"/>
  <c r="F142"/>
  <c r="L142" s="1"/>
  <c r="N141"/>
  <c r="K141"/>
  <c r="J141"/>
  <c r="F141"/>
  <c r="L141" s="1"/>
  <c r="N140"/>
  <c r="K140"/>
  <c r="J140"/>
  <c r="F140"/>
  <c r="L140" s="1"/>
  <c r="N139"/>
  <c r="K139"/>
  <c r="J139"/>
  <c r="F139"/>
  <c r="L139" s="1"/>
  <c r="N138"/>
  <c r="K138"/>
  <c r="J138"/>
  <c r="F138"/>
  <c r="L138" s="1"/>
  <c r="N137"/>
  <c r="K137"/>
  <c r="J137"/>
  <c r="F137"/>
  <c r="L137" s="1"/>
  <c r="N136"/>
  <c r="K136"/>
  <c r="J136"/>
  <c r="F136"/>
  <c r="L136" s="1"/>
  <c r="N135"/>
  <c r="K135"/>
  <c r="J135"/>
  <c r="F135"/>
  <c r="L135" s="1"/>
  <c r="N134"/>
  <c r="K134"/>
  <c r="J134"/>
  <c r="F134"/>
  <c r="L134" s="1"/>
  <c r="N133"/>
  <c r="K133"/>
  <c r="J133"/>
  <c r="F133"/>
  <c r="L133" s="1"/>
  <c r="N132"/>
  <c r="K132"/>
  <c r="J132"/>
  <c r="F132"/>
  <c r="L132" s="1"/>
  <c r="N131"/>
  <c r="K131"/>
  <c r="J131"/>
  <c r="F131"/>
  <c r="L131" s="1"/>
  <c r="N130"/>
  <c r="K130"/>
  <c r="J130"/>
  <c r="F130"/>
  <c r="L130" s="1"/>
  <c r="N129"/>
  <c r="K129"/>
  <c r="J129"/>
  <c r="F129"/>
  <c r="L129" s="1"/>
  <c r="N128"/>
  <c r="K128"/>
  <c r="J128"/>
  <c r="F128"/>
  <c r="L128" s="1"/>
  <c r="N127"/>
  <c r="K127"/>
  <c r="J127"/>
  <c r="F127"/>
  <c r="L127" s="1"/>
  <c r="N126"/>
  <c r="K126"/>
  <c r="J126"/>
  <c r="F126"/>
  <c r="L126" s="1"/>
  <c r="N125"/>
  <c r="K125"/>
  <c r="J125"/>
  <c r="F125"/>
  <c r="L125" s="1"/>
  <c r="N124"/>
  <c r="K124"/>
  <c r="J124"/>
  <c r="F124"/>
  <c r="L124" s="1"/>
  <c r="N123"/>
  <c r="K123"/>
  <c r="J123"/>
  <c r="F123"/>
  <c r="L123" s="1"/>
  <c r="N122"/>
  <c r="K122"/>
  <c r="J122"/>
  <c r="F122"/>
  <c r="L122" s="1"/>
  <c r="N121"/>
  <c r="K121"/>
  <c r="J121"/>
  <c r="F121"/>
  <c r="L121" s="1"/>
  <c r="N120"/>
  <c r="K120"/>
  <c r="J120"/>
  <c r="F120"/>
  <c r="L120" s="1"/>
  <c r="N119"/>
  <c r="K119"/>
  <c r="J119"/>
  <c r="F119"/>
  <c r="L119" s="1"/>
  <c r="N118"/>
  <c r="K118"/>
  <c r="J118"/>
  <c r="F118"/>
  <c r="L118" s="1"/>
  <c r="N117"/>
  <c r="K117"/>
  <c r="J117"/>
  <c r="F117"/>
  <c r="L117" s="1"/>
  <c r="N116"/>
  <c r="K116"/>
  <c r="J116"/>
  <c r="F116"/>
  <c r="L116" s="1"/>
  <c r="N115"/>
  <c r="K115"/>
  <c r="J115"/>
  <c r="F115"/>
  <c r="L115" s="1"/>
  <c r="N114"/>
  <c r="K114"/>
  <c r="J114"/>
  <c r="F114"/>
  <c r="L114" s="1"/>
  <c r="N113"/>
  <c r="K113"/>
  <c r="J113"/>
  <c r="F113"/>
  <c r="L113" s="1"/>
  <c r="N112"/>
  <c r="K112"/>
  <c r="J112"/>
  <c r="F112"/>
  <c r="L112" s="1"/>
  <c r="N111"/>
  <c r="K111"/>
  <c r="J111"/>
  <c r="F111"/>
  <c r="N110"/>
  <c r="K110"/>
  <c r="J110"/>
  <c r="F110"/>
  <c r="L110" s="1"/>
  <c r="N109"/>
  <c r="K109"/>
  <c r="J109"/>
  <c r="F109"/>
  <c r="L109" s="1"/>
  <c r="N108"/>
  <c r="K108"/>
  <c r="J108"/>
  <c r="F108"/>
  <c r="L108" s="1"/>
  <c r="N107"/>
  <c r="K107"/>
  <c r="J107"/>
  <c r="F107"/>
  <c r="L107" s="1"/>
  <c r="N106"/>
  <c r="K106"/>
  <c r="J106"/>
  <c r="F106"/>
  <c r="L106" s="1"/>
  <c r="N105"/>
  <c r="K105"/>
  <c r="J105"/>
  <c r="F105"/>
  <c r="L105" s="1"/>
  <c r="N104"/>
  <c r="K104"/>
  <c r="J104"/>
  <c r="F104"/>
  <c r="L104" s="1"/>
  <c r="N103"/>
  <c r="K103"/>
  <c r="J103"/>
  <c r="F103"/>
  <c r="L103" s="1"/>
  <c r="N102"/>
  <c r="K102"/>
  <c r="J102"/>
  <c r="F102"/>
  <c r="L102" s="1"/>
  <c r="N101"/>
  <c r="K101"/>
  <c r="J101"/>
  <c r="F101"/>
  <c r="L101" s="1"/>
  <c r="N100"/>
  <c r="K100"/>
  <c r="J100"/>
  <c r="F100"/>
  <c r="L100" s="1"/>
  <c r="N99"/>
  <c r="K99"/>
  <c r="J99"/>
  <c r="F99"/>
  <c r="L99" s="1"/>
  <c r="N98"/>
  <c r="K98"/>
  <c r="J98"/>
  <c r="F98"/>
  <c r="L98" s="1"/>
  <c r="N97"/>
  <c r="K97"/>
  <c r="J97"/>
  <c r="F97"/>
  <c r="L97" s="1"/>
  <c r="N96"/>
  <c r="K96"/>
  <c r="J96"/>
  <c r="N95"/>
  <c r="K95"/>
  <c r="J95"/>
  <c r="F95"/>
  <c r="N94"/>
  <c r="K94"/>
  <c r="J94"/>
  <c r="F94"/>
  <c r="N93"/>
  <c r="K93"/>
  <c r="J93"/>
  <c r="F93"/>
  <c r="N92"/>
  <c r="K92"/>
  <c r="J92"/>
  <c r="F92"/>
  <c r="N91"/>
  <c r="K91"/>
  <c r="J91"/>
  <c r="F91"/>
  <c r="N90"/>
  <c r="K90"/>
  <c r="J90"/>
  <c r="F90"/>
  <c r="N89"/>
  <c r="K89"/>
  <c r="J89"/>
  <c r="F89"/>
  <c r="N88"/>
  <c r="K88"/>
  <c r="J88"/>
  <c r="F88"/>
  <c r="N87"/>
  <c r="K87"/>
  <c r="J87"/>
  <c r="F87"/>
  <c r="N86"/>
  <c r="K86"/>
  <c r="J86"/>
  <c r="F86"/>
  <c r="N85"/>
  <c r="K85"/>
  <c r="J85"/>
  <c r="F85"/>
  <c r="N84"/>
  <c r="K84"/>
  <c r="J84"/>
  <c r="F84"/>
  <c r="N83"/>
  <c r="K83"/>
  <c r="J83"/>
  <c r="F83"/>
  <c r="N82"/>
  <c r="K82"/>
  <c r="J82"/>
  <c r="F82"/>
  <c r="N81"/>
  <c r="K81"/>
  <c r="J81"/>
  <c r="F81"/>
  <c r="N80"/>
  <c r="K80"/>
  <c r="J80"/>
  <c r="F80"/>
  <c r="N79"/>
  <c r="K79"/>
  <c r="J79"/>
  <c r="F79"/>
  <c r="N78"/>
  <c r="K78"/>
  <c r="J78"/>
  <c r="F78"/>
  <c r="N77"/>
  <c r="K77"/>
  <c r="J77"/>
  <c r="N76"/>
  <c r="K76"/>
  <c r="J76"/>
  <c r="F76"/>
  <c r="N75"/>
  <c r="K75"/>
  <c r="J75"/>
  <c r="F75"/>
  <c r="N74"/>
  <c r="K74"/>
  <c r="J74"/>
  <c r="F74"/>
  <c r="N73"/>
  <c r="K73"/>
  <c r="J73"/>
  <c r="F73"/>
  <c r="N72"/>
  <c r="K72"/>
  <c r="J72"/>
  <c r="F72"/>
  <c r="N71"/>
  <c r="K71"/>
  <c r="J71"/>
  <c r="F71"/>
  <c r="N70"/>
  <c r="K70"/>
  <c r="J70"/>
  <c r="F70"/>
  <c r="N69"/>
  <c r="K69"/>
  <c r="J69"/>
  <c r="F69"/>
  <c r="N68"/>
  <c r="K68"/>
  <c r="J68"/>
  <c r="F68"/>
  <c r="N67"/>
  <c r="K67"/>
  <c r="J67"/>
  <c r="F67"/>
  <c r="N66"/>
  <c r="K66"/>
  <c r="J66"/>
  <c r="F66"/>
  <c r="N65"/>
  <c r="K65"/>
  <c r="J65"/>
  <c r="F65"/>
  <c r="N64"/>
  <c r="K64"/>
  <c r="J64"/>
  <c r="F64"/>
  <c r="N63"/>
  <c r="K63"/>
  <c r="J63"/>
  <c r="F63"/>
  <c r="N62"/>
  <c r="K62"/>
  <c r="J62"/>
  <c r="F62"/>
  <c r="N61"/>
  <c r="K61"/>
  <c r="J61"/>
  <c r="F61"/>
  <c r="N60"/>
  <c r="K60"/>
  <c r="J60"/>
  <c r="F60"/>
  <c r="N59"/>
  <c r="K59"/>
  <c r="J59"/>
  <c r="F59"/>
  <c r="N58"/>
  <c r="J58"/>
  <c r="F58"/>
  <c r="N57"/>
  <c r="K57"/>
  <c r="J57"/>
  <c r="N56"/>
  <c r="K56"/>
  <c r="J56"/>
  <c r="F56"/>
  <c r="L56" s="1"/>
  <c r="N55"/>
  <c r="K55"/>
  <c r="J55"/>
  <c r="F55"/>
  <c r="L55" s="1"/>
  <c r="N54"/>
  <c r="K54"/>
  <c r="J54"/>
  <c r="N53"/>
  <c r="K53"/>
  <c r="J53"/>
  <c r="F53"/>
  <c r="N52"/>
  <c r="K52"/>
  <c r="J52"/>
  <c r="F52"/>
  <c r="N51"/>
  <c r="K51"/>
  <c r="J51"/>
  <c r="F51"/>
  <c r="N50"/>
  <c r="K50"/>
  <c r="J50"/>
  <c r="F50"/>
  <c r="N49"/>
  <c r="K49"/>
  <c r="J49"/>
  <c r="F49"/>
  <c r="N48"/>
  <c r="K48"/>
  <c r="J48"/>
  <c r="F48"/>
  <c r="N47"/>
  <c r="K47"/>
  <c r="J47"/>
  <c r="F47"/>
  <c r="N46"/>
  <c r="K46"/>
  <c r="J46"/>
  <c r="F46"/>
  <c r="N45"/>
  <c r="K45"/>
  <c r="J45"/>
  <c r="F45"/>
  <c r="N44"/>
  <c r="K44"/>
  <c r="J44"/>
  <c r="F44"/>
  <c r="N43"/>
  <c r="K43"/>
  <c r="J43"/>
  <c r="F43"/>
  <c r="N42"/>
  <c r="K42"/>
  <c r="J42"/>
  <c r="F42"/>
  <c r="N41"/>
  <c r="K41"/>
  <c r="J41"/>
  <c r="F41"/>
  <c r="N40"/>
  <c r="K40"/>
  <c r="J40"/>
  <c r="N39"/>
  <c r="K39"/>
  <c r="J39"/>
  <c r="F39"/>
  <c r="N38"/>
  <c r="K38"/>
  <c r="J38"/>
  <c r="F38"/>
  <c r="N37"/>
  <c r="K37"/>
  <c r="J37"/>
  <c r="F37"/>
  <c r="N36"/>
  <c r="K36"/>
  <c r="J36"/>
  <c r="F36"/>
  <c r="N35"/>
  <c r="K35"/>
  <c r="J35"/>
  <c r="F35"/>
  <c r="N34"/>
  <c r="K34"/>
  <c r="J34"/>
  <c r="F34"/>
  <c r="N33"/>
  <c r="K33"/>
  <c r="J33"/>
  <c r="F33"/>
  <c r="N32"/>
  <c r="K32"/>
  <c r="J32"/>
  <c r="F32"/>
  <c r="N31"/>
  <c r="K31"/>
  <c r="J31"/>
  <c r="F31"/>
  <c r="N30"/>
  <c r="K30"/>
  <c r="J30"/>
  <c r="F30"/>
  <c r="N29"/>
  <c r="K29"/>
  <c r="J29"/>
  <c r="F29"/>
  <c r="N28"/>
  <c r="K28"/>
  <c r="J28"/>
  <c r="F28"/>
  <c r="N27"/>
  <c r="K27"/>
  <c r="J27"/>
  <c r="F27"/>
  <c r="N26"/>
  <c r="K26"/>
  <c r="J26"/>
  <c r="F26"/>
  <c r="N25"/>
  <c r="K25"/>
  <c r="J25"/>
  <c r="F25"/>
  <c r="N24"/>
  <c r="K24"/>
  <c r="J24"/>
  <c r="F24"/>
  <c r="N23"/>
  <c r="K23"/>
  <c r="J23"/>
  <c r="F23"/>
  <c r="N22"/>
  <c r="K22"/>
  <c r="J22"/>
  <c r="F22"/>
  <c r="N21"/>
  <c r="K21"/>
  <c r="J21"/>
  <c r="F21"/>
  <c r="N20"/>
  <c r="K20"/>
  <c r="J20"/>
  <c r="F20"/>
  <c r="N19"/>
  <c r="K19"/>
  <c r="J19"/>
  <c r="F19"/>
  <c r="N18"/>
  <c r="K18"/>
  <c r="J18"/>
  <c r="F18"/>
  <c r="N17"/>
  <c r="K17"/>
  <c r="J17"/>
  <c r="F17"/>
  <c r="N16"/>
  <c r="K16"/>
  <c r="J16"/>
  <c r="F16"/>
  <c r="N15"/>
  <c r="K15"/>
  <c r="J15"/>
  <c r="F15"/>
  <c r="N14"/>
  <c r="K14"/>
  <c r="J14"/>
  <c r="F14"/>
  <c r="N13"/>
  <c r="K13"/>
  <c r="J13"/>
  <c r="F13"/>
  <c r="N12"/>
  <c r="K12"/>
  <c r="J12"/>
  <c r="F12"/>
  <c r="N11"/>
  <c r="K11"/>
  <c r="J11"/>
  <c r="F11"/>
  <c r="N10"/>
  <c r="K10"/>
  <c r="J10"/>
  <c r="F10"/>
  <c r="N9"/>
  <c r="K9"/>
  <c r="J9"/>
  <c r="F9"/>
  <c r="N8"/>
  <c r="K8"/>
  <c r="J8"/>
  <c r="F8"/>
  <c r="N7"/>
  <c r="K7"/>
  <c r="J7"/>
  <c r="F7"/>
  <c r="N6"/>
  <c r="K6"/>
  <c r="J6"/>
  <c r="F6"/>
  <c r="N259" i="13"/>
  <c r="K259"/>
  <c r="F259"/>
  <c r="L259" s="1"/>
  <c r="N258"/>
  <c r="K258"/>
  <c r="F258"/>
  <c r="L258" s="1"/>
  <c r="N257"/>
  <c r="K257"/>
  <c r="F257"/>
  <c r="L257" s="1"/>
  <c r="N256"/>
  <c r="K256"/>
  <c r="F256"/>
  <c r="K254"/>
  <c r="L252"/>
  <c r="H250"/>
  <c r="E250"/>
  <c r="D250"/>
  <c r="N248"/>
  <c r="K248"/>
  <c r="J248"/>
  <c r="N247"/>
  <c r="K234"/>
  <c r="L234" s="1"/>
  <c r="J234"/>
  <c r="K233"/>
  <c r="J233"/>
  <c r="F233"/>
  <c r="L233" s="1"/>
  <c r="K247"/>
  <c r="L247" s="1"/>
  <c r="J247"/>
  <c r="K246"/>
  <c r="J246"/>
  <c r="K245"/>
  <c r="L245" s="1"/>
  <c r="J245"/>
  <c r="K244"/>
  <c r="J244"/>
  <c r="K232"/>
  <c r="J232"/>
  <c r="K243"/>
  <c r="J243"/>
  <c r="K242"/>
  <c r="J242"/>
  <c r="K231"/>
  <c r="J231"/>
  <c r="L230"/>
  <c r="J230"/>
  <c r="K229"/>
  <c r="J229"/>
  <c r="F229"/>
  <c r="K228"/>
  <c r="J228"/>
  <c r="K241"/>
  <c r="L241" s="1"/>
  <c r="J241"/>
  <c r="K227"/>
  <c r="J227"/>
  <c r="K240"/>
  <c r="J240"/>
  <c r="K226"/>
  <c r="J226"/>
  <c r="K225"/>
  <c r="L225" s="1"/>
  <c r="J225"/>
  <c r="K239"/>
  <c r="L239" s="1"/>
  <c r="J239"/>
  <c r="K238"/>
  <c r="L238" s="1"/>
  <c r="J238"/>
  <c r="K237"/>
  <c r="J237"/>
  <c r="K236"/>
  <c r="J236"/>
  <c r="K224"/>
  <c r="J224"/>
  <c r="K203"/>
  <c r="J203"/>
  <c r="K202"/>
  <c r="J202"/>
  <c r="K201"/>
  <c r="J201"/>
  <c r="N200"/>
  <c r="L97" i="17" l="1"/>
  <c r="L113"/>
  <c r="L114"/>
  <c r="L115"/>
  <c r="L128"/>
  <c r="L135"/>
  <c r="L167"/>
  <c r="L173"/>
  <c r="L188"/>
  <c r="L205"/>
  <c r="F209"/>
  <c r="F247" s="1"/>
  <c r="K228" i="15"/>
  <c r="L41"/>
  <c r="L42"/>
  <c r="L43"/>
  <c r="L44"/>
  <c r="L45"/>
  <c r="L46"/>
  <c r="L47"/>
  <c r="L48"/>
  <c r="L49"/>
  <c r="L50"/>
  <c r="L51"/>
  <c r="L52"/>
  <c r="L53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198"/>
  <c r="L243"/>
  <c r="L53" i="17"/>
  <c r="L176"/>
  <c r="L235"/>
  <c r="F246"/>
  <c r="K250" i="13"/>
  <c r="L256"/>
  <c r="F228" i="15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195"/>
  <c r="L196"/>
  <c r="L51" i="17"/>
  <c r="L209" s="1"/>
  <c r="L244"/>
  <c r="L201" i="13"/>
  <c r="L202"/>
  <c r="L203"/>
  <c r="L224"/>
  <c r="L236"/>
  <c r="L237"/>
  <c r="L226"/>
  <c r="L240"/>
  <c r="L227"/>
  <c r="L228"/>
  <c r="L231"/>
  <c r="L242"/>
  <c r="L243"/>
  <c r="L232"/>
  <c r="L244"/>
  <c r="L246"/>
  <c r="L248"/>
  <c r="D251"/>
  <c r="E251"/>
  <c r="H251"/>
  <c r="L229"/>
  <c r="L250" s="1"/>
  <c r="F250"/>
  <c r="L6" i="15"/>
  <c r="L40"/>
  <c r="L54"/>
  <c r="L57"/>
  <c r="L58"/>
  <c r="L77"/>
  <c r="L96"/>
  <c r="L111"/>
  <c r="L187"/>
  <c r="L189"/>
  <c r="L190"/>
  <c r="L191"/>
  <c r="L192"/>
  <c r="L194"/>
  <c r="L197"/>
  <c r="L199"/>
  <c r="L201"/>
  <c r="L202"/>
  <c r="L204"/>
  <c r="L205"/>
  <c r="L206"/>
  <c r="L207"/>
  <c r="L208"/>
  <c r="L209"/>
  <c r="L210"/>
  <c r="L211"/>
  <c r="L212"/>
  <c r="L213"/>
  <c r="L214"/>
  <c r="L215"/>
  <c r="L216"/>
  <c r="L217"/>
  <c r="L218"/>
  <c r="L238"/>
  <c r="L237"/>
  <c r="F239"/>
  <c r="D240"/>
  <c r="L242"/>
  <c r="K200" i="13"/>
  <c r="J200"/>
  <c r="F200"/>
  <c r="K199"/>
  <c r="J199"/>
  <c r="N198"/>
  <c r="J198"/>
  <c r="F198"/>
  <c r="N197"/>
  <c r="K197"/>
  <c r="J197"/>
  <c r="F197"/>
  <c r="L197" s="1"/>
  <c r="N196"/>
  <c r="K196"/>
  <c r="J196"/>
  <c r="F196"/>
  <c r="L196" s="1"/>
  <c r="N195"/>
  <c r="K195"/>
  <c r="J195"/>
  <c r="F195"/>
  <c r="L195" s="1"/>
  <c r="N194"/>
  <c r="K194"/>
  <c r="J194"/>
  <c r="F194"/>
  <c r="L194" s="1"/>
  <c r="N193"/>
  <c r="K193"/>
  <c r="J193"/>
  <c r="F193"/>
  <c r="L193" s="1"/>
  <c r="N192"/>
  <c r="K192"/>
  <c r="J192"/>
  <c r="F192"/>
  <c r="L192" s="1"/>
  <c r="N191"/>
  <c r="K191"/>
  <c r="J191"/>
  <c r="F191"/>
  <c r="L191" s="1"/>
  <c r="N190"/>
  <c r="K190"/>
  <c r="J190"/>
  <c r="F190"/>
  <c r="L190" s="1"/>
  <c r="N189"/>
  <c r="K189"/>
  <c r="J189"/>
  <c r="F189"/>
  <c r="L189" s="1"/>
  <c r="N188"/>
  <c r="K188"/>
  <c r="J188"/>
  <c r="F188"/>
  <c r="L188" s="1"/>
  <c r="N187"/>
  <c r="K187"/>
  <c r="J187"/>
  <c r="F187"/>
  <c r="L187" s="1"/>
  <c r="N186"/>
  <c r="K186"/>
  <c r="J186"/>
  <c r="F186"/>
  <c r="L186" s="1"/>
  <c r="N185"/>
  <c r="K185"/>
  <c r="J185"/>
  <c r="F185"/>
  <c r="L185" s="1"/>
  <c r="N184"/>
  <c r="K184"/>
  <c r="J184"/>
  <c r="F184"/>
  <c r="N183"/>
  <c r="K183"/>
  <c r="J183"/>
  <c r="F183"/>
  <c r="L183" s="1"/>
  <c r="N182"/>
  <c r="K182"/>
  <c r="J182"/>
  <c r="F182"/>
  <c r="L182" s="1"/>
  <c r="N181"/>
  <c r="K181"/>
  <c r="F181"/>
  <c r="L181" s="1"/>
  <c r="N180"/>
  <c r="K180"/>
  <c r="F180"/>
  <c r="N179"/>
  <c r="K179"/>
  <c r="J179"/>
  <c r="F179"/>
  <c r="N178"/>
  <c r="K178"/>
  <c r="J178"/>
  <c r="F178"/>
  <c r="N177"/>
  <c r="K177"/>
  <c r="J177"/>
  <c r="F177"/>
  <c r="N176"/>
  <c r="K176"/>
  <c r="J176"/>
  <c r="F176"/>
  <c r="N175"/>
  <c r="K175"/>
  <c r="J175"/>
  <c r="F175"/>
  <c r="N174"/>
  <c r="K174"/>
  <c r="J174"/>
  <c r="F174"/>
  <c r="N173"/>
  <c r="K173"/>
  <c r="J173"/>
  <c r="F173"/>
  <c r="N172"/>
  <c r="K172"/>
  <c r="J172"/>
  <c r="F172"/>
  <c r="N171"/>
  <c r="K171"/>
  <c r="J171"/>
  <c r="F171"/>
  <c r="N170"/>
  <c r="K170"/>
  <c r="J170"/>
  <c r="F170"/>
  <c r="N169"/>
  <c r="K169"/>
  <c r="J169"/>
  <c r="F169"/>
  <c r="N168"/>
  <c r="K168"/>
  <c r="J168"/>
  <c r="F168"/>
  <c r="N167"/>
  <c r="K167"/>
  <c r="J167"/>
  <c r="F167"/>
  <c r="N166"/>
  <c r="K166"/>
  <c r="F166"/>
  <c r="L166" s="1"/>
  <c r="N165"/>
  <c r="K165"/>
  <c r="F165"/>
  <c r="L165" s="1"/>
  <c r="N164"/>
  <c r="K164"/>
  <c r="F164"/>
  <c r="N163"/>
  <c r="K163"/>
  <c r="J163"/>
  <c r="F163"/>
  <c r="N162"/>
  <c r="K162"/>
  <c r="J162"/>
  <c r="F162"/>
  <c r="N161"/>
  <c r="K161"/>
  <c r="J161"/>
  <c r="F161"/>
  <c r="N160"/>
  <c r="K160"/>
  <c r="J160"/>
  <c r="F160"/>
  <c r="N159"/>
  <c r="K159"/>
  <c r="J159"/>
  <c r="F159"/>
  <c r="N158"/>
  <c r="K158"/>
  <c r="J158"/>
  <c r="F158"/>
  <c r="N157"/>
  <c r="K157"/>
  <c r="J157"/>
  <c r="F157"/>
  <c r="N156"/>
  <c r="K156"/>
  <c r="J156"/>
  <c r="F156"/>
  <c r="N155"/>
  <c r="K155"/>
  <c r="J155"/>
  <c r="F155"/>
  <c r="N154"/>
  <c r="K154"/>
  <c r="J154"/>
  <c r="F154"/>
  <c r="N153"/>
  <c r="K153"/>
  <c r="J153"/>
  <c r="F153"/>
  <c r="N152"/>
  <c r="K152"/>
  <c r="J152"/>
  <c r="F152"/>
  <c r="N151"/>
  <c r="K151"/>
  <c r="J151"/>
  <c r="F151"/>
  <c r="N150"/>
  <c r="K150"/>
  <c r="J150"/>
  <c r="F150"/>
  <c r="N149"/>
  <c r="K149"/>
  <c r="J149"/>
  <c r="F149"/>
  <c r="N148"/>
  <c r="K148"/>
  <c r="J148"/>
  <c r="F148"/>
  <c r="N147"/>
  <c r="K147"/>
  <c r="J147"/>
  <c r="F147"/>
  <c r="N146"/>
  <c r="K146"/>
  <c r="J146"/>
  <c r="F146"/>
  <c r="N145"/>
  <c r="K145"/>
  <c r="J145"/>
  <c r="F145"/>
  <c r="N144"/>
  <c r="K144"/>
  <c r="J144"/>
  <c r="F144"/>
  <c r="N143"/>
  <c r="K143"/>
  <c r="J143"/>
  <c r="F143"/>
  <c r="N142"/>
  <c r="K142"/>
  <c r="J142"/>
  <c r="F142"/>
  <c r="N141"/>
  <c r="K141"/>
  <c r="J141"/>
  <c r="F141"/>
  <c r="N140"/>
  <c r="K140"/>
  <c r="J140"/>
  <c r="F140"/>
  <c r="N139"/>
  <c r="K139"/>
  <c r="J139"/>
  <c r="F139"/>
  <c r="N138"/>
  <c r="K138"/>
  <c r="J138"/>
  <c r="F138"/>
  <c r="N137"/>
  <c r="K137"/>
  <c r="J137"/>
  <c r="F137"/>
  <c r="N136"/>
  <c r="K136"/>
  <c r="J136"/>
  <c r="F136"/>
  <c r="N135"/>
  <c r="K135"/>
  <c r="J135"/>
  <c r="F135"/>
  <c r="N134"/>
  <c r="K134"/>
  <c r="J134"/>
  <c r="F134"/>
  <c r="L134" s="1"/>
  <c r="N133"/>
  <c r="K133"/>
  <c r="J133"/>
  <c r="F133"/>
  <c r="L133" s="1"/>
  <c r="N132"/>
  <c r="K132"/>
  <c r="J132"/>
  <c r="F132"/>
  <c r="L132" s="1"/>
  <c r="N131"/>
  <c r="K131"/>
  <c r="J131"/>
  <c r="F131"/>
  <c r="L131" s="1"/>
  <c r="N130"/>
  <c r="K130"/>
  <c r="J130"/>
  <c r="F130"/>
  <c r="L130" s="1"/>
  <c r="N129"/>
  <c r="K129"/>
  <c r="J129"/>
  <c r="F129"/>
  <c r="L129" s="1"/>
  <c r="N128"/>
  <c r="K128"/>
  <c r="J128"/>
  <c r="F128"/>
  <c r="L128" s="1"/>
  <c r="N127"/>
  <c r="K127"/>
  <c r="J127"/>
  <c r="F127"/>
  <c r="L127" s="1"/>
  <c r="N126"/>
  <c r="K126"/>
  <c r="J126"/>
  <c r="F126"/>
  <c r="L126" s="1"/>
  <c r="N125"/>
  <c r="K125"/>
  <c r="J125"/>
  <c r="F125"/>
  <c r="L125" s="1"/>
  <c r="N124"/>
  <c r="K124"/>
  <c r="J124"/>
  <c r="F124"/>
  <c r="L124" s="1"/>
  <c r="N123"/>
  <c r="K123"/>
  <c r="J123"/>
  <c r="F123"/>
  <c r="L123" s="1"/>
  <c r="N122"/>
  <c r="K122"/>
  <c r="J122"/>
  <c r="F122"/>
  <c r="L122" s="1"/>
  <c r="N121"/>
  <c r="K121"/>
  <c r="J121"/>
  <c r="F121"/>
  <c r="L121" s="1"/>
  <c r="N120"/>
  <c r="K120"/>
  <c r="J120"/>
  <c r="F120"/>
  <c r="L120" s="1"/>
  <c r="N119"/>
  <c r="K119"/>
  <c r="J119"/>
  <c r="F119"/>
  <c r="L119" s="1"/>
  <c r="N118"/>
  <c r="K118"/>
  <c r="J118"/>
  <c r="F118"/>
  <c r="L118" s="1"/>
  <c r="N117"/>
  <c r="K117"/>
  <c r="J117"/>
  <c r="F117"/>
  <c r="L117" s="1"/>
  <c r="N116"/>
  <c r="K116"/>
  <c r="J116"/>
  <c r="F116"/>
  <c r="L116" s="1"/>
  <c r="N115"/>
  <c r="K115"/>
  <c r="J115"/>
  <c r="F115"/>
  <c r="L115" s="1"/>
  <c r="N114"/>
  <c r="K114"/>
  <c r="J114"/>
  <c r="F114"/>
  <c r="L114" s="1"/>
  <c r="N113"/>
  <c r="K113"/>
  <c r="J113"/>
  <c r="F113"/>
  <c r="L113" s="1"/>
  <c r="N112"/>
  <c r="K112"/>
  <c r="J112"/>
  <c r="F112"/>
  <c r="L112" s="1"/>
  <c r="N111"/>
  <c r="K111"/>
  <c r="J111"/>
  <c r="F111"/>
  <c r="L111" s="1"/>
  <c r="N110"/>
  <c r="K110"/>
  <c r="J110"/>
  <c r="F110"/>
  <c r="L110" s="1"/>
  <c r="N109"/>
  <c r="K109"/>
  <c r="J109"/>
  <c r="F109"/>
  <c r="L109" s="1"/>
  <c r="N108"/>
  <c r="K108"/>
  <c r="J108"/>
  <c r="F108"/>
  <c r="L108" s="1"/>
  <c r="N107"/>
  <c r="K107"/>
  <c r="J107"/>
  <c r="F107"/>
  <c r="L107" s="1"/>
  <c r="N106"/>
  <c r="K106"/>
  <c r="J106"/>
  <c r="F106"/>
  <c r="L106" s="1"/>
  <c r="N105"/>
  <c r="K105"/>
  <c r="F105"/>
  <c r="N104"/>
  <c r="K104"/>
  <c r="F104"/>
  <c r="N103"/>
  <c r="K103"/>
  <c r="F103"/>
  <c r="N102"/>
  <c r="K102"/>
  <c r="F102"/>
  <c r="L102" s="1"/>
  <c r="N101"/>
  <c r="K101"/>
  <c r="F101"/>
  <c r="N100"/>
  <c r="K100"/>
  <c r="J100"/>
  <c r="F100"/>
  <c r="N99"/>
  <c r="K99"/>
  <c r="J99"/>
  <c r="F99"/>
  <c r="N98"/>
  <c r="K98"/>
  <c r="J98"/>
  <c r="F98"/>
  <c r="N97"/>
  <c r="K97"/>
  <c r="J97"/>
  <c r="F97"/>
  <c r="N96"/>
  <c r="K96"/>
  <c r="J96"/>
  <c r="F96"/>
  <c r="N95"/>
  <c r="K95"/>
  <c r="J95"/>
  <c r="F95"/>
  <c r="N94"/>
  <c r="K94"/>
  <c r="J94"/>
  <c r="F94"/>
  <c r="N93"/>
  <c r="K93"/>
  <c r="J93"/>
  <c r="F93"/>
  <c r="N92"/>
  <c r="K92"/>
  <c r="J92"/>
  <c r="F92"/>
  <c r="N91"/>
  <c r="K91"/>
  <c r="J91"/>
  <c r="F91"/>
  <c r="L91" s="1"/>
  <c r="N90"/>
  <c r="K90"/>
  <c r="J90"/>
  <c r="F90"/>
  <c r="L90" s="1"/>
  <c r="N89"/>
  <c r="K89"/>
  <c r="J89"/>
  <c r="F89"/>
  <c r="N88"/>
  <c r="K88"/>
  <c r="J88"/>
  <c r="F88"/>
  <c r="L88" s="1"/>
  <c r="N87"/>
  <c r="K87"/>
  <c r="J87"/>
  <c r="F87"/>
  <c r="L87" s="1"/>
  <c r="N86"/>
  <c r="K86"/>
  <c r="J86"/>
  <c r="F86"/>
  <c r="L86" s="1"/>
  <c r="N85"/>
  <c r="K85"/>
  <c r="J85"/>
  <c r="F85"/>
  <c r="L85" s="1"/>
  <c r="N84"/>
  <c r="K84"/>
  <c r="J84"/>
  <c r="F84"/>
  <c r="L84" s="1"/>
  <c r="N83"/>
  <c r="K83"/>
  <c r="J83"/>
  <c r="F83"/>
  <c r="L83" s="1"/>
  <c r="N82"/>
  <c r="K82"/>
  <c r="F82"/>
  <c r="N81"/>
  <c r="K81"/>
  <c r="F81"/>
  <c r="N80"/>
  <c r="K80"/>
  <c r="J80"/>
  <c r="N79"/>
  <c r="K79"/>
  <c r="J79"/>
  <c r="F79"/>
  <c r="L79" s="1"/>
  <c r="N78"/>
  <c r="K78"/>
  <c r="J78"/>
  <c r="F78"/>
  <c r="L78" s="1"/>
  <c r="N77"/>
  <c r="K77"/>
  <c r="J77"/>
  <c r="F77"/>
  <c r="L77" s="1"/>
  <c r="N76"/>
  <c r="K76"/>
  <c r="J76"/>
  <c r="F76"/>
  <c r="L76" s="1"/>
  <c r="N75"/>
  <c r="K75"/>
  <c r="J75"/>
  <c r="F75"/>
  <c r="L75" s="1"/>
  <c r="N74"/>
  <c r="K74"/>
  <c r="J74"/>
  <c r="F74"/>
  <c r="L74" s="1"/>
  <c r="N73"/>
  <c r="K73"/>
  <c r="J73"/>
  <c r="F73"/>
  <c r="L73" s="1"/>
  <c r="N72"/>
  <c r="K72"/>
  <c r="J72"/>
  <c r="F72"/>
  <c r="L72" s="1"/>
  <c r="N71"/>
  <c r="K71"/>
  <c r="J71"/>
  <c r="F71"/>
  <c r="L71" s="1"/>
  <c r="N70"/>
  <c r="K70"/>
  <c r="J70"/>
  <c r="F70"/>
  <c r="L70" s="1"/>
  <c r="N69"/>
  <c r="K69"/>
  <c r="J69"/>
  <c r="F69"/>
  <c r="L69" s="1"/>
  <c r="N68"/>
  <c r="K68"/>
  <c r="J68"/>
  <c r="F68"/>
  <c r="N67"/>
  <c r="K67"/>
  <c r="J67"/>
  <c r="F67"/>
  <c r="L67" s="1"/>
  <c r="N66"/>
  <c r="K66"/>
  <c r="J66"/>
  <c r="F66"/>
  <c r="L66" s="1"/>
  <c r="N65"/>
  <c r="K65"/>
  <c r="J65"/>
  <c r="N64"/>
  <c r="K64"/>
  <c r="L64" s="1"/>
  <c r="J64"/>
  <c r="N63"/>
  <c r="K63"/>
  <c r="L63" s="1"/>
  <c r="J63"/>
  <c r="N62"/>
  <c r="K62"/>
  <c r="L62" s="1"/>
  <c r="J62"/>
  <c r="N61"/>
  <c r="K61"/>
  <c r="J61"/>
  <c r="N60"/>
  <c r="K60"/>
  <c r="L60" s="1"/>
  <c r="J60"/>
  <c r="N59"/>
  <c r="K59"/>
  <c r="J59"/>
  <c r="N58"/>
  <c r="K58"/>
  <c r="L58" s="1"/>
  <c r="J58"/>
  <c r="N57"/>
  <c r="K57"/>
  <c r="J57"/>
  <c r="N56"/>
  <c r="K56"/>
  <c r="J56"/>
  <c r="N55"/>
  <c r="K55"/>
  <c r="J55"/>
  <c r="N54"/>
  <c r="K54"/>
  <c r="L54" s="1"/>
  <c r="J54"/>
  <c r="N53"/>
  <c r="K53"/>
  <c r="J53"/>
  <c r="F53"/>
  <c r="N52"/>
  <c r="K52"/>
  <c r="J52"/>
  <c r="F52"/>
  <c r="L52" s="1"/>
  <c r="N51"/>
  <c r="K51"/>
  <c r="J51"/>
  <c r="F51"/>
  <c r="L51" s="1"/>
  <c r="N50"/>
  <c r="K50"/>
  <c r="J50"/>
  <c r="F50"/>
  <c r="L50" s="1"/>
  <c r="N49"/>
  <c r="K49"/>
  <c r="J49"/>
  <c r="F49"/>
  <c r="N48"/>
  <c r="K48"/>
  <c r="J48"/>
  <c r="F48"/>
  <c r="L48" s="1"/>
  <c r="N47"/>
  <c r="K47"/>
  <c r="J47"/>
  <c r="F47"/>
  <c r="L47" s="1"/>
  <c r="N46"/>
  <c r="K46"/>
  <c r="J46"/>
  <c r="F46"/>
  <c r="L46" s="1"/>
  <c r="N45"/>
  <c r="K45"/>
  <c r="J45"/>
  <c r="F45"/>
  <c r="N44"/>
  <c r="K44"/>
  <c r="J44"/>
  <c r="F44"/>
  <c r="L44" s="1"/>
  <c r="N43"/>
  <c r="K43"/>
  <c r="J43"/>
  <c r="F43"/>
  <c r="L43" s="1"/>
  <c r="N42"/>
  <c r="K42"/>
  <c r="J42"/>
  <c r="F42"/>
  <c r="L42" s="1"/>
  <c r="N41"/>
  <c r="K41"/>
  <c r="J41"/>
  <c r="F41"/>
  <c r="L41" s="1"/>
  <c r="N40"/>
  <c r="K40"/>
  <c r="J40"/>
  <c r="F40"/>
  <c r="L40" s="1"/>
  <c r="N39"/>
  <c r="K39"/>
  <c r="J39"/>
  <c r="F39"/>
  <c r="L39" s="1"/>
  <c r="N38"/>
  <c r="K38"/>
  <c r="J38"/>
  <c r="F38"/>
  <c r="L38" s="1"/>
  <c r="N37"/>
  <c r="K37"/>
  <c r="J37"/>
  <c r="F37"/>
  <c r="L37" s="1"/>
  <c r="N36"/>
  <c r="K36"/>
  <c r="J36"/>
  <c r="F36"/>
  <c r="L36" s="1"/>
  <c r="N35"/>
  <c r="K35"/>
  <c r="J35"/>
  <c r="F35"/>
  <c r="L35" s="1"/>
  <c r="N34"/>
  <c r="K34"/>
  <c r="J34"/>
  <c r="F34"/>
  <c r="L34" s="1"/>
  <c r="N33"/>
  <c r="K33"/>
  <c r="J33"/>
  <c r="F33"/>
  <c r="N32"/>
  <c r="K32"/>
  <c r="J32"/>
  <c r="F32"/>
  <c r="L32" s="1"/>
  <c r="N31"/>
  <c r="K31"/>
  <c r="J31"/>
  <c r="F31"/>
  <c r="L31" s="1"/>
  <c r="N30"/>
  <c r="K30"/>
  <c r="J30"/>
  <c r="F30"/>
  <c r="L30" s="1"/>
  <c r="N29"/>
  <c r="K29"/>
  <c r="J29"/>
  <c r="F29"/>
  <c r="L29" s="1"/>
  <c r="N28"/>
  <c r="K28"/>
  <c r="J28"/>
  <c r="F28"/>
  <c r="L28" s="1"/>
  <c r="N27"/>
  <c r="K27"/>
  <c r="J27"/>
  <c r="F27"/>
  <c r="L27" s="1"/>
  <c r="N26"/>
  <c r="K26"/>
  <c r="J26"/>
  <c r="F26"/>
  <c r="L26" s="1"/>
  <c r="N25"/>
  <c r="K25"/>
  <c r="J25"/>
  <c r="F25"/>
  <c r="L25" s="1"/>
  <c r="N24"/>
  <c r="K24"/>
  <c r="J24"/>
  <c r="F24"/>
  <c r="L24" s="1"/>
  <c r="N23"/>
  <c r="K23"/>
  <c r="J23"/>
  <c r="F23"/>
  <c r="L23" s="1"/>
  <c r="N22"/>
  <c r="K22"/>
  <c r="J22"/>
  <c r="F22"/>
  <c r="N21"/>
  <c r="K21"/>
  <c r="J21"/>
  <c r="F21"/>
  <c r="L21" s="1"/>
  <c r="N20"/>
  <c r="K20"/>
  <c r="J20"/>
  <c r="F20"/>
  <c r="N19"/>
  <c r="K19"/>
  <c r="J19"/>
  <c r="F19"/>
  <c r="L19" s="1"/>
  <c r="N18"/>
  <c r="K18"/>
  <c r="J18"/>
  <c r="F18"/>
  <c r="L18" s="1"/>
  <c r="N17"/>
  <c r="K17"/>
  <c r="J17"/>
  <c r="F17"/>
  <c r="L17" s="1"/>
  <c r="N16"/>
  <c r="K16"/>
  <c r="J16"/>
  <c r="F16"/>
  <c r="L16" s="1"/>
  <c r="N15"/>
  <c r="K15"/>
  <c r="J15"/>
  <c r="F15"/>
  <c r="L15" s="1"/>
  <c r="N14"/>
  <c r="K14"/>
  <c r="J14"/>
  <c r="F14"/>
  <c r="L14" s="1"/>
  <c r="N13"/>
  <c r="K13"/>
  <c r="J13"/>
  <c r="F13"/>
  <c r="L13" s="1"/>
  <c r="N12"/>
  <c r="K12"/>
  <c r="J12"/>
  <c r="F12"/>
  <c r="L12" s="1"/>
  <c r="N11"/>
  <c r="K11"/>
  <c r="J11"/>
  <c r="F11"/>
  <c r="L11" s="1"/>
  <c r="N10"/>
  <c r="K10"/>
  <c r="J10"/>
  <c r="F10"/>
  <c r="L10" s="1"/>
  <c r="N9"/>
  <c r="K9"/>
  <c r="J9"/>
  <c r="F9"/>
  <c r="L9" s="1"/>
  <c r="N8"/>
  <c r="K8"/>
  <c r="J8"/>
  <c r="F8"/>
  <c r="L8" s="1"/>
  <c r="N7"/>
  <c r="K7"/>
  <c r="J7"/>
  <c r="F7"/>
  <c r="L7" s="1"/>
  <c r="N6"/>
  <c r="K6"/>
  <c r="J6"/>
  <c r="F6"/>
  <c r="F219" s="1"/>
  <c r="N241" i="10"/>
  <c r="L241" s="1"/>
  <c r="K241"/>
  <c r="N240"/>
  <c r="K240"/>
  <c r="N239"/>
  <c r="K239"/>
  <c r="F239"/>
  <c r="L239" s="1"/>
  <c r="N238"/>
  <c r="L238" s="1"/>
  <c r="K238"/>
  <c r="N237"/>
  <c r="L237"/>
  <c r="K237"/>
  <c r="F237"/>
  <c r="N236"/>
  <c r="L236"/>
  <c r="K236"/>
  <c r="F236"/>
  <c r="K234"/>
  <c r="L232"/>
  <c r="L81" i="13" l="1"/>
  <c r="L103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239" i="15"/>
  <c r="L228"/>
  <c r="L92" i="13"/>
  <c r="L93"/>
  <c r="L94"/>
  <c r="L95"/>
  <c r="L96"/>
  <c r="L97"/>
  <c r="L98"/>
  <c r="L99"/>
  <c r="L100"/>
  <c r="L101"/>
  <c r="L105"/>
  <c r="L167"/>
  <c r="L168"/>
  <c r="L169"/>
  <c r="L170"/>
  <c r="L171"/>
  <c r="L172"/>
  <c r="L173"/>
  <c r="L174"/>
  <c r="L175"/>
  <c r="L176"/>
  <c r="L177"/>
  <c r="L178"/>
  <c r="L180"/>
  <c r="F240" i="15"/>
  <c r="L240" i="10"/>
  <c r="K219" i="13"/>
  <c r="L82"/>
  <c r="L104"/>
  <c r="L246" i="17"/>
  <c r="L247" s="1"/>
  <c r="L6" i="13"/>
  <c r="L20"/>
  <c r="L22"/>
  <c r="L33"/>
  <c r="L45"/>
  <c r="L49"/>
  <c r="L53"/>
  <c r="L55"/>
  <c r="L56"/>
  <c r="L57"/>
  <c r="L59"/>
  <c r="L61"/>
  <c r="L65"/>
  <c r="L68"/>
  <c r="L80"/>
  <c r="L89"/>
  <c r="L179"/>
  <c r="L184"/>
  <c r="L198"/>
  <c r="L199"/>
  <c r="L200"/>
  <c r="F251"/>
  <c r="H230" i="10"/>
  <c r="L219" i="13" l="1"/>
  <c r="L251" s="1"/>
  <c r="K251" s="1"/>
  <c r="K240" i="15"/>
  <c r="L240"/>
  <c r="E230" i="10"/>
  <c r="D230"/>
  <c r="N229"/>
  <c r="L229"/>
  <c r="K229"/>
  <c r="F229"/>
  <c r="K228"/>
  <c r="L228" s="1"/>
  <c r="F228"/>
  <c r="K227"/>
  <c r="F227"/>
  <c r="L227" s="1"/>
  <c r="L226"/>
  <c r="L225" s="1"/>
  <c r="K225"/>
  <c r="K224"/>
  <c r="L223"/>
  <c r="K223"/>
  <c r="L222" s="1"/>
  <c r="K222"/>
  <c r="K221"/>
  <c r="K220"/>
  <c r="K219"/>
  <c r="K218"/>
  <c r="K217"/>
  <c r="L216" s="1"/>
  <c r="K216"/>
  <c r="K215"/>
  <c r="K214"/>
  <c r="L213" s="1"/>
  <c r="K213"/>
  <c r="K212"/>
  <c r="K211"/>
  <c r="L210" s="1"/>
  <c r="K210"/>
  <c r="K209"/>
  <c r="K208"/>
  <c r="L207"/>
  <c r="K207"/>
  <c r="K206"/>
  <c r="K205"/>
  <c r="L204"/>
  <c r="K204"/>
  <c r="H199"/>
  <c r="H231" s="1"/>
  <c r="E199"/>
  <c r="D199"/>
  <c r="D231" s="1"/>
  <c r="N198"/>
  <c r="K198"/>
  <c r="F198"/>
  <c r="L198" s="1"/>
  <c r="N197"/>
  <c r="K197"/>
  <c r="F197"/>
  <c r="L197" s="1"/>
  <c r="N196"/>
  <c r="K196"/>
  <c r="F196"/>
  <c r="L196" s="1"/>
  <c r="N195"/>
  <c r="K195"/>
  <c r="F195"/>
  <c r="L195" s="1"/>
  <c r="N194"/>
  <c r="L194" s="1"/>
  <c r="K194"/>
  <c r="N193"/>
  <c r="K193"/>
  <c r="L193" s="1"/>
  <c r="F193"/>
  <c r="N192"/>
  <c r="K192"/>
  <c r="L192" s="1"/>
  <c r="F192"/>
  <c r="N191"/>
  <c r="K191"/>
  <c r="L191" s="1"/>
  <c r="F191"/>
  <c r="N190"/>
  <c r="K190"/>
  <c r="L190" s="1"/>
  <c r="F190"/>
  <c r="N189"/>
  <c r="K189"/>
  <c r="L189" s="1"/>
  <c r="F189"/>
  <c r="N188"/>
  <c r="K188"/>
  <c r="L188" s="1"/>
  <c r="F188"/>
  <c r="N187"/>
  <c r="K187"/>
  <c r="N186"/>
  <c r="K186"/>
  <c r="F186"/>
  <c r="L186" s="1"/>
  <c r="N185"/>
  <c r="K185"/>
  <c r="F185"/>
  <c r="L185" s="1"/>
  <c r="N184"/>
  <c r="K184"/>
  <c r="F184"/>
  <c r="L184" s="1"/>
  <c r="N183"/>
  <c r="K183"/>
  <c r="F183"/>
  <c r="L183" s="1"/>
  <c r="N182"/>
  <c r="K182"/>
  <c r="L182" s="1"/>
  <c r="N181"/>
  <c r="L181"/>
  <c r="K181"/>
  <c r="F181"/>
  <c r="N180"/>
  <c r="L180"/>
  <c r="K180"/>
  <c r="F180"/>
  <c r="N179"/>
  <c r="L179"/>
  <c r="K179"/>
  <c r="F179"/>
  <c r="N178"/>
  <c r="L178"/>
  <c r="K178"/>
  <c r="F178"/>
  <c r="N177"/>
  <c r="L177"/>
  <c r="K177"/>
  <c r="F177"/>
  <c r="N176"/>
  <c r="L176"/>
  <c r="K176"/>
  <c r="F176"/>
  <c r="N175"/>
  <c r="L175"/>
  <c r="K175"/>
  <c r="F175"/>
  <c r="N174"/>
  <c r="L174"/>
  <c r="K174"/>
  <c r="F174"/>
  <c r="N173"/>
  <c r="L173"/>
  <c r="K173"/>
  <c r="F173"/>
  <c r="N172"/>
  <c r="L172"/>
  <c r="K172"/>
  <c r="F172"/>
  <c r="N171"/>
  <c r="L171"/>
  <c r="K171"/>
  <c r="F171"/>
  <c r="N170"/>
  <c r="L170"/>
  <c r="K170"/>
  <c r="F170"/>
  <c r="N169"/>
  <c r="L169"/>
  <c r="K169"/>
  <c r="F169"/>
  <c r="N168"/>
  <c r="L168"/>
  <c r="K168"/>
  <c r="F168"/>
  <c r="N167"/>
  <c r="L167"/>
  <c r="K167"/>
  <c r="F167"/>
  <c r="N166"/>
  <c r="L166"/>
  <c r="K166"/>
  <c r="F166"/>
  <c r="N165"/>
  <c r="L165"/>
  <c r="K165"/>
  <c r="F165"/>
  <c r="N164"/>
  <c r="L164"/>
  <c r="K164"/>
  <c r="F164"/>
  <c r="N163"/>
  <c r="L163"/>
  <c r="K163"/>
  <c r="F163"/>
  <c r="N162"/>
  <c r="L162"/>
  <c r="K162"/>
  <c r="F162"/>
  <c r="N161"/>
  <c r="L161"/>
  <c r="K161"/>
  <c r="F161"/>
  <c r="N160"/>
  <c r="L160"/>
  <c r="K160"/>
  <c r="F160"/>
  <c r="N159"/>
  <c r="L159"/>
  <c r="K159"/>
  <c r="F159"/>
  <c r="N158"/>
  <c r="L158"/>
  <c r="K158"/>
  <c r="F158"/>
  <c r="N157"/>
  <c r="L157"/>
  <c r="K157"/>
  <c r="F157"/>
  <c r="N156"/>
  <c r="L156"/>
  <c r="K156"/>
  <c r="F156"/>
  <c r="N155"/>
  <c r="L155"/>
  <c r="K155"/>
  <c r="F155"/>
  <c r="N154"/>
  <c r="L154"/>
  <c r="K154"/>
  <c r="F154"/>
  <c r="N153"/>
  <c r="K153"/>
  <c r="N152"/>
  <c r="K152"/>
  <c r="F152"/>
  <c r="L152" s="1"/>
  <c r="N151"/>
  <c r="K151"/>
  <c r="F151"/>
  <c r="L151" s="1"/>
  <c r="N150"/>
  <c r="K150"/>
  <c r="F150"/>
  <c r="L150" s="1"/>
  <c r="N149"/>
  <c r="K149"/>
  <c r="N148"/>
  <c r="L148"/>
  <c r="K148"/>
  <c r="F148"/>
  <c r="N147"/>
  <c r="L147"/>
  <c r="K147"/>
  <c r="F147"/>
  <c r="N146"/>
  <c r="L146"/>
  <c r="K146"/>
  <c r="F146"/>
  <c r="N145"/>
  <c r="L145"/>
  <c r="K145"/>
  <c r="F145"/>
  <c r="N144"/>
  <c r="L144"/>
  <c r="K144"/>
  <c r="F144"/>
  <c r="N143"/>
  <c r="L143"/>
  <c r="K143"/>
  <c r="F143"/>
  <c r="N142"/>
  <c r="L142"/>
  <c r="K142"/>
  <c r="F142"/>
  <c r="N141"/>
  <c r="K141"/>
  <c r="N140"/>
  <c r="K140"/>
  <c r="F140"/>
  <c r="L140" s="1"/>
  <c r="N139"/>
  <c r="K139"/>
  <c r="N138"/>
  <c r="L138"/>
  <c r="K138"/>
  <c r="F138"/>
  <c r="N137"/>
  <c r="L137"/>
  <c r="K137"/>
  <c r="F137"/>
  <c r="N136"/>
  <c r="L136"/>
  <c r="K136"/>
  <c r="F136"/>
  <c r="N135"/>
  <c r="L135"/>
  <c r="K135"/>
  <c r="F135"/>
  <c r="N134"/>
  <c r="L134"/>
  <c r="K134"/>
  <c r="F134"/>
  <c r="N133"/>
  <c r="L133"/>
  <c r="K133"/>
  <c r="F133"/>
  <c r="N132"/>
  <c r="L132"/>
  <c r="K132"/>
  <c r="F132"/>
  <c r="N131"/>
  <c r="L131"/>
  <c r="K131"/>
  <c r="F131"/>
  <c r="N130"/>
  <c r="K130"/>
  <c r="N129"/>
  <c r="K129"/>
  <c r="F129"/>
  <c r="L129" s="1"/>
  <c r="N128"/>
  <c r="K128"/>
  <c r="F128"/>
  <c r="L128" s="1"/>
  <c r="N127"/>
  <c r="K127"/>
  <c r="F127"/>
  <c r="L127" s="1"/>
  <c r="N126"/>
  <c r="K126"/>
  <c r="F126"/>
  <c r="L126" s="1"/>
  <c r="N125"/>
  <c r="K125"/>
  <c r="F125"/>
  <c r="L125" s="1"/>
  <c r="N124"/>
  <c r="K124"/>
  <c r="F124"/>
  <c r="L124" s="1"/>
  <c r="N123"/>
  <c r="K123"/>
  <c r="F123"/>
  <c r="L123" s="1"/>
  <c r="N122"/>
  <c r="K122"/>
  <c r="F122"/>
  <c r="L122" s="1"/>
  <c r="N121"/>
  <c r="K121"/>
  <c r="F121"/>
  <c r="L121" s="1"/>
  <c r="N120"/>
  <c r="K120"/>
  <c r="F120"/>
  <c r="L120" s="1"/>
  <c r="N119"/>
  <c r="K119"/>
  <c r="F119"/>
  <c r="L119" s="1"/>
  <c r="N118"/>
  <c r="K118"/>
  <c r="F118"/>
  <c r="L118" s="1"/>
  <c r="N117"/>
  <c r="K117"/>
  <c r="N116"/>
  <c r="L116"/>
  <c r="K116"/>
  <c r="F116"/>
  <c r="N115"/>
  <c r="L115"/>
  <c r="K115"/>
  <c r="F115"/>
  <c r="N114"/>
  <c r="L114"/>
  <c r="K114"/>
  <c r="F114"/>
  <c r="N113"/>
  <c r="L113"/>
  <c r="K113"/>
  <c r="F113"/>
  <c r="N112"/>
  <c r="L112"/>
  <c r="K112"/>
  <c r="F112"/>
  <c r="N111"/>
  <c r="L111"/>
  <c r="K111"/>
  <c r="F111"/>
  <c r="N110"/>
  <c r="L110"/>
  <c r="K110"/>
  <c r="F110"/>
  <c r="N109"/>
  <c r="L109"/>
  <c r="K109"/>
  <c r="F109"/>
  <c r="N108"/>
  <c r="L108"/>
  <c r="K108"/>
  <c r="F108"/>
  <c r="N107"/>
  <c r="L107"/>
  <c r="K107"/>
  <c r="F107"/>
  <c r="N106"/>
  <c r="L106"/>
  <c r="K106"/>
  <c r="F106"/>
  <c r="N105"/>
  <c r="K105"/>
  <c r="F105"/>
  <c r="L105" s="1"/>
  <c r="N104"/>
  <c r="K104"/>
  <c r="F104"/>
  <c r="L104" s="1"/>
  <c r="N103"/>
  <c r="K103"/>
  <c r="F103"/>
  <c r="L103" s="1"/>
  <c r="N102"/>
  <c r="K102"/>
  <c r="F102"/>
  <c r="L102" s="1"/>
  <c r="N101"/>
  <c r="K101"/>
  <c r="F101"/>
  <c r="L101" s="1"/>
  <c r="N100"/>
  <c r="K100"/>
  <c r="F100"/>
  <c r="L100" s="1"/>
  <c r="N99"/>
  <c r="K99"/>
  <c r="F99"/>
  <c r="L99" s="1"/>
  <c r="N98"/>
  <c r="K98"/>
  <c r="F98"/>
  <c r="L98" s="1"/>
  <c r="N97"/>
  <c r="K97"/>
  <c r="F97"/>
  <c r="L97" s="1"/>
  <c r="N96"/>
  <c r="K96"/>
  <c r="F96"/>
  <c r="L96" s="1"/>
  <c r="N95"/>
  <c r="K95"/>
  <c r="F95"/>
  <c r="L95" s="1"/>
  <c r="N94"/>
  <c r="L94"/>
  <c r="K94"/>
  <c r="N93"/>
  <c r="K93"/>
  <c r="L93" s="1"/>
  <c r="F93"/>
  <c r="N92"/>
  <c r="K92"/>
  <c r="L92" s="1"/>
  <c r="F92"/>
  <c r="N91"/>
  <c r="K91"/>
  <c r="L91" s="1"/>
  <c r="F91"/>
  <c r="N90"/>
  <c r="K90"/>
  <c r="L90" s="1"/>
  <c r="F90"/>
  <c r="N89"/>
  <c r="K89"/>
  <c r="L89" s="1"/>
  <c r="F89"/>
  <c r="N88"/>
  <c r="K88"/>
  <c r="L88" s="1"/>
  <c r="F88"/>
  <c r="N87"/>
  <c r="K87"/>
  <c r="L87" s="1"/>
  <c r="F87"/>
  <c r="N86"/>
  <c r="K86"/>
  <c r="L86" s="1"/>
  <c r="F86"/>
  <c r="N85"/>
  <c r="K85"/>
  <c r="L85" s="1"/>
  <c r="F85"/>
  <c r="N84"/>
  <c r="K84"/>
  <c r="L84" s="1"/>
  <c r="F84"/>
  <c r="N83"/>
  <c r="K83"/>
  <c r="L83" s="1"/>
  <c r="F83"/>
  <c r="N82"/>
  <c r="K82"/>
  <c r="L82" s="1"/>
  <c r="F82"/>
  <c r="N81"/>
  <c r="K81"/>
  <c r="L81" s="1"/>
  <c r="F81"/>
  <c r="N80"/>
  <c r="K80"/>
  <c r="L80" s="1"/>
  <c r="F80"/>
  <c r="N79"/>
  <c r="K79"/>
  <c r="L79" s="1"/>
  <c r="F79"/>
  <c r="N78"/>
  <c r="K78"/>
  <c r="L78" s="1"/>
  <c r="F78"/>
  <c r="N77"/>
  <c r="K77"/>
  <c r="L77" s="1"/>
  <c r="F77"/>
  <c r="N76"/>
  <c r="K76"/>
  <c r="L76" s="1"/>
  <c r="F76"/>
  <c r="N75"/>
  <c r="K75"/>
  <c r="L75" s="1"/>
  <c r="F75"/>
  <c r="N74"/>
  <c r="K74"/>
  <c r="L74" s="1"/>
  <c r="F74"/>
  <c r="N73"/>
  <c r="K73"/>
  <c r="L73" s="1"/>
  <c r="F73"/>
  <c r="N72"/>
  <c r="K72"/>
  <c r="L72" s="1"/>
  <c r="F72"/>
  <c r="N71"/>
  <c r="K71"/>
  <c r="L71" s="1"/>
  <c r="F71"/>
  <c r="N70"/>
  <c r="K70"/>
  <c r="L70" s="1"/>
  <c r="F70"/>
  <c r="N69"/>
  <c r="K69"/>
  <c r="L69" s="1"/>
  <c r="F69"/>
  <c r="N68"/>
  <c r="K68"/>
  <c r="L68" s="1"/>
  <c r="F68"/>
  <c r="N67"/>
  <c r="K67"/>
  <c r="L67" s="1"/>
  <c r="F67"/>
  <c r="N66"/>
  <c r="K66"/>
  <c r="L66" s="1"/>
  <c r="F66"/>
  <c r="N65"/>
  <c r="K65"/>
  <c r="L65" s="1"/>
  <c r="F65"/>
  <c r="N64"/>
  <c r="K64"/>
  <c r="L64" s="1"/>
  <c r="F64"/>
  <c r="N63"/>
  <c r="K63"/>
  <c r="L63" s="1"/>
  <c r="F63"/>
  <c r="N62"/>
  <c r="K62"/>
  <c r="L62" s="1"/>
  <c r="F62"/>
  <c r="N61"/>
  <c r="K61"/>
  <c r="L61" s="1"/>
  <c r="F61"/>
  <c r="N60"/>
  <c r="K60"/>
  <c r="L60" s="1"/>
  <c r="F60"/>
  <c r="N59"/>
  <c r="K59"/>
  <c r="L59" s="1"/>
  <c r="F59"/>
  <c r="N58"/>
  <c r="K58"/>
  <c r="L58" s="1"/>
  <c r="F58"/>
  <c r="N57"/>
  <c r="L57" s="1"/>
  <c r="F57"/>
  <c r="N56"/>
  <c r="K56"/>
  <c r="L56" s="1"/>
  <c r="N55"/>
  <c r="K55"/>
  <c r="F55"/>
  <c r="L55" s="1"/>
  <c r="N54"/>
  <c r="K54"/>
  <c r="F54"/>
  <c r="L54" s="1"/>
  <c r="N53"/>
  <c r="K53"/>
  <c r="N52"/>
  <c r="L52"/>
  <c r="K52"/>
  <c r="F52"/>
  <c r="N51"/>
  <c r="L51"/>
  <c r="K51"/>
  <c r="F51"/>
  <c r="N50"/>
  <c r="L50"/>
  <c r="K50"/>
  <c r="F50"/>
  <c r="N49"/>
  <c r="L49"/>
  <c r="K49"/>
  <c r="F49"/>
  <c r="N48"/>
  <c r="L48"/>
  <c r="K48"/>
  <c r="F48"/>
  <c r="N47"/>
  <c r="L47"/>
  <c r="K47"/>
  <c r="F47"/>
  <c r="N46"/>
  <c r="L46"/>
  <c r="K46"/>
  <c r="F46"/>
  <c r="N45"/>
  <c r="L45"/>
  <c r="K45"/>
  <c r="F45"/>
  <c r="N44"/>
  <c r="L44"/>
  <c r="K44"/>
  <c r="F44"/>
  <c r="N43"/>
  <c r="L43"/>
  <c r="K43"/>
  <c r="F43"/>
  <c r="N42"/>
  <c r="L42"/>
  <c r="K42"/>
  <c r="F42"/>
  <c r="N41"/>
  <c r="L41"/>
  <c r="K41"/>
  <c r="F41"/>
  <c r="N40"/>
  <c r="L40"/>
  <c r="K40"/>
  <c r="F40"/>
  <c r="N39"/>
  <c r="K39"/>
  <c r="N38"/>
  <c r="K38"/>
  <c r="F38"/>
  <c r="L38" s="1"/>
  <c r="N37"/>
  <c r="K37"/>
  <c r="F37"/>
  <c r="L37" s="1"/>
  <c r="N36"/>
  <c r="K36"/>
  <c r="F36"/>
  <c r="L36" s="1"/>
  <c r="N35"/>
  <c r="K35"/>
  <c r="F35"/>
  <c r="L35" s="1"/>
  <c r="N34"/>
  <c r="K34"/>
  <c r="F34"/>
  <c r="L34" s="1"/>
  <c r="N33"/>
  <c r="K33"/>
  <c r="F33"/>
  <c r="L33" s="1"/>
  <c r="N32"/>
  <c r="K32"/>
  <c r="F32"/>
  <c r="L32" s="1"/>
  <c r="N31"/>
  <c r="K31"/>
  <c r="F31"/>
  <c r="L31" s="1"/>
  <c r="N30"/>
  <c r="K30"/>
  <c r="F30"/>
  <c r="L30" s="1"/>
  <c r="N29"/>
  <c r="K29"/>
  <c r="F29"/>
  <c r="L29" s="1"/>
  <c r="N28"/>
  <c r="K28"/>
  <c r="F28"/>
  <c r="L28" s="1"/>
  <c r="N27"/>
  <c r="K27"/>
  <c r="F27"/>
  <c r="L27" s="1"/>
  <c r="N26"/>
  <c r="K26"/>
  <c r="F26"/>
  <c r="L26" s="1"/>
  <c r="N25"/>
  <c r="K25"/>
  <c r="F25"/>
  <c r="L25" s="1"/>
  <c r="N24"/>
  <c r="K24"/>
  <c r="F24"/>
  <c r="L24" s="1"/>
  <c r="N23"/>
  <c r="K23"/>
  <c r="F23"/>
  <c r="L23" s="1"/>
  <c r="N22"/>
  <c r="K22"/>
  <c r="F22"/>
  <c r="L22" s="1"/>
  <c r="N21"/>
  <c r="K21"/>
  <c r="F21"/>
  <c r="L21" s="1"/>
  <c r="N20"/>
  <c r="K20"/>
  <c r="F20"/>
  <c r="L20" s="1"/>
  <c r="N19"/>
  <c r="K19"/>
  <c r="F19"/>
  <c r="L19" s="1"/>
  <c r="N18"/>
  <c r="K18"/>
  <c r="F18"/>
  <c r="L18" s="1"/>
  <c r="N17"/>
  <c r="K17"/>
  <c r="F17"/>
  <c r="L17" s="1"/>
  <c r="N16"/>
  <c r="K16"/>
  <c r="F16"/>
  <c r="L16" s="1"/>
  <c r="N15"/>
  <c r="K15"/>
  <c r="F15"/>
  <c r="L15" s="1"/>
  <c r="N14"/>
  <c r="K14"/>
  <c r="F14"/>
  <c r="L14" s="1"/>
  <c r="N13"/>
  <c r="K13"/>
  <c r="F13"/>
  <c r="L13" s="1"/>
  <c r="N12"/>
  <c r="K12"/>
  <c r="F12"/>
  <c r="L12" s="1"/>
  <c r="N11"/>
  <c r="K11"/>
  <c r="F11"/>
  <c r="L11" s="1"/>
  <c r="N10"/>
  <c r="K10"/>
  <c r="F10"/>
  <c r="L10" s="1"/>
  <c r="N9"/>
  <c r="K9"/>
  <c r="F9"/>
  <c r="L9" s="1"/>
  <c r="N8"/>
  <c r="K8"/>
  <c r="F8"/>
  <c r="L8" s="1"/>
  <c r="N7"/>
  <c r="K7"/>
  <c r="F7"/>
  <c r="L7" s="1"/>
  <c r="N6"/>
  <c r="K6"/>
  <c r="F6"/>
  <c r="L6" s="1"/>
  <c r="N5"/>
  <c r="K5"/>
  <c r="K199" s="1"/>
  <c r="F5"/>
  <c r="F199" s="1"/>
  <c r="L217" i="1"/>
  <c r="H215"/>
  <c r="H216" s="1"/>
  <c r="E215"/>
  <c r="D215"/>
  <c r="K214"/>
  <c r="F214"/>
  <c r="L213"/>
  <c r="K212"/>
  <c r="L212" s="1"/>
  <c r="K211"/>
  <c r="L211" s="1"/>
  <c r="K210"/>
  <c r="K209"/>
  <c r="K208"/>
  <c r="L208" s="1"/>
  <c r="K207"/>
  <c r="L207" s="1"/>
  <c r="K206"/>
  <c r="L206" s="1"/>
  <c r="K205"/>
  <c r="K204"/>
  <c r="K203"/>
  <c r="L203" s="1"/>
  <c r="K202"/>
  <c r="L202" s="1"/>
  <c r="K201"/>
  <c r="L201" s="1"/>
  <c r="K200"/>
  <c r="L200" s="1"/>
  <c r="K199"/>
  <c r="K198"/>
  <c r="K197"/>
  <c r="K196"/>
  <c r="K215" s="1"/>
  <c r="E188"/>
  <c r="D188"/>
  <c r="K182"/>
  <c r="F182"/>
  <c r="K181"/>
  <c r="F181"/>
  <c r="K180"/>
  <c r="F180"/>
  <c r="K179"/>
  <c r="F179"/>
  <c r="K178"/>
  <c r="F178"/>
  <c r="K177"/>
  <c r="F177"/>
  <c r="L177" s="1"/>
  <c r="K176"/>
  <c r="F176"/>
  <c r="L176" s="1"/>
  <c r="K175"/>
  <c r="F175"/>
  <c r="K174"/>
  <c r="F174"/>
  <c r="K173"/>
  <c r="F173"/>
  <c r="K172"/>
  <c r="F172"/>
  <c r="K171"/>
  <c r="F171"/>
  <c r="K170"/>
  <c r="F170"/>
  <c r="K169"/>
  <c r="F169"/>
  <c r="K168"/>
  <c r="F168"/>
  <c r="K167"/>
  <c r="F167"/>
  <c r="K166"/>
  <c r="F166"/>
  <c r="K165"/>
  <c r="F165"/>
  <c r="K164"/>
  <c r="F164"/>
  <c r="K163"/>
  <c r="F163"/>
  <c r="K162"/>
  <c r="F162"/>
  <c r="K161"/>
  <c r="F161"/>
  <c r="K160"/>
  <c r="F160"/>
  <c r="K159"/>
  <c r="F159"/>
  <c r="K158"/>
  <c r="F158"/>
  <c r="K157"/>
  <c r="F157"/>
  <c r="K156"/>
  <c r="F156"/>
  <c r="K155"/>
  <c r="F155"/>
  <c r="K154"/>
  <c r="F154"/>
  <c r="L154" s="1"/>
  <c r="K153"/>
  <c r="F153"/>
  <c r="L153" s="1"/>
  <c r="K152"/>
  <c r="F152"/>
  <c r="K151"/>
  <c r="F151"/>
  <c r="K150"/>
  <c r="F150"/>
  <c r="K149"/>
  <c r="F149"/>
  <c r="K148"/>
  <c r="F148"/>
  <c r="K147"/>
  <c r="F147"/>
  <c r="K146"/>
  <c r="F146"/>
  <c r="K145"/>
  <c r="F145"/>
  <c r="K144"/>
  <c r="F144"/>
  <c r="L144" s="1"/>
  <c r="K143"/>
  <c r="F143"/>
  <c r="K142"/>
  <c r="F142"/>
  <c r="K141"/>
  <c r="F141"/>
  <c r="L141" s="1"/>
  <c r="K140"/>
  <c r="F140"/>
  <c r="K139"/>
  <c r="F139"/>
  <c r="K138"/>
  <c r="F138"/>
  <c r="K137"/>
  <c r="F137"/>
  <c r="K136"/>
  <c r="F136"/>
  <c r="K135"/>
  <c r="F135"/>
  <c r="K134"/>
  <c r="F134"/>
  <c r="K133"/>
  <c r="F133"/>
  <c r="K132"/>
  <c r="F132"/>
  <c r="K131"/>
  <c r="F131"/>
  <c r="K130"/>
  <c r="F130"/>
  <c r="K129"/>
  <c r="F129"/>
  <c r="K128"/>
  <c r="F128"/>
  <c r="K127"/>
  <c r="F127"/>
  <c r="K126"/>
  <c r="F126"/>
  <c r="K125"/>
  <c r="F125"/>
  <c r="K124"/>
  <c r="F124"/>
  <c r="K123"/>
  <c r="F123"/>
  <c r="K122"/>
  <c r="F122"/>
  <c r="F121"/>
  <c r="K120"/>
  <c r="F120"/>
  <c r="K119"/>
  <c r="F119"/>
  <c r="K118"/>
  <c r="F118"/>
  <c r="K117"/>
  <c r="F117"/>
  <c r="K116"/>
  <c r="F116"/>
  <c r="K115"/>
  <c r="F115"/>
  <c r="K114"/>
  <c r="F114"/>
  <c r="K113"/>
  <c r="F113"/>
  <c r="K112"/>
  <c r="F112"/>
  <c r="K111"/>
  <c r="F111"/>
  <c r="K110"/>
  <c r="F110"/>
  <c r="K109"/>
  <c r="F109"/>
  <c r="K108"/>
  <c r="F108"/>
  <c r="K107"/>
  <c r="F107"/>
  <c r="K106"/>
  <c r="F106"/>
  <c r="K105"/>
  <c r="F105"/>
  <c r="K104"/>
  <c r="F104"/>
  <c r="K103"/>
  <c r="F103"/>
  <c r="K102"/>
  <c r="F102"/>
  <c r="K101"/>
  <c r="F101"/>
  <c r="K100"/>
  <c r="F100"/>
  <c r="K99"/>
  <c r="F99"/>
  <c r="K98"/>
  <c r="F98"/>
  <c r="K97"/>
  <c r="F97"/>
  <c r="K96"/>
  <c r="F96"/>
  <c r="K95"/>
  <c r="F95"/>
  <c r="K94"/>
  <c r="F94"/>
  <c r="K93"/>
  <c r="F93"/>
  <c r="K92"/>
  <c r="F92"/>
  <c r="K91"/>
  <c r="F91"/>
  <c r="K90"/>
  <c r="F90"/>
  <c r="K89"/>
  <c r="F89"/>
  <c r="K88"/>
  <c r="F88"/>
  <c r="K87"/>
  <c r="F87"/>
  <c r="K86"/>
  <c r="F86"/>
  <c r="K85"/>
  <c r="F85"/>
  <c r="K84"/>
  <c r="F84"/>
  <c r="K83"/>
  <c r="F83"/>
  <c r="K82"/>
  <c r="F82"/>
  <c r="K81"/>
  <c r="F81"/>
  <c r="K80"/>
  <c r="F80"/>
  <c r="K79"/>
  <c r="F79"/>
  <c r="K78"/>
  <c r="F78"/>
  <c r="K77"/>
  <c r="F77"/>
  <c r="K76"/>
  <c r="F76"/>
  <c r="K75"/>
  <c r="F75"/>
  <c r="K74"/>
  <c r="F74"/>
  <c r="F73"/>
  <c r="K72"/>
  <c r="F72"/>
  <c r="K71"/>
  <c r="F71"/>
  <c r="K70"/>
  <c r="F70"/>
  <c r="K69"/>
  <c r="F69"/>
  <c r="K68"/>
  <c r="F68"/>
  <c r="K67"/>
  <c r="F67"/>
  <c r="L67" s="1"/>
  <c r="K66"/>
  <c r="F66"/>
  <c r="L66" s="1"/>
  <c r="K65"/>
  <c r="F65"/>
  <c r="K64"/>
  <c r="F64"/>
  <c r="K63"/>
  <c r="F63"/>
  <c r="K62"/>
  <c r="F62"/>
  <c r="K61"/>
  <c r="F61"/>
  <c r="L61" s="1"/>
  <c r="K60"/>
  <c r="F60"/>
  <c r="L60" s="1"/>
  <c r="K59"/>
  <c r="F59"/>
  <c r="L59" s="1"/>
  <c r="K58"/>
  <c r="F58"/>
  <c r="L58" s="1"/>
  <c r="K57"/>
  <c r="F57"/>
  <c r="K56"/>
  <c r="F56"/>
  <c r="K55"/>
  <c r="F55"/>
  <c r="F54"/>
  <c r="K53"/>
  <c r="F53"/>
  <c r="K52"/>
  <c r="F52"/>
  <c r="K51"/>
  <c r="F51"/>
  <c r="K50"/>
  <c r="F50"/>
  <c r="K49"/>
  <c r="F49"/>
  <c r="K48"/>
  <c r="F48"/>
  <c r="K47"/>
  <c r="F47"/>
  <c r="K46"/>
  <c r="F46"/>
  <c r="K45"/>
  <c r="F45"/>
  <c r="K44"/>
  <c r="F44"/>
  <c r="K43"/>
  <c r="F43"/>
  <c r="K42"/>
  <c r="F42"/>
  <c r="K41"/>
  <c r="F41"/>
  <c r="K40"/>
  <c r="F40"/>
  <c r="K39"/>
  <c r="F39"/>
  <c r="K38"/>
  <c r="F38"/>
  <c r="K37"/>
  <c r="F37"/>
  <c r="K36"/>
  <c r="F36"/>
  <c r="K35"/>
  <c r="F35"/>
  <c r="K34"/>
  <c r="F34"/>
  <c r="K33"/>
  <c r="F33"/>
  <c r="K32"/>
  <c r="F32"/>
  <c r="K31"/>
  <c r="F31"/>
  <c r="K30"/>
  <c r="F30"/>
  <c r="K29"/>
  <c r="F29"/>
  <c r="K28"/>
  <c r="F28"/>
  <c r="K27"/>
  <c r="F27"/>
  <c r="K26"/>
  <c r="F26"/>
  <c r="K25"/>
  <c r="F25"/>
  <c r="K24"/>
  <c r="F24"/>
  <c r="K23"/>
  <c r="F23"/>
  <c r="K22"/>
  <c r="F22"/>
  <c r="K21"/>
  <c r="F21"/>
  <c r="F20"/>
  <c r="K19"/>
  <c r="F19"/>
  <c r="K18"/>
  <c r="F18"/>
  <c r="K17"/>
  <c r="F17"/>
  <c r="L17" s="1"/>
  <c r="K16"/>
  <c r="F16"/>
  <c r="K15"/>
  <c r="F15"/>
  <c r="K14"/>
  <c r="F14"/>
  <c r="L14" s="1"/>
  <c r="K13"/>
  <c r="F13"/>
  <c r="L13" s="1"/>
  <c r="K12"/>
  <c r="F12"/>
  <c r="K11"/>
  <c r="F11"/>
  <c r="K10"/>
  <c r="F10"/>
  <c r="L10" s="1"/>
  <c r="K9"/>
  <c r="F9"/>
  <c r="L9" s="1"/>
  <c r="K8"/>
  <c r="F8"/>
  <c r="K7"/>
  <c r="F7"/>
  <c r="K6"/>
  <c r="F6"/>
  <c r="L6" s="1"/>
  <c r="K5"/>
  <c r="F5"/>
  <c r="L5" s="1"/>
  <c r="K4"/>
  <c r="F4"/>
  <c r="F188" s="1"/>
  <c r="K252" i="26"/>
  <c r="L5" i="10" l="1"/>
  <c r="F230"/>
  <c r="F231" s="1"/>
  <c r="E231" s="1"/>
  <c r="L32" i="1"/>
  <c r="L40"/>
  <c r="L46"/>
  <c r="L52"/>
  <c r="L77"/>
  <c r="L79"/>
  <c r="L93"/>
  <c r="L99"/>
  <c r="L53" i="10"/>
  <c r="L130"/>
  <c r="L141"/>
  <c r="L153"/>
  <c r="L211"/>
  <c r="L214"/>
  <c r="L217"/>
  <c r="L220"/>
  <c r="L187"/>
  <c r="L205"/>
  <c r="L208"/>
  <c r="L230" s="1"/>
  <c r="L215"/>
  <c r="L218"/>
  <c r="L221"/>
  <c r="L224"/>
  <c r="K188" i="1"/>
  <c r="K216" s="1"/>
  <c r="L23"/>
  <c r="L31"/>
  <c r="L39"/>
  <c r="L51"/>
  <c r="L78"/>
  <c r="L92"/>
  <c r="L120"/>
  <c r="L39" i="10"/>
  <c r="L117"/>
  <c r="L139"/>
  <c r="L149"/>
  <c r="K230"/>
  <c r="K231" s="1"/>
  <c r="L206"/>
  <c r="L209"/>
  <c r="L212"/>
  <c r="L219"/>
  <c r="L4" i="1"/>
  <c r="L7"/>
  <c r="L8"/>
  <c r="L11"/>
  <c r="L12"/>
  <c r="L15"/>
  <c r="L16"/>
  <c r="L18"/>
  <c r="L19"/>
  <c r="L20"/>
  <c r="L21"/>
  <c r="L22"/>
  <c r="L24"/>
  <c r="L25"/>
  <c r="L26"/>
  <c r="L27"/>
  <c r="L28"/>
  <c r="L29"/>
  <c r="L30"/>
  <c r="L33"/>
  <c r="L34"/>
  <c r="L35"/>
  <c r="L36"/>
  <c r="L37"/>
  <c r="L38"/>
  <c r="L41"/>
  <c r="L42"/>
  <c r="L43"/>
  <c r="L44"/>
  <c r="L45"/>
  <c r="L47"/>
  <c r="L48"/>
  <c r="L49"/>
  <c r="L50"/>
  <c r="L53"/>
  <c r="L54"/>
  <c r="L55"/>
  <c r="L56"/>
  <c r="L57"/>
  <c r="L62"/>
  <c r="L63"/>
  <c r="L64"/>
  <c r="L65"/>
  <c r="L68"/>
  <c r="L69"/>
  <c r="L70"/>
  <c r="L71"/>
  <c r="L72"/>
  <c r="L73"/>
  <c r="L74"/>
  <c r="L75"/>
  <c r="L76"/>
  <c r="L80"/>
  <c r="L81"/>
  <c r="L82"/>
  <c r="L83"/>
  <c r="L84"/>
  <c r="L85"/>
  <c r="L86"/>
  <c r="L87"/>
  <c r="L88"/>
  <c r="L89"/>
  <c r="L90"/>
  <c r="L91"/>
  <c r="L94"/>
  <c r="L95"/>
  <c r="L96"/>
  <c r="L97"/>
  <c r="L98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2"/>
  <c r="L143"/>
  <c r="L145"/>
  <c r="L146"/>
  <c r="L147"/>
  <c r="L148"/>
  <c r="L149"/>
  <c r="L150"/>
  <c r="L151"/>
  <c r="L152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8"/>
  <c r="L179"/>
  <c r="L180"/>
  <c r="L181"/>
  <c r="L182"/>
  <c r="L196"/>
  <c r="L197"/>
  <c r="L198"/>
  <c r="L199"/>
  <c r="L204"/>
  <c r="L205"/>
  <c r="L209"/>
  <c r="L210"/>
  <c r="D216"/>
  <c r="E216"/>
  <c r="F215"/>
  <c r="F216"/>
  <c r="L214"/>
  <c r="L215" s="1"/>
  <c r="G142" i="36"/>
  <c r="L199" i="10" l="1"/>
  <c r="L231" s="1"/>
  <c r="L188" i="1"/>
  <c r="L216" s="1"/>
  <c r="K187" i="19"/>
  <c r="K233"/>
  <c r="J169" i="26"/>
  <c r="J253"/>
  <c r="K253"/>
  <c r="K169"/>
  <c r="C253"/>
  <c r="C169"/>
  <c r="F233" i="19"/>
  <c r="F187"/>
  <c r="D192" i="22"/>
  <c r="D244"/>
  <c r="K244"/>
  <c r="K192"/>
  <c r="E244"/>
  <c r="E192"/>
  <c r="D233" i="19"/>
  <c r="D187"/>
  <c r="E163" i="23"/>
  <c r="E247"/>
  <c r="E253" i="26"/>
  <c r="E169"/>
  <c r="D163" i="23"/>
  <c r="D247"/>
  <c r="F247"/>
  <c r="F163"/>
  <c r="L233" i="19"/>
  <c r="L187"/>
  <c r="L192" i="22"/>
  <c r="L244"/>
  <c r="E187" i="19"/>
  <c r="E233"/>
  <c r="L247" i="23"/>
  <c r="L163"/>
  <c r="K163"/>
  <c r="K247"/>
  <c r="F192" i="22"/>
  <c r="F244"/>
  <c r="D169" i="26"/>
  <c r="D253"/>
</calcChain>
</file>

<file path=xl/sharedStrings.xml><?xml version="1.0" encoding="utf-8"?>
<sst xmlns="http://schemas.openxmlformats.org/spreadsheetml/2006/main" count="19213" uniqueCount="1542">
  <si>
    <t>S/N</t>
  </si>
  <si>
    <t>Name</t>
  </si>
  <si>
    <t>Principal        N</t>
  </si>
  <si>
    <t>Interest N</t>
  </si>
  <si>
    <t>Total loan</t>
  </si>
  <si>
    <t>No of installment</t>
  </si>
  <si>
    <t>Monthy deduction</t>
  </si>
  <si>
    <t>No of Installment  paid</t>
  </si>
  <si>
    <t>No of Installment outstanding</t>
  </si>
  <si>
    <t>Total loan paid  N</t>
  </si>
  <si>
    <t>Outstanding balance</t>
  </si>
  <si>
    <t>Remarks (LPC in/out)</t>
  </si>
  <si>
    <t>ALABI, MUSIBAU ADEDOKUN</t>
  </si>
  <si>
    <t>50mnths</t>
  </si>
  <si>
    <t>4mnts</t>
  </si>
  <si>
    <t>46mnths</t>
  </si>
  <si>
    <t>OGUTUGA, OLUFOLAKE ADEJOKE</t>
  </si>
  <si>
    <t>OLADIPO, SUSAN OLAYEMI</t>
  </si>
  <si>
    <t>1mnth</t>
  </si>
  <si>
    <t>49mnths</t>
  </si>
  <si>
    <t>STARTED FEB '16</t>
  </si>
  <si>
    <t>OJENIYI, DANIEL OYEBISI</t>
  </si>
  <si>
    <t>BINUYO, LAWRENCE ADELANI</t>
  </si>
  <si>
    <t>JINADU, TESLIM TAIWO</t>
  </si>
  <si>
    <t>AJALA, MOSES MAGBAGBEOLA</t>
  </si>
  <si>
    <t>AJANI, SUNDAY OLATEJU</t>
  </si>
  <si>
    <t>OLABODE, FUNMILAYO AMOS</t>
  </si>
  <si>
    <t>OJO, LAWRENCE BABATUNDE</t>
  </si>
  <si>
    <t>BALOGUN, FUNMILOLA RANTI</t>
  </si>
  <si>
    <t>RASHEED DIPO OLALEKAN</t>
  </si>
  <si>
    <t>RAIFU, ISMAILA</t>
  </si>
  <si>
    <t>AKINFENWA AYANDEJI BOLA</t>
  </si>
  <si>
    <t>OLANIYI, BOLANLE OLAYEMI</t>
  </si>
  <si>
    <t>LASISI, LUKUMAN</t>
  </si>
  <si>
    <t>OLAYEMI, MICHEAL OLAJIRE</t>
  </si>
  <si>
    <t>OMOLARA ADEWUMI AZEEZ</t>
  </si>
  <si>
    <t>ADEOSUN, IDOWU OLUKUNLE</t>
  </si>
  <si>
    <t>ODUNADE, ADEREMI ABIODUN</t>
  </si>
  <si>
    <t>OYERINDE, FELICIA ADEJOKE</t>
  </si>
  <si>
    <t>SHITTU, TITILADE OLUMUBO</t>
  </si>
  <si>
    <t xml:space="preserve">ADEWALE, OLUYEMI MICHAEL </t>
  </si>
  <si>
    <t>OLAJIDE, TAYO ABIOLA</t>
  </si>
  <si>
    <t>KASALI, KOLA ABIODUN</t>
  </si>
  <si>
    <t>ADEDAYO, OLAJUMOKE OLUWASEUN</t>
  </si>
  <si>
    <t>BADMUS, ABIBAT IBIRONKE</t>
  </si>
  <si>
    <t xml:space="preserve">JIMO, MUINAT TITILOLA </t>
  </si>
  <si>
    <t>ADEKOLA, ISIAKA AKANBI</t>
  </si>
  <si>
    <t>OYATOKUN, PHILIPS FARAYOLA</t>
  </si>
  <si>
    <t>SIMEON, EMMANUEL</t>
  </si>
  <si>
    <t>ADEJUMO, OLUKUNLE ALADE</t>
  </si>
  <si>
    <t>ADEWUSI, ABIDEEN AKOREDE</t>
  </si>
  <si>
    <t>BOLAJI, OLATUNDE DAVID</t>
  </si>
  <si>
    <t>ADEJOBI, OLUWABUNMI TEMITOPE</t>
  </si>
  <si>
    <t>ADENIYI, OLUSANJO JOEL</t>
  </si>
  <si>
    <t>ADEOLA, OLUSEGUN BAMIDELE</t>
  </si>
  <si>
    <t>ADEOSUN, MICHEAL AYODELE</t>
  </si>
  <si>
    <t>ADERIBIGBE, OLUWATOSIN ADEKUNLE</t>
  </si>
  <si>
    <t>ADEYEMI, OWODUNNI OLUYEMISI</t>
  </si>
  <si>
    <t>AKANJI, OLAYINKA</t>
  </si>
  <si>
    <t xml:space="preserve">AKINADE,TIRIMISIYU </t>
  </si>
  <si>
    <t>AKINBILE, MEMUNAT OLAIDE</t>
  </si>
  <si>
    <t>AKINLADE, OLUKUNLE OLAGOKE</t>
  </si>
  <si>
    <t>ARIYO, AJIBADE SAMINU</t>
  </si>
  <si>
    <t>ASINWA, STEPHEN ADEMOLA</t>
  </si>
  <si>
    <t>ATERE, AMINAT BAMIDELE</t>
  </si>
  <si>
    <t>AWODIRAN, PETER AKINLOLU</t>
  </si>
  <si>
    <t>AYANSOLA, FLORENCE O.</t>
  </si>
  <si>
    <t>AYOOLA, OLUMUYIWA JAMES</t>
  </si>
  <si>
    <t>BALOGUN, ABASS ADEKUNLE</t>
  </si>
  <si>
    <t>GANIYU, MUSIBAU KOLA</t>
  </si>
  <si>
    <t>IBRAHIM, BOLA HAFEES</t>
  </si>
  <si>
    <t>IBRAHIM, OLAYIWOLA YINUSA</t>
  </si>
  <si>
    <t>JAMES, RACHEAL OLAJIRE</t>
  </si>
  <si>
    <t>OBATOWON GEORGE BOLAJI</t>
  </si>
  <si>
    <t>ODEDARA, OLUSOLA DAVID</t>
  </si>
  <si>
    <t>OGUNDEJI, FATIMO ADEWUMI</t>
  </si>
  <si>
    <t>OGUNJIMI, BILLY TIMOTHY</t>
  </si>
  <si>
    <t>OGUNMOLA, SEGUN FESTUS</t>
  </si>
  <si>
    <t>OJEDIRAN, JONATHAN OJETUNJI</t>
  </si>
  <si>
    <t>OJO, CAROLINE IKEOLUWA</t>
  </si>
  <si>
    <t>OKEGBOLA, ADEMOLA OKETUNJI</t>
  </si>
  <si>
    <t>OKUNADE, MULIKAT TITILAYO</t>
  </si>
  <si>
    <t>OKUNOLA, MUMINI FOLORUNSO</t>
  </si>
  <si>
    <t>OLAIFA SOLA OTOLOLA</t>
  </si>
  <si>
    <t>OLAJUMOKE, TUNDE ANTHONY</t>
  </si>
  <si>
    <t>OLANREWAJU, BOLATITO KEMI ELIZABETH</t>
  </si>
  <si>
    <t>OMOTUNDE, OLUSEGUN OLADELE</t>
  </si>
  <si>
    <t>OYELADE ALFRED OLUMIDE</t>
  </si>
  <si>
    <t>OYELEYE, FOLASADE AMOPE</t>
  </si>
  <si>
    <t>OYETOSO, KOLADE ALABA</t>
  </si>
  <si>
    <t>SALAMI, ADELEKE YISAU</t>
  </si>
  <si>
    <t>SALAMI, OMOLOLA OLAIDE BILIKISS</t>
  </si>
  <si>
    <t>SALAWU, DEBORAH OLUBUNMI</t>
  </si>
  <si>
    <t xml:space="preserve">SUBAIR, ADEFUNKE ADIJAT </t>
  </si>
  <si>
    <t>AJANI, LATEEFAT OMOLARA</t>
  </si>
  <si>
    <t>MABAYOJE, EMMANUEL DAHUNSI</t>
  </si>
  <si>
    <t>OGUNJINMI, MOJIRAYO OLUFUNMILAYO</t>
  </si>
  <si>
    <t>OKEDARA, BOSEDE CECILIA</t>
  </si>
  <si>
    <t>OLADEINDE, OLAIDE OLADUNNI</t>
  </si>
  <si>
    <t>OLADEJI DORCAS OLUNIKE</t>
  </si>
  <si>
    <t>OLOYEDE, KOLAWOLE</t>
  </si>
  <si>
    <t>OLUBODUN, ELIZABETH OLUSUNMBO</t>
  </si>
  <si>
    <t>OLUWOLE, OMOYENI OLUBIMPE</t>
  </si>
  <si>
    <t>OYELEYE, BENJAMIN OLOYEDE</t>
  </si>
  <si>
    <t>OYERINDE, ABIODUN OMOLARA</t>
  </si>
  <si>
    <t>ADELEKE, OLURANTI ELIZABETH</t>
  </si>
  <si>
    <t>ADENIRAN, CHRISTIANA ABIODUN</t>
  </si>
  <si>
    <t>AFOLABI OLATUNJI JIMOH</t>
  </si>
  <si>
    <t>AFOLABI, OLUFEMI ONAOLAPO</t>
  </si>
  <si>
    <t>AJAYI, ADEREMI OLUKUNLE</t>
  </si>
  <si>
    <t>AKINOLA OLUDARA</t>
  </si>
  <si>
    <t>ALARAPE, MOPELOLA FEHINTOLA</t>
  </si>
  <si>
    <t>ARETU ABIODUN ARINOLA</t>
  </si>
  <si>
    <t>AYINDE, BOLANLE ADIJAT</t>
  </si>
  <si>
    <t>OLAWOYIN, OYEBOLA</t>
  </si>
  <si>
    <t>OMONIYI, BUKOLA ESTHER</t>
  </si>
  <si>
    <t>OWOYEMI, MAGARET OLUKEMI</t>
  </si>
  <si>
    <t>POPOOLA, WASIU ABIODUN</t>
  </si>
  <si>
    <t>SABITU, SAHEED</t>
  </si>
  <si>
    <t>SHEHU, FATIMAH OMOLADUN</t>
  </si>
  <si>
    <t>ADEDIRAN, OMOLOLA  OLUBUNMI</t>
  </si>
  <si>
    <t xml:space="preserve">ABIDEEN, RASAK ALABI </t>
  </si>
  <si>
    <t>ADEBAYO, JAMES AKINTUNDE</t>
  </si>
  <si>
    <t>ADEBIYI, ADETUNJI KEHINDE</t>
  </si>
  <si>
    <t>ADEDIRAN, GBOLAGADE MORUFU</t>
  </si>
  <si>
    <t>ADEDIRAN, JOHN OLUSEYE</t>
  </si>
  <si>
    <t>ADEKANMBI, OLUFANUHAN ADERIYIKE</t>
  </si>
  <si>
    <t>ADEKUNLE, IDOWU ADEBAYO</t>
  </si>
  <si>
    <t>ADEKUNLE, TAIWO OLUSEGUN</t>
  </si>
  <si>
    <t>ADELABU, BOLA JOSEPH</t>
  </si>
  <si>
    <t>ADELOWO, TITILAYO ADENIKE</t>
  </si>
  <si>
    <t>ADEMUYIWA, FOLUSO ADEOLA</t>
  </si>
  <si>
    <t>ADENIRAN, ABRAHAM OLUSEUN</t>
  </si>
  <si>
    <t>ADENIRAN, DUPE KUDIRAT</t>
  </si>
  <si>
    <t>ADENIYI, ADEKUNMI OLUSEYI</t>
  </si>
  <si>
    <t>ADENIYI, MUJIDAT ADEFOLAKE</t>
  </si>
  <si>
    <t>ADEOLA, DEBORAH BOLA</t>
  </si>
  <si>
    <t>ADEOTI, IDOWU ABIODUN</t>
  </si>
  <si>
    <t>ADEYANJU, RAMATA AJEFUNKE</t>
  </si>
  <si>
    <t>ADEYEMO, OLAKUNBI OMOLOLA</t>
  </si>
  <si>
    <t>ADIO GANIYU OLANREWAJU</t>
  </si>
  <si>
    <t>ADISA, THOMAS AYODEJI</t>
  </si>
  <si>
    <t>AFOLABI, PETER OLUBAMIJI</t>
  </si>
  <si>
    <t>AJAGBE, KAYODE LUKULA</t>
  </si>
  <si>
    <t>AKANDE, ADEBAYO MUYIDEEN</t>
  </si>
  <si>
    <t>AKINDELE, AYOOLA ADEWUMI</t>
  </si>
  <si>
    <t>AKINDOKUN, SUNBO GANIYAT</t>
  </si>
  <si>
    <t>AKINOSUN, SUNDAY EZEKIEL</t>
  </si>
  <si>
    <t>AKINSANYA, JAMES FOLARIN</t>
  </si>
  <si>
    <t>AKINYANJU, OLANIYI AMOS</t>
  </si>
  <si>
    <t>ALABI, AYODELE TAJUDEEN</t>
  </si>
  <si>
    <t>AMUZAT, OLUBISI OYEDUNKE</t>
  </si>
  <si>
    <t>AREMU, EMIOLA AGNES</t>
  </si>
  <si>
    <t>AREMU, YEMISI OMOWUMI</t>
  </si>
  <si>
    <t>BABATUNDE, ADEKUNBI OLUWAYEMISI</t>
  </si>
  <si>
    <t>BABATUNDE, ADEOLA AJIBOLA</t>
  </si>
  <si>
    <t>BANKOLE, FOLAKE KEHINDE</t>
  </si>
  <si>
    <t>BELLO, ADEMOLA SARAFADEEN</t>
  </si>
  <si>
    <t>BOLAJI, CHRISTIANAH OLUKEMI</t>
  </si>
  <si>
    <t>BOLARINWA, DAUDA AYODELE</t>
  </si>
  <si>
    <t>DARAMOLA, GRACE OMOTOLA</t>
  </si>
  <si>
    <t>FATOBA, OLANREWAJU OLUWASEYI</t>
  </si>
  <si>
    <t>FAWOLE, JULIANAH OLUWATOYIN</t>
  </si>
  <si>
    <t>GANIYU, GBOLAGADE TIRIMISIYU</t>
  </si>
  <si>
    <t>GBADAMOSI, BASIRU AJADI</t>
  </si>
  <si>
    <t>ILELABOYE, ADERONKE</t>
  </si>
  <si>
    <t>IYIOLA, ZACCHAEUS OLALEKAN</t>
  </si>
  <si>
    <t>JIMOH, LATIFAT MOPELOLA</t>
  </si>
  <si>
    <t>JOSE, MOYOSOLA FOLASHADE</t>
  </si>
  <si>
    <t>KARUNWI, MARIA OLUFUNKE</t>
  </si>
  <si>
    <t>LAWAL, AKEEM OLAYIWOLA</t>
  </si>
  <si>
    <t>LAWAL, ODUNOLA NANA-H'AWA</t>
  </si>
  <si>
    <t>OBANISOLA, OLUREMI IYABODE</t>
  </si>
  <si>
    <t>OBI, ADESOLA ADEKEMI</t>
  </si>
  <si>
    <t>OJEDOKUN, GABRIEL ADEBAYO</t>
  </si>
  <si>
    <t>OJO, OYEYEMI IYABODE</t>
  </si>
  <si>
    <t>OKELEYE, ABIMBOLA TAIWO</t>
  </si>
  <si>
    <t>OKUNOLA, OLAWALE ADEDOTUN</t>
  </si>
  <si>
    <t>OLADIPO, WASIU OLAIDE</t>
  </si>
  <si>
    <t>OLANIYI, TOLANI ISAAC</t>
  </si>
  <si>
    <t>OLATUNJI, KABIR OLALEKAN</t>
  </si>
  <si>
    <t>OLUGBEMI, VICTOR AKINTUNDE</t>
  </si>
  <si>
    <t>OYEKANMI, AKEEM ADEKOLA</t>
  </si>
  <si>
    <t>OYEKANMI, MUSIBAU KOLAWOLE</t>
  </si>
  <si>
    <t>RAHEEM, SALIMAN YEMI</t>
  </si>
  <si>
    <t>SOLALU, SIMIAT JUMOKE</t>
  </si>
  <si>
    <t>WILLIAMS, OLUWATOYIN OLUFUNKE</t>
  </si>
  <si>
    <t>AKINREMI, IDAYAT MOJIRADE</t>
  </si>
  <si>
    <t>ADEBAYO, OLUTOYIN</t>
  </si>
  <si>
    <t>ADEBISI, ESTHER OLUBUNMI</t>
  </si>
  <si>
    <t>ADEGBOLA, FELICIA BOLAJI</t>
  </si>
  <si>
    <t>ADEGOKE, FOLAKE RUKAYAT</t>
  </si>
  <si>
    <t>AJANI, ABIGEAL OLUWABUNMI</t>
  </si>
  <si>
    <t>AKANDE, MUSILI TAIWO</t>
  </si>
  <si>
    <t>ALABI, OMOLARA SULIATA</t>
  </si>
  <si>
    <t>BABALOLA, OLUDAYO MAKINDE</t>
  </si>
  <si>
    <t>OGUNDEJI, ADEFUNKE ADEOLA</t>
  </si>
  <si>
    <t>OGUNYEMI AGNES OLUFUNKE</t>
  </si>
  <si>
    <t>OLADEJO, OLUWOLE JOSHUA</t>
  </si>
  <si>
    <t>ABIMBOLA, ROMOKE</t>
  </si>
  <si>
    <t>ABIOYE, OYEBIMPE ESTHER</t>
  </si>
  <si>
    <t>ADEGBOYEGA, ESTHER FOLAKE</t>
  </si>
  <si>
    <t>ADENIYI, SULIAT</t>
  </si>
  <si>
    <t>AZEEZ, FLORENCE OLUFUNMILAYO</t>
  </si>
  <si>
    <t>FADEYI, AJOKE OLUBUNMI</t>
  </si>
  <si>
    <t>FASUGBA, RACHEAL OLUWATOYIN</t>
  </si>
  <si>
    <t>MURITALA, ABDUL RAHAMAN</t>
  </si>
  <si>
    <t>OLOYEDE, DORCAS</t>
  </si>
  <si>
    <t>OLUGBILE, SUNDAY OLUKUNLE</t>
  </si>
  <si>
    <t>OLUWASEUN, JOHANA OLUWAKEMI</t>
  </si>
  <si>
    <t>SALAMI, JEMILAT TOLANI</t>
  </si>
  <si>
    <t>ALAMU, ELIZABETH ADEYINKA</t>
  </si>
  <si>
    <t>BAMIGBADE FOLUSO OLUGBADE</t>
  </si>
  <si>
    <t>ODENIYI, ADEOLA RACHAEL</t>
  </si>
  <si>
    <t>ADELEKE, WASIU</t>
  </si>
  <si>
    <t>ADEMOLA, SULIYAT AJIBOLA</t>
  </si>
  <si>
    <t>AJAYI ADEJUMO</t>
  </si>
  <si>
    <t>BALOGUN, GRACE OLUWAYEMISI</t>
  </si>
  <si>
    <t>IYIOLA, RASAKI</t>
  </si>
  <si>
    <t>OLIYIDE, CECILIA IFELAYO</t>
  </si>
  <si>
    <t>OLUKOKUN FATIMO ADEFUNKE</t>
  </si>
  <si>
    <t>BANJO FEYISAYO</t>
  </si>
  <si>
    <t>OGUNDIPE, OGUNDAYO AYINLA</t>
  </si>
  <si>
    <t>FAGBENRO, NAFISAT ADEDOYIN</t>
  </si>
  <si>
    <t>ADEWUMI, TUNDE ADEWOLE</t>
  </si>
  <si>
    <t>OLADEJI, OLANIKE MOBOLAJI</t>
  </si>
  <si>
    <t>OLOKO, SAMUEL OLANRELE</t>
  </si>
  <si>
    <t>AKINLABI, TAJUDEEN AJIBOLA</t>
  </si>
  <si>
    <t>KUSANU, MODUPE KEHINDE</t>
  </si>
  <si>
    <t>OKESADE, LUKMAN KAYODE</t>
  </si>
  <si>
    <t>OLADOKUN, OLATUNDE JOSHUA</t>
  </si>
  <si>
    <t>TAYO, OLUBAYO STEPHEN</t>
  </si>
  <si>
    <t>FATOKUN, SAMSON OLUGBENGA</t>
  </si>
  <si>
    <t>DADA, IYABO GRACE</t>
  </si>
  <si>
    <t>AKANO, ISMAILA ADEKUNLE</t>
  </si>
  <si>
    <t>BELLO, MOTUNRAYO HAOLAT</t>
  </si>
  <si>
    <t>OLANIYI, ADIJAT OMOLAYO</t>
  </si>
  <si>
    <t>AREMU, MARYIAM MOJISOLA</t>
  </si>
  <si>
    <t>OLALEKAN, TUNRAYO JEMILAT</t>
  </si>
  <si>
    <t>ADEYEMO, DEBORAH</t>
  </si>
  <si>
    <t>MUFUTAU, WASIU ADEGBOYEGA</t>
  </si>
  <si>
    <t>SOYOMBO, BOSEDE ESTHER</t>
  </si>
  <si>
    <t>LASISI, RASIDI</t>
  </si>
  <si>
    <t>YUSUF, MURAINA</t>
  </si>
  <si>
    <t>RAJI, ABASS OLAJIDE</t>
  </si>
  <si>
    <t>MINISTRY OF EDUCATION, SCIENCE AND TECHNOLOGY</t>
  </si>
  <si>
    <t xml:space="preserve">MOTOR VEHICLE DEDUCTION FOR THE MONTH OF JANUARY, 2016 </t>
  </si>
  <si>
    <t xml:space="preserve">MOTOR VEHICLE DEDUCTION FOR THE MONTH OF FEBRUARY, 2016 </t>
  </si>
  <si>
    <t xml:space="preserve">MOTOR VEHICLE DEDUCTION FOR THE MONTH OF MARCH, 2016 </t>
  </si>
  <si>
    <t>OSUNDARA OLUBUKADE TOLULOPE</t>
  </si>
  <si>
    <t xml:space="preserve">ALADE OLANIKE MUJIDAT </t>
  </si>
  <si>
    <t>LPC IN</t>
  </si>
  <si>
    <t>OFFICERS WITH BVN ISSUES</t>
  </si>
  <si>
    <t>FEB &amp; MARC.</t>
  </si>
  <si>
    <t xml:space="preserve">MOTOR VEHICLE DEDUCTION FOR THE MONTH OF APRIL, 2016 </t>
  </si>
  <si>
    <t>ADEWALE, OLUYEMI MICHAEL</t>
  </si>
  <si>
    <t>JAMES, FELICIA TITILOPE</t>
  </si>
  <si>
    <t>AYODELE, TAIWO AYOADE</t>
  </si>
  <si>
    <t xml:space="preserve">MOTOR VEHICLE DEDUCTION FOR THE MONTH OF MAY, 2016 </t>
  </si>
  <si>
    <t xml:space="preserve">MOTOR VEHICLE DEDUCTION FOR THE MONTH OF JUNE, 2016 </t>
  </si>
  <si>
    <t>ONI, OLUBUNMI OLUFUNKE</t>
  </si>
  <si>
    <t>AJAO, ABASS ABIODUN</t>
  </si>
  <si>
    <t>OGUNGBE, OLUROTIMI TEMIDAYO</t>
  </si>
  <si>
    <t>ADEPEGBA, MUHYDEEN AYINLA</t>
  </si>
  <si>
    <t>SOKUNBI, FAITH ABOSEDE</t>
  </si>
  <si>
    <t>ADEYEMO, ABIBAT TEMILADE</t>
  </si>
  <si>
    <t>ARINOLA, FATIMAT OLANIKE</t>
  </si>
  <si>
    <t xml:space="preserve">MOTOR VEHICLE DEDUCTION FOR THE MONTH OF JULY, 2016 </t>
  </si>
  <si>
    <t>OGUNSESAN, AMUDAT IYABO</t>
  </si>
  <si>
    <t>ALABI, MOBOLAJI OLUREMI</t>
  </si>
  <si>
    <t>OMITADE, OLUYINKA OMOLARA</t>
  </si>
  <si>
    <t>OLAYIWOLA, BULIAMINU ADESOLA</t>
  </si>
  <si>
    <t>ADEYEMO, ABUDU  ADEGBOYEGA</t>
  </si>
  <si>
    <t>ADEKUNLE, OLUWOLE BENARD FOLONSHO</t>
  </si>
  <si>
    <t>OLAYINKA, SARAH BOLANLE</t>
  </si>
  <si>
    <t xml:space="preserve">MOTOR VEHICLE DEDUCTION FOR THE MONTH OF AUGUST, 2016 </t>
  </si>
  <si>
    <t xml:space="preserve"> </t>
  </si>
  <si>
    <t xml:space="preserve">MOTOR VEHICLE DEDUCTION FOR THE MONTH OF SEPTEMBER, 2016 </t>
  </si>
  <si>
    <t xml:space="preserve">MOTOR VEHICLE DEDUCTION FOR THE MONTH OF DECEMBER, 2015 </t>
  </si>
  <si>
    <t xml:space="preserve">MOTOR VEHICLE DEDUCTION FOR THE MONTH OF FEBUARY, 2016 </t>
  </si>
  <si>
    <t>Interest        N</t>
  </si>
  <si>
    <t>ADEKUNLE OLUWOLE BENARD FOLONSHO</t>
  </si>
  <si>
    <t>ADEPEGBA MUHIDEEN AYINLA</t>
  </si>
  <si>
    <t>ADEYEMO, ABUDU ADEGBOYEGA</t>
  </si>
  <si>
    <t>AJAO ABASS ABIODUN</t>
  </si>
  <si>
    <t>ARINOLA FATIMAT OLANIKE</t>
  </si>
  <si>
    <t>JAMES FELICIA TITILOPE</t>
  </si>
  <si>
    <t>OGUNGBE OLUROTIMI TEMIDAYO</t>
  </si>
  <si>
    <t>OGUNSESAN AMUDAT IYABO</t>
  </si>
  <si>
    <t>OLAYINKA SARAH BOLANLE</t>
  </si>
  <si>
    <t>SOKUNBI FAITH ABOSEDE</t>
  </si>
  <si>
    <t xml:space="preserve">MOTOR VEHICLE DEDUCTION FOR THE MONTH OF OCTOBER, 2016 </t>
  </si>
  <si>
    <t>NAME</t>
  </si>
  <si>
    <t>AKINBOADE RISIKAT OMOLOLA</t>
  </si>
  <si>
    <t>FASASI TAJUDEEN</t>
  </si>
  <si>
    <t>OGUNDIPE ADETOKUNBO OLUYEMI</t>
  </si>
  <si>
    <t>OLUDURO GABRIEL OLUWAPELUMI</t>
  </si>
  <si>
    <t>TOMORI EBUNLOMO TAIWO</t>
  </si>
  <si>
    <t>ADEYEMO ABIBAT TEMILADE</t>
  </si>
  <si>
    <t>ADEYEMO ABUDU ADEGBOYEGA</t>
  </si>
  <si>
    <t>ONI OLUBUNMI OLUFUNKE</t>
  </si>
  <si>
    <t xml:space="preserve">JIMO MUINAT TITILOLA </t>
  </si>
  <si>
    <t>OYATOKUN PHILIPS FARAYOLA</t>
  </si>
  <si>
    <t>SIMEON EMMANUEL</t>
  </si>
  <si>
    <t>ADEJUMO OLUKUNLE ALADE</t>
  </si>
  <si>
    <t>ADEWUSI ABIDEEN AKOREDE</t>
  </si>
  <si>
    <t>BOLAJI OLATUNDE DAVID</t>
  </si>
  <si>
    <t>ADEJOBI OLUWABUNMI TEMITOPE</t>
  </si>
  <si>
    <t>ADENIYI OLUSANJO JOEL</t>
  </si>
  <si>
    <t>ADEOLA OLUSEGUN BAMIDELE</t>
  </si>
  <si>
    <t>ADEOSUN IDOWU OLUKUNLE</t>
  </si>
  <si>
    <t>ADEOSUN MICHEAL AYODELE</t>
  </si>
  <si>
    <t>ADERIBIGBE OLUWATOSIN ADEKUNLE</t>
  </si>
  <si>
    <t>ADEYEMI OWODUNNI OLUYEMISI</t>
  </si>
  <si>
    <t>AJALA MOSES MAGBAGBEOLA</t>
  </si>
  <si>
    <t>AJANI SUNDAY OLATEJU</t>
  </si>
  <si>
    <t>AKANJI OLAYINKA</t>
  </si>
  <si>
    <t xml:space="preserve">AKINADETIRIMISIYU </t>
  </si>
  <si>
    <t>AKINBILE MEMUNAT OLAIDE</t>
  </si>
  <si>
    <t>ALABI MUSIBAU ADEDOKUN</t>
  </si>
  <si>
    <t>ALAWODE ADENIKE</t>
  </si>
  <si>
    <t>ARIYO AJIBADE SAMINU</t>
  </si>
  <si>
    <t>ASINWA STEPHEN ADEMOLA</t>
  </si>
  <si>
    <t>ATERE AMINAT BAMIDELE</t>
  </si>
  <si>
    <t>AWODIRAN PETER AKINLOLU</t>
  </si>
  <si>
    <t>BALOGUN ABASS ADEKUNLE</t>
  </si>
  <si>
    <t>BALOGUN FUNMILOLA RANTI</t>
  </si>
  <si>
    <t>FAGBENRO NAFISAT ADEDOYIN</t>
  </si>
  <si>
    <t>GANIYU MUSIBAU KOLA</t>
  </si>
  <si>
    <t>IBRAHIM BOLA HAFEES</t>
  </si>
  <si>
    <t>IBRAHIM OLAYIWOLA YINUSA</t>
  </si>
  <si>
    <t>JAMES RACHEAL OLAJIRE</t>
  </si>
  <si>
    <t>JINADU TESLIM TAIWO</t>
  </si>
  <si>
    <t>ODEDARA OLUSOLA DAVID</t>
  </si>
  <si>
    <t>ODUNADE ADEREMI ABIODUN</t>
  </si>
  <si>
    <t>OGUNDEJI FATIMO ADEWUMI</t>
  </si>
  <si>
    <t>OGUNDIPE OGUNDAYO AYINLA</t>
  </si>
  <si>
    <t>OGUNMOLA SEGUN FESTUS</t>
  </si>
  <si>
    <t>OJEDIRAN JONATHAN OJETUNJI</t>
  </si>
  <si>
    <t>OJENIYI DANIEL OYEBISI</t>
  </si>
  <si>
    <t>OJO CAROLINE IKEOLUWA</t>
  </si>
  <si>
    <t>OJO LAWRENCE BABATUNDE</t>
  </si>
  <si>
    <t>OKEGBOLA ADEMOLA OKETUNJI</t>
  </si>
  <si>
    <t>OKUNADE MULIKAT TITILAYO</t>
  </si>
  <si>
    <t>OKUNOLA MUMINI FOLORUNSO</t>
  </si>
  <si>
    <t>OLABODE FUNMILAYO AMOS</t>
  </si>
  <si>
    <t>OLADIPO SUSAN OLAYEMI</t>
  </si>
  <si>
    <t>OLAJUMOKE TUNDE ANTHONY</t>
  </si>
  <si>
    <t>OLANREWAJU BOLATITO KEMI ELIZABETH</t>
  </si>
  <si>
    <t>OLAYIWOLA BULIAMINU ADESOLA</t>
  </si>
  <si>
    <t>OMITADE OLUYINKA OMOLARA</t>
  </si>
  <si>
    <t>OMOTUNDE OLUSEGUN OLADELE</t>
  </si>
  <si>
    <t>OYELEYE FOLASADE AMOPE</t>
  </si>
  <si>
    <t>OYERINDE FELICIA ADEJOKE</t>
  </si>
  <si>
    <t>OYETOSO KOLADE ALABA</t>
  </si>
  <si>
    <t>SALAMI ADELEKE YISAU</t>
  </si>
  <si>
    <t>SALAMI OMOLOLA OLAIDE BILIKISS</t>
  </si>
  <si>
    <t>SALAWU DEBORAH OLUBUNMI</t>
  </si>
  <si>
    <t>SHITTU TITILADE OLUMUBO</t>
  </si>
  <si>
    <t>SUBAIR ADEFUNKE ADIJAT</t>
  </si>
  <si>
    <t xml:space="preserve">ADEWALE OLUYEMI MICHAEL </t>
  </si>
  <si>
    <t>ADEWUMI TUNDE ADEWOLE</t>
  </si>
  <si>
    <t>AJANI LATEEFAT OMOLARA</t>
  </si>
  <si>
    <t>ALABI MOBOLAJI OLUREMI</t>
  </si>
  <si>
    <t>KASALI KOLA ABIODUN</t>
  </si>
  <si>
    <t>MABAYOJE EMMANUEL DAHUNSI</t>
  </si>
  <si>
    <t>OGUNJINMI MOJIRAYO OLUFUNMILAYO</t>
  </si>
  <si>
    <t>OKEDARA BOSEDE CECILIA</t>
  </si>
  <si>
    <t>OLAJIDE TAYO ABIOLA</t>
  </si>
  <si>
    <t>OLOYEDE KOLAWOLE</t>
  </si>
  <si>
    <t>OYELEYE BENJAMIN OLOYEDE</t>
  </si>
  <si>
    <t>OYERINDE ABIODUN OMOLARA</t>
  </si>
  <si>
    <t>ADELEKE OLURANTI ELIZABETH</t>
  </si>
  <si>
    <t>ADENIRAN CHRISTIANA ABIODUN</t>
  </si>
  <si>
    <t>AFOLABI OLUFEMI ONAOLAPO</t>
  </si>
  <si>
    <t>ALARAPE MOPELOLA FEHINTOLA</t>
  </si>
  <si>
    <t>AYINDE BOLANLE ADIJAT</t>
  </si>
  <si>
    <t>OLANIYI BOLANLE OLAYEMI</t>
  </si>
  <si>
    <t>OMONIYI BUKOLA ESTHER</t>
  </si>
  <si>
    <t>OWOYEMI MAGARET OLUKEMI</t>
  </si>
  <si>
    <t>POPOOLA WASIU ABIODUN</t>
  </si>
  <si>
    <t>RAIFU ISMAILA</t>
  </si>
  <si>
    <t>SABITU SAHEED</t>
  </si>
  <si>
    <t xml:space="preserve">ABIDEEN RASAK ALABI </t>
  </si>
  <si>
    <t>ADEBAYO JAMES AKINTUNDE</t>
  </si>
  <si>
    <t>ADEBIYI ADETUNJI KEHINDE</t>
  </si>
  <si>
    <t>ADELOWO TITILAYO ADENIKE</t>
  </si>
  <si>
    <t>ADENIYI ADEKUNMI OLUSEYI</t>
  </si>
  <si>
    <t>ADENIYI MUJIDAT ADEFOLAKE</t>
  </si>
  <si>
    <t>ADEOLA DEBORAH BOLA</t>
  </si>
  <si>
    <t>ADEOTI IDOWU ABIODUN</t>
  </si>
  <si>
    <t>ADEYEMO OLAKUNBI OMOLOLA</t>
  </si>
  <si>
    <t>ADISA THOMAS AYODEJI</t>
  </si>
  <si>
    <t>AFOLABI PETER OLUBAMIJI</t>
  </si>
  <si>
    <t>AKINYANJU OLANIYI AMOS</t>
  </si>
  <si>
    <t>AREMU YEMISI OMOWUMI</t>
  </si>
  <si>
    <t>BABATUNDE ADEOLA AJIBOLA</t>
  </si>
  <si>
    <t>FATOKUN SAMSON OLUGBENGA</t>
  </si>
  <si>
    <t>GBADAMOSI BASIRU AJADI</t>
  </si>
  <si>
    <t>ILELABOYE ADERONKE</t>
  </si>
  <si>
    <t>IYIOLA ZACCHAEUS OLALEKAN</t>
  </si>
  <si>
    <t>JIMOH LATIFAT MOPELOLA</t>
  </si>
  <si>
    <t>JOSE MOYOSOLA FOLASHADE</t>
  </si>
  <si>
    <t>KARUNWI MARIA OLUFUNKE</t>
  </si>
  <si>
    <t>KUSANU MODUPE KEHINDE</t>
  </si>
  <si>
    <t>LAWAL AKEEM OLAYIWOLA</t>
  </si>
  <si>
    <t>OKELEYE ABIMBOLA TAIWO</t>
  </si>
  <si>
    <t>OKESADE LUKMAN KAYODE</t>
  </si>
  <si>
    <t>OLADOKUN OLATUNDE JOSHUA</t>
  </si>
  <si>
    <t>OLANIYI TOLANI ISAAC</t>
  </si>
  <si>
    <t>SOLALU SIMIAT JUMOKE</t>
  </si>
  <si>
    <t>TAYO OLUBAYO STEPHEN</t>
  </si>
  <si>
    <t>WILLIAMS OLUWATOYIN OLUFUNKE</t>
  </si>
  <si>
    <t>ADEBISI ESTHER OLUBUNMI</t>
  </si>
  <si>
    <t>AJANI ABIGEAL OLUWABUNMI</t>
  </si>
  <si>
    <t>AKANDE MUSILI TAIWO</t>
  </si>
  <si>
    <t>OLADEJO OLUWOLE JOSHUA</t>
  </si>
  <si>
    <t>ABIMBOLA ROMOKE</t>
  </si>
  <si>
    <t>ADEGBOYEGA ESTHER FOLAKE</t>
  </si>
  <si>
    <t>AZEEZ FLORENCE OLUFUNMILAYO</t>
  </si>
  <si>
    <t>FADEYI AJOKE OLUBUNMI</t>
  </si>
  <si>
    <t>MUFUTAU WASIU ADEGBOYEGA</t>
  </si>
  <si>
    <t>MURITALA ABDUL RAHAMAN</t>
  </si>
  <si>
    <t>OLOYEDE DORCAS</t>
  </si>
  <si>
    <t>ALAMU ELIZABETH ADEYINKA</t>
  </si>
  <si>
    <t>LASISI LUKUMAN</t>
  </si>
  <si>
    <t>ODENIYI ADEOLA RACHAEL</t>
  </si>
  <si>
    <t>OLAYEMI MICHEAL OLAJIRE</t>
  </si>
  <si>
    <t>IYIOLA RASAKI</t>
  </si>
  <si>
    <t>SOYOMBO BOSEDE ESTHER</t>
  </si>
  <si>
    <t>ADEDIRAN OMOLOLAOLUBUNMI</t>
  </si>
  <si>
    <t>ADEKOLA ISIAKA AKANBI</t>
  </si>
  <si>
    <t>AKINOSUN SUNDAY EZEKIEL</t>
  </si>
  <si>
    <t>FAWOLE JULIANAH OLUWATOYIN</t>
  </si>
  <si>
    <t>OBI ADESOLA ADEKEMI</t>
  </si>
  <si>
    <t xml:space="preserve">MOTOR VEHICLE DEDUCTION FOR THE MONTH OF NOVEMBER, 2016 </t>
  </si>
  <si>
    <t>AKANDE SOLOMON OLUSOLA</t>
  </si>
  <si>
    <t>AKINREMI MEDINAT JUMOKE</t>
  </si>
  <si>
    <t>ALIMI MUFUTAU AKINKUNMI</t>
  </si>
  <si>
    <t>ADIO OLUWATOYIN FATIMO</t>
  </si>
  <si>
    <t>ALAO OLUSOLA AKINBOLA</t>
  </si>
  <si>
    <t>ADIGUN KIKELOMO ELIZABETH</t>
  </si>
  <si>
    <t>AKINLEYE WASIU ADEREMI</t>
  </si>
  <si>
    <t>OLADEJI MICHEAL OLUGBAMI</t>
  </si>
  <si>
    <t>OLADIPO DANIEL ISHOLA</t>
  </si>
  <si>
    <t>OLOYEDE VICTORIA AYANPEJU</t>
  </si>
  <si>
    <t>RAHEEF WAHEED OLATUNBOSUN</t>
  </si>
  <si>
    <t>LAWAL AKEEM FOLORUNSO</t>
  </si>
  <si>
    <t>OJURI YEMISI YETUNDE</t>
  </si>
  <si>
    <t>OLASUNKANMI MOTUNRAYO OLUBUNMI</t>
  </si>
  <si>
    <t>OBISESAN BOLATITO AYOBAMI</t>
  </si>
  <si>
    <t>ERINFOLAMI RASHIDAT OYINLADE</t>
  </si>
  <si>
    <t>OMOTOSHO MUJIDAT TITILOLA</t>
  </si>
  <si>
    <t>ISMAILA FUNKE</t>
  </si>
  <si>
    <t>KILANKO TITILOLA ELIZABETH</t>
  </si>
  <si>
    <t>OJELABI AMOS WALEOLA</t>
  </si>
  <si>
    <t>SALAWU KHADIJAT FOLASHADE</t>
  </si>
  <si>
    <t>AKINREMI ADEREMI</t>
  </si>
  <si>
    <t>ADEKUNLE TAIWO OLUSEGUN</t>
  </si>
  <si>
    <t>OLADEJI OLANIKE MOBOLAJI</t>
  </si>
  <si>
    <t>OLUGBILE SUNDAY OLUKUNLE</t>
  </si>
  <si>
    <t>ADENIRAN ABRAHAM OLUSEUN</t>
  </si>
  <si>
    <t>ADEGOKE FOLAKE RUKAYAT</t>
  </si>
  <si>
    <t>AREMU EMIOLA AGNES</t>
  </si>
  <si>
    <t>OLADIPO WASIU OLAIDE</t>
  </si>
  <si>
    <t>BABALOLA OLUDAYO MAKINDE</t>
  </si>
  <si>
    <t>AMUZAT OLUBISI OYEDUNKE</t>
  </si>
  <si>
    <t>AKINREMI IDAYAT MOJIRADE</t>
  </si>
  <si>
    <t>ADEDIRAN GBOLAGADE MORUFU</t>
  </si>
  <si>
    <t>ADELABU BOLA JOSEPH</t>
  </si>
  <si>
    <t>AKANO ISMAILA ADEKUNLE</t>
  </si>
  <si>
    <t>ALABI AYODELE TAJUDEEN</t>
  </si>
  <si>
    <t>BELLO ADEMOLA SARAFADEEN</t>
  </si>
  <si>
    <t>BOLAJI CHRISTIANAH OLUKEMI</t>
  </si>
  <si>
    <t>BOLARINWA DAUDA AYODELE</t>
  </si>
  <si>
    <t>DADA IYABO GRACE</t>
  </si>
  <si>
    <t>DARAMOLA GRACE OMOTOLA</t>
  </si>
  <si>
    <t>FASUGBA RACHEAL OLUWATOYIN</t>
  </si>
  <si>
    <t>OLOKO SAMUEL OLANRELE</t>
  </si>
  <si>
    <t>OLUGBEMI VICTOR AKINTUNDE</t>
  </si>
  <si>
    <t>ADEYANJU RAMATA AJEFUNKE</t>
  </si>
  <si>
    <t>LAWAL ODUNOLA NANA-HAWA</t>
  </si>
  <si>
    <t>OLIYIDE CECILIA IFELAYO</t>
  </si>
  <si>
    <t>AKINLABI TAJUDEEN AJIBOLA</t>
  </si>
  <si>
    <t>OLUWOLE OMOYENI OLUBIMPE</t>
  </si>
  <si>
    <t>BADMUS ABIBAT IBIRONKE</t>
  </si>
  <si>
    <t xml:space="preserve">MOTOR VEHICLE DEDUCTION FOR THE MONTH OF DECEMBER, 2016 </t>
  </si>
  <si>
    <t>OLAJIDE MICHEAL OLUSINA</t>
  </si>
  <si>
    <t>OYEDELE OLUFISAYO FOLASERE</t>
  </si>
  <si>
    <t>BADMUS MUJIDAT OMOLOLA</t>
  </si>
  <si>
    <t>ABIMBOLA ABIODUN ADEDIMEJI</t>
  </si>
  <si>
    <t>RAJI ABASS OLAJIDE</t>
  </si>
  <si>
    <t>MOTOR VEHICLE DEDUCTION FOR THE MONTH OF JANUARY, 2017</t>
  </si>
  <si>
    <t>MOTOR VEHICLE DEDUCTION FOR THE MONTH OF FEBRUARY, 2017</t>
  </si>
  <si>
    <t>ODUOLA RAFIU</t>
  </si>
  <si>
    <t>MOTOR VEHICLE DEDUCTION FOR THE MONTH OF MARCH, 2017</t>
  </si>
  <si>
    <t>ADISA EMMANUEL OLUYEMISI</t>
  </si>
  <si>
    <t>ALADE FUNMILAYO BOLATITO</t>
  </si>
  <si>
    <t>MOTOR VEHICLE DEDUCTION FOR THE MONTH OF APRIL, 2017</t>
  </si>
  <si>
    <t xml:space="preserve"> OYSG/3911 </t>
  </si>
  <si>
    <t xml:space="preserve"> ALADE FUNMILAYO BOLATITO </t>
  </si>
  <si>
    <t xml:space="preserve"> OYSG/3072 </t>
  </si>
  <si>
    <t xml:space="preserve"> OYEDELE OLUFISAYO FOLASERE </t>
  </si>
  <si>
    <t xml:space="preserve"> OYSG/1531 </t>
  </si>
  <si>
    <t xml:space="preserve"> ODENIYI ADEOLA RACHAEL </t>
  </si>
  <si>
    <t xml:space="preserve"> OYSG/3251 </t>
  </si>
  <si>
    <t xml:space="preserve"> ADEYEMI OWODUNNI OLUYEMISI </t>
  </si>
  <si>
    <t xml:space="preserve"> OYSG/1238 </t>
  </si>
  <si>
    <t xml:space="preserve"> SHITTU TITILADE OLUMUBO </t>
  </si>
  <si>
    <t xml:space="preserve"> OYSG/0905 </t>
  </si>
  <si>
    <t xml:space="preserve"> RASHEED DIPO OLALEKAN </t>
  </si>
  <si>
    <t xml:space="preserve"> OYSG/4933 </t>
  </si>
  <si>
    <t xml:space="preserve"> OYSG/1236 </t>
  </si>
  <si>
    <t xml:space="preserve"> AKINADETIRIMISIYU   </t>
  </si>
  <si>
    <t xml:space="preserve"> OYSG/1286 </t>
  </si>
  <si>
    <t xml:space="preserve"> OYELADE ALFRED OLUMIDE </t>
  </si>
  <si>
    <t xml:space="preserve"> OYSG/6235 </t>
  </si>
  <si>
    <t xml:space="preserve"> GANIYU MUSIBAU KOLA </t>
  </si>
  <si>
    <t xml:space="preserve"> OYSG/2081 </t>
  </si>
  <si>
    <t xml:space="preserve"> OJO LAWRENCE BABATUNDE </t>
  </si>
  <si>
    <t xml:space="preserve"> OYSG/3023 </t>
  </si>
  <si>
    <t xml:space="preserve"> BADMUS ABIBAT IBIRONKE </t>
  </si>
  <si>
    <t xml:space="preserve"> OYSG/2884 </t>
  </si>
  <si>
    <t xml:space="preserve"> ODUNADE ADEREMI ABIODUN </t>
  </si>
  <si>
    <t xml:space="preserve"> OYSG/6490 </t>
  </si>
  <si>
    <t xml:space="preserve"> ABIMBOLA ABIODUN ADEDIMEJI </t>
  </si>
  <si>
    <t xml:space="preserve"> OYSG/2422 </t>
  </si>
  <si>
    <t xml:space="preserve"> ARETU ABIODUN ARINOLA </t>
  </si>
  <si>
    <t xml:space="preserve"> OYSG/2514 </t>
  </si>
  <si>
    <t xml:space="preserve"> ADEJOBI OLUWABUNMI TEMITOPE </t>
  </si>
  <si>
    <t xml:space="preserve"> OYSG/0448 </t>
  </si>
  <si>
    <t xml:space="preserve"> OGUNDIPE OGUNDAYO AYINLA </t>
  </si>
  <si>
    <t xml:space="preserve"> OYSG/3100 </t>
  </si>
  <si>
    <t xml:space="preserve"> AKINBILE MEMUNAT OLAIDE </t>
  </si>
  <si>
    <t xml:space="preserve"> OYSG/1399 </t>
  </si>
  <si>
    <t xml:space="preserve"> ALABI MOBOLAJI OLUREMI </t>
  </si>
  <si>
    <t xml:space="preserve"> OYSG/4761 </t>
  </si>
  <si>
    <t xml:space="preserve"> OKUNADE MULIKAT TITILAYO </t>
  </si>
  <si>
    <t xml:space="preserve"> OYSG/2247 </t>
  </si>
  <si>
    <t xml:space="preserve"> SALAWU DEBORAH OLUBUNMI </t>
  </si>
  <si>
    <t xml:space="preserve"> OYSG/4672 </t>
  </si>
  <si>
    <t xml:space="preserve"> ONI OLUBUNMI OLUFUNKE </t>
  </si>
  <si>
    <t xml:space="preserve"> OYSG/5394 </t>
  </si>
  <si>
    <t xml:space="preserve"> ATERE AMINAT BAMIDELE </t>
  </si>
  <si>
    <t xml:space="preserve"> OYSG/0623 </t>
  </si>
  <si>
    <t xml:space="preserve"> OGUNGBE OLUROTIMI TEMIDAYO </t>
  </si>
  <si>
    <t xml:space="preserve"> OYSG/4775 </t>
  </si>
  <si>
    <t xml:space="preserve"> OLUDURO GABRIEL OLUWAPELUMI </t>
  </si>
  <si>
    <t xml:space="preserve"> OYSG/5873 </t>
  </si>
  <si>
    <t xml:space="preserve"> OWOYEMI MAGARET OLUKEMI </t>
  </si>
  <si>
    <t xml:space="preserve"> OYSG/2895 </t>
  </si>
  <si>
    <t xml:space="preserve"> OYSG/1360 </t>
  </si>
  <si>
    <t xml:space="preserve"> OJENIYI DANIEL OYEBISI </t>
  </si>
  <si>
    <t xml:space="preserve"> OYSG/1274 </t>
  </si>
  <si>
    <t xml:space="preserve"> OKEGBOLA ADEMOLA OKETUNJI </t>
  </si>
  <si>
    <t xml:space="preserve"> OYSG/6196 </t>
  </si>
  <si>
    <t xml:space="preserve"> OGUNMOLA SEGUN FESTUS </t>
  </si>
  <si>
    <t xml:space="preserve"> OYSG/3425 </t>
  </si>
  <si>
    <t xml:space="preserve"> OYELEYE BENJAMIN OLOYEDE </t>
  </si>
  <si>
    <t xml:space="preserve"> OYSG/4523 </t>
  </si>
  <si>
    <t xml:space="preserve"> ADIGUN KIKELOMO ELIZABETH </t>
  </si>
  <si>
    <t xml:space="preserve"> OYSG/3886 </t>
  </si>
  <si>
    <t xml:space="preserve"> OYERINDE ABIODUN OMOLARA </t>
  </si>
  <si>
    <t xml:space="preserve"> OYSG/2940 </t>
  </si>
  <si>
    <t xml:space="preserve"> RAIFU ISMAILA  </t>
  </si>
  <si>
    <t xml:space="preserve"> OYSG/1721 </t>
  </si>
  <si>
    <t xml:space="preserve"> ADEYEMO ABIBAT TEMILADE </t>
  </si>
  <si>
    <t xml:space="preserve"> OYSG/5397 </t>
  </si>
  <si>
    <t xml:space="preserve"> AFOLABI OLUFEMI ONAOLAPO </t>
  </si>
  <si>
    <t xml:space="preserve"> OYSG/2083 </t>
  </si>
  <si>
    <t xml:space="preserve"> OJO CAROLINE IKEOLUWA </t>
  </si>
  <si>
    <t xml:space="preserve"> OYSG/0635 </t>
  </si>
  <si>
    <t xml:space="preserve"> OYSG/6242 </t>
  </si>
  <si>
    <t xml:space="preserve"> ALAMU ELIZABETH ADEYINKA </t>
  </si>
  <si>
    <t xml:space="preserve"> OYSG/4084 </t>
  </si>
  <si>
    <t xml:space="preserve"> ADEPEGBA MUHYDEEN AYINLA </t>
  </si>
  <si>
    <t xml:space="preserve"> OYSG/6511 </t>
  </si>
  <si>
    <t xml:space="preserve"> OYSG/2941 </t>
  </si>
  <si>
    <t xml:space="preserve"> RAJI ABASS OLAJIDE </t>
  </si>
  <si>
    <t xml:space="preserve"> OYSG/3930 </t>
  </si>
  <si>
    <t xml:space="preserve"> JIMO MUINAT TITILOLA </t>
  </si>
  <si>
    <t xml:space="preserve"> OYSG/5832 </t>
  </si>
  <si>
    <t xml:space="preserve"> AFOLABI OLATUNJI JIMOH </t>
  </si>
  <si>
    <t xml:space="preserve"> OYSG/3835 </t>
  </si>
  <si>
    <t xml:space="preserve"> OYELEYE FOLASADE AMOPE </t>
  </si>
  <si>
    <t xml:space="preserve"> OYSG/5602 </t>
  </si>
  <si>
    <t xml:space="preserve"> OLANREWAJU BOLATITO KEMI </t>
  </si>
  <si>
    <t xml:space="preserve"> OYSG/2080 </t>
  </si>
  <si>
    <t xml:space="preserve"> OYSG/6200 </t>
  </si>
  <si>
    <t xml:space="preserve"> AKANJI OLAYINKA  </t>
  </si>
  <si>
    <t xml:space="preserve"> OYSG/0467 </t>
  </si>
  <si>
    <t xml:space="preserve"> SOKUNBI FAITH ABOSEDE </t>
  </si>
  <si>
    <t xml:space="preserve"> OYSG/0606 </t>
  </si>
  <si>
    <t xml:space="preserve"> BOLAJI OLATUNDE DAVID </t>
  </si>
  <si>
    <t xml:space="preserve"> OYSG/3730 </t>
  </si>
  <si>
    <t xml:space="preserve"> OLAJUMOKE TUNDE ANTHONY </t>
  </si>
  <si>
    <t xml:space="preserve"> OYSG/2268 </t>
  </si>
  <si>
    <t xml:space="preserve"> OLABODE FUNMILAYO AMOS </t>
  </si>
  <si>
    <t xml:space="preserve"> OYSG/2113 </t>
  </si>
  <si>
    <t xml:space="preserve"> OJEDIRAN JONATHAN OJETUNJI </t>
  </si>
  <si>
    <t xml:space="preserve"> OYSG/3074 </t>
  </si>
  <si>
    <t xml:space="preserve"> OLOYEDE KOLAWOLE  </t>
  </si>
  <si>
    <t xml:space="preserve"> OYSG/5851 </t>
  </si>
  <si>
    <t xml:space="preserve"> ADELEKE OLURANTI ELIZABETH </t>
  </si>
  <si>
    <t xml:space="preserve"> OYSG/2918 </t>
  </si>
  <si>
    <t xml:space="preserve"> ODEDARA OLUSOLA DAVID </t>
  </si>
  <si>
    <t xml:space="preserve"> OYSG/6241 </t>
  </si>
  <si>
    <t xml:space="preserve"> OYSG/3897 </t>
  </si>
  <si>
    <t xml:space="preserve"> OLADEJI DORCAS OLUNIKE </t>
  </si>
  <si>
    <t xml:space="preserve"> OYSG/6396 </t>
  </si>
  <si>
    <t xml:space="preserve"> ARIYO AJIBADE SAMINU </t>
  </si>
  <si>
    <t xml:space="preserve"> OYSG/5391 </t>
  </si>
  <si>
    <t xml:space="preserve"> OYETOSO KOLADE ALABA </t>
  </si>
  <si>
    <t xml:space="preserve"> OYSG/2084 </t>
  </si>
  <si>
    <t xml:space="preserve"> SALAMI ADELEKE YISAU </t>
  </si>
  <si>
    <t xml:space="preserve"> OYSG/0480 </t>
  </si>
  <si>
    <t xml:space="preserve"> ABIMBOLA ROMOKE  </t>
  </si>
  <si>
    <t xml:space="preserve"> OYSG/0796 </t>
  </si>
  <si>
    <t xml:space="preserve"> ADEWUMI TUNDE ADEWOLE </t>
  </si>
  <si>
    <t xml:space="preserve"> OYSG/1235 </t>
  </si>
  <si>
    <t xml:space="preserve"> FAGBENRO NAFISAT ADEDOYIN </t>
  </si>
  <si>
    <t xml:space="preserve"> OYSG/5536 </t>
  </si>
  <si>
    <t xml:space="preserve"> OBATOWON GEORGE BOLAJI </t>
  </si>
  <si>
    <t xml:space="preserve"> OYSG/1463 </t>
  </si>
  <si>
    <t xml:space="preserve"> OYSG/3277 </t>
  </si>
  <si>
    <t xml:space="preserve"> BAMIGBADE FOLUSO OLUGBADE </t>
  </si>
  <si>
    <t xml:space="preserve"> OYSG/0768 </t>
  </si>
  <si>
    <t xml:space="preserve"> ALARAPE MOPELOLA FEHINTOLA </t>
  </si>
  <si>
    <t xml:space="preserve"> OYSG/1851 </t>
  </si>
  <si>
    <t xml:space="preserve"> OYSG/4528 </t>
  </si>
  <si>
    <t xml:space="preserve"> OMONIYI BUKOLA ESTHER </t>
  </si>
  <si>
    <t xml:space="preserve"> OYSG/3093 </t>
  </si>
  <si>
    <t xml:space="preserve"> SUBAIR ADEFUNKE ADIJAT </t>
  </si>
  <si>
    <t xml:space="preserve"> OYSG/2221 </t>
  </si>
  <si>
    <t xml:space="preserve"> AKINREMI ADEREMI  </t>
  </si>
  <si>
    <t xml:space="preserve"> OYSG/4530 </t>
  </si>
  <si>
    <t xml:space="preserve"> IBRAHIM OLAYIWOLA YINUSA </t>
  </si>
  <si>
    <t xml:space="preserve"> OYSG/0594 </t>
  </si>
  <si>
    <t xml:space="preserve"> OYSG/2560 </t>
  </si>
  <si>
    <t xml:space="preserve"> OMITADE OLUYINKA OMOLARA </t>
  </si>
  <si>
    <t xml:space="preserve"> OYSG/6220 </t>
  </si>
  <si>
    <t xml:space="preserve"> ADENIYI OLUSANJO JOEL </t>
  </si>
  <si>
    <t xml:space="preserve"> OYSG/2110 </t>
  </si>
  <si>
    <t xml:space="preserve"> OLADIPO DANIEL ISHOLA </t>
  </si>
  <si>
    <t xml:space="preserve"> OYSG/3954 </t>
  </si>
  <si>
    <t xml:space="preserve"> OYSG/0656 </t>
  </si>
  <si>
    <t xml:space="preserve"> OMOTUNDE OLUSEGUN OLADELE </t>
  </si>
  <si>
    <t xml:space="preserve"> OYSG/1244 </t>
  </si>
  <si>
    <t xml:space="preserve"> OLAYIWOLA BULIAMINU ADESOLA </t>
  </si>
  <si>
    <t xml:space="preserve"> OYSG/6340 </t>
  </si>
  <si>
    <t xml:space="preserve"> ADEWALE OLUYEMI MICHAEL </t>
  </si>
  <si>
    <t xml:space="preserve"> OYSG/6351 </t>
  </si>
  <si>
    <t xml:space="preserve"> OGUNJINMI MOJIRAYO OLUFUNMILAYO </t>
  </si>
  <si>
    <t xml:space="preserve"> OYSG/6653 </t>
  </si>
  <si>
    <t xml:space="preserve"> ADEDEJI OLALEKAN EMMANUEL </t>
  </si>
  <si>
    <t xml:space="preserve"> OYSG/5622 </t>
  </si>
  <si>
    <t xml:space="preserve"> OKEDARA BOSEDE CECILIA </t>
  </si>
  <si>
    <t xml:space="preserve"> OYSG/1269 </t>
  </si>
  <si>
    <t xml:space="preserve"> AWODIRAN PETER AKINLOLU </t>
  </si>
  <si>
    <t xml:space="preserve"> OYSG/3787 </t>
  </si>
  <si>
    <t xml:space="preserve"> ADEYEMO ABUDU ADEGBOYEGA </t>
  </si>
  <si>
    <t xml:space="preserve"> OYSG/2246 </t>
  </si>
  <si>
    <t xml:space="preserve"> OLADIPO SUSAN OLAYEMI </t>
  </si>
  <si>
    <t xml:space="preserve"> OYSG/3428 </t>
  </si>
  <si>
    <t xml:space="preserve"> OYSG/2112 </t>
  </si>
  <si>
    <t xml:space="preserve"> FASASI TAJUDEEN  </t>
  </si>
  <si>
    <t xml:space="preserve"> OYSG/027580 </t>
  </si>
  <si>
    <t xml:space="preserve"> ODUOLA RAFIU ADIGUN </t>
  </si>
  <si>
    <t xml:space="preserve"> OYSG/2397 </t>
  </si>
  <si>
    <t xml:space="preserve"> OLAJIDE TAYO ABIOLA </t>
  </si>
  <si>
    <t xml:space="preserve"> OYSG/5545 </t>
  </si>
  <si>
    <t xml:space="preserve"> POPOOLA WASIU ABIODUN </t>
  </si>
  <si>
    <t xml:space="preserve"> OYSG/4773 </t>
  </si>
  <si>
    <t xml:space="preserve"> ADEWUSI ABIDEEN AKOREDE </t>
  </si>
  <si>
    <t xml:space="preserve"> OYSG/6194 </t>
  </si>
  <si>
    <t xml:space="preserve"> ADEJUMO OLUKUNLE ALADE </t>
  </si>
  <si>
    <t xml:space="preserve"> OYSG/4579 </t>
  </si>
  <si>
    <t xml:space="preserve"> LASISI LUKUMAN  </t>
  </si>
  <si>
    <t xml:space="preserve"> OYSG/1402 </t>
  </si>
  <si>
    <t xml:space="preserve"> OYATOKUN PHILIPS FARAYOLA </t>
  </si>
  <si>
    <t xml:space="preserve"> OYSG/5399 </t>
  </si>
  <si>
    <t xml:space="preserve"> AJANI SUNDAY OLATEJU </t>
  </si>
  <si>
    <t xml:space="preserve"> OYSG/3711 </t>
  </si>
  <si>
    <t xml:space="preserve"> ASINWA STEPHEN ADEMOLA </t>
  </si>
  <si>
    <t xml:space="preserve"> OYSG/5400 </t>
  </si>
  <si>
    <t xml:space="preserve"> OYERINDE FELICIA ADEJOKE </t>
  </si>
  <si>
    <t xml:space="preserve"> OYSG/4686 </t>
  </si>
  <si>
    <t xml:space="preserve"> OGUNDEJI FATIMO ADEWUMI </t>
  </si>
  <si>
    <t xml:space="preserve"> OYSG/3075 </t>
  </si>
  <si>
    <t xml:space="preserve"> IBRAHIM BOLA HAFEES </t>
  </si>
  <si>
    <t xml:space="preserve"> OYSG/0527 </t>
  </si>
  <si>
    <t xml:space="preserve"> ADISA EMMANUEL OLUYEMISI </t>
  </si>
  <si>
    <t xml:space="preserve"> OYSG/1454 </t>
  </si>
  <si>
    <t xml:space="preserve"> ADEKUNLE OLUWOLE BENARD </t>
  </si>
  <si>
    <t xml:space="preserve"> OYSG/1727 </t>
  </si>
  <si>
    <t xml:space="preserve"> AYINDE BOLANLE ADIJAT </t>
  </si>
  <si>
    <t xml:space="preserve"> OYSG/6195 </t>
  </si>
  <si>
    <t xml:space="preserve"> ADEOSUN MICHEAL AYODELE </t>
  </si>
  <si>
    <t xml:space="preserve"> OYSG/1277 </t>
  </si>
  <si>
    <t xml:space="preserve"> JINADU TESLIM TAIWO </t>
  </si>
  <si>
    <t xml:space="preserve"> OYSG/4719 </t>
  </si>
  <si>
    <t xml:space="preserve"> BALOGUN ABASS ADEKUNLE </t>
  </si>
  <si>
    <t xml:space="preserve"> OYSG/3956 </t>
  </si>
  <si>
    <t xml:space="preserve"> KASALI KOLA ABIODUN </t>
  </si>
  <si>
    <t xml:space="preserve"> OYSG/6199 </t>
  </si>
  <si>
    <t xml:space="preserve"> OYSG/3924 </t>
  </si>
  <si>
    <t xml:space="preserve"> TOMORI EBUNLOMO TAIWO </t>
  </si>
  <si>
    <t xml:space="preserve"> OYSG/2003 </t>
  </si>
  <si>
    <t xml:space="preserve"> OGUNSOLA AMUSAT ADEBAYO </t>
  </si>
  <si>
    <t xml:space="preserve"> OYSG/2106 </t>
  </si>
  <si>
    <t xml:space="preserve"> ADEOSUN IDOWU OLUKUNLE </t>
  </si>
  <si>
    <t xml:space="preserve"> OYSG/5590 </t>
  </si>
  <si>
    <t xml:space="preserve"> SALAMI OMOLOLA OLAIDE </t>
  </si>
  <si>
    <t xml:space="preserve"> OYSG/1243 </t>
  </si>
  <si>
    <t xml:space="preserve"> ALABI MUSIBAU ADEDOKUN </t>
  </si>
  <si>
    <t xml:space="preserve"> OYSG/2890 </t>
  </si>
  <si>
    <t xml:space="preserve"> BADMUS MUJIDAT OMOLOLA </t>
  </si>
  <si>
    <t xml:space="preserve"> OYSG/1897 </t>
  </si>
  <si>
    <t xml:space="preserve"> JAMES FELICIA TITILOPE </t>
  </si>
  <si>
    <t xml:space="preserve"> OYSG/1232 </t>
  </si>
  <si>
    <t xml:space="preserve"> OLAJIDE MICHEAL OLUSINA </t>
  </si>
  <si>
    <t xml:space="preserve"> OYSG/0840 </t>
  </si>
  <si>
    <t xml:space="preserve"> ADERIBIGBE OLUWATOSIN ADEKUNLE </t>
  </si>
  <si>
    <t xml:space="preserve"> OYSG/4080 </t>
  </si>
  <si>
    <t xml:space="preserve"> OYSG/3275 </t>
  </si>
  <si>
    <t xml:space="preserve"> BALOGUN FUNMILOLA RANTI </t>
  </si>
  <si>
    <t xml:space="preserve"> OYSG/1242 </t>
  </si>
  <si>
    <t xml:space="preserve"> AJALA MOSES MAGBAGBEOLA </t>
  </si>
  <si>
    <t xml:space="preserve"> OYSG/0617 </t>
  </si>
  <si>
    <t xml:space="preserve"> SIMEON EMMANUEL  </t>
  </si>
  <si>
    <t xml:space="preserve"> OYSG/5540 </t>
  </si>
  <si>
    <t xml:space="preserve"> ALAWODE ADENIKE  </t>
  </si>
  <si>
    <t>OGUNDAIRO MARY BAMIDELE MARGARET</t>
  </si>
  <si>
    <t xml:space="preserve">OYATOKUN PHILIPS FARAYOLA </t>
  </si>
  <si>
    <t xml:space="preserve">SIMEON EMMANUEL </t>
  </si>
  <si>
    <t xml:space="preserve">BOLAJI OLATUNDE DAVID </t>
  </si>
  <si>
    <t xml:space="preserve">ADEWUSI ABIDEEN AKOREDE </t>
  </si>
  <si>
    <t xml:space="preserve">ADEJUMO OLUKUNLE ALADE </t>
  </si>
  <si>
    <t xml:space="preserve">ALADE FUNMILAYO BOLATITO </t>
  </si>
  <si>
    <t xml:space="preserve">OYEDELE OLUFISAYO FOLASERE </t>
  </si>
  <si>
    <t xml:space="preserve">ADEYEMI OWODUNNI OLUYEMISI </t>
  </si>
  <si>
    <t xml:space="preserve">SHITTU TITILADE OLUMUBO </t>
  </si>
  <si>
    <t xml:space="preserve">AKINADETIRIMISIYU  </t>
  </si>
  <si>
    <t xml:space="preserve">OYELADE ALFRED OLUMIDE </t>
  </si>
  <si>
    <t xml:space="preserve">GANIYU MUSIBAU KOLA </t>
  </si>
  <si>
    <t xml:space="preserve">OJO LAWRENCE BABATUNDE </t>
  </si>
  <si>
    <t xml:space="preserve">ODUNADE ADEREMI ABIODUN </t>
  </si>
  <si>
    <t xml:space="preserve">ADEJOBI OLUWABUNMI TEMITOPE </t>
  </si>
  <si>
    <t xml:space="preserve">OGUNDIPE OGUNDAYO AYINLA </t>
  </si>
  <si>
    <t xml:space="preserve">AKINBILE MEMUNAT OLAIDE </t>
  </si>
  <si>
    <t xml:space="preserve">OKUNADE MULIKAT TITILAYO </t>
  </si>
  <si>
    <t xml:space="preserve">SALAWU DEBORAH OLUBUNMI </t>
  </si>
  <si>
    <t xml:space="preserve">ONI OLUBUNMI OLUFUNKE </t>
  </si>
  <si>
    <t xml:space="preserve">ATERE AMINAT BAMIDELE </t>
  </si>
  <si>
    <t xml:space="preserve">OKUNOLA MUMINI FOLORUNSO </t>
  </si>
  <si>
    <t xml:space="preserve">OJENIYI DANIEL OYEBISI </t>
  </si>
  <si>
    <t xml:space="preserve">OKEGBOLA ADEMOLA OKETUNJI </t>
  </si>
  <si>
    <t xml:space="preserve">OGUNMOLA SEGUN FESTUS </t>
  </si>
  <si>
    <t xml:space="preserve">ADIGUN KIKELOMO ELIZABETH </t>
  </si>
  <si>
    <t xml:space="preserve">OJO CAROLINE IKEOLUWA </t>
  </si>
  <si>
    <t xml:space="preserve">OGUNSESAN AMUDAT IYABO </t>
  </si>
  <si>
    <t xml:space="preserve">OYELEYE FOLASADE AMOPE </t>
  </si>
  <si>
    <t xml:space="preserve">OLANREWAJU BOLATITO KEMI </t>
  </si>
  <si>
    <t xml:space="preserve">OLAIFA SOLA OTOLOLA </t>
  </si>
  <si>
    <t xml:space="preserve">AKANJI OLAYINKA </t>
  </si>
  <si>
    <t xml:space="preserve">OLAJUMOKE TUNDE ANTHONY </t>
  </si>
  <si>
    <t xml:space="preserve">OLABODE FUNMILAYO AMOS </t>
  </si>
  <si>
    <t xml:space="preserve">OJEDIRAN JONATHAN OJETUNJI </t>
  </si>
  <si>
    <t xml:space="preserve">ODEDARA OLUSOLA DAVID </t>
  </si>
  <si>
    <t xml:space="preserve">ARIYO AJIBADE SAMINU </t>
  </si>
  <si>
    <t xml:space="preserve">OYETOSO KOLADE ALABA </t>
  </si>
  <si>
    <t xml:space="preserve">SALAMI ADELEKE YISAU </t>
  </si>
  <si>
    <t xml:space="preserve">FAGBENRO NAFISAT ADEDOYIN </t>
  </si>
  <si>
    <t xml:space="preserve">OBATOWON GEORGE BOLAJI </t>
  </si>
  <si>
    <t xml:space="preserve">SUBAIR ADEFUNKE ADIJAT </t>
  </si>
  <si>
    <t xml:space="preserve">IBRAHIM OLAYIWOLA YINUSA </t>
  </si>
  <si>
    <t xml:space="preserve">JAMES RACHEAL OLAJIRE </t>
  </si>
  <si>
    <t xml:space="preserve">OMITADE OLUYINKA OMOLARA </t>
  </si>
  <si>
    <t xml:space="preserve">ADENIYI OLUSANJO JOEL </t>
  </si>
  <si>
    <t xml:space="preserve">OLADIPO DANIEL ISHOLA </t>
  </si>
  <si>
    <t xml:space="preserve">OMOTUNDE OLUSEGUN OLADELE </t>
  </si>
  <si>
    <t xml:space="preserve">OLAYIWOLA BULIAMINU ADESOLA </t>
  </si>
  <si>
    <t xml:space="preserve">AWODIRAN PETER AKINLOLU </t>
  </si>
  <si>
    <t xml:space="preserve">ADEYEMO ABUDU ADEGBOYEGA </t>
  </si>
  <si>
    <t xml:space="preserve">OLADIPO SUSAN OLAYEMI </t>
  </si>
  <si>
    <t xml:space="preserve">AJANI SUNDAY OLATEJU </t>
  </si>
  <si>
    <t xml:space="preserve">ASINWA STEPHEN ADEMOLA </t>
  </si>
  <si>
    <t xml:space="preserve">OYERINDE FELICIA ADEJOKE </t>
  </si>
  <si>
    <t xml:space="preserve">OGUNDEJI FATIMO ADEWUMI </t>
  </si>
  <si>
    <t xml:space="preserve">IBRAHIM BOLA HAFEES </t>
  </si>
  <si>
    <t xml:space="preserve">ADISA EMMANUEL OLUYEMISI </t>
  </si>
  <si>
    <t xml:space="preserve">ADEOSUN MICHEAL AYODELE </t>
  </si>
  <si>
    <t xml:space="preserve">JINADU TESLIM TAIWO </t>
  </si>
  <si>
    <t xml:space="preserve">BALOGUN ABASS ADEKUNLE </t>
  </si>
  <si>
    <t xml:space="preserve">ADEOLA OLUSEGUN BAMIDELE </t>
  </si>
  <si>
    <t xml:space="preserve">ADEOSUN IDOWU OLUKUNLE </t>
  </si>
  <si>
    <t xml:space="preserve">SALAMI OMOLOLA OLAIDE </t>
  </si>
  <si>
    <t xml:space="preserve">ALABI MUSIBAU ADEDOKUN </t>
  </si>
  <si>
    <t xml:space="preserve">OLAJIDE MICHEAL OLUSINA </t>
  </si>
  <si>
    <t xml:space="preserve">ADERIBIGBE OLUWATOSIN ADEKUNLE </t>
  </si>
  <si>
    <t xml:space="preserve">BALOGUN FUNMILOLA RANTI </t>
  </si>
  <si>
    <t xml:space="preserve">AJALA MOSES MAGBAGBEOLA </t>
  </si>
  <si>
    <t xml:space="preserve">ALAWODE ADENIKE </t>
  </si>
  <si>
    <t xml:space="preserve">OGUNSOLA AMUSAT ADEBAYO </t>
  </si>
  <si>
    <t xml:space="preserve">RASHEED DIPO OLALEKAN </t>
  </si>
  <si>
    <t xml:space="preserve">BADMUS ABIBAT IBIRONKE </t>
  </si>
  <si>
    <t xml:space="preserve">ALABI MOBOLAJI OLUREMI </t>
  </si>
  <si>
    <t xml:space="preserve">OGUNGBE OLUROTIMI TEMIDAYO </t>
  </si>
  <si>
    <t xml:space="preserve">OYELEYE BENJAMIN OLOYEDE </t>
  </si>
  <si>
    <t xml:space="preserve">OYERINDE ABIODUN OMOLARA </t>
  </si>
  <si>
    <t xml:space="preserve">OLOYEDE KOLAWOLE </t>
  </si>
  <si>
    <t xml:space="preserve">OLADEJI DORCAS OLUNIKE </t>
  </si>
  <si>
    <t xml:space="preserve">ADEWUMI TUNDE ADEWOLE </t>
  </si>
  <si>
    <t xml:space="preserve">MABAYOJE EMMANUEL DAHUNSI </t>
  </si>
  <si>
    <t xml:space="preserve">OGUNJINMI MOJIRAYO OLUFUNMILAYO </t>
  </si>
  <si>
    <t xml:space="preserve">OKEDARA BOSEDE CECILIA </t>
  </si>
  <si>
    <t xml:space="preserve">OLAJIDE TAYO ABIOLA </t>
  </si>
  <si>
    <t xml:space="preserve">KASALI KOLA ABIODUN </t>
  </si>
  <si>
    <t xml:space="preserve">TOMORI EBUNLOMO TAIWO </t>
  </si>
  <si>
    <t xml:space="preserve">BADMUS MUJIDAT OMOLOLA </t>
  </si>
  <si>
    <t xml:space="preserve">JAMES FELICIA TITILOPE </t>
  </si>
  <si>
    <t xml:space="preserve">OLUDURO GABRIEL OLUWAPELUMI </t>
  </si>
  <si>
    <t xml:space="preserve">ABIMBOLA ABIODUN ADEDIMEJI </t>
  </si>
  <si>
    <t xml:space="preserve">ARETU ABIODUN ARINOLA </t>
  </si>
  <si>
    <t xml:space="preserve">OWOYEMI MAGARET OLUKEMI </t>
  </si>
  <si>
    <t xml:space="preserve">RAIFU ISMAILA </t>
  </si>
  <si>
    <t xml:space="preserve">AFOLABI OLUFEMI ONAOLAPO </t>
  </si>
  <si>
    <t xml:space="preserve">ADEPEGBA MUHYDEEN AYINLA </t>
  </si>
  <si>
    <t xml:space="preserve">RAJI ABASS OLAJIDE </t>
  </si>
  <si>
    <t xml:space="preserve">AFOLABI OLATUNJI JIMOH </t>
  </si>
  <si>
    <t xml:space="preserve">ADELEKE OLURANTI ELIZABETH </t>
  </si>
  <si>
    <t xml:space="preserve">ALARAPE MOPELOLA FEHINTOLA </t>
  </si>
  <si>
    <t xml:space="preserve">OMONIYI BUKOLA ESTHER </t>
  </si>
  <si>
    <t xml:space="preserve">ADEDEJI OLALEKAN EMMANUEL </t>
  </si>
  <si>
    <t xml:space="preserve">FASASI TAJUDEEN </t>
  </si>
  <si>
    <t xml:space="preserve">POPOOLA WASIU ABIODUN </t>
  </si>
  <si>
    <t xml:space="preserve">AYINDE BOLANLE ADIJAT </t>
  </si>
  <si>
    <t xml:space="preserve">ARINOLA FATIMAT OLANIKE </t>
  </si>
  <si>
    <t xml:space="preserve">ADEKUNLE OLUWOLE BENARD </t>
  </si>
  <si>
    <t xml:space="preserve">ABIMBOLA ROMOKE </t>
  </si>
  <si>
    <t xml:space="preserve">ODENIYI ADEOLA RACHAEL </t>
  </si>
  <si>
    <t xml:space="preserve">ALAMU ELIZABETH ADEYINKA </t>
  </si>
  <si>
    <t xml:space="preserve">SOKUNBI FAITH ABOSEDE </t>
  </si>
  <si>
    <t xml:space="preserve">BAMIGBADE FOLUSO OLUGBADE </t>
  </si>
  <si>
    <t xml:space="preserve">AKINREMI ADEREMI </t>
  </si>
  <si>
    <t xml:space="preserve">LASISI LUKUMAN </t>
  </si>
  <si>
    <t xml:space="preserve">ODUOLA RAFIU ADIGUN </t>
  </si>
  <si>
    <t xml:space="preserve">ADEYEMO ABIBAT TEMILADE </t>
  </si>
  <si>
    <t xml:space="preserve">AJAYI ADEJUMO </t>
  </si>
  <si>
    <t>MOTOR VEHICLE DEDUCTION FOR THE MONTH OF MAY, 2017</t>
  </si>
  <si>
    <t>ADEDEJI OLALEKAN EMMANUEL</t>
  </si>
  <si>
    <t>OLADELE BUKOLA ELIZABETH</t>
  </si>
  <si>
    <t>OLAOYE FOLASADE ADEBOLA</t>
  </si>
  <si>
    <t>ADEBAYO RAFIU</t>
  </si>
  <si>
    <t>FASASI GAFAR ADEMOLA</t>
  </si>
  <si>
    <t>OGUNSOLA AMUSAT ADEBAYO</t>
  </si>
  <si>
    <t>DAUD SAUDAT DASOLA</t>
  </si>
  <si>
    <t>AMUSAT MURAINA B.</t>
  </si>
  <si>
    <t>OWOEYE MARY ROLAYO</t>
  </si>
  <si>
    <t>AZEEZ MUJIDAT OLATOYOSI</t>
  </si>
  <si>
    <t>ALAO FATIMOT OLAIDE</t>
  </si>
  <si>
    <t>OLADIPUPO MORUFF ADEWALE</t>
  </si>
  <si>
    <t>SIYANBOLA OLUFEMI</t>
  </si>
  <si>
    <t>BAMIGBOLA THEOPHILUS OLATOYESE</t>
  </si>
  <si>
    <t>OLADAPO JULIUS OLAYEMI</t>
  </si>
  <si>
    <t>OGUNSIJI FOLUKE RACHAEL</t>
  </si>
  <si>
    <t>ADESINA OLUBUNMI MARY</t>
  </si>
  <si>
    <t>OLABIYI OLUGBENGA DAUDA</t>
  </si>
  <si>
    <t xml:space="preserve"> OYSG/3545 </t>
  </si>
  <si>
    <t>EMPLOYEE NO</t>
  </si>
  <si>
    <t>AWORINDE IYABODE ABIOLA</t>
  </si>
  <si>
    <t>OYETOLA OMOLARA MONSURA</t>
  </si>
  <si>
    <t>OLANIYAN BIMBOLA TITILOPE</t>
  </si>
  <si>
    <t>FIJABI OLUBUNMI OMOLOLA</t>
  </si>
  <si>
    <t>LAWAL GANIYAT ADEOLA</t>
  </si>
  <si>
    <t>ABORISADE EMMANUEL OLUWATOBA</t>
  </si>
  <si>
    <t>AYEGBOKIKI OLUWAKEMI FUNMILOLA</t>
  </si>
  <si>
    <t xml:space="preserve">RAHEEF WAHEED OLATUNBOSUN </t>
  </si>
  <si>
    <t>TIAMIYU MOJEED ADEKUNLE</t>
  </si>
  <si>
    <t>MOTOR VEHICLE DEDUCTION FOR THE MONTH OF JUNE, 2017</t>
  </si>
  <si>
    <t>MOTOR VEHICLE DEDUCTION FOR THE MONTH OF JULY, 2017</t>
  </si>
  <si>
    <t xml:space="preserve"> OYSG/0278 </t>
  </si>
  <si>
    <t xml:space="preserve"> OYSG/0934 </t>
  </si>
  <si>
    <t xml:space="preserve"> OYSG/3113 </t>
  </si>
  <si>
    <t xml:space="preserve"> OYSG/3881 </t>
  </si>
  <si>
    <t xml:space="preserve"> OYSG/0688 </t>
  </si>
  <si>
    <t xml:space="preserve"> OYSG/5371 </t>
  </si>
  <si>
    <t xml:space="preserve"> OYSG/3083 </t>
  </si>
  <si>
    <t xml:space="preserve"> OYSG/5565 </t>
  </si>
  <si>
    <t xml:space="preserve"> OYSG/5976 </t>
  </si>
  <si>
    <t xml:space="preserve"> OYSG/6383 </t>
  </si>
  <si>
    <t xml:space="preserve"> OYSG/4103 </t>
  </si>
  <si>
    <t xml:space="preserve"> OYSG/4623 </t>
  </si>
  <si>
    <t xml:space="preserve"> OYSG/5138 </t>
  </si>
  <si>
    <t xml:space="preserve"> OYSG/010048 </t>
  </si>
  <si>
    <t xml:space="preserve"> OYSG/1814 </t>
  </si>
  <si>
    <t xml:space="preserve"> OYSG/0345 </t>
  </si>
  <si>
    <t xml:space="preserve"> OYSG/4316 </t>
  </si>
  <si>
    <t xml:space="preserve"> OYSG/2180 </t>
  </si>
  <si>
    <t xml:space="preserve"> OYSG/1429 </t>
  </si>
  <si>
    <t xml:space="preserve"> OYSG/5894 </t>
  </si>
  <si>
    <t xml:space="preserve"> OYSG/2399 </t>
  </si>
  <si>
    <t xml:space="preserve"> OYSG/1229 </t>
  </si>
  <si>
    <t xml:space="preserve"> AWORINDE IYABO ABIOLA </t>
  </si>
  <si>
    <t xml:space="preserve"> OYETOLA MONSURAT OMOLARA </t>
  </si>
  <si>
    <t xml:space="preserve"> OLABIYI OLUGBENGA DAUDA </t>
  </si>
  <si>
    <t xml:space="preserve"> ADESINA OLUBUNMI MARY </t>
  </si>
  <si>
    <t xml:space="preserve"> OLADAPO JULIUS OLAYEMI </t>
  </si>
  <si>
    <t xml:space="preserve"> OGUNSIJI FOLUKE RACHAEL </t>
  </si>
  <si>
    <t xml:space="preserve"> BAMIGBOLA THEOPHILUS OLATOYESE </t>
  </si>
  <si>
    <t xml:space="preserve"> WILLIAMS OLUWATOYIN OLUFUNKE </t>
  </si>
  <si>
    <t xml:space="preserve"> SIYANBOLA OLUFEMI  </t>
  </si>
  <si>
    <t xml:space="preserve"> OGUNDIPE ADETOKUNBO OLUYEMI </t>
  </si>
  <si>
    <t xml:space="preserve"> LAWAL GANIYAT ADEOLA </t>
  </si>
  <si>
    <t xml:space="preserve"> OLANIYAN BIMBOLA TITILOPE </t>
  </si>
  <si>
    <t xml:space="preserve"> AZEEZ MUJIDAT OLATOYOSI </t>
  </si>
  <si>
    <t xml:space="preserve"> DAUDA SAUDAT DASOLA </t>
  </si>
  <si>
    <t xml:space="preserve"> OWOEYE MARY ROLAYO </t>
  </si>
  <si>
    <t xml:space="preserve"> ABORISADE EMMANUEL OLUWATOBA </t>
  </si>
  <si>
    <t xml:space="preserve"> FIJABI OLUBUNMI OMOLOLA </t>
  </si>
  <si>
    <t xml:space="preserve"> ALAO FATIMOT OLAIDE </t>
  </si>
  <si>
    <t xml:space="preserve"> TIAMIYU MOJEED ADEKUNLE </t>
  </si>
  <si>
    <t xml:space="preserve"> OLAOYE FOLASADE ADEBOLA </t>
  </si>
  <si>
    <t xml:space="preserve"> AYEGBOKIKI OLUKEMI FUNMILOLA </t>
  </si>
  <si>
    <t xml:space="preserve"> RAHEEF WAHEED OLATUNBOSUN </t>
  </si>
  <si>
    <t xml:space="preserve"> OLADELE BUKOLA ELIZABETH </t>
  </si>
  <si>
    <t xml:space="preserve"> OGUNDAIRO MARY BAMIDELE </t>
  </si>
  <si>
    <t xml:space="preserve"> AJAYI ADEJUMO </t>
  </si>
  <si>
    <t xml:space="preserve"> OYSG/009998 </t>
  </si>
  <si>
    <t xml:space="preserve"> OYSG/0468 </t>
  </si>
  <si>
    <t xml:space="preserve"> OYSG/0736 </t>
  </si>
  <si>
    <t xml:space="preserve"> SADIQ RAMON ADEKUNLE </t>
  </si>
  <si>
    <t xml:space="preserve"> OLOKO SAIDAT BOLATUMI </t>
  </si>
  <si>
    <t xml:space="preserve"> OLOYEDE OYELOLA FLORENCE </t>
  </si>
  <si>
    <t>LPC IN HEALTH</t>
  </si>
  <si>
    <t>LPC IN LANDS</t>
  </si>
  <si>
    <t>MOTOR VEHICLE DEDUCTION FOR THE MONTH OF AUGUST, 2017</t>
  </si>
  <si>
    <t xml:space="preserve"> OYSG/3300 </t>
  </si>
  <si>
    <t xml:space="preserve"> ISMAILA FUNKE  </t>
  </si>
  <si>
    <t xml:space="preserve"> OYSG/5623 </t>
  </si>
  <si>
    <t xml:space="preserve"> AGBOLUAJE GBENGA ISHAQ </t>
  </si>
  <si>
    <t xml:space="preserve"> OYSG/1446 </t>
  </si>
  <si>
    <t xml:space="preserve"> OLOPADE AREMU KAMORUDEEN </t>
  </si>
  <si>
    <t xml:space="preserve"> OYSG/4567 </t>
  </si>
  <si>
    <t xml:space="preserve"> OKE ELIZABETH FOLASADE </t>
  </si>
  <si>
    <t xml:space="preserve"> OYSG/0430 </t>
  </si>
  <si>
    <t xml:space="preserve"> ADESINA MOJIRADE RACHAEL </t>
  </si>
  <si>
    <t xml:space="preserve"> OYSG/5360 </t>
  </si>
  <si>
    <t xml:space="preserve"> ALABI FOLORUNSO MICHAEL </t>
  </si>
  <si>
    <t xml:space="preserve"> OYSG/5572 </t>
  </si>
  <si>
    <t xml:space="preserve"> AKANDE BAMIDELE ADEGOKE </t>
  </si>
  <si>
    <t>MOTOR VEHICLE DEDUCTION FOR THE MONTH OF SEPTEMBER, 2017</t>
  </si>
  <si>
    <t xml:space="preserve"> ADEBAYO RAFIU  </t>
  </si>
  <si>
    <t xml:space="preserve"> FASASI GAFAR ADEMOLA </t>
  </si>
  <si>
    <t xml:space="preserve"> AMUSAT MURAINA BABATUNDE </t>
  </si>
  <si>
    <t xml:space="preserve"> OLADIPUPO MORUFF ADEWALE </t>
  </si>
  <si>
    <t>MOTOR VEHICLE DEDUCTION FOR THE MONTH OF OCTOBER, 2017</t>
  </si>
  <si>
    <t>MOTOR VEHICLE DEDUCTION FOR THE MONTH OF NOVEMBER, 2017</t>
  </si>
  <si>
    <t>OYSG/4761</t>
  </si>
  <si>
    <t>OYSG/3075</t>
  </si>
  <si>
    <t>OYSG/3072</t>
  </si>
  <si>
    <t>OYSG/1531</t>
  </si>
  <si>
    <t>OYSG/1286</t>
  </si>
  <si>
    <t>OYSG/6235</t>
  </si>
  <si>
    <t>OYSG/2081</t>
  </si>
  <si>
    <t>OYSG/2884</t>
  </si>
  <si>
    <t>OYSG/0905</t>
  </si>
  <si>
    <t>OYSG/3425</t>
  </si>
  <si>
    <t>OYSG/6490</t>
  </si>
  <si>
    <t>OYSG/3545</t>
  </si>
  <si>
    <t>OYSG/2180</t>
  </si>
  <si>
    <t>OYSG/2422</t>
  </si>
  <si>
    <t>OYSG/0840</t>
  </si>
  <si>
    <t>OYSG/3251</t>
  </si>
  <si>
    <t>OYSG/5138</t>
  </si>
  <si>
    <t>OYSG/1814</t>
  </si>
  <si>
    <t>OYSG/2514</t>
  </si>
  <si>
    <t>OYSG/2247</t>
  </si>
  <si>
    <t>OYSG/0468</t>
  </si>
  <si>
    <t>OLOKO SAIDAT BOLATUMI</t>
  </si>
  <si>
    <t>OYSG/3911</t>
  </si>
  <si>
    <t>OYSG/0448</t>
  </si>
  <si>
    <t>OYSG/2560</t>
  </si>
  <si>
    <t>OYSG/5394</t>
  </si>
  <si>
    <t>OYSG/0623</t>
  </si>
  <si>
    <t>OYSG/4567</t>
  </si>
  <si>
    <t>OKE ELIZABETH FOLASADE</t>
  </si>
  <si>
    <t>OYSG/3881</t>
  </si>
  <si>
    <t>OYSG/4775</t>
  </si>
  <si>
    <t>OYSG/0688</t>
  </si>
  <si>
    <t>OYSG/5873</t>
  </si>
  <si>
    <t>OYSG/0736</t>
  </si>
  <si>
    <t>OLOYEDE OYELOLA FLORENCE</t>
  </si>
  <si>
    <t>OYSG/1229</t>
  </si>
  <si>
    <t>OGUNDAIRO MARY BAMIDELE</t>
  </si>
  <si>
    <t>OYSG/1360</t>
  </si>
  <si>
    <t>OYSG/2113</t>
  </si>
  <si>
    <t>OYSG/1274</t>
  </si>
  <si>
    <t>OYSG/1399</t>
  </si>
  <si>
    <t>OYSG/4523</t>
  </si>
  <si>
    <t>OYSG/3886</t>
  </si>
  <si>
    <t>OYSG/2112</t>
  </si>
  <si>
    <t>OYSG/3300</t>
  </si>
  <si>
    <t xml:space="preserve">ISMAILA FUNKE </t>
  </si>
  <si>
    <t>OYSG/5832</t>
  </si>
  <si>
    <t>OYSG/6242</t>
  </si>
  <si>
    <t>OYSG/5371</t>
  </si>
  <si>
    <t>OYSG/3835</t>
  </si>
  <si>
    <t>OYSG/2084</t>
  </si>
  <si>
    <t>OYSG/1277</t>
  </si>
  <si>
    <t>OYSG/4719</t>
  </si>
  <si>
    <t>OYSG/3083</t>
  </si>
  <si>
    <t>OYSG/1429</t>
  </si>
  <si>
    <t>OYSG/6200</t>
  </si>
  <si>
    <t>OYSG/010048</t>
  </si>
  <si>
    <t>DAUDA SAUDAT DASOLA</t>
  </si>
  <si>
    <t>OYSG/009998</t>
  </si>
  <si>
    <t>SADIQ RAMON ADEKUNLE</t>
  </si>
  <si>
    <t>OYSG/6241</t>
  </si>
  <si>
    <t xml:space="preserve">ADEBAYO RAFIU </t>
  </si>
  <si>
    <t>OYSG/3897</t>
  </si>
  <si>
    <t>OYSG/5623</t>
  </si>
  <si>
    <t>AGBOLUAJE GBENGA ISHAQ</t>
  </si>
  <si>
    <t>OYSG/6396</t>
  </si>
  <si>
    <t>OYSG/3074</t>
  </si>
  <si>
    <t>OYSG/2918</t>
  </si>
  <si>
    <t>OYSG/0796</t>
  </si>
  <si>
    <t>OYSG/1235</t>
  </si>
  <si>
    <t>OYSG/5536</t>
  </si>
  <si>
    <t>OYSG/1463</t>
  </si>
  <si>
    <t>AMUSAT MURAINA BABATUNDE</t>
  </si>
  <si>
    <t>OYSG/4530</t>
  </si>
  <si>
    <t>OYSG/5397</t>
  </si>
  <si>
    <t>OYSG/3277</t>
  </si>
  <si>
    <t>OYSG/0430</t>
  </si>
  <si>
    <t>ADESINA MOJIRADE RACHAEL</t>
  </si>
  <si>
    <t>OYSG/6511</t>
  </si>
  <si>
    <t>OYSG/3275</t>
  </si>
  <si>
    <t>OYSG/0768</t>
  </si>
  <si>
    <t>OYSG/6220</t>
  </si>
  <si>
    <t>OYSG/4528</t>
  </si>
  <si>
    <t>OYSG/3711</t>
  </si>
  <si>
    <t>OYSG/3093</t>
  </si>
  <si>
    <t>OYSG/2110</t>
  </si>
  <si>
    <t>OYSG/2221</t>
  </si>
  <si>
    <t>OYSG/3113</t>
  </si>
  <si>
    <t>OYSG/1244</t>
  </si>
  <si>
    <t>OYSG/0345</t>
  </si>
  <si>
    <t>OYSG/6340</t>
  </si>
  <si>
    <t>ADEWALE OLUYEMI MICHAEL</t>
  </si>
  <si>
    <t>OYSG/5894</t>
  </si>
  <si>
    <t>AYEGBOKIKI OLUKEMI FUNMILOLA</t>
  </si>
  <si>
    <t>OYSG/1269</t>
  </si>
  <si>
    <t>OYSG/4579</t>
  </si>
  <si>
    <t>OYSG/3787</t>
  </si>
  <si>
    <t>OYSG/6653</t>
  </si>
  <si>
    <t>OYSG/5622</t>
  </si>
  <si>
    <t>OYSG/5565</t>
  </si>
  <si>
    <t>OYSG/2246</t>
  </si>
  <si>
    <t>OYSG/027580</t>
  </si>
  <si>
    <t>ODUOLA RAFIU ADIGUN</t>
  </si>
  <si>
    <t>OYSG/3428</t>
  </si>
  <si>
    <t>OYSG/4686</t>
  </si>
  <si>
    <t>OYSG/4084</t>
  </si>
  <si>
    <t>ADEPEGBA MUHYDEEN AYINLA</t>
  </si>
  <si>
    <t>OYSG/1446</t>
  </si>
  <si>
    <t>OLOPADE AREMU KAMORUDEEN</t>
  </si>
  <si>
    <t>OYSG/2397</t>
  </si>
  <si>
    <t>OYSG/5545</t>
  </si>
  <si>
    <t>OYSG/1238</t>
  </si>
  <si>
    <t>OYSG/3730</t>
  </si>
  <si>
    <t>OYSG/0527</t>
  </si>
  <si>
    <t>OYSG/008827</t>
  </si>
  <si>
    <t>ABIOLA AYODELE YISA</t>
  </si>
  <si>
    <t>OYSG/1454</t>
  </si>
  <si>
    <t>ADEKUNLE OLUWOLE BENARD</t>
  </si>
  <si>
    <t>OYSG/1727</t>
  </si>
  <si>
    <t>OYSG/6195</t>
  </si>
  <si>
    <t>OYSG/2399</t>
  </si>
  <si>
    <t>OYSG/1402</t>
  </si>
  <si>
    <t>OYSG/5399</t>
  </si>
  <si>
    <t>OYSG/5976</t>
  </si>
  <si>
    <t xml:space="preserve">SIYANBOLA OLUFEMI </t>
  </si>
  <si>
    <t>OYSG/2003</t>
  </si>
  <si>
    <t>OYSG/5400</t>
  </si>
  <si>
    <t>OYSG/5602</t>
  </si>
  <si>
    <t>OLANREWAJU BOLATITO KEMI</t>
  </si>
  <si>
    <t>OYSG/5590</t>
  </si>
  <si>
    <t>SALAMI OMOLOLA OLAIDE</t>
  </si>
  <si>
    <t>OYSG/2083</t>
  </si>
  <si>
    <t>OYSG/6383</t>
  </si>
  <si>
    <t>OYSG/5572</t>
  </si>
  <si>
    <t>AKANDE BAMIDELE ADEGOKE</t>
  </si>
  <si>
    <t>OYSG/3956</t>
  </si>
  <si>
    <t>OYSG/5360</t>
  </si>
  <si>
    <t>ALABI FOLORUNSO MICHAEL</t>
  </si>
  <si>
    <t>OYSG/2890</t>
  </si>
  <si>
    <t>OYSG/1897</t>
  </si>
  <si>
    <t>OYSG/2268</t>
  </si>
  <si>
    <t>OYSG/1232</t>
  </si>
  <si>
    <t>OYSG/0656</t>
  </si>
  <si>
    <t>OYSG/0467</t>
  </si>
  <si>
    <t>OYSG/3023</t>
  </si>
  <si>
    <t>OYSG/2106</t>
  </si>
  <si>
    <t>OYSG/3100</t>
  </si>
  <si>
    <t>OYSG/4080</t>
  </si>
  <si>
    <t>OYSG/1242</t>
  </si>
  <si>
    <t>OYSG/0617</t>
  </si>
  <si>
    <t>OYSG/5540</t>
  </si>
  <si>
    <t>MOTOR VEHICLE DEDUCTION FOR THE MONTH OF DECEMBER, 2017</t>
  </si>
  <si>
    <t>RAHEEM, FATAI ALADE</t>
  </si>
  <si>
    <t>ADEBAYO OLUTOYIN</t>
  </si>
  <si>
    <t>ADENIYI SULIAT</t>
  </si>
  <si>
    <t>OLANIYI ADIJAT OMOLAYO</t>
  </si>
  <si>
    <t>BANKOLE FOLAKE KEHINDE</t>
  </si>
  <si>
    <t>OYSG/6191</t>
  </si>
  <si>
    <t>ALAWODE RACHEAL OLUYEMI</t>
  </si>
  <si>
    <t>KAREEM LUKMAN ALOWONLE</t>
  </si>
  <si>
    <t>OYSG/3757</t>
  </si>
  <si>
    <t>AYODELE TAIWO AYOADE</t>
  </si>
  <si>
    <t>OYSG/2444</t>
  </si>
  <si>
    <t>OLADOYINBO ISRAEL OLUTAYO</t>
  </si>
  <si>
    <t>OYELAMI AKINKUNMI OLADAPO</t>
  </si>
  <si>
    <t>OYSG/3760</t>
  </si>
  <si>
    <t>BABALOLA-FATOBA ADEOLU BAMIDELE</t>
  </si>
  <si>
    <t>OYSG/2282</t>
  </si>
  <si>
    <t>OYSG/009525</t>
  </si>
  <si>
    <t>HAMZAT BASIRU OLAYIMIKA</t>
  </si>
  <si>
    <t>OYSG/5682</t>
  </si>
  <si>
    <t>TAIWO ABIMBOLA OLUFISAYO</t>
  </si>
  <si>
    <t>OLANIYI OLUSOLA ISOLA</t>
  </si>
  <si>
    <t>OYSG/4200</t>
  </si>
  <si>
    <t>OYSG/027692</t>
  </si>
  <si>
    <t>OLAPADE FATAI OYEWOLE</t>
  </si>
  <si>
    <t>OYSG/6201</t>
  </si>
  <si>
    <t>OLADOKUN SOLOMON OLATUNJI</t>
  </si>
  <si>
    <t>OYSG/6006</t>
  </si>
  <si>
    <t>AKINADE OMOLARA JANET</t>
  </si>
  <si>
    <t>OGUNDARE TITUS OLADELE</t>
  </si>
  <si>
    <t>OLADEJI LATIFAT TITILAYO</t>
  </si>
  <si>
    <t>OYSG/5851</t>
  </si>
  <si>
    <t>OYSG/0817</t>
  </si>
  <si>
    <t>IROKO OLUWABUNMI AYANKEMI</t>
  </si>
  <si>
    <t>MOTOR VEHICLE DEDUCTION FOR THE MONTH OF JANUARY, 2018</t>
  </si>
  <si>
    <t xml:space="preserve"> OYSG/007472 </t>
  </si>
  <si>
    <t xml:space="preserve"> AKANO KAZEEM OJO </t>
  </si>
  <si>
    <t xml:space="preserve"> OYSG/1497 </t>
  </si>
  <si>
    <t xml:space="preserve"> ADEYEMI ADEDOYIN AJOKE </t>
  </si>
  <si>
    <t xml:space="preserve"> OYSG/2075 </t>
  </si>
  <si>
    <t xml:space="preserve"> OYEWUSI ADESOYE  </t>
  </si>
  <si>
    <t xml:space="preserve"> OYSG/3891 </t>
  </si>
  <si>
    <t xml:space="preserve"> KARUNWI MARIA OLUFUNKE </t>
  </si>
  <si>
    <t xml:space="preserve"> OYSG/4768 </t>
  </si>
  <si>
    <t xml:space="preserve"> AZEEZ ASIATA MOJIRADE </t>
  </si>
  <si>
    <t xml:space="preserve"> OYSG/2501 </t>
  </si>
  <si>
    <t xml:space="preserve"> AZEEZ NURUDEEN ABIODUN </t>
  </si>
  <si>
    <t xml:space="preserve"> OYSG/6191 </t>
  </si>
  <si>
    <t xml:space="preserve"> ALAWODE RACHEAL OLUYEMI </t>
  </si>
  <si>
    <t xml:space="preserve"> OYSG/2888 </t>
  </si>
  <si>
    <t xml:space="preserve"> ILORI DEBORAH AYOBAMI </t>
  </si>
  <si>
    <t xml:space="preserve"> OYSG/6690 </t>
  </si>
  <si>
    <t xml:space="preserve"> BABALOLA OLUDAYO MAKINDE </t>
  </si>
  <si>
    <t xml:space="preserve"> OYSG/0591 </t>
  </si>
  <si>
    <t xml:space="preserve"> KAREEM LUKMAN ALOWONLE </t>
  </si>
  <si>
    <t xml:space="preserve"> OYSG/5594 </t>
  </si>
  <si>
    <t xml:space="preserve"> SOLALU SIMIAT JUMOKE </t>
  </si>
  <si>
    <t xml:space="preserve"> OYSG/3757 </t>
  </si>
  <si>
    <t xml:space="preserve"> AYODELE TAIWO AYOADE </t>
  </si>
  <si>
    <t xml:space="preserve"> OYSG/6525 </t>
  </si>
  <si>
    <t xml:space="preserve"> ODELEYE JOHNSON OLUBUKOLA </t>
  </si>
  <si>
    <t xml:space="preserve"> OYSG/2261 </t>
  </si>
  <si>
    <t xml:space="preserve"> OYELAMI AKINKUNMI OLADAPO </t>
  </si>
  <si>
    <t xml:space="preserve"> OYSG/3760 </t>
  </si>
  <si>
    <t xml:space="preserve"> ADIO OLUWATOYIN FATIMO </t>
  </si>
  <si>
    <t xml:space="preserve"> OYSG/2229 </t>
  </si>
  <si>
    <t xml:space="preserve"> FAWOLE JULIANAH OLUWATOYIN </t>
  </si>
  <si>
    <t xml:space="preserve"> OYSG/4424 </t>
  </si>
  <si>
    <t xml:space="preserve"> OLAYIWOLA OLATUNJI MOSHOOD </t>
  </si>
  <si>
    <t xml:space="preserve"> OYSG/2444 </t>
  </si>
  <si>
    <t xml:space="preserve"> OLADOYINBO ISRAEL OLUTAYO </t>
  </si>
  <si>
    <t xml:space="preserve"> OYSG/4668 </t>
  </si>
  <si>
    <t xml:space="preserve"> ADERINTO BILIAMINU OKETADE </t>
  </si>
  <si>
    <t xml:space="preserve"> OYSG/2078 </t>
  </si>
  <si>
    <t xml:space="preserve"> OLUWOLE OMOYENI OLUBIMPE </t>
  </si>
  <si>
    <t xml:space="preserve"> OYSG/3070 </t>
  </si>
  <si>
    <t xml:space="preserve"> OLADAYO SEGUN OLOYEDE </t>
  </si>
  <si>
    <t xml:space="preserve"> OYSG/5558 </t>
  </si>
  <si>
    <t xml:space="preserve"> FAKOREDE ADETAYO DARE </t>
  </si>
  <si>
    <t xml:space="preserve"> OYSG/5629 </t>
  </si>
  <si>
    <t xml:space="preserve"> OLANIRAN BASIRAH ADETOLA </t>
  </si>
  <si>
    <t xml:space="preserve"> OYSG/5392 </t>
  </si>
  <si>
    <t xml:space="preserve"> BABALOLA-FATOBA ADEOLU BAMIDELE </t>
  </si>
  <si>
    <t xml:space="preserve"> OYSG/5366 </t>
  </si>
  <si>
    <t xml:space="preserve"> AKINADE ELIZABETH KEHINDE </t>
  </si>
  <si>
    <t xml:space="preserve"> OYSG/3131 </t>
  </si>
  <si>
    <t xml:space="preserve"> OJURI YEMISI YETUNDE </t>
  </si>
  <si>
    <t xml:space="preserve"> OYSG/6389 </t>
  </si>
  <si>
    <t xml:space="preserve"> MUHAMMED SOLIU KAMORUDEEN </t>
  </si>
  <si>
    <t xml:space="preserve"> OYSG/009525 </t>
  </si>
  <si>
    <t xml:space="preserve"> OYSG/3872 </t>
  </si>
  <si>
    <t xml:space="preserve"> OLASUNKANMI MOTUNRAYO OLUBUNMI </t>
  </si>
  <si>
    <t xml:space="preserve"> OYSG/4522 </t>
  </si>
  <si>
    <t xml:space="preserve"> TOWOBOLA SUNDAY  </t>
  </si>
  <si>
    <t xml:space="preserve"> OYSG/1414 </t>
  </si>
  <si>
    <t xml:space="preserve"> LAWAL ADEKUNLE MUNIRU </t>
  </si>
  <si>
    <t xml:space="preserve"> OYSG/2282 </t>
  </si>
  <si>
    <t xml:space="preserve"> OMOTOSHO MUJIDAT TITILOLA </t>
  </si>
  <si>
    <t xml:space="preserve"> OYSG/0477 </t>
  </si>
  <si>
    <t xml:space="preserve"> OLANIYI OLUSOLA ISOLA </t>
  </si>
  <si>
    <t xml:space="preserve"> OYSG/1739 </t>
  </si>
  <si>
    <t xml:space="preserve"> YUSUFF ELIZEBETH OLUBUNMI </t>
  </si>
  <si>
    <t xml:space="preserve"> OYSG/0624 </t>
  </si>
  <si>
    <t xml:space="preserve"> ABIOLA OLUYEMISI ASABI </t>
  </si>
  <si>
    <t xml:space="preserve"> OYSG/3384 </t>
  </si>
  <si>
    <t xml:space="preserve"> TAIWO ABIMBOLA OLUFISAYO </t>
  </si>
  <si>
    <t xml:space="preserve"> OYSG/5682 </t>
  </si>
  <si>
    <t xml:space="preserve"> ADEGOKE FOLAKE RUKAYAT </t>
  </si>
  <si>
    <t xml:space="preserve"> OYSG/1682 </t>
  </si>
  <si>
    <t xml:space="preserve"> ILO OLUWASEYI ADEBOWALE </t>
  </si>
  <si>
    <t xml:space="preserve"> OYSG/6006 </t>
  </si>
  <si>
    <t xml:space="preserve"> AKINADE OMOLARA JANET </t>
  </si>
  <si>
    <t xml:space="preserve"> OYSG/5591 </t>
  </si>
  <si>
    <t xml:space="preserve"> BOLAJI MERCYLLIAN OLUWAKEMI </t>
  </si>
  <si>
    <t xml:space="preserve"> OYSG/5364 </t>
  </si>
  <si>
    <t xml:space="preserve"> OLADEJI MICHEAL OLUGBAMI </t>
  </si>
  <si>
    <t xml:space="preserve"> OYSG/6201 </t>
  </si>
  <si>
    <t xml:space="preserve"> OLADOKUN SOLOMON OLATUNJI </t>
  </si>
  <si>
    <t xml:space="preserve"> OYSG/1282 </t>
  </si>
  <si>
    <t xml:space="preserve"> ADEOLA ADEFUNKE FOLASADE </t>
  </si>
  <si>
    <t xml:space="preserve"> OYSG/2553 </t>
  </si>
  <si>
    <t xml:space="preserve"> AMUSA SAIDI  </t>
  </si>
  <si>
    <t xml:space="preserve"> OYSG/1398 </t>
  </si>
  <si>
    <t xml:space="preserve"> OGUNDARE TITUS OLADELE </t>
  </si>
  <si>
    <t xml:space="preserve"> OYSG/4710 </t>
  </si>
  <si>
    <t xml:space="preserve"> AREMU EMIOLA AGNES </t>
  </si>
  <si>
    <t xml:space="preserve"> OYSG/008827 </t>
  </si>
  <si>
    <t xml:space="preserve"> ABIOLA AYODELE YISA </t>
  </si>
  <si>
    <t xml:space="preserve"> OYSG/3716 </t>
  </si>
  <si>
    <t xml:space="preserve"> OLADEJI LATIFAT TITILAYO </t>
  </si>
  <si>
    <t xml:space="preserve"> OYSG/2300 </t>
  </si>
  <si>
    <t xml:space="preserve"> ABASS BABATUNDE  </t>
  </si>
  <si>
    <t xml:space="preserve"> OYSG/6439 </t>
  </si>
  <si>
    <t xml:space="preserve"> OBISESAN BOLATITO AYOBAMI </t>
  </si>
  <si>
    <t xml:space="preserve"> OYSG/1758 </t>
  </si>
  <si>
    <t xml:space="preserve"> ABDUL-AZEEZ MODINAT  </t>
  </si>
  <si>
    <t xml:space="preserve"> OYSG/0609 </t>
  </si>
  <si>
    <t xml:space="preserve"> FEHINTOLA THOMAS LEKAN </t>
  </si>
  <si>
    <t xml:space="preserve"> OYSG/2220 </t>
  </si>
  <si>
    <t xml:space="preserve"> AKANDE SOLOMON OLUSOLA </t>
  </si>
  <si>
    <t xml:space="preserve"> OYSG/0817 </t>
  </si>
  <si>
    <t xml:space="preserve"> IROKO OLUWABUNMI AYANKEMI </t>
  </si>
  <si>
    <t xml:space="preserve"> OYSG/2077 </t>
  </si>
  <si>
    <t xml:space="preserve"> AKINNIYI SAMSON ADEOLU </t>
  </si>
  <si>
    <t xml:space="preserve"> OYSG/0610 </t>
  </si>
  <si>
    <t xml:space="preserve"> ERINFOLAMI RASHIDAT OYINLADE </t>
  </si>
  <si>
    <t xml:space="preserve"> OYSG/5358 </t>
  </si>
  <si>
    <t xml:space="preserve"> AKINBOADE RISIKAT OMOLOLA </t>
  </si>
  <si>
    <t xml:space="preserve"> OYSG/5593 </t>
  </si>
  <si>
    <t xml:space="preserve"> ADESINA OLUKAYODE ADETOYESE </t>
  </si>
  <si>
    <t xml:space="preserve"> OYSG/5361 </t>
  </si>
  <si>
    <t xml:space="preserve"> AKINYEMI TAOFIK  </t>
  </si>
  <si>
    <t>MOTOR VEHICLE DEDUCTION FOR THE MONTH OF FEBRUARY, 2018</t>
  </si>
  <si>
    <t>ABDUL-AZEEZ MODINAT</t>
  </si>
  <si>
    <t>ABASS BABATUNDE</t>
  </si>
  <si>
    <t>AMUSA SAIDI</t>
  </si>
  <si>
    <t>AKINYEMI TAOFIK</t>
  </si>
  <si>
    <t xml:space="preserve">AKINADE OMOLARA JANET </t>
  </si>
  <si>
    <t>MOTOR VEHICLE DEDUCTION FOR THE MONTH OF MARCH, 2018</t>
  </si>
  <si>
    <t>OJEDIRAN JOSHUA TUNDE</t>
  </si>
  <si>
    <t>TITILOYE SEGUN LAYINKA</t>
  </si>
  <si>
    <t>ADEGBOLA TOYIN FUNMILAYO</t>
  </si>
  <si>
    <t>BANKE IKHAOBOMHE</t>
  </si>
  <si>
    <t>AMOS ADENIYI OLUSOLA</t>
  </si>
  <si>
    <t>MOTOR VEHICLE DEDUCTION FOR THE MONTH OF APRIL, 2018</t>
  </si>
  <si>
    <t>MOTOR VEHICLE DEDUCTION FOR THE MONTH OF MAY, 2018</t>
  </si>
  <si>
    <t>TAVS COMMENCEMENT DATE</t>
  </si>
  <si>
    <t>STATION</t>
  </si>
  <si>
    <t>EXPECTED INCRE</t>
  </si>
  <si>
    <t>MOTOR VEHICLE DEDUCTION FOR THE MONTH OF JUNE, 2018</t>
  </si>
  <si>
    <t>MOTOR VEHICLE DEDUCTION FOR THE MONTH OF JULY, 2018</t>
  </si>
  <si>
    <t>MUHAMMED SOLIU KAMORUDEEN</t>
  </si>
  <si>
    <t>FAKOREDE ADETAYO DARE</t>
  </si>
  <si>
    <t>AKANO KAZEEM OJO</t>
  </si>
  <si>
    <t>OYEWUSI ADESOYE</t>
  </si>
  <si>
    <t>ADERINTO BILIAMINU OKETADE</t>
  </si>
  <si>
    <t>OLADAYO SEGUN OLOYEDE</t>
  </si>
  <si>
    <t>AKINNIYI SAMSON ADEOLU</t>
  </si>
  <si>
    <t>ILORI DEBORAH AYOBAMI</t>
  </si>
  <si>
    <t>YUSUFF ELIZABETH OLUBUNMI</t>
  </si>
  <si>
    <t xml:space="preserve">IROKO OLUWABUNMI AYANKEMI </t>
  </si>
  <si>
    <t>ADEOLA ADEFUNKE FOLASADE</t>
  </si>
  <si>
    <t xml:space="preserve"> OYSG/2078</t>
  </si>
  <si>
    <t xml:space="preserve">TAIWO ABIMBOLA OLUFISAYO </t>
  </si>
  <si>
    <t>OLAYIWOLA MOSHOOD OLATUNJI</t>
  </si>
  <si>
    <t>AZEEZ ASIATA MOJIRADE</t>
  </si>
  <si>
    <t>OLANIRAN BASIRAH ADETOLA</t>
  </si>
  <si>
    <t>ALAWODE RACHEAL OLUYEMI ADENIKE</t>
  </si>
  <si>
    <t>ODELEYE JOHNSON OLUBUKOLA</t>
  </si>
  <si>
    <t>MOTOR VEHICLE DEDUCTION FOR THE MONTH OF AUGUST, 2018</t>
  </si>
  <si>
    <t>MOTOR VEHICLE DEDUCTION FOR THE MONTH OF SEPTEMBER, 2018</t>
  </si>
  <si>
    <t>MOTOR VEHICLE DEDUCTION FOR THE MONTH OF OCTOBER, 2018</t>
  </si>
  <si>
    <t>MOTOR VEHICLE DEDUCTION FOR THE MONTH OF NOVEMBER, 2018</t>
  </si>
  <si>
    <t xml:space="preserve"> OYSG/2211 </t>
  </si>
  <si>
    <t xml:space="preserve"> OLASUNSI BOLAJI SUNDAY </t>
  </si>
  <si>
    <t xml:space="preserve"> OYSG/009557 </t>
  </si>
  <si>
    <t xml:space="preserve"> OLALEYE AYODEJI  OLAGOKE </t>
  </si>
  <si>
    <t>MOTOR VEHICLE DEDUCTION FOR THE MONTH OF DECEMBER, 2018</t>
  </si>
  <si>
    <t>MOTOR VEHICLE DEDUCTION FOR THE MONTH OF JANUARY, 2019</t>
  </si>
  <si>
    <t xml:space="preserve"> OYSG/4955 </t>
  </si>
  <si>
    <t xml:space="preserve"> ALABI OLUWATOSIN OLAWUMI </t>
  </si>
  <si>
    <t>MOTOR VEHICLE DEDUCTION FOR THE MONTH OF FEBRUARY, 2019</t>
  </si>
  <si>
    <t>MOTOR VEHICLE DEDUCTION FOR THE MONTH OF MARCH, 2019</t>
  </si>
  <si>
    <t>OYSG/2220</t>
  </si>
  <si>
    <t>OYSG/1736</t>
  </si>
  <si>
    <t xml:space="preserve">BANJO FEYISAYO </t>
  </si>
  <si>
    <t>OYSG/3375</t>
  </si>
  <si>
    <t>HAMMED MUTIAT ABIODUN</t>
  </si>
  <si>
    <t>OYSG/5293</t>
  </si>
  <si>
    <t>AKINTOLA TOYIN OMOTAYO</t>
  </si>
  <si>
    <t>OYSG/4773</t>
  </si>
  <si>
    <t>OYSG/1404</t>
  </si>
  <si>
    <t>OYSG/3891</t>
  </si>
  <si>
    <t>OYSG/2261</t>
  </si>
  <si>
    <t>OYSG/3131</t>
  </si>
  <si>
    <t>OYSG/5591</t>
  </si>
  <si>
    <t>BOLAJI MERCYLLIAN OLUWAKEMI</t>
  </si>
  <si>
    <t>OYSG/4424</t>
  </si>
  <si>
    <t>OLAYIWOLA OLATUNJI MOSHOOD</t>
  </si>
  <si>
    <t>OYSG/2229</t>
  </si>
  <si>
    <t>OYSG/4710</t>
  </si>
  <si>
    <t>OYSG/5361</t>
  </si>
  <si>
    <t xml:space="preserve">AKINYEMI TAOFIK </t>
  </si>
  <si>
    <t>OYSG/4668</t>
  </si>
  <si>
    <t>OYSG/5558</t>
  </si>
  <si>
    <t>OYSG/4768</t>
  </si>
  <si>
    <t>OYSG/2211</t>
  </si>
  <si>
    <t>OLASUNSI BOLAJI SUNDAY</t>
  </si>
  <si>
    <t>OYSG/6389</t>
  </si>
  <si>
    <t>OYSG/0604</t>
  </si>
  <si>
    <t>OYSG/1563</t>
  </si>
  <si>
    <t>OYSG/5594</t>
  </si>
  <si>
    <t>OYSG/3716</t>
  </si>
  <si>
    <t>OYSG/1282</t>
  </si>
  <si>
    <t>OYSG/0610</t>
  </si>
  <si>
    <t>OYSG/0624</t>
  </si>
  <si>
    <t>ABIOLA OLUYEMISI ASABI</t>
  </si>
  <si>
    <t>OYSG/2075</t>
  </si>
  <si>
    <t xml:space="preserve">OYEWUSI ADESOYE </t>
  </si>
  <si>
    <t>OYSG/1414</t>
  </si>
  <si>
    <t>LAWAL ADEKUNLE MUNIRU</t>
  </si>
  <si>
    <t>OYSG/0591</t>
  </si>
  <si>
    <t>OYSG/3070</t>
  </si>
  <si>
    <t>OYSG/0812</t>
  </si>
  <si>
    <t>OLADEJO AZEEZAT OLASUMBO</t>
  </si>
  <si>
    <t>OYSG/6439</t>
  </si>
  <si>
    <t>OYSG/2888</t>
  </si>
  <si>
    <t>OYSG/2077</t>
  </si>
  <si>
    <t>OYSG/1851</t>
  </si>
  <si>
    <t>OYSG/4755</t>
  </si>
  <si>
    <t>OLAYIWOLA ISHAQ OLATUNDE</t>
  </si>
  <si>
    <t>OYSG/5358</t>
  </si>
  <si>
    <t>OYSG/4522</t>
  </si>
  <si>
    <t xml:space="preserve">TOWOBOLA SUNDAY </t>
  </si>
  <si>
    <t>OYSG/0609</t>
  </si>
  <si>
    <t>FEHINTOLA THOMAS LEKAN</t>
  </si>
  <si>
    <t>OYSG/3872</t>
  </si>
  <si>
    <t>OYSG/1398</t>
  </si>
  <si>
    <t>OYSG/6690</t>
  </si>
  <si>
    <t>OYSG/5364</t>
  </si>
  <si>
    <t>OYSG/007472</t>
  </si>
  <si>
    <t>OYSG/1682</t>
  </si>
  <si>
    <t>ILO OLUWASEYI ADEBOWALE</t>
  </si>
  <si>
    <t>OYSG/6525</t>
  </si>
  <si>
    <t>OYSG/6663</t>
  </si>
  <si>
    <t xml:space="preserve">OLOYEDE DORCAS </t>
  </si>
  <si>
    <t>OYSG/2501</t>
  </si>
  <si>
    <t>AZEEZ NURUDEEN ABIODUN</t>
  </si>
  <si>
    <t>OYSG/1497</t>
  </si>
  <si>
    <t>ADEYEMI ADEDOYIN AJOKE</t>
  </si>
  <si>
    <t>OYSG/6515</t>
  </si>
  <si>
    <t>AKINOLA OLUWASEUN MARGARET</t>
  </si>
  <si>
    <t>OYSG/3384</t>
  </si>
  <si>
    <t>OYSG/0477</t>
  </si>
  <si>
    <t>OYSG/1638</t>
  </si>
  <si>
    <t>OLOKEDE ISRAEL OLUKAYODE</t>
  </si>
  <si>
    <t>OYSG/5629</t>
  </si>
  <si>
    <t>OYSG/1758</t>
  </si>
  <si>
    <t xml:space="preserve">ABDUL-AZEEZ MODINAT </t>
  </si>
  <si>
    <t>OYSG/4955</t>
  </si>
  <si>
    <t>ALABI OLUWATOSIN OLAWUMI</t>
  </si>
  <si>
    <t>OYSG/2300</t>
  </si>
  <si>
    <t xml:space="preserve">ABASS BABATUNDE </t>
  </si>
  <si>
    <t>OYSG/2553</t>
  </si>
  <si>
    <t xml:space="preserve">AMUSA SAIDI </t>
  </si>
  <si>
    <t>OYSG/6442</t>
  </si>
  <si>
    <t>ADELEKE CATHERINE ABOSEDE</t>
  </si>
  <si>
    <t>OYSG/009557</t>
  </si>
  <si>
    <t>OLALEYE AYODEJI  OLAGOKE</t>
  </si>
  <si>
    <t>OYSG/3751</t>
  </si>
  <si>
    <t>GBADAMOSI AZEEZ ADEBAYO</t>
  </si>
  <si>
    <t>OYSG/1739</t>
  </si>
  <si>
    <t>YUSUFF ELIZEBETH OLUBUNMI</t>
  </si>
  <si>
    <t>OYSG/2886</t>
  </si>
  <si>
    <t>OYENIRAN OYETUNJI JAMES</t>
  </si>
  <si>
    <t>OYSG/3382</t>
  </si>
  <si>
    <t>AREMU OLAYEMI VICTORIA</t>
  </si>
  <si>
    <t>MOTOR VEHICLE DEDUCTION FOR THE MONTH OF APRIL, 2019</t>
  </si>
  <si>
    <t>OLATEJU GIDEON OLAYANJU</t>
  </si>
  <si>
    <t>OYSG/6192</t>
  </si>
  <si>
    <t>OYSG/1650</t>
  </si>
  <si>
    <t>IN</t>
  </si>
  <si>
    <t>OYSG/4708</t>
  </si>
  <si>
    <t>OYSG/009800</t>
  </si>
  <si>
    <t>OYSG/0605</t>
  </si>
  <si>
    <t>OYSG/5393</t>
  </si>
  <si>
    <t>OYSG/6392</t>
  </si>
  <si>
    <t>OGUNDARE ADESOLA OLUKUNMI</t>
  </si>
  <si>
    <t>OYSG/3417</t>
  </si>
  <si>
    <t>OYSG/0427</t>
  </si>
  <si>
    <t>MOTOR VEHICLE DEDUCTION FOR THE MONTH OF MAY, 2019</t>
  </si>
  <si>
    <t>OLONA YISA ADEROBA</t>
  </si>
  <si>
    <t>OYSG MDAs CAR LOAN DEDUCTION TEMPLATE</t>
  </si>
  <si>
    <t>MDAs</t>
  </si>
  <si>
    <t>Principal</t>
  </si>
  <si>
    <t>Interest According to Instalment</t>
  </si>
  <si>
    <t>TOTAL  LOAN</t>
  </si>
  <si>
    <t>No of Inst.</t>
  </si>
  <si>
    <t xml:space="preserve">Monthly Deduction </t>
  </si>
  <si>
    <t>Monthly Interest</t>
  </si>
  <si>
    <t>Monthly Principal</t>
  </si>
  <si>
    <t>Total Interest paid</t>
  </si>
  <si>
    <t>Total outstanding Interest</t>
  </si>
  <si>
    <t>No of instal paid</t>
  </si>
  <si>
    <t>No of instal. outstanding</t>
  </si>
  <si>
    <t>Total Loan Paid</t>
  </si>
  <si>
    <t>Outstanding Balance</t>
  </si>
  <si>
    <t>REMARKS LPC in /Out</t>
  </si>
  <si>
    <t>MIN. OF EDU</t>
  </si>
  <si>
    <t>OYSG/2559</t>
  </si>
  <si>
    <t>AMOO ISMAILA OLABAMIJI</t>
  </si>
  <si>
    <t>OYSG/1271</t>
  </si>
  <si>
    <t>BINUYO LAWRENCE ADELANI</t>
  </si>
  <si>
    <t>MOTOR VEHICLE DEDUCTION FOR THE MONTH OF JUNE, 2019</t>
  </si>
  <si>
    <t>LPC IN (HOS)</t>
  </si>
  <si>
    <t>LPC IN (SUBEB)</t>
  </si>
  <si>
    <t>OYSG/1240</t>
  </si>
  <si>
    <t>OMOTOSHO ROTIMI OLAOLU</t>
  </si>
  <si>
    <t>OYSG/6573</t>
  </si>
  <si>
    <t>OYADEYI ADERIBIGBE SOLOMON</t>
  </si>
  <si>
    <t>OYSG/1447</t>
  </si>
  <si>
    <t>OYSG/5359</t>
  </si>
  <si>
    <t>OLANREWAJU SARAT AWOYEMI</t>
  </si>
  <si>
    <t>OYSG/6076</t>
  </si>
  <si>
    <t>ADEDOTUN KAMORUDEEN DUFAI</t>
  </si>
  <si>
    <t>MOTOR VEHICLE DEDUCTION FOR THE MONTH OF JULY, 2019</t>
  </si>
  <si>
    <t>MOTOR VEHICLE DEDUCTION FOR THE MONTH OF AUGUST, 2019</t>
  </si>
  <si>
    <t>OYSG/3694</t>
  </si>
  <si>
    <t>HAMMED ADEBOWALE JOHN</t>
  </si>
  <si>
    <t>LPC IN (G/O)</t>
  </si>
  <si>
    <t>MOTOR VEHICLE DEDUCTION FOR THE MONTH OF SEPTEMBER, 2019</t>
  </si>
  <si>
    <t>OYSG/0299</t>
  </si>
  <si>
    <t>BOLARINWA MOSES ADEWALE</t>
  </si>
  <si>
    <t>OYSG/0431</t>
  </si>
  <si>
    <t>OYSG/0611</t>
  </si>
  <si>
    <t>OYSG/2275</t>
  </si>
  <si>
    <t>OYSG/2939</t>
  </si>
  <si>
    <t>OTUNLA ISAIAH OLABISI</t>
  </si>
  <si>
    <t>OYSG/3915</t>
  </si>
  <si>
    <t>OLADEJO MORUFU KEHINDE</t>
  </si>
  <si>
    <t>OYSG/5370</t>
  </si>
  <si>
    <t>ABDUR-RAUF ASIMIYU IYANDA</t>
  </si>
  <si>
    <t>OYSG/5567</t>
  </si>
  <si>
    <t>AZEEZ ADENIYI DIEKADE</t>
  </si>
  <si>
    <t>OYSG/1610</t>
  </si>
  <si>
    <t>AKANNI MICHAEL ADETORO</t>
  </si>
  <si>
    <t>OYSG/1627</t>
  </si>
  <si>
    <t>OLAYIWOLA STEPHEN ABIODUN</t>
  </si>
  <si>
    <t>OYSG/2336</t>
  </si>
  <si>
    <t>GBADAMOSI AHMATULLAHI FOLAKEMI</t>
  </si>
  <si>
    <t>OYSG/4572</t>
  </si>
  <si>
    <t xml:space="preserve">AFOLABI KEHINDE </t>
  </si>
  <si>
    <t>OYSG/5626</t>
  </si>
  <si>
    <t>ADEMOLA SULIYAT AJIBOLA</t>
  </si>
  <si>
    <t>OYSG/3210</t>
  </si>
  <si>
    <t xml:space="preserve">AKINYEMI OLAWALE </t>
  </si>
  <si>
    <t>MOTOR VEHICLE DEDUCTION FOR THE MONTH OF OCTOBER, 2019</t>
  </si>
  <si>
    <t>OYSG/3978</t>
  </si>
  <si>
    <t>AKINBOADE SAHEED OLADIMEJI</t>
  </si>
  <si>
    <t>MOTOR VEHICLE DEDUCTION FOR THE MONTH OF NOVEMBER, 2019</t>
  </si>
  <si>
    <t>OYSG/027429</t>
  </si>
  <si>
    <t>OLORUNTOBI WAIDI LAMIDI</t>
  </si>
  <si>
    <t>MOTOR VEHICLE DEDUCTION FOR THE MONTH OF DECEMBER, 2019</t>
  </si>
  <si>
    <t>MOTOR VEHICLE DEDUCTION FOR THE MONTH OF JANUARY, 2020</t>
  </si>
  <si>
    <t>OYSG/5581</t>
  </si>
  <si>
    <t>OYSG/2225</t>
  </si>
  <si>
    <t>AKANDE ABIGAIL ADERONKE</t>
  </si>
  <si>
    <t>OYSG/0455</t>
  </si>
  <si>
    <t>OYSG/3732</t>
  </si>
  <si>
    <t>OYSG/4915</t>
  </si>
  <si>
    <t>AKIN-WILLIAMS GRACE OLUWAMUREWA</t>
  </si>
  <si>
    <t>OYSG/5507</t>
  </si>
  <si>
    <t>OYSG/2078</t>
  </si>
  <si>
    <t>OYSG/4683</t>
  </si>
  <si>
    <t>ABIODUN BOSEDE CHRISTIANAH</t>
  </si>
  <si>
    <t>OYSG/1278</t>
  </si>
  <si>
    <t>OYSG/0773</t>
  </si>
  <si>
    <t>BADA IBRAHIM ADEBOYEGA</t>
  </si>
  <si>
    <t>OYSG/5823</t>
  </si>
  <si>
    <t>OWOLABI ESTHER YETUNDE</t>
  </si>
  <si>
    <t>OYSG/0870</t>
  </si>
  <si>
    <t>OGUNLEKE ADEWALE OLUSOLA</t>
  </si>
  <si>
    <t>OYSG/0399</t>
  </si>
  <si>
    <t>SALAMI MUIDEEN OLATUNJI</t>
  </si>
  <si>
    <t>OYSG/1529</t>
  </si>
  <si>
    <t>POPOOLA TUNDE</t>
  </si>
  <si>
    <t>OYSG/1581</t>
  </si>
  <si>
    <t>OLADOJA EBENEZER OLADIPUPO</t>
  </si>
  <si>
    <t>OYSG/1666</t>
  </si>
  <si>
    <t>OJO ALICE FUNMILOLA</t>
  </si>
  <si>
    <t>AKINLABI DASOLA AKINNIYI</t>
  </si>
  <si>
    <t>MOTOR VEHICLE DEDUCTION FOR THE MONTH OF FEBRUARY, 2020</t>
  </si>
  <si>
    <t>OYSG/0920</t>
  </si>
  <si>
    <t>LPC IN (annfe)</t>
  </si>
  <si>
    <t>MOTOR VEHICLE DEDUCTION FOR THE MONTH OF MARCH, 2020</t>
  </si>
  <si>
    <t>MOTOR VEHICLE DEDUCTION FOR THE MONTH OF APRIL, 2020</t>
  </si>
  <si>
    <t>OYSG/1234</t>
  </si>
  <si>
    <t>OYSG/3913</t>
  </si>
  <si>
    <t>OLALEYE RACHEAL OLAIDE</t>
  </si>
  <si>
    <t>OYSG/2027</t>
  </si>
  <si>
    <t>TIJANI IBRAHIM OLUWAKEMI</t>
  </si>
  <si>
    <t>OYSG/3883</t>
  </si>
  <si>
    <t>AKINADE LUKMAN AKANDE</t>
  </si>
  <si>
    <t>OYSG/6622</t>
  </si>
  <si>
    <t>AKINTOLA ADETUNJI MUKAILA</t>
  </si>
  <si>
    <t>OYSG/0351</t>
  </si>
  <si>
    <t>ANIMASAHUN SAKIRAT ADENIKE</t>
  </si>
  <si>
    <t>OYSG/2445</t>
  </si>
  <si>
    <t>TITILOYE SOLOMON OYEJIDE</t>
  </si>
  <si>
    <t>OYSG/1464</t>
  </si>
  <si>
    <t>AMBALI JELILI OPEYEMI</t>
  </si>
  <si>
    <t>OYSG/0633</t>
  </si>
  <si>
    <t>MOTOR VEHICLE DEDUCTION FOR THE MONTH OF MAY, 2020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</si>
</sst>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_-* #,##0.00_-;\-* #,##0.00_-;_-* &quot;-&quot;??_-;_-@_-"/>
    <numFmt numFmtId="166" formatCode="[$-409]d/mmm/yy;@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indexed="8"/>
      <name val="Calibri"/>
      <family val="2"/>
    </font>
    <font>
      <sz val="10"/>
      <color rgb="FFC00000"/>
      <name val="Arial"/>
      <family val="2"/>
    </font>
    <font>
      <sz val="10"/>
      <color rgb="FFFF0000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12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9"/>
      <name val="Arial"/>
      <family val="2"/>
    </font>
    <font>
      <sz val="10"/>
      <name val="Arial "/>
    </font>
    <font>
      <sz val="11"/>
      <color theme="1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Arial"/>
      <family val="2"/>
    </font>
    <font>
      <sz val="7"/>
      <color theme="1"/>
      <name val="Arial"/>
      <family val="2"/>
    </font>
    <font>
      <sz val="10"/>
      <name val="Arial"/>
      <family val="2"/>
    </font>
    <font>
      <b/>
      <sz val="8"/>
      <color theme="1"/>
      <name val="Arial"/>
      <family val="2"/>
    </font>
    <font>
      <b/>
      <sz val="18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b/>
      <sz val="12"/>
      <name val="Cambria"/>
      <family val="1"/>
      <scheme val="major"/>
    </font>
    <font>
      <b/>
      <sz val="12"/>
      <color theme="1"/>
      <name val="Calibri"/>
      <family val="2"/>
      <scheme val="minor"/>
    </font>
    <font>
      <b/>
      <sz val="10"/>
      <color theme="1"/>
      <name val="Cambria"/>
      <family val="1"/>
      <scheme val="major"/>
    </font>
    <font>
      <b/>
      <sz val="9"/>
      <color theme="1"/>
      <name val="Cambria"/>
      <family val="1"/>
      <scheme val="major"/>
    </font>
    <font>
      <b/>
      <sz val="8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94">
    <xf numFmtId="0" fontId="0" fillId="0" borderId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3" fillId="0" borderId="0"/>
    <xf numFmtId="0" fontId="28" fillId="0" borderId="0"/>
    <xf numFmtId="164" fontId="1" fillId="0" borderId="0" applyFont="0" applyFill="0" applyBorder="0" applyAlignment="0" applyProtection="0"/>
  </cellStyleXfs>
  <cellXfs count="430">
    <xf numFmtId="0" fontId="0" fillId="0" borderId="0" xfId="0"/>
    <xf numFmtId="0" fontId="0" fillId="0" borderId="1" xfId="0" applyBorder="1"/>
    <xf numFmtId="0" fontId="2" fillId="0" borderId="1" xfId="0" applyFont="1" applyFill="1" applyBorder="1" applyAlignment="1" applyProtection="1">
      <alignment vertical="center"/>
      <protection locked="0"/>
    </xf>
    <xf numFmtId="43" fontId="0" fillId="0" borderId="1" xfId="1" applyFont="1" applyBorder="1"/>
    <xf numFmtId="0" fontId="2" fillId="0" borderId="2" xfId="0" applyFont="1" applyFill="1" applyBorder="1" applyAlignment="1" applyProtection="1">
      <alignment vertical="center"/>
      <protection locked="0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49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Fill="1" applyBorder="1"/>
    <xf numFmtId="43" fontId="4" fillId="0" borderId="1" xfId="1" applyFont="1" applyBorder="1"/>
    <xf numFmtId="43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43" fontId="4" fillId="0" borderId="1" xfId="1" applyFont="1" applyBorder="1" applyAlignment="1">
      <alignment horizontal="center"/>
    </xf>
    <xf numFmtId="43" fontId="4" fillId="0" borderId="1" xfId="1" applyFont="1" applyFill="1" applyBorder="1"/>
    <xf numFmtId="0" fontId="2" fillId="0" borderId="1" xfId="0" applyFont="1" applyFill="1" applyBorder="1" applyAlignment="1"/>
    <xf numFmtId="43" fontId="4" fillId="0" borderId="1" xfId="1" applyFont="1" applyBorder="1" applyAlignment="1">
      <alignment horizontal="right"/>
    </xf>
    <xf numFmtId="43" fontId="4" fillId="0" borderId="1" xfId="1" applyFont="1" applyFill="1" applyBorder="1" applyAlignment="1">
      <alignment horizontal="right"/>
    </xf>
    <xf numFmtId="43" fontId="0" fillId="0" borderId="1" xfId="1" applyFont="1" applyBorder="1" applyAlignment="1">
      <alignment horizontal="right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2" fillId="0" borderId="1" xfId="0" applyFont="1" applyFill="1" applyBorder="1" applyAlignment="1" applyProtection="1">
      <alignment horizontal="left" vertical="center"/>
      <protection locked="0"/>
    </xf>
    <xf numFmtId="43" fontId="2" fillId="0" borderId="1" xfId="2" applyFont="1" applyFill="1" applyBorder="1" applyAlignment="1" applyProtection="1">
      <alignment horizontal="right" vertical="center"/>
      <protection locked="0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 applyProtection="1">
      <alignment vertical="center"/>
      <protection locked="0"/>
    </xf>
    <xf numFmtId="4" fontId="4" fillId="0" borderId="1" xfId="0" applyNumberFormat="1" applyFont="1" applyBorder="1"/>
    <xf numFmtId="0" fontId="2" fillId="0" borderId="2" xfId="0" applyFont="1" applyFill="1" applyBorder="1" applyAlignment="1" applyProtection="1">
      <alignment horizontal="left" vertical="center"/>
      <protection locked="0"/>
    </xf>
    <xf numFmtId="0" fontId="7" fillId="0" borderId="1" xfId="0" applyFont="1" applyFill="1" applyBorder="1" applyAlignment="1" applyProtection="1">
      <alignment vertical="center"/>
      <protection locked="0"/>
    </xf>
    <xf numFmtId="0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49" fontId="4" fillId="0" borderId="1" xfId="0" applyNumberFormat="1" applyFont="1" applyBorder="1" applyAlignment="1">
      <alignment horizontal="right"/>
    </xf>
    <xf numFmtId="0" fontId="4" fillId="0" borderId="1" xfId="0" applyFont="1" applyFill="1" applyBorder="1" applyAlignment="1">
      <alignment horizontal="right"/>
    </xf>
    <xf numFmtId="43" fontId="3" fillId="0" borderId="1" xfId="1" applyFont="1" applyBorder="1"/>
    <xf numFmtId="0" fontId="3" fillId="0" borderId="1" xfId="0" applyFont="1" applyFill="1" applyBorder="1" applyAlignment="1">
      <alignment horizontal="right"/>
    </xf>
    <xf numFmtId="43" fontId="3" fillId="0" borderId="1" xfId="1" applyFont="1" applyBorder="1" applyAlignment="1">
      <alignment horizontal="center"/>
    </xf>
    <xf numFmtId="43" fontId="4" fillId="0" borderId="0" xfId="1" applyFont="1" applyFill="1"/>
    <xf numFmtId="43" fontId="1" fillId="0" borderId="1" xfId="1" applyFont="1" applyBorder="1"/>
    <xf numFmtId="43" fontId="0" fillId="0" borderId="0" xfId="0" applyNumberFormat="1"/>
    <xf numFmtId="43" fontId="3" fillId="0" borderId="1" xfId="0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4" fillId="0" borderId="1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vertical="center"/>
    </xf>
    <xf numFmtId="43" fontId="4" fillId="0" borderId="0" xfId="1" applyFont="1" applyAlignment="1">
      <alignment horizontal="center"/>
    </xf>
    <xf numFmtId="43" fontId="6" fillId="0" borderId="1" xfId="1" applyFont="1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43" fontId="4" fillId="0" borderId="0" xfId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0" xfId="0" applyAlignment="1"/>
    <xf numFmtId="43" fontId="0" fillId="0" borderId="0" xfId="1" applyFont="1"/>
    <xf numFmtId="0" fontId="4" fillId="0" borderId="0" xfId="0" applyFont="1" applyBorder="1" applyAlignment="1">
      <alignment horizontal="center"/>
    </xf>
    <xf numFmtId="0" fontId="2" fillId="0" borderId="0" xfId="0" applyFont="1" applyFill="1" applyBorder="1" applyAlignment="1" applyProtection="1">
      <alignment horizontal="left" vertical="center"/>
      <protection locked="0"/>
    </xf>
    <xf numFmtId="43" fontId="3" fillId="0" borderId="0" xfId="1" applyFont="1" applyBorder="1"/>
    <xf numFmtId="43" fontId="4" fillId="0" borderId="0" xfId="0" applyNumberFormat="1" applyFont="1" applyBorder="1"/>
    <xf numFmtId="0" fontId="4" fillId="0" borderId="0" xfId="0" applyFont="1" applyBorder="1"/>
    <xf numFmtId="0" fontId="0" fillId="0" borderId="1" xfId="0" applyBorder="1" applyAlignment="1"/>
    <xf numFmtId="43" fontId="0" fillId="0" borderId="1" xfId="1" applyFont="1" applyBorder="1" applyAlignment="1"/>
    <xf numFmtId="43" fontId="2" fillId="0" borderId="1" xfId="1" applyFont="1" applyBorder="1"/>
    <xf numFmtId="0" fontId="11" fillId="0" borderId="0" xfId="5" applyFont="1"/>
    <xf numFmtId="43" fontId="0" fillId="0" borderId="0" xfId="6" applyFont="1"/>
    <xf numFmtId="0" fontId="11" fillId="0" borderId="1" xfId="5" applyFont="1" applyBorder="1"/>
    <xf numFmtId="43" fontId="11" fillId="0" borderId="1" xfId="1" applyFont="1" applyBorder="1"/>
    <xf numFmtId="43" fontId="0" fillId="0" borderId="1" xfId="6" applyFont="1" applyBorder="1"/>
    <xf numFmtId="0" fontId="4" fillId="0" borderId="6" xfId="0" applyFont="1" applyFill="1" applyBorder="1"/>
    <xf numFmtId="43" fontId="12" fillId="0" borderId="1" xfId="0" applyNumberFormat="1" applyFont="1" applyBorder="1"/>
    <xf numFmtId="164" fontId="0" fillId="0" borderId="0" xfId="0" applyNumberFormat="1"/>
    <xf numFmtId="0" fontId="2" fillId="0" borderId="0" xfId="0" applyFont="1" applyFill="1" applyBorder="1" applyAlignment="1" applyProtection="1">
      <alignment vertical="center"/>
      <protection locked="0"/>
    </xf>
    <xf numFmtId="0" fontId="11" fillId="0" borderId="0" xfId="5" applyFont="1" applyBorder="1"/>
    <xf numFmtId="0" fontId="4" fillId="0" borderId="6" xfId="0" applyFont="1" applyBorder="1"/>
    <xf numFmtId="43" fontId="0" fillId="0" borderId="0" xfId="1" applyFont="1" applyBorder="1"/>
    <xf numFmtId="0" fontId="0" fillId="0" borderId="0" xfId="0" applyBorder="1"/>
    <xf numFmtId="43" fontId="13" fillId="0" borderId="0" xfId="1" applyFont="1" applyBorder="1"/>
    <xf numFmtId="43" fontId="4" fillId="0" borderId="1" xfId="6" applyFont="1" applyBorder="1"/>
    <xf numFmtId="43" fontId="13" fillId="0" borderId="1" xfId="1" applyFont="1" applyBorder="1"/>
    <xf numFmtId="0" fontId="2" fillId="0" borderId="1" xfId="0" applyFont="1" applyFill="1" applyBorder="1"/>
    <xf numFmtId="0" fontId="14" fillId="0" borderId="1" xfId="0" applyFont="1" applyBorder="1"/>
    <xf numFmtId="43" fontId="2" fillId="0" borderId="1" xfId="1" applyFont="1" applyFill="1" applyBorder="1"/>
    <xf numFmtId="43" fontId="14" fillId="0" borderId="1" xfId="1" applyFont="1" applyBorder="1"/>
    <xf numFmtId="43" fontId="2" fillId="0" borderId="1" xfId="1" applyFont="1" applyBorder="1" applyAlignment="1">
      <alignment horizontal="center"/>
    </xf>
    <xf numFmtId="43" fontId="2" fillId="0" borderId="1" xfId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3" fontId="3" fillId="0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2" fillId="0" borderId="1" xfId="0" applyFont="1" applyBorder="1"/>
    <xf numFmtId="0" fontId="2" fillId="0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6" fillId="0" borderId="1" xfId="0" applyFont="1" applyBorder="1"/>
    <xf numFmtId="0" fontId="16" fillId="0" borderId="1" xfId="0" applyFont="1" applyFill="1" applyBorder="1"/>
    <xf numFmtId="43" fontId="16" fillId="0" borderId="1" xfId="1" applyFont="1" applyBorder="1"/>
    <xf numFmtId="0" fontId="2" fillId="0" borderId="1" xfId="0" applyNumberFormat="1" applyFont="1" applyBorder="1" applyAlignment="1">
      <alignment horizontal="right"/>
    </xf>
    <xf numFmtId="0" fontId="2" fillId="0" borderId="1" xfId="0" applyNumberFormat="1" applyFont="1" applyBorder="1"/>
    <xf numFmtId="0" fontId="0" fillId="0" borderId="0" xfId="0" applyAlignment="1">
      <alignment horizontal="center"/>
    </xf>
    <xf numFmtId="0" fontId="0" fillId="0" borderId="0" xfId="0" applyFill="1"/>
    <xf numFmtId="0" fontId="17" fillId="0" borderId="1" xfId="0" applyFont="1" applyBorder="1" applyAlignment="1">
      <alignment vertical="center"/>
    </xf>
    <xf numFmtId="0" fontId="17" fillId="0" borderId="1" xfId="0" applyFont="1" applyFill="1" applyBorder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Fill="1"/>
    <xf numFmtId="0" fontId="0" fillId="0" borderId="0" xfId="0" applyFill="1" applyAlignment="1">
      <alignment vertical="center"/>
    </xf>
    <xf numFmtId="0" fontId="0" fillId="2" borderId="0" xfId="0" applyFill="1"/>
    <xf numFmtId="0" fontId="0" fillId="0" borderId="1" xfId="0" applyFill="1" applyBorder="1"/>
    <xf numFmtId="0" fontId="4" fillId="0" borderId="1" xfId="0" applyFont="1" applyFill="1" applyBorder="1" applyAlignment="1">
      <alignment vertical="center"/>
    </xf>
    <xf numFmtId="0" fontId="0" fillId="2" borderId="1" xfId="0" applyFill="1" applyBorder="1"/>
    <xf numFmtId="0" fontId="2" fillId="2" borderId="2" xfId="0" applyFont="1" applyFill="1" applyBorder="1" applyAlignment="1" applyProtection="1">
      <alignment vertical="center"/>
      <protection locked="0"/>
    </xf>
    <xf numFmtId="0" fontId="4" fillId="0" borderId="1" xfId="0" applyFont="1" applyBorder="1" applyAlignment="1">
      <alignment vertical="center"/>
    </xf>
    <xf numFmtId="0" fontId="2" fillId="2" borderId="1" xfId="0" applyFont="1" applyFill="1" applyBorder="1" applyAlignment="1" applyProtection="1">
      <alignment vertical="center"/>
      <protection locked="0"/>
    </xf>
    <xf numFmtId="43" fontId="4" fillId="2" borderId="1" xfId="1" applyFont="1" applyFill="1" applyBorder="1"/>
    <xf numFmtId="43" fontId="4" fillId="2" borderId="1" xfId="1" applyFont="1" applyFill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/>
    <xf numFmtId="0" fontId="2" fillId="2" borderId="1" xfId="0" applyFont="1" applyFill="1" applyBorder="1" applyAlignment="1">
      <alignment horizontal="center" vertical="center"/>
    </xf>
    <xf numFmtId="43" fontId="2" fillId="2" borderId="1" xfId="1" applyFont="1" applyFill="1" applyBorder="1"/>
    <xf numFmtId="43" fontId="2" fillId="2" borderId="1" xfId="1" applyFont="1" applyFill="1" applyBorder="1" applyAlignment="1">
      <alignment horizontal="center"/>
    </xf>
    <xf numFmtId="43" fontId="4" fillId="2" borderId="1" xfId="1" applyFont="1" applyFill="1" applyBorder="1" applyAlignment="1">
      <alignment horizontal="right"/>
    </xf>
    <xf numFmtId="43" fontId="0" fillId="2" borderId="1" xfId="6" applyFont="1" applyFill="1" applyBorder="1"/>
    <xf numFmtId="0" fontId="4" fillId="2" borderId="1" xfId="0" applyNumberFormat="1" applyFont="1" applyFill="1" applyBorder="1" applyAlignment="1">
      <alignment horizontal="right"/>
    </xf>
    <xf numFmtId="49" fontId="4" fillId="2" borderId="1" xfId="0" applyNumberFormat="1" applyFont="1" applyFill="1" applyBorder="1"/>
    <xf numFmtId="0" fontId="2" fillId="2" borderId="0" xfId="0" applyFont="1" applyFill="1" applyBorder="1" applyAlignment="1">
      <alignment vertical="center"/>
    </xf>
    <xf numFmtId="0" fontId="2" fillId="0" borderId="1" xfId="0" applyFont="1" applyFill="1" applyBorder="1" applyAlignment="1" applyProtection="1">
      <alignment vertical="center" wrapText="1"/>
      <protection locked="0"/>
    </xf>
    <xf numFmtId="43" fontId="4" fillId="0" borderId="1" xfId="1" applyFont="1" applyBorder="1" applyAlignment="1">
      <alignment vertical="center"/>
    </xf>
    <xf numFmtId="43" fontId="4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43" fontId="2" fillId="0" borderId="1" xfId="1" applyFont="1" applyFill="1" applyBorder="1" applyAlignment="1">
      <alignment vertical="center"/>
    </xf>
    <xf numFmtId="43" fontId="2" fillId="0" borderId="1" xfId="1" applyFont="1" applyBorder="1" applyAlignment="1">
      <alignment horizontal="center" vertical="center"/>
    </xf>
    <xf numFmtId="43" fontId="0" fillId="0" borderId="0" xfId="0" applyNumberFormat="1" applyAlignment="1">
      <alignment vertical="center"/>
    </xf>
    <xf numFmtId="43" fontId="3" fillId="0" borderId="7" xfId="1" applyFont="1" applyBorder="1"/>
    <xf numFmtId="0" fontId="4" fillId="0" borderId="7" xfId="0" applyFont="1" applyBorder="1"/>
    <xf numFmtId="49" fontId="4" fillId="0" borderId="1" xfId="0" applyNumberFormat="1" applyFont="1" applyFill="1" applyBorder="1" applyAlignment="1">
      <alignment horizontal="right"/>
    </xf>
    <xf numFmtId="49" fontId="4" fillId="0" borderId="1" xfId="0" applyNumberFormat="1" applyFont="1" applyFill="1" applyBorder="1"/>
    <xf numFmtId="43" fontId="0" fillId="0" borderId="1" xfId="6" applyFont="1" applyFill="1" applyBorder="1"/>
    <xf numFmtId="43" fontId="0" fillId="0" borderId="1" xfId="1" applyFont="1" applyFill="1" applyBorder="1"/>
    <xf numFmtId="43" fontId="0" fillId="0" borderId="1" xfId="1" applyFont="1" applyFill="1" applyBorder="1" applyAlignment="1">
      <alignment horizontal="right"/>
    </xf>
    <xf numFmtId="43" fontId="14" fillId="0" borderId="1" xfId="1" applyFont="1" applyFill="1" applyBorder="1"/>
    <xf numFmtId="43" fontId="4" fillId="0" borderId="1" xfId="6" applyFont="1" applyFill="1" applyBorder="1"/>
    <xf numFmtId="43" fontId="13" fillId="0" borderId="1" xfId="1" applyFont="1" applyFill="1" applyBorder="1"/>
    <xf numFmtId="0" fontId="4" fillId="0" borderId="1" xfId="0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vertical="center"/>
    </xf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43" fontId="2" fillId="0" borderId="1" xfId="1" applyFont="1" applyFill="1" applyBorder="1" applyAlignment="1">
      <alignment horizontal="center" vertical="center"/>
    </xf>
    <xf numFmtId="4" fontId="0" fillId="0" borderId="0" xfId="0" applyNumberFormat="1"/>
    <xf numFmtId="0" fontId="2" fillId="0" borderId="2" xfId="0" applyFont="1" applyFill="1" applyBorder="1" applyAlignment="1">
      <alignment horizontal="left" vertical="center"/>
    </xf>
    <xf numFmtId="43" fontId="2" fillId="0" borderId="2" xfId="2" applyFont="1" applyFill="1" applyBorder="1" applyAlignment="1" applyProtection="1">
      <alignment horizontal="right" vertical="center"/>
      <protection locked="0"/>
    </xf>
    <xf numFmtId="0" fontId="2" fillId="0" borderId="2" xfId="0" applyNumberFormat="1" applyFont="1" applyFill="1" applyBorder="1" applyAlignment="1" applyProtection="1">
      <alignment vertical="center"/>
      <protection locked="0"/>
    </xf>
    <xf numFmtId="0" fontId="0" fillId="2" borderId="0" xfId="0" applyFill="1" applyAlignment="1">
      <alignment vertical="center"/>
    </xf>
    <xf numFmtId="0" fontId="2" fillId="0" borderId="1" xfId="0" applyFont="1" applyFill="1" applyBorder="1" applyAlignment="1">
      <alignment vertical="center" wrapText="1"/>
    </xf>
    <xf numFmtId="0" fontId="2" fillId="0" borderId="8" xfId="0" applyFont="1" applyFill="1" applyBorder="1" applyAlignment="1" applyProtection="1">
      <alignment vertical="center"/>
      <protection locked="0"/>
    </xf>
    <xf numFmtId="43" fontId="2" fillId="0" borderId="2" xfId="8" applyFont="1" applyFill="1" applyBorder="1" applyAlignment="1" applyProtection="1">
      <alignment horizontal="right" vertical="center"/>
      <protection locked="0"/>
    </xf>
    <xf numFmtId="0" fontId="2" fillId="0" borderId="1" xfId="0" applyFont="1" applyFill="1" applyBorder="1" applyAlignment="1">
      <alignment horizontal="left" vertical="center"/>
    </xf>
    <xf numFmtId="43" fontId="2" fillId="0" borderId="2" xfId="2" applyFont="1" applyFill="1" applyBorder="1" applyAlignment="1">
      <alignment horizontal="right" vertical="center"/>
    </xf>
    <xf numFmtId="0" fontId="0" fillId="0" borderId="1" xfId="0" applyBorder="1" applyAlignment="1">
      <alignment vertical="center"/>
    </xf>
    <xf numFmtId="43" fontId="2" fillId="0" borderId="1" xfId="8" applyFont="1" applyFill="1" applyBorder="1" applyAlignment="1" applyProtection="1">
      <alignment horizontal="right" vertical="center"/>
      <protection locked="0"/>
    </xf>
    <xf numFmtId="43" fontId="2" fillId="0" borderId="1" xfId="8" applyFont="1" applyFill="1" applyBorder="1" applyAlignment="1">
      <alignment horizontal="right" vertical="center"/>
    </xf>
    <xf numFmtId="0" fontId="20" fillId="0" borderId="2" xfId="0" applyFont="1" applyFill="1" applyBorder="1" applyAlignment="1">
      <alignment vertical="center"/>
    </xf>
    <xf numFmtId="43" fontId="2" fillId="0" borderId="5" xfId="2" applyFont="1" applyFill="1" applyBorder="1" applyAlignment="1" applyProtection="1">
      <alignment horizontal="right" vertical="center"/>
      <protection locked="0"/>
    </xf>
    <xf numFmtId="43" fontId="0" fillId="0" borderId="0" xfId="0" applyNumberFormat="1" applyFill="1"/>
    <xf numFmtId="0" fontId="13" fillId="0" borderId="1" xfId="5" applyFont="1" applyFill="1" applyBorder="1"/>
    <xf numFmtId="0" fontId="13" fillId="0" borderId="1" xfId="5" applyFont="1" applyFill="1" applyBorder="1" applyAlignment="1">
      <alignment wrapText="1"/>
    </xf>
    <xf numFmtId="0" fontId="13" fillId="0" borderId="1" xfId="5" applyFont="1" applyFill="1" applyBorder="1" applyAlignment="1">
      <alignment vertical="center" wrapText="1"/>
    </xf>
    <xf numFmtId="0" fontId="4" fillId="0" borderId="0" xfId="0" applyFont="1"/>
    <xf numFmtId="0" fontId="4" fillId="2" borderId="0" xfId="0" applyFont="1" applyFill="1"/>
    <xf numFmtId="0" fontId="13" fillId="2" borderId="2" xfId="5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2" fillId="0" borderId="1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0" borderId="1" xfId="0" applyFont="1" applyFill="1" applyBorder="1" applyProtection="1">
      <protection locked="0"/>
    </xf>
    <xf numFmtId="0" fontId="2" fillId="0" borderId="2" xfId="0" applyFont="1" applyFill="1" applyBorder="1" applyAlignment="1"/>
    <xf numFmtId="43" fontId="2" fillId="0" borderId="2" xfId="2" applyFont="1" applyFill="1" applyBorder="1" applyAlignment="1">
      <alignment horizontal="center" vertical="center"/>
    </xf>
    <xf numFmtId="43" fontId="2" fillId="0" borderId="2" xfId="8" applyFont="1" applyBorder="1" applyAlignment="1">
      <alignment horizontal="right" vertical="center"/>
    </xf>
    <xf numFmtId="0" fontId="20" fillId="0" borderId="1" xfId="0" applyFont="1" applyFill="1" applyBorder="1" applyAlignment="1">
      <alignment vertical="center"/>
    </xf>
    <xf numFmtId="43" fontId="0" fillId="0" borderId="1" xfId="1" applyFont="1" applyFill="1" applyBorder="1" applyAlignment="1">
      <alignment vertical="center"/>
    </xf>
    <xf numFmtId="43" fontId="0" fillId="0" borderId="0" xfId="0" applyNumberFormat="1" applyFill="1" applyAlignment="1">
      <alignment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5" xfId="0" applyFont="1" applyFill="1" applyBorder="1" applyAlignment="1" applyProtection="1">
      <alignment vertical="center"/>
      <protection locked="0"/>
    </xf>
    <xf numFmtId="43" fontId="2" fillId="0" borderId="2" xfId="8" applyFont="1" applyFill="1" applyBorder="1" applyAlignment="1">
      <alignment horizontal="right" vertical="center"/>
    </xf>
    <xf numFmtId="43" fontId="2" fillId="0" borderId="2" xfId="2" applyFont="1" applyFill="1" applyBorder="1" applyAlignment="1">
      <alignment vertical="center"/>
    </xf>
    <xf numFmtId="43" fontId="2" fillId="0" borderId="2" xfId="8" applyFont="1" applyFill="1" applyBorder="1" applyAlignment="1">
      <alignment vertical="center"/>
    </xf>
    <xf numFmtId="43" fontId="2" fillId="0" borderId="1" xfId="1" applyFont="1" applyFill="1" applyBorder="1" applyAlignment="1">
      <alignment horizontal="right" vertical="center"/>
    </xf>
    <xf numFmtId="43" fontId="2" fillId="0" borderId="1" xfId="8" applyFont="1" applyBorder="1" applyAlignment="1">
      <alignment horizontal="right" vertical="center"/>
    </xf>
    <xf numFmtId="43" fontId="2" fillId="0" borderId="1" xfId="3" applyFont="1" applyFill="1" applyBorder="1" applyAlignment="1">
      <alignment horizontal="right" vertical="center"/>
    </xf>
    <xf numFmtId="43" fontId="2" fillId="0" borderId="1" xfId="8" applyFont="1" applyBorder="1" applyAlignment="1">
      <alignment vertical="center"/>
    </xf>
    <xf numFmtId="2" fontId="4" fillId="0" borderId="1" xfId="0" applyNumberFormat="1" applyFont="1" applyFill="1" applyBorder="1" applyAlignment="1" applyProtection="1">
      <alignment vertical="center"/>
      <protection locked="0"/>
    </xf>
    <xf numFmtId="43" fontId="2" fillId="0" borderId="2" xfId="1" applyFont="1" applyFill="1" applyBorder="1" applyAlignment="1" applyProtection="1">
      <alignment horizontal="right" vertical="center"/>
      <protection locked="0"/>
    </xf>
    <xf numFmtId="43" fontId="2" fillId="0" borderId="1" xfId="1" applyFont="1" applyFill="1" applyBorder="1" applyAlignment="1" applyProtection="1">
      <alignment horizontal="right" vertical="center"/>
      <protection locked="0"/>
    </xf>
    <xf numFmtId="43" fontId="1" fillId="0" borderId="2" xfId="8" applyFont="1" applyBorder="1" applyAlignment="1">
      <alignment vertical="center"/>
    </xf>
    <xf numFmtId="43" fontId="1" fillId="0" borderId="2" xfId="2" applyFont="1" applyFill="1" applyBorder="1" applyAlignment="1">
      <alignment vertical="center"/>
    </xf>
    <xf numFmtId="43" fontId="4" fillId="0" borderId="2" xfId="8" applyFont="1" applyBorder="1" applyAlignment="1">
      <alignment vertical="center"/>
    </xf>
    <xf numFmtId="43" fontId="21" fillId="0" borderId="2" xfId="8" applyFont="1" applyFill="1" applyBorder="1" applyAlignment="1">
      <alignment horizontal="right" vertical="center"/>
    </xf>
    <xf numFmtId="0" fontId="22" fillId="0" borderId="1" xfId="0" applyFont="1" applyFill="1" applyBorder="1"/>
    <xf numFmtId="0" fontId="22" fillId="0" borderId="1" xfId="0" applyFont="1" applyFill="1" applyBorder="1" applyAlignment="1">
      <alignment vertical="center"/>
    </xf>
    <xf numFmtId="43" fontId="2" fillId="0" borderId="1" xfId="8" applyFont="1" applyFill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/>
    <xf numFmtId="0" fontId="20" fillId="0" borderId="1" xfId="0" applyFont="1" applyFill="1" applyBorder="1" applyAlignment="1">
      <alignment vertical="center" wrapText="1"/>
    </xf>
    <xf numFmtId="49" fontId="4" fillId="0" borderId="1" xfId="0" applyNumberFormat="1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43" fontId="2" fillId="0" borderId="1" xfId="2" applyFont="1" applyBorder="1" applyAlignment="1">
      <alignment horizontal="right" vertical="center"/>
    </xf>
    <xf numFmtId="43" fontId="2" fillId="0" borderId="2" xfId="2" applyFont="1" applyBorder="1" applyAlignment="1">
      <alignment horizontal="right" vertical="center"/>
    </xf>
    <xf numFmtId="0" fontId="2" fillId="0" borderId="2" xfId="0" applyFont="1" applyFill="1" applyBorder="1" applyAlignment="1" applyProtection="1">
      <protection locked="0"/>
    </xf>
    <xf numFmtId="43" fontId="21" fillId="0" borderId="1" xfId="2" applyFont="1" applyFill="1" applyBorder="1" applyAlignment="1">
      <alignment vertical="center"/>
    </xf>
    <xf numFmtId="43" fontId="21" fillId="0" borderId="2" xfId="2" applyFont="1" applyFill="1" applyBorder="1" applyAlignment="1">
      <alignment horizontal="right" vertical="center"/>
    </xf>
    <xf numFmtId="43" fontId="4" fillId="0" borderId="2" xfId="2" applyFont="1" applyFill="1" applyBorder="1" applyAlignment="1" applyProtection="1">
      <alignment vertical="center"/>
      <protection locked="0"/>
    </xf>
    <xf numFmtId="43" fontId="2" fillId="0" borderId="2" xfId="2" applyFont="1" applyBorder="1" applyAlignment="1">
      <alignment vertical="center"/>
    </xf>
    <xf numFmtId="43" fontId="1" fillId="0" borderId="2" xfId="2" applyFont="1" applyBorder="1" applyAlignment="1">
      <alignment vertical="center"/>
    </xf>
    <xf numFmtId="43" fontId="2" fillId="0" borderId="2" xfId="1" applyFont="1" applyFill="1" applyBorder="1" applyAlignment="1">
      <alignment horizontal="right" vertical="center"/>
    </xf>
    <xf numFmtId="43" fontId="2" fillId="0" borderId="2" xfId="1" applyFont="1" applyFill="1" applyBorder="1" applyAlignment="1">
      <alignment vertical="center"/>
    </xf>
    <xf numFmtId="43" fontId="2" fillId="0" borderId="2" xfId="1" applyFont="1" applyFill="1" applyBorder="1" applyAlignment="1">
      <alignment horizontal="center" vertical="center"/>
    </xf>
    <xf numFmtId="43" fontId="2" fillId="0" borderId="5" xfId="1" applyFont="1" applyFill="1" applyBorder="1" applyAlignment="1" applyProtection="1">
      <alignment horizontal="right" vertical="center"/>
      <protection locked="0"/>
    </xf>
    <xf numFmtId="43" fontId="2" fillId="0" borderId="2" xfId="1" applyFont="1" applyBorder="1" applyAlignment="1">
      <alignment horizontal="right" vertical="center"/>
    </xf>
    <xf numFmtId="43" fontId="2" fillId="0" borderId="2" xfId="1" applyFont="1" applyBorder="1" applyAlignment="1">
      <alignment vertical="center"/>
    </xf>
    <xf numFmtId="43" fontId="4" fillId="0" borderId="2" xfId="1" applyFont="1" applyFill="1" applyBorder="1" applyAlignment="1">
      <alignment vertical="center"/>
    </xf>
    <xf numFmtId="43" fontId="4" fillId="0" borderId="1" xfId="1" applyFont="1" applyFill="1" applyBorder="1" applyAlignment="1" applyProtection="1">
      <alignment vertical="center"/>
      <protection locked="0"/>
    </xf>
    <xf numFmtId="0" fontId="2" fillId="0" borderId="1" xfId="0" applyFont="1" applyFill="1" applyBorder="1" applyAlignment="1" applyProtection="1">
      <alignment horizontal="left" vertical="center" wrapText="1"/>
      <protection locked="0"/>
    </xf>
    <xf numFmtId="0" fontId="2" fillId="0" borderId="1" xfId="0" applyNumberFormat="1" applyFont="1" applyFill="1" applyBorder="1" applyAlignment="1" applyProtection="1">
      <alignment vertical="center" wrapText="1"/>
      <protection locked="0"/>
    </xf>
    <xf numFmtId="0" fontId="4" fillId="0" borderId="3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22" fillId="0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43" fontId="2" fillId="0" borderId="1" xfId="1" applyFont="1" applyBorder="1" applyAlignment="1">
      <alignment vertical="center"/>
    </xf>
    <xf numFmtId="43" fontId="2" fillId="0" borderId="1" xfId="1" applyFont="1" applyBorder="1" applyAlignment="1">
      <alignment horizontal="right" vertical="center"/>
    </xf>
    <xf numFmtId="43" fontId="4" fillId="0" borderId="1" xfId="0" applyNumberFormat="1" applyFont="1" applyFill="1" applyBorder="1"/>
    <xf numFmtId="0" fontId="4" fillId="0" borderId="2" xfId="0" applyFont="1" applyFill="1" applyBorder="1"/>
    <xf numFmtId="2" fontId="4" fillId="0" borderId="1" xfId="1" applyNumberFormat="1" applyFont="1" applyFill="1" applyBorder="1" applyAlignment="1" applyProtection="1">
      <alignment vertical="center"/>
      <protection locked="0"/>
    </xf>
    <xf numFmtId="43" fontId="22" fillId="0" borderId="1" xfId="1" applyFont="1" applyFill="1" applyBorder="1"/>
    <xf numFmtId="0" fontId="1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8" fillId="0" borderId="0" xfId="0" applyFont="1" applyAlignment="1"/>
    <xf numFmtId="0" fontId="3" fillId="0" borderId="1" xfId="0" applyFont="1" applyFill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43" fontId="4" fillId="0" borderId="1" xfId="1" applyFont="1" applyFill="1" applyBorder="1" applyAlignment="1">
      <alignment horizontal="right" vertical="center"/>
    </xf>
    <xf numFmtId="0" fontId="15" fillId="0" borderId="1" xfId="0" applyFont="1" applyBorder="1"/>
    <xf numFmtId="0" fontId="15" fillId="0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2" xfId="0" applyFont="1" applyBorder="1"/>
    <xf numFmtId="0" fontId="4" fillId="2" borderId="1" xfId="0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43" fontId="0" fillId="0" borderId="1" xfId="0" applyNumberFormat="1" applyFill="1" applyBorder="1"/>
    <xf numFmtId="0" fontId="0" fillId="0" borderId="1" xfId="0" applyFill="1" applyBorder="1" applyAlignment="1">
      <alignment horizontal="center"/>
    </xf>
    <xf numFmtId="0" fontId="25" fillId="0" borderId="1" xfId="0" applyFont="1" applyFill="1" applyBorder="1"/>
    <xf numFmtId="0" fontId="27" fillId="0" borderId="1" xfId="0" applyFont="1" applyBorder="1"/>
    <xf numFmtId="0" fontId="26" fillId="0" borderId="1" xfId="0" applyFont="1" applyBorder="1" applyAlignment="1">
      <alignment vertical="center"/>
    </xf>
    <xf numFmtId="164" fontId="3" fillId="0" borderId="0" xfId="1" applyNumberFormat="1" applyFont="1" applyBorder="1"/>
    <xf numFmtId="164" fontId="2" fillId="0" borderId="1" xfId="1" applyNumberFormat="1" applyFont="1" applyFill="1" applyBorder="1" applyAlignment="1">
      <alignment horizontal="right" vertical="center"/>
    </xf>
    <xf numFmtId="164" fontId="2" fillId="0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" xfId="0" applyNumberFormat="1" applyFont="1" applyFill="1" applyBorder="1"/>
    <xf numFmtId="164" fontId="2" fillId="0" borderId="1" xfId="1" applyNumberFormat="1" applyFont="1" applyFill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164" fontId="4" fillId="0" borderId="1" xfId="1" applyNumberFormat="1" applyFont="1" applyFill="1" applyBorder="1" applyAlignment="1">
      <alignment vertical="center"/>
    </xf>
    <xf numFmtId="164" fontId="2" fillId="0" borderId="1" xfId="1" applyNumberFormat="1" applyFont="1" applyBorder="1" applyAlignment="1">
      <alignment horizontal="right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4" fillId="0" borderId="1" xfId="1" applyNumberFormat="1" applyFont="1" applyFill="1" applyBorder="1" applyAlignment="1" applyProtection="1">
      <alignment vertical="center"/>
      <protection locked="0"/>
    </xf>
    <xf numFmtId="164" fontId="4" fillId="0" borderId="1" xfId="1" applyNumberFormat="1" applyFont="1" applyBorder="1"/>
    <xf numFmtId="4" fontId="2" fillId="0" borderId="1" xfId="1" applyNumberFormat="1" applyFont="1" applyFill="1" applyBorder="1" applyAlignment="1">
      <alignment vertical="center"/>
    </xf>
    <xf numFmtId="4" fontId="2" fillId="0" borderId="1" xfId="1" applyNumberFormat="1" applyFont="1" applyBorder="1" applyAlignment="1">
      <alignment vertical="center"/>
    </xf>
    <xf numFmtId="4" fontId="4" fillId="0" borderId="1" xfId="1" applyNumberFormat="1" applyFont="1" applyFill="1" applyBorder="1" applyAlignment="1">
      <alignment vertical="center"/>
    </xf>
    <xf numFmtId="4" fontId="4" fillId="0" borderId="1" xfId="1" applyNumberFormat="1" applyFont="1" applyFill="1" applyBorder="1" applyAlignment="1" applyProtection="1">
      <alignment vertical="center"/>
      <protection locked="0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left"/>
    </xf>
    <xf numFmtId="0" fontId="0" fillId="0" borderId="0" xfId="0" applyFill="1" applyAlignment="1">
      <alignment horizontal="left"/>
    </xf>
    <xf numFmtId="0" fontId="4" fillId="0" borderId="2" xfId="0" applyFont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left"/>
    </xf>
    <xf numFmtId="4" fontId="4" fillId="0" borderId="1" xfId="0" applyNumberFormat="1" applyFont="1" applyFill="1" applyBorder="1" applyAlignment="1"/>
    <xf numFmtId="4" fontId="2" fillId="0" borderId="1" xfId="1" applyNumberFormat="1" applyFont="1" applyFill="1" applyBorder="1" applyAlignment="1" applyProtection="1">
      <alignment vertical="center"/>
      <protection locked="0"/>
    </xf>
    <xf numFmtId="4" fontId="4" fillId="0" borderId="1" xfId="1" applyNumberFormat="1" applyFont="1" applyBorder="1" applyAlignment="1"/>
    <xf numFmtId="43" fontId="3" fillId="0" borderId="1" xfId="1" applyFont="1" applyBorder="1" applyAlignment="1"/>
    <xf numFmtId="43" fontId="4" fillId="0" borderId="0" xfId="1" applyFont="1" applyBorder="1"/>
    <xf numFmtId="4" fontId="4" fillId="0" borderId="0" xfId="0" applyNumberFormat="1" applyFont="1" applyBorder="1"/>
    <xf numFmtId="0" fontId="4" fillId="0" borderId="0" xfId="0" applyFont="1" applyBorder="1" applyAlignment="1">
      <alignment horizontal="right"/>
    </xf>
    <xf numFmtId="4" fontId="3" fillId="0" borderId="0" xfId="1" applyNumberFormat="1" applyFont="1" applyBorder="1"/>
    <xf numFmtId="164" fontId="0" fillId="0" borderId="0" xfId="0" applyNumberFormat="1" applyFill="1"/>
    <xf numFmtId="164" fontId="0" fillId="0" borderId="0" xfId="0" applyNumberFormat="1" applyFill="1" applyAlignment="1">
      <alignment vertical="center"/>
    </xf>
    <xf numFmtId="164" fontId="4" fillId="0" borderId="1" xfId="0" applyNumberFormat="1" applyFont="1" applyFill="1" applyBorder="1" applyAlignment="1"/>
    <xf numFmtId="164" fontId="2" fillId="0" borderId="1" xfId="1" applyNumberFormat="1" applyFont="1" applyFill="1" applyBorder="1" applyAlignment="1" applyProtection="1">
      <alignment vertical="center"/>
      <protection locked="0"/>
    </xf>
    <xf numFmtId="164" fontId="4" fillId="0" borderId="1" xfId="1" applyNumberFormat="1" applyFont="1" applyBorder="1" applyAlignment="1"/>
    <xf numFmtId="43" fontId="4" fillId="0" borderId="1" xfId="0" applyNumberFormat="1" applyFont="1" applyFill="1" applyBorder="1" applyAlignment="1"/>
    <xf numFmtId="43" fontId="2" fillId="0" borderId="1" xfId="1" applyFont="1" applyFill="1" applyBorder="1" applyAlignment="1" applyProtection="1">
      <alignment vertical="center"/>
      <protection locked="0"/>
    </xf>
    <xf numFmtId="43" fontId="4" fillId="0" borderId="1" xfId="1" applyFont="1" applyBorder="1" applyAlignment="1"/>
    <xf numFmtId="0" fontId="4" fillId="0" borderId="1" xfId="1" applyNumberFormat="1" applyFont="1" applyBorder="1" applyAlignment="1">
      <alignment horizontal="center"/>
    </xf>
    <xf numFmtId="164" fontId="0" fillId="0" borderId="1" xfId="0" applyNumberFormat="1" applyFill="1" applyBorder="1"/>
    <xf numFmtId="164" fontId="3" fillId="0" borderId="1" xfId="1" applyNumberFormat="1" applyFont="1" applyBorder="1"/>
    <xf numFmtId="0" fontId="3" fillId="0" borderId="1" xfId="1" applyNumberFormat="1" applyFont="1" applyBorder="1" applyAlignment="1">
      <alignment horizontal="center"/>
    </xf>
    <xf numFmtId="0" fontId="9" fillId="0" borderId="9" xfId="0" applyFont="1" applyBorder="1" applyAlignment="1"/>
    <xf numFmtId="0" fontId="29" fillId="0" borderId="1" xfId="0" applyFont="1" applyBorder="1" applyAlignment="1">
      <alignment vertical="center" wrapText="1"/>
    </xf>
    <xf numFmtId="0" fontId="29" fillId="0" borderId="1" xfId="0" applyFont="1" applyBorder="1" applyAlignment="1">
      <alignment horizontal="center" vertical="center" wrapText="1"/>
    </xf>
    <xf numFmtId="43" fontId="4" fillId="0" borderId="1" xfId="1" applyFont="1" applyFill="1" applyBorder="1" applyAlignment="1"/>
    <xf numFmtId="0" fontId="9" fillId="0" borderId="1" xfId="0" applyFont="1" applyBorder="1" applyAlignment="1">
      <alignment horizontal="center" vertical="center"/>
    </xf>
    <xf numFmtId="43" fontId="4" fillId="0" borderId="3" xfId="1" applyFont="1" applyFill="1" applyBorder="1" applyAlignment="1">
      <alignment horizontal="right"/>
    </xf>
    <xf numFmtId="43" fontId="4" fillId="0" borderId="3" xfId="1" applyFont="1" applyFill="1" applyBorder="1"/>
    <xf numFmtId="43" fontId="4" fillId="0" borderId="3" xfId="1" applyFont="1" applyFill="1" applyBorder="1" applyAlignment="1">
      <alignment horizontal="center"/>
    </xf>
    <xf numFmtId="43" fontId="4" fillId="0" borderId="3" xfId="1" applyFont="1" applyBorder="1" applyAlignment="1">
      <alignment horizontal="center"/>
    </xf>
    <xf numFmtId="43" fontId="4" fillId="0" borderId="3" xfId="1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/>
    </xf>
    <xf numFmtId="166" fontId="4" fillId="0" borderId="1" xfId="0" applyNumberFormat="1" applyFont="1" applyFill="1" applyBorder="1"/>
    <xf numFmtId="0" fontId="31" fillId="0" borderId="0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33" fillId="0" borderId="1" xfId="0" applyFont="1" applyFill="1" applyBorder="1" applyAlignment="1">
      <alignment horizontal="left"/>
    </xf>
    <xf numFmtId="43" fontId="33" fillId="0" borderId="1" xfId="0" applyNumberFormat="1" applyFont="1" applyBorder="1" applyAlignment="1">
      <alignment horizontal="right"/>
    </xf>
    <xf numFmtId="43" fontId="33" fillId="0" borderId="1" xfId="93" applyNumberFormat="1" applyFont="1" applyBorder="1" applyAlignment="1">
      <alignment horizontal="right"/>
    </xf>
    <xf numFmtId="0" fontId="33" fillId="0" borderId="1" xfId="0" applyFont="1" applyBorder="1" applyAlignment="1">
      <alignment horizontal="left"/>
    </xf>
    <xf numFmtId="0" fontId="31" fillId="0" borderId="0" xfId="0" applyFont="1" applyBorder="1" applyAlignment="1">
      <alignment horizontal="right"/>
    </xf>
    <xf numFmtId="0" fontId="31" fillId="0" borderId="0" xfId="0" applyFont="1" applyBorder="1" applyAlignment="1"/>
    <xf numFmtId="0" fontId="31" fillId="0" borderId="0" xfId="0" applyFont="1" applyBorder="1" applyAlignment="1">
      <alignment horizontal="center"/>
    </xf>
    <xf numFmtId="43" fontId="33" fillId="0" borderId="5" xfId="0" applyNumberFormat="1" applyFont="1" applyBorder="1" applyAlignment="1">
      <alignment horizontal="right"/>
    </xf>
    <xf numFmtId="43" fontId="31" fillId="0" borderId="1" xfId="0" applyNumberFormat="1" applyFont="1" applyBorder="1" applyAlignment="1">
      <alignment horizontal="right"/>
    </xf>
    <xf numFmtId="0" fontId="33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43" fontId="33" fillId="0" borderId="1" xfId="93" applyNumberFormat="1" applyFont="1" applyBorder="1" applyAlignment="1">
      <alignment horizontal="right" vertical="center"/>
    </xf>
    <xf numFmtId="43" fontId="33" fillId="0" borderId="1" xfId="0" applyNumberFormat="1" applyFont="1" applyBorder="1" applyAlignment="1">
      <alignment horizontal="right" vertical="center"/>
    </xf>
    <xf numFmtId="43" fontId="31" fillId="0" borderId="1" xfId="0" applyNumberFormat="1" applyFont="1" applyBorder="1" applyAlignment="1">
      <alignment horizontal="right" vertical="center"/>
    </xf>
    <xf numFmtId="0" fontId="33" fillId="0" borderId="1" xfId="0" applyFont="1" applyFill="1" applyBorder="1" applyAlignment="1">
      <alignment horizontal="center" vertical="center"/>
    </xf>
    <xf numFmtId="0" fontId="33" fillId="0" borderId="1" xfId="0" quotePrefix="1" applyFont="1" applyBorder="1" applyAlignment="1">
      <alignment horizontal="center" vertical="center"/>
    </xf>
    <xf numFmtId="0" fontId="33" fillId="0" borderId="1" xfId="93" quotePrefix="1" applyNumberFormat="1" applyFont="1" applyBorder="1" applyAlignment="1">
      <alignment horizontal="center" vertical="center"/>
    </xf>
    <xf numFmtId="0" fontId="31" fillId="0" borderId="0" xfId="0" applyFont="1" applyFill="1" applyBorder="1" applyAlignment="1">
      <alignment horizontal="left"/>
    </xf>
    <xf numFmtId="43" fontId="33" fillId="0" borderId="1" xfId="93" applyNumberFormat="1" applyFont="1" applyFill="1" applyBorder="1" applyAlignment="1"/>
    <xf numFmtId="0" fontId="31" fillId="0" borderId="1" xfId="0" applyFont="1" applyBorder="1" applyAlignment="1"/>
    <xf numFmtId="0" fontId="31" fillId="0" borderId="1" xfId="0" applyFont="1" applyBorder="1" applyAlignment="1">
      <alignment horizontal="center"/>
    </xf>
    <xf numFmtId="43" fontId="31" fillId="0" borderId="0" xfId="0" applyNumberFormat="1" applyFont="1" applyBorder="1" applyAlignment="1">
      <alignment horizontal="right"/>
    </xf>
    <xf numFmtId="0" fontId="34" fillId="0" borderId="0" xfId="0" applyFont="1"/>
    <xf numFmtId="0" fontId="17" fillId="0" borderId="1" xfId="0" applyFont="1" applyFill="1" applyBorder="1"/>
    <xf numFmtId="0" fontId="17" fillId="0" borderId="1" xfId="0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0" fontId="17" fillId="0" borderId="1" xfId="0" applyFont="1" applyFill="1" applyBorder="1" applyAlignment="1">
      <alignment horizontal="left" vertical="center"/>
    </xf>
    <xf numFmtId="0" fontId="17" fillId="0" borderId="1" xfId="0" applyFont="1" applyBorder="1"/>
    <xf numFmtId="0" fontId="17" fillId="0" borderId="1" xfId="0" applyFont="1" applyBorder="1" applyAlignment="1">
      <alignment horizontal="left"/>
    </xf>
    <xf numFmtId="0" fontId="17" fillId="0" borderId="1" xfId="0" applyFont="1" applyFill="1" applyBorder="1" applyAlignment="1">
      <alignment horizontal="center" vertical="center"/>
    </xf>
    <xf numFmtId="43" fontId="32" fillId="0" borderId="1" xfId="93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 wrapText="1"/>
    </xf>
    <xf numFmtId="43" fontId="35" fillId="0" borderId="1" xfId="93" applyNumberFormat="1" applyFont="1" applyBorder="1" applyAlignment="1">
      <alignment horizontal="center" vertical="center" wrapText="1"/>
    </xf>
    <xf numFmtId="164" fontId="33" fillId="0" borderId="1" xfId="93" applyFont="1" applyBorder="1" applyAlignment="1">
      <alignment horizontal="right" vertical="center"/>
    </xf>
    <xf numFmtId="164" fontId="33" fillId="0" borderId="1" xfId="0" applyNumberFormat="1" applyFont="1" applyBorder="1" applyAlignment="1">
      <alignment horizontal="right" vertical="center"/>
    </xf>
    <xf numFmtId="164" fontId="31" fillId="0" borderId="1" xfId="0" applyNumberFormat="1" applyFont="1" applyBorder="1" applyAlignment="1">
      <alignment horizontal="right" vertical="center"/>
    </xf>
    <xf numFmtId="164" fontId="31" fillId="0" borderId="1" xfId="0" applyNumberFormat="1" applyFont="1" applyBorder="1" applyAlignment="1">
      <alignment horizontal="right"/>
    </xf>
    <xf numFmtId="43" fontId="31" fillId="0" borderId="0" xfId="0" applyNumberFormat="1" applyFont="1" applyBorder="1" applyAlignment="1">
      <alignment horizontal="left"/>
    </xf>
    <xf numFmtId="43" fontId="33" fillId="0" borderId="1" xfId="1" applyFont="1" applyBorder="1" applyAlignment="1">
      <alignment horizontal="right" vertical="center"/>
    </xf>
    <xf numFmtId="43" fontId="31" fillId="0" borderId="1" xfId="1" applyFont="1" applyBorder="1" applyAlignment="1">
      <alignment horizontal="right" vertical="center"/>
    </xf>
    <xf numFmtId="43" fontId="31" fillId="0" borderId="1" xfId="1" applyFont="1" applyBorder="1" applyAlignment="1">
      <alignment horizontal="right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left"/>
    </xf>
    <xf numFmtId="43" fontId="35" fillId="0" borderId="1" xfId="0" applyNumberFormat="1" applyFont="1" applyBorder="1" applyAlignment="1">
      <alignment horizontal="right"/>
    </xf>
    <xf numFmtId="0" fontId="35" fillId="0" borderId="1" xfId="0" applyFont="1" applyBorder="1" applyAlignment="1"/>
    <xf numFmtId="0" fontId="35" fillId="0" borderId="1" xfId="0" applyFont="1" applyBorder="1" applyAlignment="1">
      <alignment horizontal="center"/>
    </xf>
    <xf numFmtId="0" fontId="37" fillId="0" borderId="1" xfId="0" applyFont="1" applyBorder="1" applyAlignment="1">
      <alignment horizontal="left" wrapText="1"/>
    </xf>
    <xf numFmtId="0" fontId="36" fillId="0" borderId="1" xfId="0" applyFont="1" applyBorder="1" applyAlignment="1">
      <alignment horizontal="left" wrapText="1"/>
    </xf>
    <xf numFmtId="43" fontId="31" fillId="0" borderId="0" xfId="0" applyNumberFormat="1" applyFont="1" applyBorder="1" applyAlignment="1">
      <alignment horizontal="left" vertical="center"/>
    </xf>
    <xf numFmtId="0" fontId="31" fillId="0" borderId="0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43" fontId="33" fillId="0" borderId="1" xfId="93" applyNumberFormat="1" applyFont="1" applyFill="1" applyBorder="1" applyAlignment="1">
      <alignment vertical="center"/>
    </xf>
    <xf numFmtId="0" fontId="31" fillId="0" borderId="1" xfId="0" applyFont="1" applyBorder="1" applyAlignment="1">
      <alignment horizontal="left" vertical="center" wrapText="1"/>
    </xf>
    <xf numFmtId="0" fontId="31" fillId="0" borderId="0" xfId="0" applyFont="1" applyBorder="1" applyAlignment="1">
      <alignment horizontal="center" vertical="center"/>
    </xf>
    <xf numFmtId="43" fontId="38" fillId="0" borderId="1" xfId="0" applyNumberFormat="1" applyFont="1" applyBorder="1" applyAlignment="1">
      <alignment horizontal="right"/>
    </xf>
    <xf numFmtId="0" fontId="34" fillId="0" borderId="0" xfId="0" applyFont="1" applyAlignment="1">
      <alignment vertical="center"/>
    </xf>
    <xf numFmtId="0" fontId="33" fillId="0" borderId="1" xfId="0" applyFont="1" applyFill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0" fontId="37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left" vertical="center" wrapText="1"/>
    </xf>
    <xf numFmtId="43" fontId="31" fillId="0" borderId="1" xfId="1" applyFont="1" applyFill="1" applyBorder="1" applyAlignment="1">
      <alignment horizontal="right" vertical="center"/>
    </xf>
    <xf numFmtId="43" fontId="35" fillId="0" borderId="1" xfId="0" applyNumberFormat="1" applyFont="1" applyBorder="1" applyAlignment="1">
      <alignment horizontal="right" vertical="center"/>
    </xf>
    <xf numFmtId="43" fontId="38" fillId="0" borderId="1" xfId="0" applyNumberFormat="1" applyFont="1" applyBorder="1" applyAlignment="1">
      <alignment horizontal="right" vertical="center"/>
    </xf>
    <xf numFmtId="0" fontId="31" fillId="0" borderId="0" xfId="0" applyFont="1" applyBorder="1" applyAlignment="1">
      <alignment horizontal="right" vertical="center"/>
    </xf>
    <xf numFmtId="0" fontId="31" fillId="0" borderId="0" xfId="0" applyFont="1" applyBorder="1" applyAlignment="1">
      <alignment vertical="center"/>
    </xf>
    <xf numFmtId="0" fontId="31" fillId="0" borderId="0" xfId="0" applyFont="1" applyFill="1" applyBorder="1" applyAlignment="1">
      <alignment horizontal="left" vertical="center"/>
    </xf>
    <xf numFmtId="43" fontId="31" fillId="0" borderId="0" xfId="0" applyNumberFormat="1" applyFont="1" applyBorder="1" applyAlignment="1">
      <alignment horizontal="right" vertical="center"/>
    </xf>
    <xf numFmtId="0" fontId="31" fillId="0" borderId="5" xfId="0" applyFont="1" applyBorder="1" applyAlignment="1">
      <alignment horizontal="left" vertical="center"/>
    </xf>
    <xf numFmtId="43" fontId="17" fillId="0" borderId="1" xfId="0" applyNumberFormat="1" applyFont="1" applyBorder="1" applyAlignment="1">
      <alignment horizontal="right" vertical="center"/>
    </xf>
    <xf numFmtId="43" fontId="24" fillId="0" borderId="1" xfId="93" applyNumberFormat="1" applyFont="1" applyBorder="1" applyAlignment="1">
      <alignment horizontal="right" vertical="center"/>
    </xf>
    <xf numFmtId="43" fontId="17" fillId="0" borderId="1" xfId="1" applyFont="1" applyBorder="1" applyAlignment="1">
      <alignment horizontal="right" vertical="center"/>
    </xf>
    <xf numFmtId="43" fontId="24" fillId="0" borderId="1" xfId="93" applyNumberFormat="1" applyFont="1" applyFill="1" applyBorder="1" applyAlignment="1">
      <alignment vertical="center"/>
    </xf>
    <xf numFmtId="0" fontId="24" fillId="0" borderId="1" xfId="93" quotePrefix="1" applyNumberFormat="1" applyFont="1" applyBorder="1" applyAlignment="1">
      <alignment horizontal="center" vertical="center"/>
    </xf>
    <xf numFmtId="43" fontId="24" fillId="0" borderId="1" xfId="0" applyNumberFormat="1" applyFont="1" applyBorder="1" applyAlignment="1">
      <alignment horizontal="right" vertical="center"/>
    </xf>
    <xf numFmtId="43" fontId="17" fillId="0" borderId="1" xfId="1" applyFont="1" applyFill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30" fillId="3" borderId="0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0" fillId="3" borderId="0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 vertical="center"/>
    </xf>
  </cellXfs>
  <cellStyles count="94">
    <cellStyle name="Comma" xfId="1" builtinId="3"/>
    <cellStyle name="Comma 10" xfId="2"/>
    <cellStyle name="Comma 10 10" xfId="8"/>
    <cellStyle name="Comma 10 11" xfId="10"/>
    <cellStyle name="Comma 10 12" xfId="11"/>
    <cellStyle name="Comma 10 13" xfId="12"/>
    <cellStyle name="Comma 10 14" xfId="13"/>
    <cellStyle name="Comma 10 15" xfId="14"/>
    <cellStyle name="Comma 10 16" xfId="15"/>
    <cellStyle name="Comma 10 17" xfId="16"/>
    <cellStyle name="Comma 10 18" xfId="17"/>
    <cellStyle name="Comma 10 19" xfId="18"/>
    <cellStyle name="Comma 10 2" xfId="4"/>
    <cellStyle name="Comma 10 2 2" xfId="19"/>
    <cellStyle name="Comma 10 20" xfId="20"/>
    <cellStyle name="Comma 10 21" xfId="21"/>
    <cellStyle name="Comma 10 22" xfId="22"/>
    <cellStyle name="Comma 10 3" xfId="23"/>
    <cellStyle name="Comma 10 4" xfId="24"/>
    <cellStyle name="Comma 10 5" xfId="25"/>
    <cellStyle name="Comma 10 6" xfId="26"/>
    <cellStyle name="Comma 10 7" xfId="27"/>
    <cellStyle name="Comma 10 8" xfId="28"/>
    <cellStyle name="Comma 10 9" xfId="29"/>
    <cellStyle name="Comma 13 10" xfId="30"/>
    <cellStyle name="Comma 13 11" xfId="31"/>
    <cellStyle name="Comma 13 12" xfId="32"/>
    <cellStyle name="Comma 13 13" xfId="33"/>
    <cellStyle name="Comma 13 14" xfId="34"/>
    <cellStyle name="Comma 13 15" xfId="35"/>
    <cellStyle name="Comma 13 16" xfId="36"/>
    <cellStyle name="Comma 13 2" xfId="37"/>
    <cellStyle name="Comma 13 3" xfId="38"/>
    <cellStyle name="Comma 13 4" xfId="39"/>
    <cellStyle name="Comma 13 5" xfId="40"/>
    <cellStyle name="Comma 13 6" xfId="41"/>
    <cellStyle name="Comma 13 7" xfId="42"/>
    <cellStyle name="Comma 13 8" xfId="43"/>
    <cellStyle name="Comma 13 9" xfId="44"/>
    <cellStyle name="Comma 14 10" xfId="45"/>
    <cellStyle name="Comma 14 2" xfId="46"/>
    <cellStyle name="Comma 14 3" xfId="47"/>
    <cellStyle name="Comma 14 4" xfId="48"/>
    <cellStyle name="Comma 14 5" xfId="49"/>
    <cellStyle name="Comma 14 6" xfId="50"/>
    <cellStyle name="Comma 14 7" xfId="51"/>
    <cellStyle name="Comma 14 8" xfId="52"/>
    <cellStyle name="Comma 14 9" xfId="53"/>
    <cellStyle name="Comma 15" xfId="3"/>
    <cellStyle name="Comma 15 10" xfId="54"/>
    <cellStyle name="Comma 15 11" xfId="55"/>
    <cellStyle name="Comma 15 2" xfId="56"/>
    <cellStyle name="Comma 15 3" xfId="57"/>
    <cellStyle name="Comma 15 4" xfId="58"/>
    <cellStyle name="Comma 15 5" xfId="59"/>
    <cellStyle name="Comma 15 6" xfId="60"/>
    <cellStyle name="Comma 15 7" xfId="61"/>
    <cellStyle name="Comma 15 8" xfId="62"/>
    <cellStyle name="Comma 15 9" xfId="63"/>
    <cellStyle name="Comma 2" xfId="6"/>
    <cellStyle name="Comma 2 10" xfId="64"/>
    <cellStyle name="Comma 2 2" xfId="65"/>
    <cellStyle name="Comma 2 3" xfId="66"/>
    <cellStyle name="Comma 2 4" xfId="67"/>
    <cellStyle name="Comma 2 5" xfId="68"/>
    <cellStyle name="Comma 2 6" xfId="69"/>
    <cellStyle name="Comma 2 7" xfId="70"/>
    <cellStyle name="Comma 2 8" xfId="71"/>
    <cellStyle name="Comma 2 9" xfId="72"/>
    <cellStyle name="Comma 29" xfId="73"/>
    <cellStyle name="Comma 3" xfId="7"/>
    <cellStyle name="Comma 4" xfId="93"/>
    <cellStyle name="Comma 9 10" xfId="74"/>
    <cellStyle name="Comma 9 11" xfId="75"/>
    <cellStyle name="Comma 9 12" xfId="76"/>
    <cellStyle name="Comma 9 13" xfId="77"/>
    <cellStyle name="Comma 9 14" xfId="78"/>
    <cellStyle name="Comma 9 15" xfId="79"/>
    <cellStyle name="Comma 9 16" xfId="80"/>
    <cellStyle name="Comma 9 17" xfId="81"/>
    <cellStyle name="Comma 9 18" xfId="82"/>
    <cellStyle name="Comma 9 2" xfId="83"/>
    <cellStyle name="Comma 9 3" xfId="84"/>
    <cellStyle name="Comma 9 4" xfId="85"/>
    <cellStyle name="Comma 9 5" xfId="86"/>
    <cellStyle name="Comma 9 6" xfId="87"/>
    <cellStyle name="Comma 9 7" xfId="88"/>
    <cellStyle name="Comma 9 8" xfId="89"/>
    <cellStyle name="Comma 9 9" xfId="90"/>
    <cellStyle name="Normal" xfId="0" builtinId="0"/>
    <cellStyle name="Normal 2" xfId="5"/>
    <cellStyle name="Normal 2 2" xfId="9"/>
    <cellStyle name="Normal 3" xfId="91"/>
    <cellStyle name="Normal 4" xfId="92"/>
  </cellStyles>
  <dxfs count="7065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2.xml"/><Relationship Id="rId61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1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N.EDU/AppData/Roaming/Microsoft/Excel/MINISTRY%20EDUCATION%20-%20%20NOVEMBER,%202013/OYSG%20ALLOWANCE%20TEMPLATE%20-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N.EDU/Documents/2016%20FILES/SALARY%20RELATED%20FILES/DEDUCTION%20JANUARY,%202016/Users/EDUCATION/Documents/2014%20FILES/SALARY%20RELATED%20FILES/MINISTRY%20EDUCATION%20-%20%20JANUARY,%202014/OYSG%20BANK_DETAILS%20TEMPLATE%20-%20J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N.EDU/AppData/Roaming/Microsoft/Excel/MINISTRY%20EDUCATION%20-%20%20JANUARY,%202014/OYSG%20BANK_DETAILS%20TEMPLATE%20-%20J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N.EDU/AppData/Roaming/Microsoft/Excel/MINISTRY%20EDUCATION%20-%20FEB.,%202013000/OYSG%20DEDUCTION%20TEMPLAT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N.EDU/AppData/Roaming/Microsoft/Excel/OYSG%20PAYROLL_HR%20TEMPLATE/OYSG%20DEDUCTION%20TEMPLAT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LLOWANCE"/>
      <sheetName val="Validation Sheet"/>
    </sheetNames>
    <sheetDataSet>
      <sheetData sheetId="0" refreshError="1"/>
      <sheetData sheetId="1">
        <row r="2">
          <cell r="A2" t="str">
            <v>RESPONSIBILITY ALLOWANCE</v>
          </cell>
        </row>
        <row r="3">
          <cell r="A3" t="str">
            <v>ACTING ALLOWANCE</v>
          </cell>
        </row>
        <row r="4">
          <cell r="A4" t="str">
            <v>SHORTPAYMENT</v>
          </cell>
        </row>
        <row r="5">
          <cell r="A5" t="str">
            <v>NON-PAYMENT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ank_Details"/>
      <sheetName val="Bank list"/>
    </sheetNames>
    <sheetDataSet>
      <sheetData sheetId="0"/>
      <sheetData sheetId="1">
        <row r="2">
          <cell r="A2" t="str">
            <v>Access Bank Nigeria Plc</v>
          </cell>
        </row>
        <row r="3">
          <cell r="A3" t="str">
            <v>Afribank Nigeria Plc</v>
          </cell>
        </row>
        <row r="4">
          <cell r="A4" t="str">
            <v>Diamond Bank Nigeria Plc</v>
          </cell>
        </row>
        <row r="5">
          <cell r="A5" t="str">
            <v>Ecobank Nigeria Plc</v>
          </cell>
        </row>
        <row r="6">
          <cell r="A6" t="str">
            <v>Fidelity Bank Plc</v>
          </cell>
        </row>
        <row r="7">
          <cell r="A7" t="str">
            <v>First Bank of Nigeria Plc</v>
          </cell>
        </row>
        <row r="8">
          <cell r="A8" t="str">
            <v>First City Monument Bank Plc</v>
          </cell>
        </row>
        <row r="9">
          <cell r="A9" t="str">
            <v>Guaranty Trust Bank Plc</v>
          </cell>
        </row>
        <row r="10">
          <cell r="A10" t="str">
            <v>Platinum Habib Bank Plc</v>
          </cell>
        </row>
        <row r="11">
          <cell r="A11" t="str">
            <v>Randalpha Microfinance Bank Limited</v>
          </cell>
        </row>
        <row r="12">
          <cell r="A12" t="str">
            <v>Skye Bank Plc</v>
          </cell>
        </row>
        <row r="13">
          <cell r="A13" t="str">
            <v>Spring Bank Plc</v>
          </cell>
        </row>
        <row r="14">
          <cell r="A14" t="str">
            <v>Stanbic - IBTC Bank Plc</v>
          </cell>
        </row>
        <row r="15">
          <cell r="A15" t="str">
            <v>Standard Chartered Bank Nigeria Plc</v>
          </cell>
        </row>
        <row r="16">
          <cell r="A16" t="str">
            <v>Sterling Bank Plc</v>
          </cell>
        </row>
        <row r="17">
          <cell r="A17" t="str">
            <v>Union Bank of Nigeria Plc</v>
          </cell>
        </row>
        <row r="18">
          <cell r="A18" t="str">
            <v>United Bank For Africa Plc</v>
          </cell>
        </row>
        <row r="19">
          <cell r="A19" t="str">
            <v>Unity Bank Plc</v>
          </cell>
        </row>
        <row r="20">
          <cell r="A20" t="str">
            <v>Wema Bank Plc</v>
          </cell>
        </row>
        <row r="21">
          <cell r="A21" t="str">
            <v>Zenith Bank Plc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Bank_Details"/>
      <sheetName val="Bank list"/>
    </sheetNames>
    <sheetDataSet>
      <sheetData sheetId="0"/>
      <sheetData sheetId="1">
        <row r="2">
          <cell r="A2" t="str">
            <v>Access Bank Nigeria Plc</v>
          </cell>
        </row>
        <row r="3">
          <cell r="A3" t="str">
            <v>Afribank Nigeria Plc</v>
          </cell>
        </row>
        <row r="4">
          <cell r="A4" t="str">
            <v>Diamond Bank Nigeria Plc</v>
          </cell>
        </row>
        <row r="5">
          <cell r="A5" t="str">
            <v>Ecobank Nigeria Plc</v>
          </cell>
        </row>
        <row r="6">
          <cell r="A6" t="str">
            <v>Fidelity Bank Plc</v>
          </cell>
        </row>
        <row r="7">
          <cell r="A7" t="str">
            <v>First Bank of Nigeria Plc</v>
          </cell>
        </row>
        <row r="8">
          <cell r="A8" t="str">
            <v>First City Monument Bank Plc</v>
          </cell>
        </row>
        <row r="9">
          <cell r="A9" t="str">
            <v>Guaranty Trust Bank Plc</v>
          </cell>
        </row>
        <row r="10">
          <cell r="A10" t="str">
            <v>Platinum Habib Bank Plc</v>
          </cell>
        </row>
        <row r="11">
          <cell r="A11" t="str">
            <v>Randalpha Microfinance Bank Limited</v>
          </cell>
        </row>
        <row r="12">
          <cell r="A12" t="str">
            <v>Skye Bank Plc</v>
          </cell>
        </row>
        <row r="13">
          <cell r="A13" t="str">
            <v>Spring Bank Plc</v>
          </cell>
        </row>
        <row r="14">
          <cell r="A14" t="str">
            <v>Stanbic - IBTC Bank Plc</v>
          </cell>
        </row>
        <row r="15">
          <cell r="A15" t="str">
            <v>Standard Chartered Bank Nigeria Plc</v>
          </cell>
        </row>
        <row r="16">
          <cell r="A16" t="str">
            <v>Sterling Bank Plc</v>
          </cell>
        </row>
        <row r="17">
          <cell r="A17" t="str">
            <v>Union Bank of Nigeria Plc</v>
          </cell>
        </row>
        <row r="18">
          <cell r="A18" t="str">
            <v>United Bank For Africa Plc</v>
          </cell>
        </row>
        <row r="19">
          <cell r="A19" t="str">
            <v>Unity Bank Plc</v>
          </cell>
        </row>
        <row r="20">
          <cell r="A20" t="str">
            <v>Wema Bank Plc</v>
          </cell>
        </row>
        <row r="21">
          <cell r="A21" t="str">
            <v>Zenith Bank Plc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EDUCTIONS"/>
      <sheetName val="Validation Sheet"/>
    </sheetNames>
    <sheetDataSet>
      <sheetData sheetId="0" refreshError="1"/>
      <sheetData sheetId="1">
        <row r="2">
          <cell r="A2" t="str">
            <v>AGRIC CREDIT LOAN</v>
          </cell>
          <cell r="C2">
            <v>41548</v>
          </cell>
        </row>
        <row r="3">
          <cell r="A3" t="str">
            <v>CAR LOAN</v>
          </cell>
          <cell r="C3">
            <v>41579</v>
          </cell>
        </row>
        <row r="4">
          <cell r="A4" t="str">
            <v>COMPUTER LOAN</v>
          </cell>
        </row>
        <row r="5">
          <cell r="A5" t="str">
            <v>COOPERATIVE</v>
          </cell>
        </row>
        <row r="6">
          <cell r="A6" t="str">
            <v>GOVERNMENT QUARTERS</v>
          </cell>
        </row>
        <row r="7">
          <cell r="A7" t="str">
            <v>HOUSING LOAN</v>
          </cell>
        </row>
        <row r="8">
          <cell r="A8" t="str">
            <v>OVERPAYMENT</v>
          </cell>
        </row>
        <row r="9">
          <cell r="A9" t="str">
            <v>SUBEB LOAN</v>
          </cell>
        </row>
        <row r="10">
          <cell r="A10" t="str">
            <v>TRADE UNION</v>
          </cell>
        </row>
        <row r="11">
          <cell r="A11" t="str">
            <v>TUC DEDUCTION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DEDUCTIONS"/>
      <sheetName val="Validation Sheet"/>
    </sheetNames>
    <sheetDataSet>
      <sheetData sheetId="0" refreshError="1"/>
      <sheetData sheetId="1">
        <row r="2">
          <cell r="D2">
            <v>41578</v>
          </cell>
        </row>
        <row r="3">
          <cell r="D3">
            <v>41608</v>
          </cell>
        </row>
        <row r="4">
          <cell r="D4">
            <v>41639</v>
          </cell>
        </row>
        <row r="5">
          <cell r="D5">
            <v>41670</v>
          </cell>
        </row>
        <row r="6">
          <cell r="D6">
            <v>41698</v>
          </cell>
        </row>
        <row r="7">
          <cell r="D7">
            <v>41729</v>
          </cell>
        </row>
        <row r="8">
          <cell r="D8">
            <v>41759</v>
          </cell>
        </row>
        <row r="9">
          <cell r="D9">
            <v>41790</v>
          </cell>
        </row>
        <row r="10">
          <cell r="D10">
            <v>41820</v>
          </cell>
        </row>
        <row r="11">
          <cell r="D11">
            <v>41851</v>
          </cell>
        </row>
        <row r="12">
          <cell r="D12">
            <v>41882</v>
          </cell>
        </row>
        <row r="13">
          <cell r="D13">
            <v>41912</v>
          </cell>
        </row>
        <row r="14">
          <cell r="D14">
            <v>41943</v>
          </cell>
        </row>
        <row r="15">
          <cell r="D15">
            <v>41973</v>
          </cell>
        </row>
        <row r="16">
          <cell r="D16">
            <v>42004</v>
          </cell>
        </row>
        <row r="17">
          <cell r="D17">
            <v>42035</v>
          </cell>
        </row>
        <row r="18">
          <cell r="D18">
            <v>42063</v>
          </cell>
        </row>
        <row r="19">
          <cell r="D19">
            <v>42094</v>
          </cell>
        </row>
        <row r="20">
          <cell r="D20">
            <v>42124</v>
          </cell>
        </row>
        <row r="21">
          <cell r="D21">
            <v>42155</v>
          </cell>
        </row>
        <row r="22">
          <cell r="D22">
            <v>42185</v>
          </cell>
        </row>
        <row r="23">
          <cell r="D23">
            <v>42216</v>
          </cell>
        </row>
        <row r="24">
          <cell r="D24">
            <v>42247</v>
          </cell>
        </row>
        <row r="25">
          <cell r="D25">
            <v>42277</v>
          </cell>
        </row>
        <row r="26">
          <cell r="D26">
            <v>42308</v>
          </cell>
        </row>
        <row r="27">
          <cell r="D27">
            <v>42338</v>
          </cell>
        </row>
        <row r="28">
          <cell r="D28">
            <v>42369</v>
          </cell>
        </row>
        <row r="29">
          <cell r="D29">
            <v>42400</v>
          </cell>
        </row>
        <row r="30">
          <cell r="D30">
            <v>42429</v>
          </cell>
        </row>
        <row r="31">
          <cell r="D31">
            <v>42460</v>
          </cell>
        </row>
        <row r="32">
          <cell r="D32">
            <v>42490</v>
          </cell>
        </row>
        <row r="33">
          <cell r="D33">
            <v>42521</v>
          </cell>
        </row>
        <row r="34">
          <cell r="D34">
            <v>42551</v>
          </cell>
        </row>
        <row r="35">
          <cell r="D35">
            <v>42582</v>
          </cell>
        </row>
        <row r="36">
          <cell r="D36">
            <v>42613</v>
          </cell>
        </row>
        <row r="37">
          <cell r="D37">
            <v>42643</v>
          </cell>
        </row>
        <row r="38">
          <cell r="D38">
            <v>42674</v>
          </cell>
        </row>
        <row r="39">
          <cell r="D39">
            <v>42704</v>
          </cell>
        </row>
        <row r="40">
          <cell r="D40">
            <v>42735</v>
          </cell>
        </row>
        <row r="41">
          <cell r="D41">
            <v>42766</v>
          </cell>
        </row>
        <row r="42">
          <cell r="D42">
            <v>42794</v>
          </cell>
        </row>
        <row r="43">
          <cell r="D43">
            <v>42825</v>
          </cell>
        </row>
        <row r="44">
          <cell r="D44">
            <v>42855</v>
          </cell>
        </row>
        <row r="45">
          <cell r="D45">
            <v>42886</v>
          </cell>
        </row>
        <row r="46">
          <cell r="D46">
            <v>42916</v>
          </cell>
        </row>
        <row r="47">
          <cell r="D47">
            <v>42947</v>
          </cell>
        </row>
        <row r="48">
          <cell r="D48">
            <v>42978</v>
          </cell>
        </row>
        <row r="49">
          <cell r="D49">
            <v>43008</v>
          </cell>
        </row>
        <row r="50">
          <cell r="D50">
            <v>43039</v>
          </cell>
        </row>
        <row r="51">
          <cell r="D51">
            <v>43069</v>
          </cell>
        </row>
        <row r="52">
          <cell r="D52">
            <v>43100</v>
          </cell>
        </row>
        <row r="53">
          <cell r="D53">
            <v>43131</v>
          </cell>
        </row>
        <row r="54">
          <cell r="D54">
            <v>43159</v>
          </cell>
        </row>
        <row r="55">
          <cell r="D55">
            <v>43190</v>
          </cell>
        </row>
        <row r="56">
          <cell r="D56">
            <v>43220</v>
          </cell>
        </row>
        <row r="57">
          <cell r="D57">
            <v>43251</v>
          </cell>
        </row>
        <row r="58">
          <cell r="D58">
            <v>43281</v>
          </cell>
        </row>
        <row r="59">
          <cell r="D59">
            <v>43312</v>
          </cell>
        </row>
        <row r="60">
          <cell r="D60">
            <v>43343</v>
          </cell>
        </row>
        <row r="61">
          <cell r="D61">
            <v>43373</v>
          </cell>
        </row>
        <row r="62">
          <cell r="D62">
            <v>43404</v>
          </cell>
        </row>
        <row r="63">
          <cell r="D63">
            <v>43434</v>
          </cell>
        </row>
        <row r="64">
          <cell r="D64">
            <v>43465</v>
          </cell>
        </row>
        <row r="65">
          <cell r="D65">
            <v>43496</v>
          </cell>
        </row>
        <row r="66">
          <cell r="D66">
            <v>43524</v>
          </cell>
        </row>
        <row r="67">
          <cell r="D67">
            <v>43555</v>
          </cell>
        </row>
        <row r="68">
          <cell r="D68">
            <v>43585</v>
          </cell>
        </row>
        <row r="69">
          <cell r="D69">
            <v>43616</v>
          </cell>
        </row>
        <row r="70">
          <cell r="D70">
            <v>43646</v>
          </cell>
        </row>
        <row r="71">
          <cell r="D71">
            <v>43677</v>
          </cell>
        </row>
        <row r="72">
          <cell r="D72">
            <v>43708</v>
          </cell>
        </row>
        <row r="73">
          <cell r="D73">
            <v>43738</v>
          </cell>
        </row>
        <row r="74">
          <cell r="D74">
            <v>43769</v>
          </cell>
        </row>
        <row r="75">
          <cell r="D75">
            <v>43799</v>
          </cell>
        </row>
        <row r="76">
          <cell r="D76">
            <v>43830</v>
          </cell>
        </row>
        <row r="77">
          <cell r="D77">
            <v>43861</v>
          </cell>
        </row>
        <row r="78">
          <cell r="D78">
            <v>43890</v>
          </cell>
        </row>
        <row r="79">
          <cell r="D79">
            <v>43921</v>
          </cell>
        </row>
        <row r="80">
          <cell r="D80">
            <v>43951</v>
          </cell>
        </row>
        <row r="81">
          <cell r="D81">
            <v>43982</v>
          </cell>
        </row>
        <row r="82">
          <cell r="D82">
            <v>44012</v>
          </cell>
        </row>
        <row r="83">
          <cell r="D83">
            <v>44043</v>
          </cell>
        </row>
        <row r="84">
          <cell r="D84">
            <v>44074</v>
          </cell>
        </row>
        <row r="85">
          <cell r="D85">
            <v>44104</v>
          </cell>
        </row>
        <row r="86">
          <cell r="D86">
            <v>44135</v>
          </cell>
        </row>
        <row r="87">
          <cell r="D87">
            <v>44165</v>
          </cell>
        </row>
        <row r="88">
          <cell r="D88">
            <v>44196</v>
          </cell>
        </row>
        <row r="89">
          <cell r="D89">
            <v>44227</v>
          </cell>
        </row>
        <row r="90">
          <cell r="D90">
            <v>44255</v>
          </cell>
        </row>
        <row r="91">
          <cell r="D91">
            <v>44286</v>
          </cell>
        </row>
        <row r="92">
          <cell r="D92">
            <v>44316</v>
          </cell>
        </row>
        <row r="93">
          <cell r="D93">
            <v>44347</v>
          </cell>
        </row>
        <row r="94">
          <cell r="D94">
            <v>44377</v>
          </cell>
        </row>
        <row r="95">
          <cell r="D95">
            <v>44408</v>
          </cell>
        </row>
        <row r="96">
          <cell r="D96">
            <v>44439</v>
          </cell>
        </row>
        <row r="97">
          <cell r="D97">
            <v>44469</v>
          </cell>
        </row>
        <row r="98">
          <cell r="D98">
            <v>44500</v>
          </cell>
        </row>
        <row r="99">
          <cell r="D99">
            <v>44530</v>
          </cell>
        </row>
        <row r="100">
          <cell r="D100">
            <v>44561</v>
          </cell>
        </row>
        <row r="101">
          <cell r="D101">
            <v>44592</v>
          </cell>
        </row>
        <row r="102">
          <cell r="D102">
            <v>44620</v>
          </cell>
        </row>
        <row r="103">
          <cell r="D103">
            <v>44651</v>
          </cell>
        </row>
        <row r="104">
          <cell r="D104">
            <v>44681</v>
          </cell>
        </row>
        <row r="105">
          <cell r="D105">
            <v>44712</v>
          </cell>
        </row>
        <row r="106">
          <cell r="D106">
            <v>44742</v>
          </cell>
        </row>
        <row r="107">
          <cell r="D107">
            <v>44773</v>
          </cell>
        </row>
        <row r="108">
          <cell r="D108">
            <v>44804</v>
          </cell>
        </row>
        <row r="109">
          <cell r="D109">
            <v>44834</v>
          </cell>
        </row>
        <row r="110">
          <cell r="D110">
            <v>44865</v>
          </cell>
        </row>
        <row r="111">
          <cell r="D111">
            <v>44895</v>
          </cell>
        </row>
        <row r="112">
          <cell r="D112">
            <v>44926</v>
          </cell>
        </row>
        <row r="113">
          <cell r="D113">
            <v>44957</v>
          </cell>
        </row>
        <row r="114">
          <cell r="D114">
            <v>44985</v>
          </cell>
        </row>
        <row r="115">
          <cell r="D115">
            <v>45016</v>
          </cell>
        </row>
        <row r="116">
          <cell r="D116">
            <v>45046</v>
          </cell>
        </row>
        <row r="117">
          <cell r="D117">
            <v>45077</v>
          </cell>
        </row>
        <row r="118">
          <cell r="D118">
            <v>45107</v>
          </cell>
        </row>
        <row r="119">
          <cell r="D119">
            <v>45138</v>
          </cell>
        </row>
        <row r="120">
          <cell r="D120">
            <v>45169</v>
          </cell>
        </row>
        <row r="121">
          <cell r="D121">
            <v>45199</v>
          </cell>
        </row>
        <row r="122">
          <cell r="D122">
            <v>45230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B1:M219"/>
  <sheetViews>
    <sheetView topLeftCell="A180" workbookViewId="0">
      <selection activeCell="E203" sqref="E203"/>
    </sheetView>
  </sheetViews>
  <sheetFormatPr defaultRowHeight="15"/>
  <cols>
    <col min="2" max="2" width="5.5703125" customWidth="1"/>
    <col min="3" max="3" width="36" customWidth="1"/>
    <col min="4" max="4" width="13.5703125" customWidth="1"/>
    <col min="5" max="5" width="12.85546875" customWidth="1"/>
    <col min="6" max="6" width="14" customWidth="1"/>
    <col min="7" max="7" width="11.140625" style="43" customWidth="1"/>
    <col min="8" max="8" width="13" customWidth="1"/>
    <col min="9" max="9" width="10.85546875" customWidth="1"/>
    <col min="10" max="10" width="10" customWidth="1"/>
    <col min="11" max="11" width="15" customWidth="1"/>
    <col min="12" max="12" width="13.5703125" customWidth="1"/>
    <col min="13" max="13" width="10.28515625" customWidth="1"/>
  </cols>
  <sheetData>
    <row r="1" spans="2:13" ht="20.25">
      <c r="B1" s="419" t="s">
        <v>245</v>
      </c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</row>
    <row r="2" spans="2:13" ht="18">
      <c r="B2" s="418" t="s">
        <v>246</v>
      </c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</row>
    <row r="3" spans="2:13" s="44" customFormat="1" ht="35.25" customHeight="1">
      <c r="B3" s="49" t="s">
        <v>0</v>
      </c>
      <c r="C3" s="49" t="s">
        <v>1</v>
      </c>
      <c r="D3" s="50" t="s">
        <v>2</v>
      </c>
      <c r="E3" s="50" t="s">
        <v>3</v>
      </c>
      <c r="F3" s="49" t="s">
        <v>4</v>
      </c>
      <c r="G3" s="50" t="s">
        <v>5</v>
      </c>
      <c r="H3" s="51" t="s">
        <v>6</v>
      </c>
      <c r="I3" s="50" t="s">
        <v>7</v>
      </c>
      <c r="J3" s="51" t="s">
        <v>8</v>
      </c>
      <c r="K3" s="50" t="s">
        <v>9</v>
      </c>
      <c r="L3" s="51" t="s">
        <v>10</v>
      </c>
      <c r="M3" s="51" t="s">
        <v>11</v>
      </c>
    </row>
    <row r="4" spans="2:13" ht="13.5" customHeight="1">
      <c r="B4" s="14">
        <v>1</v>
      </c>
      <c r="C4" s="2" t="s">
        <v>121</v>
      </c>
      <c r="D4" s="15">
        <v>200000</v>
      </c>
      <c r="E4" s="15">
        <v>26660</v>
      </c>
      <c r="F4" s="15">
        <f t="shared" ref="F4:F35" si="0">SUM(D4:E4)</f>
        <v>226660</v>
      </c>
      <c r="G4" s="31">
        <v>40</v>
      </c>
      <c r="H4" s="15">
        <v>5666.5</v>
      </c>
      <c r="I4" s="8">
        <v>28</v>
      </c>
      <c r="J4" s="11">
        <v>12</v>
      </c>
      <c r="K4" s="16">
        <f>(28*5666.5)</f>
        <v>158662</v>
      </c>
      <c r="L4" s="15">
        <f t="shared" ref="L4:L35" si="1">F4-K4</f>
        <v>67998</v>
      </c>
      <c r="M4" s="8"/>
    </row>
    <row r="5" spans="2:13">
      <c r="B5" s="14">
        <v>2</v>
      </c>
      <c r="C5" s="2" t="s">
        <v>199</v>
      </c>
      <c r="D5" s="12">
        <v>132000</v>
      </c>
      <c r="E5" s="12">
        <v>17595.599999999999</v>
      </c>
      <c r="F5" s="15">
        <f t="shared" si="0"/>
        <v>149595.6</v>
      </c>
      <c r="G5" s="31">
        <v>40</v>
      </c>
      <c r="H5" s="12">
        <v>3739.89</v>
      </c>
      <c r="I5" s="8">
        <v>21</v>
      </c>
      <c r="J5" s="8">
        <v>19</v>
      </c>
      <c r="K5" s="12">
        <f>(21*3739.89)</f>
        <v>78537.69</v>
      </c>
      <c r="L5" s="15">
        <f t="shared" si="1"/>
        <v>71057.91</v>
      </c>
      <c r="M5" s="8"/>
    </row>
    <row r="6" spans="2:13">
      <c r="B6" s="14">
        <v>3</v>
      </c>
      <c r="C6" s="2" t="s">
        <v>200</v>
      </c>
      <c r="D6" s="12">
        <v>132000</v>
      </c>
      <c r="E6" s="12">
        <v>17595.599999999999</v>
      </c>
      <c r="F6" s="15">
        <f t="shared" si="0"/>
        <v>149595.6</v>
      </c>
      <c r="G6" s="31">
        <v>40</v>
      </c>
      <c r="H6" s="12">
        <v>3739.89</v>
      </c>
      <c r="I6" s="8">
        <v>36</v>
      </c>
      <c r="J6" s="8">
        <v>4</v>
      </c>
      <c r="K6" s="12">
        <f>(36*3739.89)</f>
        <v>134636.04</v>
      </c>
      <c r="L6" s="15">
        <f t="shared" si="1"/>
        <v>14959.559999999998</v>
      </c>
      <c r="M6" s="8"/>
    </row>
    <row r="7" spans="2:13">
      <c r="B7" s="14">
        <v>4</v>
      </c>
      <c r="C7" s="2" t="s">
        <v>122</v>
      </c>
      <c r="D7" s="15">
        <v>200000</v>
      </c>
      <c r="E7" s="15">
        <v>26660</v>
      </c>
      <c r="F7" s="15">
        <f t="shared" si="0"/>
        <v>226660</v>
      </c>
      <c r="G7" s="31">
        <v>40</v>
      </c>
      <c r="H7" s="15">
        <v>5666.5</v>
      </c>
      <c r="I7" s="8">
        <v>29</v>
      </c>
      <c r="J7" s="8">
        <v>11</v>
      </c>
      <c r="K7" s="12">
        <f>(29*5666.5)</f>
        <v>164328.5</v>
      </c>
      <c r="L7" s="15">
        <f t="shared" si="1"/>
        <v>62331.5</v>
      </c>
      <c r="M7" s="8"/>
    </row>
    <row r="8" spans="2:13">
      <c r="B8" s="14">
        <v>5</v>
      </c>
      <c r="C8" s="2" t="s">
        <v>188</v>
      </c>
      <c r="D8" s="12">
        <v>180000</v>
      </c>
      <c r="E8" s="12">
        <v>23994</v>
      </c>
      <c r="F8" s="15">
        <f t="shared" si="0"/>
        <v>203994</v>
      </c>
      <c r="G8" s="31">
        <v>40</v>
      </c>
      <c r="H8" s="12">
        <v>5099.8500000000004</v>
      </c>
      <c r="I8" s="8">
        <v>29</v>
      </c>
      <c r="J8" s="8">
        <v>11</v>
      </c>
      <c r="K8" s="12">
        <f>(29*5099.85)</f>
        <v>147895.65000000002</v>
      </c>
      <c r="L8" s="15">
        <f t="shared" si="1"/>
        <v>56098.349999999977</v>
      </c>
      <c r="M8" s="8"/>
    </row>
    <row r="9" spans="2:13">
      <c r="B9" s="14">
        <v>6</v>
      </c>
      <c r="C9" s="4" t="s">
        <v>189</v>
      </c>
      <c r="D9" s="12">
        <v>180000</v>
      </c>
      <c r="E9" s="12">
        <v>23994</v>
      </c>
      <c r="F9" s="15">
        <f t="shared" si="0"/>
        <v>203994</v>
      </c>
      <c r="G9" s="31">
        <v>40</v>
      </c>
      <c r="H9" s="12">
        <v>5099.8500000000004</v>
      </c>
      <c r="I9" s="8">
        <v>26</v>
      </c>
      <c r="J9" s="8">
        <v>14</v>
      </c>
      <c r="K9" s="12">
        <f>(26*5099.85)</f>
        <v>132596.1</v>
      </c>
      <c r="L9" s="15">
        <f t="shared" si="1"/>
        <v>71397.899999999994</v>
      </c>
      <c r="M9" s="8"/>
    </row>
    <row r="10" spans="2:13">
      <c r="B10" s="14">
        <v>7</v>
      </c>
      <c r="C10" s="2" t="s">
        <v>123</v>
      </c>
      <c r="D10" s="15">
        <v>200000</v>
      </c>
      <c r="E10" s="15">
        <v>26660</v>
      </c>
      <c r="F10" s="15">
        <f t="shared" si="0"/>
        <v>226660</v>
      </c>
      <c r="G10" s="31">
        <v>40</v>
      </c>
      <c r="H10" s="15">
        <v>5666.5</v>
      </c>
      <c r="I10" s="8">
        <v>29</v>
      </c>
      <c r="J10" s="8">
        <v>11</v>
      </c>
      <c r="K10" s="12">
        <f>(29*5666.5)</f>
        <v>164328.5</v>
      </c>
      <c r="L10" s="15">
        <f t="shared" si="1"/>
        <v>62331.5</v>
      </c>
      <c r="M10" s="8"/>
    </row>
    <row r="11" spans="2:13">
      <c r="B11" s="14">
        <v>8</v>
      </c>
      <c r="C11" s="25" t="s">
        <v>43</v>
      </c>
      <c r="D11" s="12">
        <v>330000</v>
      </c>
      <c r="E11" s="12">
        <v>21114.720000000001</v>
      </c>
      <c r="F11" s="15">
        <f t="shared" si="0"/>
        <v>351114.72</v>
      </c>
      <c r="G11" s="31">
        <v>24</v>
      </c>
      <c r="H11" s="12">
        <v>14629.78</v>
      </c>
      <c r="I11" s="11">
        <v>15</v>
      </c>
      <c r="J11" s="11">
        <v>9</v>
      </c>
      <c r="K11" s="16">
        <f>(15*14629.78)</f>
        <v>219446.7</v>
      </c>
      <c r="L11" s="15">
        <f t="shared" si="1"/>
        <v>131668.01999999996</v>
      </c>
      <c r="M11" s="8"/>
    </row>
    <row r="12" spans="2:13">
      <c r="B12" s="14">
        <v>9</v>
      </c>
      <c r="C12" s="2" t="s">
        <v>124</v>
      </c>
      <c r="D12" s="15">
        <v>200000</v>
      </c>
      <c r="E12" s="15">
        <v>26660</v>
      </c>
      <c r="F12" s="15">
        <f t="shared" si="0"/>
        <v>226660</v>
      </c>
      <c r="G12" s="31">
        <v>40</v>
      </c>
      <c r="H12" s="15">
        <v>5666.5</v>
      </c>
      <c r="I12" s="8">
        <v>32</v>
      </c>
      <c r="J12" s="8">
        <v>8</v>
      </c>
      <c r="K12" s="12">
        <f>(32*5666.5)</f>
        <v>181328</v>
      </c>
      <c r="L12" s="15">
        <f t="shared" si="1"/>
        <v>45332</v>
      </c>
      <c r="M12" s="8"/>
    </row>
    <row r="13" spans="2:13">
      <c r="B13" s="14">
        <v>10</v>
      </c>
      <c r="C13" s="2" t="s">
        <v>125</v>
      </c>
      <c r="D13" s="15">
        <v>200000</v>
      </c>
      <c r="E13" s="15">
        <v>26660</v>
      </c>
      <c r="F13" s="15">
        <f t="shared" si="0"/>
        <v>226660</v>
      </c>
      <c r="G13" s="31">
        <v>40</v>
      </c>
      <c r="H13" s="15">
        <v>5666.5</v>
      </c>
      <c r="I13" s="8">
        <v>36</v>
      </c>
      <c r="J13" s="8">
        <v>4</v>
      </c>
      <c r="K13" s="12">
        <f>(36*5666.5)</f>
        <v>203994</v>
      </c>
      <c r="L13" s="15">
        <f t="shared" si="1"/>
        <v>22666</v>
      </c>
      <c r="M13" s="8"/>
    </row>
    <row r="14" spans="2:13">
      <c r="B14" s="14">
        <v>11</v>
      </c>
      <c r="C14" s="2" t="s">
        <v>120</v>
      </c>
      <c r="D14" s="12">
        <v>330000</v>
      </c>
      <c r="E14" s="16">
        <v>21114.720000000001</v>
      </c>
      <c r="F14" s="15">
        <f t="shared" si="0"/>
        <v>351114.72</v>
      </c>
      <c r="G14" s="31">
        <v>24</v>
      </c>
      <c r="H14" s="24">
        <v>6649.9</v>
      </c>
      <c r="I14" s="11">
        <v>15</v>
      </c>
      <c r="J14" s="8">
        <v>9</v>
      </c>
      <c r="K14" s="16">
        <f>(15*6649.9)</f>
        <v>99748.5</v>
      </c>
      <c r="L14" s="15">
        <f t="shared" si="1"/>
        <v>251366.21999999997</v>
      </c>
      <c r="M14" s="8"/>
    </row>
    <row r="15" spans="2:13">
      <c r="B15" s="14">
        <v>12</v>
      </c>
      <c r="C15" s="2" t="s">
        <v>190</v>
      </c>
      <c r="D15" s="12">
        <v>180000</v>
      </c>
      <c r="E15" s="12">
        <v>23994</v>
      </c>
      <c r="F15" s="15">
        <f t="shared" si="0"/>
        <v>203994</v>
      </c>
      <c r="G15" s="30">
        <v>40</v>
      </c>
      <c r="H15" s="12">
        <v>5099.8500000000004</v>
      </c>
      <c r="I15" s="22">
        <v>38</v>
      </c>
      <c r="J15" s="22">
        <v>2</v>
      </c>
      <c r="K15" s="12">
        <f>(38*5099.85)</f>
        <v>193794.30000000002</v>
      </c>
      <c r="L15" s="15">
        <f t="shared" si="1"/>
        <v>10199.699999999983</v>
      </c>
      <c r="M15" s="10"/>
    </row>
    <row r="16" spans="2:13">
      <c r="B16" s="14">
        <v>13</v>
      </c>
      <c r="C16" s="2" t="s">
        <v>201</v>
      </c>
      <c r="D16" s="12">
        <v>132000</v>
      </c>
      <c r="E16" s="12">
        <v>17595.599999999999</v>
      </c>
      <c r="F16" s="15">
        <f t="shared" si="0"/>
        <v>149595.6</v>
      </c>
      <c r="G16" s="31">
        <v>40</v>
      </c>
      <c r="H16" s="12">
        <v>3739.89</v>
      </c>
      <c r="I16" s="8">
        <v>29</v>
      </c>
      <c r="J16" s="8">
        <v>11</v>
      </c>
      <c r="K16" s="12">
        <f>(29*3739.89)</f>
        <v>108456.81</v>
      </c>
      <c r="L16" s="15">
        <f t="shared" si="1"/>
        <v>41138.790000000008</v>
      </c>
      <c r="M16" s="8"/>
    </row>
    <row r="17" spans="2:13">
      <c r="B17" s="14">
        <v>14</v>
      </c>
      <c r="C17" s="2" t="s">
        <v>191</v>
      </c>
      <c r="D17" s="12">
        <v>180000</v>
      </c>
      <c r="E17" s="12">
        <v>23994</v>
      </c>
      <c r="F17" s="15">
        <f t="shared" si="0"/>
        <v>203994</v>
      </c>
      <c r="G17" s="30">
        <v>40</v>
      </c>
      <c r="H17" s="12">
        <v>5099.8500000000004</v>
      </c>
      <c r="I17" s="22">
        <v>38</v>
      </c>
      <c r="J17" s="22">
        <v>2</v>
      </c>
      <c r="K17" s="12">
        <f>(38*5099.85)</f>
        <v>193794.30000000002</v>
      </c>
      <c r="L17" s="15">
        <f t="shared" si="1"/>
        <v>10199.699999999983</v>
      </c>
      <c r="M17" s="10"/>
    </row>
    <row r="18" spans="2:13">
      <c r="B18" s="14">
        <v>15</v>
      </c>
      <c r="C18" s="2" t="s">
        <v>52</v>
      </c>
      <c r="D18" s="12">
        <v>500000</v>
      </c>
      <c r="E18" s="12">
        <v>66650</v>
      </c>
      <c r="F18" s="15">
        <f t="shared" si="0"/>
        <v>566650</v>
      </c>
      <c r="G18" s="31">
        <v>50</v>
      </c>
      <c r="H18" s="18">
        <v>11333</v>
      </c>
      <c r="I18" s="31">
        <v>22</v>
      </c>
      <c r="J18" s="31">
        <v>28</v>
      </c>
      <c r="K18" s="12">
        <f>(22*11333)</f>
        <v>249326</v>
      </c>
      <c r="L18" s="15">
        <f t="shared" si="1"/>
        <v>317324</v>
      </c>
      <c r="M18" s="8"/>
    </row>
    <row r="19" spans="2:13">
      <c r="B19" s="14">
        <v>16</v>
      </c>
      <c r="C19" s="2" t="s">
        <v>49</v>
      </c>
      <c r="D19" s="12">
        <v>500000</v>
      </c>
      <c r="E19" s="12">
        <v>53320</v>
      </c>
      <c r="F19" s="15">
        <f t="shared" si="0"/>
        <v>553320</v>
      </c>
      <c r="G19" s="31">
        <v>40</v>
      </c>
      <c r="H19" s="12">
        <v>13833</v>
      </c>
      <c r="I19" s="8">
        <v>36</v>
      </c>
      <c r="J19" s="8">
        <v>4</v>
      </c>
      <c r="K19" s="12">
        <f>(36*13833)</f>
        <v>497988</v>
      </c>
      <c r="L19" s="15">
        <f t="shared" si="1"/>
        <v>55332</v>
      </c>
      <c r="M19" s="8"/>
    </row>
    <row r="20" spans="2:13">
      <c r="B20" s="14">
        <v>17</v>
      </c>
      <c r="C20" s="2" t="s">
        <v>126</v>
      </c>
      <c r="D20" s="15">
        <v>200000</v>
      </c>
      <c r="E20" s="15">
        <v>26660</v>
      </c>
      <c r="F20" s="15">
        <f t="shared" si="0"/>
        <v>226660</v>
      </c>
      <c r="G20" s="32">
        <v>40</v>
      </c>
      <c r="H20" s="15">
        <v>5666.5</v>
      </c>
      <c r="I20" s="22">
        <v>38</v>
      </c>
      <c r="J20" s="21">
        <v>2</v>
      </c>
      <c r="K20" s="15">
        <v>215327</v>
      </c>
      <c r="L20" s="15">
        <f t="shared" si="1"/>
        <v>11333</v>
      </c>
      <c r="M20" s="10"/>
    </row>
    <row r="21" spans="2:13">
      <c r="B21" s="14">
        <v>18</v>
      </c>
      <c r="C21" s="2" t="s">
        <v>46</v>
      </c>
      <c r="D21" s="12">
        <v>450000</v>
      </c>
      <c r="E21" s="16">
        <v>28792.799999999999</v>
      </c>
      <c r="F21" s="15">
        <f t="shared" si="0"/>
        <v>478792.8</v>
      </c>
      <c r="G21" s="31">
        <v>24</v>
      </c>
      <c r="H21" s="16">
        <v>19949.7</v>
      </c>
      <c r="I21" s="11">
        <v>15</v>
      </c>
      <c r="J21" s="11">
        <v>9</v>
      </c>
      <c r="K21" s="12">
        <f>(15*19949.7)</f>
        <v>299245.5</v>
      </c>
      <c r="L21" s="15">
        <f t="shared" si="1"/>
        <v>179547.3</v>
      </c>
      <c r="M21" s="8"/>
    </row>
    <row r="22" spans="2:13">
      <c r="B22" s="14">
        <v>19</v>
      </c>
      <c r="C22" s="2" t="s">
        <v>127</v>
      </c>
      <c r="D22" s="15">
        <v>200000</v>
      </c>
      <c r="E22" s="15">
        <v>26660</v>
      </c>
      <c r="F22" s="15">
        <f t="shared" si="0"/>
        <v>226660</v>
      </c>
      <c r="G22" s="31">
        <v>40</v>
      </c>
      <c r="H22" s="15">
        <v>5666.5</v>
      </c>
      <c r="I22" s="8">
        <v>26</v>
      </c>
      <c r="J22" s="8">
        <v>14</v>
      </c>
      <c r="K22" s="12">
        <f>(26*5666.5)</f>
        <v>147329</v>
      </c>
      <c r="L22" s="15">
        <f t="shared" si="1"/>
        <v>79331</v>
      </c>
      <c r="M22" s="8"/>
    </row>
    <row r="23" spans="2:13">
      <c r="B23" s="14">
        <v>20</v>
      </c>
      <c r="C23" s="2" t="s">
        <v>128</v>
      </c>
      <c r="D23" s="15">
        <v>200000</v>
      </c>
      <c r="E23" s="15">
        <v>26660</v>
      </c>
      <c r="F23" s="15">
        <f t="shared" si="0"/>
        <v>226660</v>
      </c>
      <c r="G23" s="32">
        <v>40</v>
      </c>
      <c r="H23" s="15">
        <v>5666.5</v>
      </c>
      <c r="I23" s="22">
        <v>38</v>
      </c>
      <c r="J23" s="21">
        <v>2</v>
      </c>
      <c r="K23" s="12">
        <f>(38*5666.5)</f>
        <v>215327</v>
      </c>
      <c r="L23" s="15">
        <f t="shared" si="1"/>
        <v>11333</v>
      </c>
      <c r="M23" s="10"/>
    </row>
    <row r="24" spans="2:13">
      <c r="B24" s="14">
        <v>21</v>
      </c>
      <c r="C24" s="2" t="s">
        <v>129</v>
      </c>
      <c r="D24" s="15">
        <v>200000</v>
      </c>
      <c r="E24" s="15">
        <v>26660</v>
      </c>
      <c r="F24" s="15">
        <f t="shared" si="0"/>
        <v>226660</v>
      </c>
      <c r="G24" s="31">
        <v>40</v>
      </c>
      <c r="H24" s="15">
        <v>5666.5</v>
      </c>
      <c r="I24" s="8">
        <v>32</v>
      </c>
      <c r="J24" s="8">
        <v>8</v>
      </c>
      <c r="K24" s="12">
        <f>(32*5666.5)</f>
        <v>181328</v>
      </c>
      <c r="L24" s="15">
        <f t="shared" si="1"/>
        <v>45332</v>
      </c>
      <c r="M24" s="8"/>
    </row>
    <row r="25" spans="2:13">
      <c r="B25" s="14">
        <v>22</v>
      </c>
      <c r="C25" s="25" t="s">
        <v>105</v>
      </c>
      <c r="D25" s="12">
        <v>330000</v>
      </c>
      <c r="E25" s="16">
        <v>43989</v>
      </c>
      <c r="F25" s="15">
        <f t="shared" si="0"/>
        <v>373989</v>
      </c>
      <c r="G25" s="33">
        <v>50</v>
      </c>
      <c r="H25" s="16">
        <v>7479.78</v>
      </c>
      <c r="I25" s="8">
        <v>24</v>
      </c>
      <c r="J25" s="8">
        <v>26</v>
      </c>
      <c r="K25" s="12">
        <f>(24*7479.78)</f>
        <v>179514.72</v>
      </c>
      <c r="L25" s="15">
        <f t="shared" si="1"/>
        <v>194474.28</v>
      </c>
      <c r="M25" s="8"/>
    </row>
    <row r="26" spans="2:13">
      <c r="B26" s="14">
        <v>23</v>
      </c>
      <c r="C26" s="2" t="s">
        <v>214</v>
      </c>
      <c r="D26" s="12">
        <v>60000</v>
      </c>
      <c r="E26" s="12">
        <v>7998</v>
      </c>
      <c r="F26" s="15">
        <f t="shared" si="0"/>
        <v>67998</v>
      </c>
      <c r="G26" s="31">
        <v>40</v>
      </c>
      <c r="H26" s="12">
        <v>1699.95</v>
      </c>
      <c r="I26" s="8">
        <v>38</v>
      </c>
      <c r="J26" s="8">
        <v>2</v>
      </c>
      <c r="K26" s="12">
        <f>(38*1699.95)</f>
        <v>64598.1</v>
      </c>
      <c r="L26" s="15">
        <f t="shared" si="1"/>
        <v>3399.9000000000015</v>
      </c>
      <c r="M26" s="8"/>
    </row>
    <row r="27" spans="2:13">
      <c r="B27" s="14">
        <v>24</v>
      </c>
      <c r="C27" s="2" t="s">
        <v>130</v>
      </c>
      <c r="D27" s="15">
        <v>200000</v>
      </c>
      <c r="E27" s="15">
        <v>26660</v>
      </c>
      <c r="F27" s="15">
        <f t="shared" si="0"/>
        <v>226660</v>
      </c>
      <c r="G27" s="31">
        <v>40</v>
      </c>
      <c r="H27" s="15">
        <v>5666.5</v>
      </c>
      <c r="I27" s="8">
        <v>29</v>
      </c>
      <c r="J27" s="8">
        <v>11</v>
      </c>
      <c r="K27" s="12">
        <f>(29*5666.5)</f>
        <v>164328.5</v>
      </c>
      <c r="L27" s="15">
        <f t="shared" si="1"/>
        <v>62331.5</v>
      </c>
      <c r="M27" s="8"/>
    </row>
    <row r="28" spans="2:13">
      <c r="B28" s="14">
        <v>25</v>
      </c>
      <c r="C28" s="2" t="s">
        <v>215</v>
      </c>
      <c r="D28" s="12">
        <v>60000</v>
      </c>
      <c r="E28" s="12">
        <v>7998</v>
      </c>
      <c r="F28" s="15">
        <f t="shared" si="0"/>
        <v>67998</v>
      </c>
      <c r="G28" s="31">
        <v>40</v>
      </c>
      <c r="H28" s="12">
        <v>1699.95</v>
      </c>
      <c r="I28" s="8">
        <v>38</v>
      </c>
      <c r="J28" s="8">
        <v>2</v>
      </c>
      <c r="K28" s="12">
        <f>(38*1699.95)</f>
        <v>64598.1</v>
      </c>
      <c r="L28" s="15">
        <f t="shared" si="1"/>
        <v>3399.9000000000015</v>
      </c>
      <c r="M28" s="8"/>
    </row>
    <row r="29" spans="2:13">
      <c r="B29" s="14">
        <v>26</v>
      </c>
      <c r="C29" s="2" t="s">
        <v>131</v>
      </c>
      <c r="D29" s="15">
        <v>200000</v>
      </c>
      <c r="E29" s="15">
        <v>26660</v>
      </c>
      <c r="F29" s="15">
        <f t="shared" si="0"/>
        <v>226660</v>
      </c>
      <c r="G29" s="32">
        <v>40</v>
      </c>
      <c r="H29" s="15">
        <v>5666.5</v>
      </c>
      <c r="I29" s="22">
        <v>38</v>
      </c>
      <c r="J29" s="21">
        <v>2</v>
      </c>
      <c r="K29" s="12">
        <f>(38*5666.5)</f>
        <v>215327</v>
      </c>
      <c r="L29" s="15">
        <f t="shared" si="1"/>
        <v>11333</v>
      </c>
      <c r="M29" s="10"/>
    </row>
    <row r="30" spans="2:13">
      <c r="B30" s="14">
        <v>27</v>
      </c>
      <c r="C30" s="2" t="s">
        <v>132</v>
      </c>
      <c r="D30" s="15">
        <v>200000</v>
      </c>
      <c r="E30" s="15">
        <v>26660</v>
      </c>
      <c r="F30" s="15">
        <f t="shared" si="0"/>
        <v>226660</v>
      </c>
      <c r="G30" s="31">
        <v>40</v>
      </c>
      <c r="H30" s="15">
        <v>5666.5</v>
      </c>
      <c r="I30" s="8">
        <v>36</v>
      </c>
      <c r="J30" s="8">
        <v>4</v>
      </c>
      <c r="K30" s="12">
        <f>(36*5666.5)</f>
        <v>203994</v>
      </c>
      <c r="L30" s="15">
        <f t="shared" si="1"/>
        <v>22666</v>
      </c>
      <c r="M30" s="8"/>
    </row>
    <row r="31" spans="2:13">
      <c r="B31" s="14">
        <v>28</v>
      </c>
      <c r="C31" s="2" t="s">
        <v>106</v>
      </c>
      <c r="D31" s="12">
        <v>330000</v>
      </c>
      <c r="E31" s="12">
        <v>43989</v>
      </c>
      <c r="F31" s="15">
        <f t="shared" si="0"/>
        <v>373989</v>
      </c>
      <c r="G31" s="31">
        <v>50</v>
      </c>
      <c r="H31" s="12">
        <v>7479.78</v>
      </c>
      <c r="I31" s="11">
        <v>15</v>
      </c>
      <c r="J31" s="11">
        <v>35</v>
      </c>
      <c r="K31" s="16">
        <f>(15*7479.78)</f>
        <v>112196.7</v>
      </c>
      <c r="L31" s="15">
        <f t="shared" si="1"/>
        <v>261792.3</v>
      </c>
      <c r="M31" s="8"/>
    </row>
    <row r="32" spans="2:13">
      <c r="B32" s="14">
        <v>29</v>
      </c>
      <c r="C32" s="2" t="s">
        <v>133</v>
      </c>
      <c r="D32" s="15">
        <v>200000</v>
      </c>
      <c r="E32" s="15">
        <v>26660</v>
      </c>
      <c r="F32" s="15">
        <f t="shared" si="0"/>
        <v>226660</v>
      </c>
      <c r="G32" s="31">
        <v>40</v>
      </c>
      <c r="H32" s="15">
        <v>5666.5</v>
      </c>
      <c r="I32" s="8">
        <v>37</v>
      </c>
      <c r="J32" s="8">
        <v>3</v>
      </c>
      <c r="K32" s="12">
        <f>(37*5666.5)</f>
        <v>209660.5</v>
      </c>
      <c r="L32" s="15">
        <f t="shared" si="1"/>
        <v>16999.5</v>
      </c>
      <c r="M32" s="8"/>
    </row>
    <row r="33" spans="2:13">
      <c r="B33" s="14">
        <v>30</v>
      </c>
      <c r="C33" s="2" t="s">
        <v>134</v>
      </c>
      <c r="D33" s="15">
        <v>200000</v>
      </c>
      <c r="E33" s="15">
        <v>26660</v>
      </c>
      <c r="F33" s="15">
        <f t="shared" si="0"/>
        <v>226660</v>
      </c>
      <c r="G33" s="31">
        <v>40</v>
      </c>
      <c r="H33" s="15">
        <v>5666.5</v>
      </c>
      <c r="I33" s="8">
        <v>29</v>
      </c>
      <c r="J33" s="8">
        <v>11</v>
      </c>
      <c r="K33" s="12">
        <f>(29*5666.5)</f>
        <v>164328.5</v>
      </c>
      <c r="L33" s="15">
        <f t="shared" si="1"/>
        <v>62331.5</v>
      </c>
      <c r="M33" s="8"/>
    </row>
    <row r="34" spans="2:13">
      <c r="B34" s="14">
        <v>31</v>
      </c>
      <c r="C34" s="2" t="s">
        <v>135</v>
      </c>
      <c r="D34" s="15">
        <v>200000</v>
      </c>
      <c r="E34" s="15">
        <v>26660</v>
      </c>
      <c r="F34" s="15">
        <f t="shared" si="0"/>
        <v>226660</v>
      </c>
      <c r="G34" s="31">
        <v>40</v>
      </c>
      <c r="H34" s="15">
        <v>5666.5</v>
      </c>
      <c r="I34" s="8">
        <v>29</v>
      </c>
      <c r="J34" s="8">
        <v>11</v>
      </c>
      <c r="K34" s="12">
        <f>(29*5666.5)</f>
        <v>164328.5</v>
      </c>
      <c r="L34" s="15">
        <f t="shared" si="1"/>
        <v>62331.5</v>
      </c>
      <c r="M34" s="8"/>
    </row>
    <row r="35" spans="2:13">
      <c r="B35" s="14">
        <v>32</v>
      </c>
      <c r="C35" s="25" t="s">
        <v>53</v>
      </c>
      <c r="D35" s="12">
        <v>500000</v>
      </c>
      <c r="E35" s="12">
        <v>66650</v>
      </c>
      <c r="F35" s="15">
        <f t="shared" si="0"/>
        <v>566650</v>
      </c>
      <c r="G35" s="31">
        <v>50</v>
      </c>
      <c r="H35" s="12">
        <v>11333</v>
      </c>
      <c r="I35" s="11">
        <v>15</v>
      </c>
      <c r="J35" s="11">
        <v>35</v>
      </c>
      <c r="K35" s="12">
        <f>(15*11333)</f>
        <v>169995</v>
      </c>
      <c r="L35" s="15">
        <f t="shared" si="1"/>
        <v>396655</v>
      </c>
      <c r="M35" s="8"/>
    </row>
    <row r="36" spans="2:13">
      <c r="B36" s="14">
        <v>33</v>
      </c>
      <c r="C36" s="2" t="s">
        <v>202</v>
      </c>
      <c r="D36" s="12">
        <v>132000</v>
      </c>
      <c r="E36" s="12">
        <v>17595.599999999999</v>
      </c>
      <c r="F36" s="15">
        <f t="shared" ref="F36:F67" si="2">SUM(D36:E36)</f>
        <v>149595.6</v>
      </c>
      <c r="G36" s="31">
        <v>40</v>
      </c>
      <c r="H36" s="12">
        <v>3739.89</v>
      </c>
      <c r="I36" s="8">
        <v>26</v>
      </c>
      <c r="J36" s="8">
        <v>14</v>
      </c>
      <c r="K36" s="12">
        <f>(26*3739.89)</f>
        <v>97237.14</v>
      </c>
      <c r="L36" s="15">
        <f t="shared" ref="L36:L67" si="3">F36-K36</f>
        <v>52358.460000000006</v>
      </c>
      <c r="M36" s="8"/>
    </row>
    <row r="37" spans="2:13">
      <c r="B37" s="14">
        <v>34</v>
      </c>
      <c r="C37" s="2" t="s">
        <v>136</v>
      </c>
      <c r="D37" s="15">
        <v>200000</v>
      </c>
      <c r="E37" s="15">
        <v>26660</v>
      </c>
      <c r="F37" s="15">
        <f t="shared" si="2"/>
        <v>226660</v>
      </c>
      <c r="G37" s="32">
        <v>40</v>
      </c>
      <c r="H37" s="15">
        <v>5666.5</v>
      </c>
      <c r="I37" s="30">
        <v>40</v>
      </c>
      <c r="J37" s="9"/>
      <c r="K37" s="12">
        <f>(40*5666.5)</f>
        <v>226660</v>
      </c>
      <c r="L37" s="15">
        <f t="shared" si="3"/>
        <v>0</v>
      </c>
      <c r="M37" s="10"/>
    </row>
    <row r="38" spans="2:13">
      <c r="B38" s="14">
        <v>35</v>
      </c>
      <c r="C38" s="2" t="s">
        <v>54</v>
      </c>
      <c r="D38" s="12">
        <v>500000</v>
      </c>
      <c r="E38" s="12">
        <v>66650</v>
      </c>
      <c r="F38" s="15">
        <f t="shared" si="2"/>
        <v>566650</v>
      </c>
      <c r="G38" s="31">
        <v>50</v>
      </c>
      <c r="H38" s="12">
        <v>11333</v>
      </c>
      <c r="I38" s="11">
        <v>24</v>
      </c>
      <c r="J38" s="11">
        <v>26</v>
      </c>
      <c r="K38" s="12">
        <f>(24*11333)</f>
        <v>271992</v>
      </c>
      <c r="L38" s="15">
        <f t="shared" si="3"/>
        <v>294658</v>
      </c>
      <c r="M38" s="8"/>
    </row>
    <row r="39" spans="2:13">
      <c r="B39" s="14">
        <v>36</v>
      </c>
      <c r="C39" s="2" t="s">
        <v>55</v>
      </c>
      <c r="D39" s="12">
        <v>500000</v>
      </c>
      <c r="E39" s="12">
        <v>66650</v>
      </c>
      <c r="F39" s="15">
        <f t="shared" si="2"/>
        <v>566650</v>
      </c>
      <c r="G39" s="31">
        <v>50</v>
      </c>
      <c r="H39" s="12">
        <v>11333</v>
      </c>
      <c r="I39" s="8">
        <v>36</v>
      </c>
      <c r="J39" s="8">
        <v>14</v>
      </c>
      <c r="K39" s="12">
        <f>(36*11333)</f>
        <v>407988</v>
      </c>
      <c r="L39" s="15">
        <f t="shared" si="3"/>
        <v>158662</v>
      </c>
      <c r="M39" s="8"/>
    </row>
    <row r="40" spans="2:13">
      <c r="B40" s="14">
        <v>37</v>
      </c>
      <c r="C40" s="2" t="s">
        <v>137</v>
      </c>
      <c r="D40" s="15">
        <v>200000</v>
      </c>
      <c r="E40" s="15">
        <v>26660</v>
      </c>
      <c r="F40" s="15">
        <f t="shared" si="2"/>
        <v>226660</v>
      </c>
      <c r="G40" s="31">
        <v>40</v>
      </c>
      <c r="H40" s="15">
        <v>5666.5</v>
      </c>
      <c r="I40" s="8">
        <v>29</v>
      </c>
      <c r="J40" s="8">
        <v>11</v>
      </c>
      <c r="K40" s="12">
        <f>(29*5666.5)</f>
        <v>164328.5</v>
      </c>
      <c r="L40" s="15">
        <f t="shared" si="3"/>
        <v>62331.5</v>
      </c>
      <c r="M40" s="8"/>
    </row>
    <row r="41" spans="2:13">
      <c r="B41" s="14">
        <v>38</v>
      </c>
      <c r="C41" s="2" t="s">
        <v>56</v>
      </c>
      <c r="D41" s="12">
        <v>500000</v>
      </c>
      <c r="E41" s="12">
        <v>66650</v>
      </c>
      <c r="F41" s="15">
        <f t="shared" si="2"/>
        <v>566650</v>
      </c>
      <c r="G41" s="31">
        <v>50</v>
      </c>
      <c r="H41" s="12">
        <v>11333</v>
      </c>
      <c r="I41" s="8">
        <v>36</v>
      </c>
      <c r="J41" s="8">
        <v>14</v>
      </c>
      <c r="K41" s="12">
        <f>(36*11333)</f>
        <v>407988</v>
      </c>
      <c r="L41" s="15">
        <f t="shared" si="3"/>
        <v>158662</v>
      </c>
      <c r="M41" s="8"/>
    </row>
    <row r="42" spans="2:13">
      <c r="B42" s="14">
        <v>39</v>
      </c>
      <c r="C42" s="2" t="s">
        <v>50</v>
      </c>
      <c r="D42" s="12">
        <v>500000</v>
      </c>
      <c r="E42" s="12">
        <v>53320</v>
      </c>
      <c r="F42" s="15">
        <f t="shared" si="2"/>
        <v>553320</v>
      </c>
      <c r="G42" s="31">
        <v>40</v>
      </c>
      <c r="H42" s="12">
        <v>13833</v>
      </c>
      <c r="I42" s="8">
        <v>36</v>
      </c>
      <c r="J42" s="8">
        <v>4</v>
      </c>
      <c r="K42" s="12">
        <f>(36*13833)</f>
        <v>497988</v>
      </c>
      <c r="L42" s="15">
        <f t="shared" si="3"/>
        <v>55332</v>
      </c>
      <c r="M42" s="8"/>
    </row>
    <row r="43" spans="2:13">
      <c r="B43" s="14">
        <v>40</v>
      </c>
      <c r="C43" s="2" t="s">
        <v>138</v>
      </c>
      <c r="D43" s="15">
        <v>200000</v>
      </c>
      <c r="E43" s="15">
        <v>26660</v>
      </c>
      <c r="F43" s="15">
        <f t="shared" si="2"/>
        <v>226660</v>
      </c>
      <c r="G43" s="31">
        <v>40</v>
      </c>
      <c r="H43" s="15">
        <v>5666.5</v>
      </c>
      <c r="I43" s="8">
        <v>29</v>
      </c>
      <c r="J43" s="8">
        <v>11</v>
      </c>
      <c r="K43" s="12">
        <f>(29*5666.5)</f>
        <v>164328.5</v>
      </c>
      <c r="L43" s="15">
        <f t="shared" si="3"/>
        <v>62331.5</v>
      </c>
      <c r="M43" s="8"/>
    </row>
    <row r="44" spans="2:13">
      <c r="B44" s="14">
        <v>41</v>
      </c>
      <c r="C44" s="2" t="s">
        <v>57</v>
      </c>
      <c r="D44" s="12">
        <v>500000</v>
      </c>
      <c r="E44" s="12">
        <v>66650</v>
      </c>
      <c r="F44" s="15">
        <f t="shared" si="2"/>
        <v>566650</v>
      </c>
      <c r="G44" s="31">
        <v>50</v>
      </c>
      <c r="H44" s="12">
        <v>11333</v>
      </c>
      <c r="I44" s="11">
        <v>15</v>
      </c>
      <c r="J44" s="11">
        <v>35</v>
      </c>
      <c r="K44" s="12">
        <f>(15*11333)</f>
        <v>169995</v>
      </c>
      <c r="L44" s="15">
        <f t="shared" si="3"/>
        <v>396655</v>
      </c>
      <c r="M44" s="8"/>
    </row>
    <row r="45" spans="2:13">
      <c r="B45" s="14">
        <v>42</v>
      </c>
      <c r="C45" s="2" t="s">
        <v>139</v>
      </c>
      <c r="D45" s="15">
        <v>200000</v>
      </c>
      <c r="E45" s="15">
        <v>26660</v>
      </c>
      <c r="F45" s="15">
        <f t="shared" si="2"/>
        <v>226660</v>
      </c>
      <c r="G45" s="31">
        <v>40</v>
      </c>
      <c r="H45" s="15">
        <v>5666.5</v>
      </c>
      <c r="I45" s="8">
        <v>29</v>
      </c>
      <c r="J45" s="8">
        <v>11</v>
      </c>
      <c r="K45" s="12">
        <f>(29*5666.5)</f>
        <v>164328.5</v>
      </c>
      <c r="L45" s="15">
        <f t="shared" si="3"/>
        <v>62331.5</v>
      </c>
      <c r="M45" s="8"/>
    </row>
    <row r="46" spans="2:13">
      <c r="B46" s="14">
        <v>43</v>
      </c>
      <c r="C46" s="2" t="s">
        <v>140</v>
      </c>
      <c r="D46" s="15">
        <v>200000</v>
      </c>
      <c r="E46" s="15">
        <v>26660</v>
      </c>
      <c r="F46" s="15">
        <f t="shared" si="2"/>
        <v>226660</v>
      </c>
      <c r="G46" s="31">
        <v>40</v>
      </c>
      <c r="H46" s="15">
        <v>5666.5</v>
      </c>
      <c r="I46" s="8">
        <v>25</v>
      </c>
      <c r="J46" s="8">
        <v>15</v>
      </c>
      <c r="K46" s="12">
        <f>(25*5666.5)</f>
        <v>141662.5</v>
      </c>
      <c r="L46" s="15">
        <f t="shared" si="3"/>
        <v>84997.5</v>
      </c>
      <c r="M46" s="8"/>
    </row>
    <row r="47" spans="2:13">
      <c r="B47" s="14">
        <v>44</v>
      </c>
      <c r="C47" s="2" t="s">
        <v>141</v>
      </c>
      <c r="D47" s="15">
        <v>200000</v>
      </c>
      <c r="E47" s="15">
        <v>26660</v>
      </c>
      <c r="F47" s="15">
        <f t="shared" si="2"/>
        <v>226660</v>
      </c>
      <c r="G47" s="31">
        <v>40</v>
      </c>
      <c r="H47" s="15">
        <v>5666.5</v>
      </c>
      <c r="I47" s="8">
        <v>29</v>
      </c>
      <c r="J47" s="8">
        <v>11</v>
      </c>
      <c r="K47" s="12">
        <f>(29*5666.5)</f>
        <v>164328.5</v>
      </c>
      <c r="L47" s="15">
        <f t="shared" si="3"/>
        <v>62331.5</v>
      </c>
      <c r="M47" s="8"/>
    </row>
    <row r="48" spans="2:13">
      <c r="B48" s="14">
        <v>45</v>
      </c>
      <c r="C48" s="2" t="s">
        <v>107</v>
      </c>
      <c r="D48" s="12">
        <v>330000</v>
      </c>
      <c r="E48" s="12">
        <v>43989</v>
      </c>
      <c r="F48" s="15">
        <f t="shared" si="2"/>
        <v>373989</v>
      </c>
      <c r="G48" s="31">
        <v>50</v>
      </c>
      <c r="H48" s="12">
        <v>7479.78</v>
      </c>
      <c r="I48" s="8">
        <v>36</v>
      </c>
      <c r="J48" s="8">
        <v>14</v>
      </c>
      <c r="K48" s="12">
        <f>(36*11333)</f>
        <v>407988</v>
      </c>
      <c r="L48" s="15">
        <f t="shared" si="3"/>
        <v>-33999</v>
      </c>
      <c r="M48" s="8"/>
    </row>
    <row r="49" spans="2:13">
      <c r="B49" s="14">
        <v>46</v>
      </c>
      <c r="C49" s="2" t="s">
        <v>108</v>
      </c>
      <c r="D49" s="12">
        <v>330000</v>
      </c>
      <c r="E49" s="12">
        <v>43989</v>
      </c>
      <c r="F49" s="15">
        <f t="shared" si="2"/>
        <v>373989</v>
      </c>
      <c r="G49" s="31">
        <v>50</v>
      </c>
      <c r="H49" s="12">
        <v>7479.78</v>
      </c>
      <c r="I49" s="8">
        <v>36</v>
      </c>
      <c r="J49" s="8">
        <v>14</v>
      </c>
      <c r="K49" s="12">
        <f>(36*11333)</f>
        <v>407988</v>
      </c>
      <c r="L49" s="15">
        <f t="shared" si="3"/>
        <v>-33999</v>
      </c>
      <c r="M49" s="8"/>
    </row>
    <row r="50" spans="2:13">
      <c r="B50" s="14">
        <v>47</v>
      </c>
      <c r="C50" s="2" t="s">
        <v>142</v>
      </c>
      <c r="D50" s="15">
        <v>200000</v>
      </c>
      <c r="E50" s="15">
        <v>26660</v>
      </c>
      <c r="F50" s="15">
        <f t="shared" si="2"/>
        <v>226660</v>
      </c>
      <c r="G50" s="31">
        <v>40</v>
      </c>
      <c r="H50" s="15">
        <v>5666.5</v>
      </c>
      <c r="I50" s="8">
        <v>29</v>
      </c>
      <c r="J50" s="8">
        <v>11</v>
      </c>
      <c r="K50" s="12">
        <f>(29*5666.5)</f>
        <v>164328.5</v>
      </c>
      <c r="L50" s="15">
        <f t="shared" si="3"/>
        <v>62331.5</v>
      </c>
      <c r="M50" s="8"/>
    </row>
    <row r="51" spans="2:13">
      <c r="B51" s="14">
        <v>48</v>
      </c>
      <c r="C51" s="2" t="s">
        <v>143</v>
      </c>
      <c r="D51" s="15">
        <v>200000</v>
      </c>
      <c r="E51" s="15">
        <v>26660</v>
      </c>
      <c r="F51" s="15">
        <f t="shared" si="2"/>
        <v>226660</v>
      </c>
      <c r="G51" s="31">
        <v>40</v>
      </c>
      <c r="H51" s="15">
        <v>5666.5</v>
      </c>
      <c r="I51" s="8">
        <v>36</v>
      </c>
      <c r="J51" s="8">
        <v>4</v>
      </c>
      <c r="K51" s="12">
        <f>(36*5666.5)</f>
        <v>203994</v>
      </c>
      <c r="L51" s="15">
        <f t="shared" si="3"/>
        <v>22666</v>
      </c>
      <c r="M51" s="8"/>
    </row>
    <row r="52" spans="2:13">
      <c r="B52" s="14">
        <v>49</v>
      </c>
      <c r="C52" s="2" t="s">
        <v>192</v>
      </c>
      <c r="D52" s="12">
        <v>180000</v>
      </c>
      <c r="E52" s="12">
        <v>23994</v>
      </c>
      <c r="F52" s="15">
        <f t="shared" si="2"/>
        <v>203994</v>
      </c>
      <c r="G52" s="31">
        <v>40</v>
      </c>
      <c r="H52" s="12">
        <v>5099.8500000000004</v>
      </c>
      <c r="I52" s="8">
        <v>26</v>
      </c>
      <c r="J52" s="8">
        <v>14</v>
      </c>
      <c r="K52" s="12">
        <f>(26*5099.85)</f>
        <v>132596.1</v>
      </c>
      <c r="L52" s="15">
        <f t="shared" si="3"/>
        <v>71397.899999999994</v>
      </c>
      <c r="M52" s="8"/>
    </row>
    <row r="53" spans="2:13">
      <c r="B53" s="14">
        <v>50</v>
      </c>
      <c r="C53" s="25" t="s">
        <v>94</v>
      </c>
      <c r="D53" s="12">
        <v>450000</v>
      </c>
      <c r="E53" s="12">
        <v>59985</v>
      </c>
      <c r="F53" s="15">
        <f t="shared" si="2"/>
        <v>509985</v>
      </c>
      <c r="G53" s="31">
        <v>50</v>
      </c>
      <c r="H53" s="12">
        <v>10199.700000000001</v>
      </c>
      <c r="I53" s="8">
        <v>20</v>
      </c>
      <c r="J53" s="8">
        <v>30</v>
      </c>
      <c r="K53" s="12">
        <f>(20*10199.7)</f>
        <v>203994</v>
      </c>
      <c r="L53" s="15">
        <f t="shared" si="3"/>
        <v>305991</v>
      </c>
      <c r="M53" s="8"/>
    </row>
    <row r="54" spans="2:13">
      <c r="B54" s="14">
        <v>51</v>
      </c>
      <c r="C54" s="25" t="s">
        <v>216</v>
      </c>
      <c r="D54" s="12">
        <v>60000</v>
      </c>
      <c r="E54" s="12">
        <v>7998</v>
      </c>
      <c r="F54" s="15">
        <f t="shared" si="2"/>
        <v>67998</v>
      </c>
      <c r="G54" s="31">
        <v>40</v>
      </c>
      <c r="H54" s="24">
        <v>1699.95</v>
      </c>
      <c r="I54" s="8"/>
      <c r="J54" s="8"/>
      <c r="K54" s="12"/>
      <c r="L54" s="15">
        <f t="shared" si="3"/>
        <v>67998</v>
      </c>
      <c r="M54" s="8"/>
    </row>
    <row r="55" spans="2:13">
      <c r="B55" s="14">
        <v>52</v>
      </c>
      <c r="C55" s="2" t="s">
        <v>109</v>
      </c>
      <c r="D55" s="12">
        <v>330000</v>
      </c>
      <c r="E55" s="16">
        <v>43989</v>
      </c>
      <c r="F55" s="15">
        <f t="shared" si="2"/>
        <v>373989</v>
      </c>
      <c r="G55" s="33">
        <v>50</v>
      </c>
      <c r="H55" s="16">
        <v>7479.78</v>
      </c>
      <c r="I55" s="11">
        <v>14</v>
      </c>
      <c r="J55" s="11">
        <v>36</v>
      </c>
      <c r="K55" s="12">
        <f>(14*7479.78)</f>
        <v>104716.92</v>
      </c>
      <c r="L55" s="15">
        <f t="shared" si="3"/>
        <v>269272.08</v>
      </c>
      <c r="M55" s="8"/>
    </row>
    <row r="56" spans="2:13">
      <c r="B56" s="14">
        <v>53</v>
      </c>
      <c r="C56" s="2" t="s">
        <v>144</v>
      </c>
      <c r="D56" s="15">
        <v>200000</v>
      </c>
      <c r="E56" s="15">
        <v>26660</v>
      </c>
      <c r="F56" s="15">
        <f t="shared" si="2"/>
        <v>226660</v>
      </c>
      <c r="G56" s="31">
        <v>40</v>
      </c>
      <c r="H56" s="15">
        <v>5666.5</v>
      </c>
      <c r="I56" s="8">
        <v>32</v>
      </c>
      <c r="J56" s="8">
        <v>8</v>
      </c>
      <c r="K56" s="12">
        <f>(32*5666.5)</f>
        <v>181328</v>
      </c>
      <c r="L56" s="15">
        <f t="shared" si="3"/>
        <v>45332</v>
      </c>
      <c r="M56" s="8"/>
    </row>
    <row r="57" spans="2:13">
      <c r="B57" s="14">
        <v>54</v>
      </c>
      <c r="C57" s="2" t="s">
        <v>193</v>
      </c>
      <c r="D57" s="12">
        <v>180000</v>
      </c>
      <c r="E57" s="12">
        <v>23994</v>
      </c>
      <c r="F57" s="15">
        <f t="shared" si="2"/>
        <v>203994</v>
      </c>
      <c r="G57" s="31">
        <v>40</v>
      </c>
      <c r="H57" s="12">
        <v>5099.8500000000004</v>
      </c>
      <c r="I57" s="8">
        <v>29</v>
      </c>
      <c r="J57" s="8">
        <v>11</v>
      </c>
      <c r="K57" s="12">
        <f>(29*5099.85)</f>
        <v>147895.65000000002</v>
      </c>
      <c r="L57" s="15">
        <f t="shared" si="3"/>
        <v>56098.349999999977</v>
      </c>
      <c r="M57" s="8"/>
    </row>
    <row r="58" spans="2:13">
      <c r="B58" s="14">
        <v>55</v>
      </c>
      <c r="C58" s="2" t="s">
        <v>58</v>
      </c>
      <c r="D58" s="12">
        <v>500000</v>
      </c>
      <c r="E58" s="12">
        <v>66650</v>
      </c>
      <c r="F58" s="15">
        <f t="shared" si="2"/>
        <v>566650</v>
      </c>
      <c r="G58" s="33">
        <v>50</v>
      </c>
      <c r="H58" s="12">
        <v>11333</v>
      </c>
      <c r="I58" s="11">
        <v>14</v>
      </c>
      <c r="J58" s="11">
        <v>36</v>
      </c>
      <c r="K58" s="12">
        <f>(14*11333)</f>
        <v>158662</v>
      </c>
      <c r="L58" s="15">
        <f t="shared" si="3"/>
        <v>407988</v>
      </c>
      <c r="M58" s="8"/>
    </row>
    <row r="59" spans="2:13">
      <c r="B59" s="14">
        <v>56</v>
      </c>
      <c r="C59" s="2" t="s">
        <v>59</v>
      </c>
      <c r="D59" s="12">
        <v>500000</v>
      </c>
      <c r="E59" s="12">
        <v>66650</v>
      </c>
      <c r="F59" s="15">
        <f t="shared" si="2"/>
        <v>566650</v>
      </c>
      <c r="G59" s="31">
        <v>50</v>
      </c>
      <c r="H59" s="12">
        <v>11333</v>
      </c>
      <c r="I59" s="11">
        <v>24</v>
      </c>
      <c r="J59" s="11">
        <v>26</v>
      </c>
      <c r="K59" s="12">
        <f>(24*11333)</f>
        <v>271992</v>
      </c>
      <c r="L59" s="15">
        <f t="shared" si="3"/>
        <v>294658</v>
      </c>
      <c r="M59" s="8"/>
    </row>
    <row r="60" spans="2:13">
      <c r="B60" s="14">
        <v>57</v>
      </c>
      <c r="C60" s="2" t="s">
        <v>60</v>
      </c>
      <c r="D60" s="12">
        <v>500000</v>
      </c>
      <c r="E60" s="12">
        <v>66650</v>
      </c>
      <c r="F60" s="15">
        <f t="shared" si="2"/>
        <v>566650</v>
      </c>
      <c r="G60" s="31">
        <v>50</v>
      </c>
      <c r="H60" s="12">
        <v>11333</v>
      </c>
      <c r="I60" s="11">
        <v>24</v>
      </c>
      <c r="J60" s="11">
        <v>26</v>
      </c>
      <c r="K60" s="12">
        <f>(24*11333)</f>
        <v>271992</v>
      </c>
      <c r="L60" s="15">
        <f t="shared" si="3"/>
        <v>294658</v>
      </c>
      <c r="M60" s="8"/>
    </row>
    <row r="61" spans="2:13">
      <c r="B61" s="14">
        <v>58</v>
      </c>
      <c r="C61" s="2" t="s">
        <v>145</v>
      </c>
      <c r="D61" s="15">
        <v>200000</v>
      </c>
      <c r="E61" s="15">
        <v>26660</v>
      </c>
      <c r="F61" s="15">
        <f t="shared" si="2"/>
        <v>226660</v>
      </c>
      <c r="G61" s="32">
        <v>40</v>
      </c>
      <c r="H61" s="15">
        <v>5666.5</v>
      </c>
      <c r="I61" s="22">
        <v>38</v>
      </c>
      <c r="J61" s="21">
        <v>2</v>
      </c>
      <c r="K61" s="12">
        <f>(38*5666.5)</f>
        <v>215327</v>
      </c>
      <c r="L61" s="15">
        <f t="shared" si="3"/>
        <v>11333</v>
      </c>
      <c r="M61" s="10"/>
    </row>
    <row r="62" spans="2:13">
      <c r="B62" s="14">
        <v>59</v>
      </c>
      <c r="C62" s="2" t="s">
        <v>146</v>
      </c>
      <c r="D62" s="15">
        <v>200000</v>
      </c>
      <c r="E62" s="15">
        <v>26660</v>
      </c>
      <c r="F62" s="15">
        <f t="shared" si="2"/>
        <v>226660</v>
      </c>
      <c r="G62" s="32">
        <v>40</v>
      </c>
      <c r="H62" s="15">
        <v>5666.5</v>
      </c>
      <c r="I62" s="22">
        <v>38</v>
      </c>
      <c r="J62" s="21">
        <v>2</v>
      </c>
      <c r="K62" s="12">
        <f>(38*5666.5)</f>
        <v>215327</v>
      </c>
      <c r="L62" s="15">
        <f t="shared" si="3"/>
        <v>11333</v>
      </c>
      <c r="M62" s="10"/>
    </row>
    <row r="63" spans="2:13">
      <c r="B63" s="14">
        <v>60</v>
      </c>
      <c r="C63" s="2" t="s">
        <v>61</v>
      </c>
      <c r="D63" s="12">
        <v>500000</v>
      </c>
      <c r="E63" s="12">
        <v>66650</v>
      </c>
      <c r="F63" s="15">
        <f t="shared" si="2"/>
        <v>566650</v>
      </c>
      <c r="G63" s="31">
        <v>50</v>
      </c>
      <c r="H63" s="12">
        <v>11333</v>
      </c>
      <c r="I63" s="11">
        <v>24</v>
      </c>
      <c r="J63" s="11">
        <v>26</v>
      </c>
      <c r="K63" s="12">
        <f>(24*11333)</f>
        <v>271992</v>
      </c>
      <c r="L63" s="15">
        <f t="shared" si="3"/>
        <v>294658</v>
      </c>
      <c r="M63" s="8"/>
    </row>
    <row r="64" spans="2:13">
      <c r="B64" s="14">
        <v>61</v>
      </c>
      <c r="C64" s="25" t="s">
        <v>110</v>
      </c>
      <c r="D64" s="12">
        <v>330000</v>
      </c>
      <c r="E64" s="16">
        <v>43989</v>
      </c>
      <c r="F64" s="15">
        <f t="shared" si="2"/>
        <v>373989</v>
      </c>
      <c r="G64" s="33">
        <v>50</v>
      </c>
      <c r="H64" s="16">
        <v>7479.78</v>
      </c>
      <c r="I64" s="8">
        <v>24</v>
      </c>
      <c r="J64" s="8">
        <v>26</v>
      </c>
      <c r="K64" s="12">
        <f>(24*7479.78)</f>
        <v>179514.72</v>
      </c>
      <c r="L64" s="15">
        <f t="shared" si="3"/>
        <v>194474.28</v>
      </c>
      <c r="M64" s="8"/>
    </row>
    <row r="65" spans="2:13">
      <c r="B65" s="14">
        <v>62</v>
      </c>
      <c r="C65" s="2" t="s">
        <v>147</v>
      </c>
      <c r="D65" s="12">
        <v>500000</v>
      </c>
      <c r="E65" s="12">
        <v>66650</v>
      </c>
      <c r="F65" s="15">
        <f t="shared" si="2"/>
        <v>566650</v>
      </c>
      <c r="G65" s="31">
        <v>50</v>
      </c>
      <c r="H65" s="24">
        <v>5666.5</v>
      </c>
      <c r="I65" s="11">
        <v>24</v>
      </c>
      <c r="J65" s="11">
        <v>26</v>
      </c>
      <c r="K65" s="16">
        <f>(24*5666.5)</f>
        <v>135996</v>
      </c>
      <c r="L65" s="15">
        <f t="shared" si="3"/>
        <v>430654</v>
      </c>
      <c r="M65" s="8"/>
    </row>
    <row r="66" spans="2:13">
      <c r="B66" s="14">
        <v>63</v>
      </c>
      <c r="C66" s="25" t="s">
        <v>187</v>
      </c>
      <c r="D66" s="41">
        <v>150000</v>
      </c>
      <c r="E66" s="41">
        <v>11997</v>
      </c>
      <c r="F66" s="41">
        <f t="shared" si="2"/>
        <v>161997</v>
      </c>
      <c r="G66" s="33">
        <v>30</v>
      </c>
      <c r="H66" s="41">
        <v>5399.9</v>
      </c>
      <c r="I66" s="11">
        <v>23</v>
      </c>
      <c r="J66" s="11">
        <v>7</v>
      </c>
      <c r="K66" s="16">
        <f>(23*5399.9)</f>
        <v>124197.7</v>
      </c>
      <c r="L66" s="41">
        <f t="shared" si="3"/>
        <v>37799.300000000003</v>
      </c>
      <c r="M66" s="8"/>
    </row>
    <row r="67" spans="2:13">
      <c r="B67" s="14">
        <v>64</v>
      </c>
      <c r="C67" s="23" t="s">
        <v>148</v>
      </c>
      <c r="D67" s="15">
        <v>200000</v>
      </c>
      <c r="E67" s="15">
        <v>26660</v>
      </c>
      <c r="F67" s="15">
        <f t="shared" si="2"/>
        <v>226660</v>
      </c>
      <c r="G67" s="31">
        <v>40</v>
      </c>
      <c r="H67" s="15">
        <v>5666.5</v>
      </c>
      <c r="I67" s="8">
        <v>26</v>
      </c>
      <c r="J67" s="8">
        <v>14</v>
      </c>
      <c r="K67" s="12">
        <f>(26*5666.5)</f>
        <v>147329</v>
      </c>
      <c r="L67" s="15">
        <f t="shared" si="3"/>
        <v>79331</v>
      </c>
      <c r="M67" s="8"/>
    </row>
    <row r="68" spans="2:13">
      <c r="B68" s="14">
        <v>65</v>
      </c>
      <c r="C68" s="2" t="s">
        <v>149</v>
      </c>
      <c r="D68" s="15">
        <v>200000</v>
      </c>
      <c r="E68" s="15">
        <v>26660</v>
      </c>
      <c r="F68" s="15">
        <f t="shared" ref="F68:F99" si="4">SUM(D68:E68)</f>
        <v>226660</v>
      </c>
      <c r="G68" s="31">
        <v>40</v>
      </c>
      <c r="H68" s="15">
        <v>5666.5</v>
      </c>
      <c r="I68" s="8">
        <v>29</v>
      </c>
      <c r="J68" s="8">
        <v>11</v>
      </c>
      <c r="K68" s="12">
        <f>(29*5666.5)</f>
        <v>164328.5</v>
      </c>
      <c r="L68" s="15">
        <f t="shared" ref="L68:L99" si="5">F68-K68</f>
        <v>62331.5</v>
      </c>
      <c r="M68" s="8"/>
    </row>
    <row r="69" spans="2:13">
      <c r="B69" s="14">
        <v>66</v>
      </c>
      <c r="C69" s="2" t="s">
        <v>150</v>
      </c>
      <c r="D69" s="15">
        <v>200000</v>
      </c>
      <c r="E69" s="15">
        <v>26660</v>
      </c>
      <c r="F69" s="15">
        <f t="shared" si="4"/>
        <v>226660</v>
      </c>
      <c r="G69" s="31">
        <v>40</v>
      </c>
      <c r="H69" s="15">
        <v>5666.5</v>
      </c>
      <c r="I69" s="8">
        <v>32</v>
      </c>
      <c r="J69" s="8">
        <v>8</v>
      </c>
      <c r="K69" s="12">
        <f>(32*5666.5)</f>
        <v>181328</v>
      </c>
      <c r="L69" s="15">
        <f t="shared" si="5"/>
        <v>45332</v>
      </c>
      <c r="M69" s="8"/>
    </row>
    <row r="70" spans="2:13">
      <c r="B70" s="14">
        <v>67</v>
      </c>
      <c r="C70" s="2" t="s">
        <v>12</v>
      </c>
      <c r="D70" s="12">
        <v>450000</v>
      </c>
      <c r="E70" s="12">
        <v>59985</v>
      </c>
      <c r="F70" s="15">
        <f t="shared" si="4"/>
        <v>509985</v>
      </c>
      <c r="G70" s="31" t="s">
        <v>13</v>
      </c>
      <c r="H70" s="16">
        <v>11333</v>
      </c>
      <c r="I70" s="31" t="s">
        <v>14</v>
      </c>
      <c r="J70" s="31" t="s">
        <v>15</v>
      </c>
      <c r="K70" s="12">
        <f>(4*11333)</f>
        <v>45332</v>
      </c>
      <c r="L70" s="15">
        <f t="shared" si="5"/>
        <v>464653</v>
      </c>
      <c r="M70" s="8"/>
    </row>
    <row r="71" spans="2:13">
      <c r="B71" s="14">
        <v>68</v>
      </c>
      <c r="C71" s="2" t="s">
        <v>194</v>
      </c>
      <c r="D71" s="12">
        <v>180000</v>
      </c>
      <c r="E71" s="12">
        <v>23994</v>
      </c>
      <c r="F71" s="15">
        <f t="shared" si="4"/>
        <v>203994</v>
      </c>
      <c r="G71" s="30">
        <v>40</v>
      </c>
      <c r="H71" s="12">
        <v>5099.8500000000004</v>
      </c>
      <c r="I71" s="22">
        <v>38</v>
      </c>
      <c r="J71" s="22">
        <v>2</v>
      </c>
      <c r="K71" s="12">
        <f>(38*5099.85)</f>
        <v>193794.30000000002</v>
      </c>
      <c r="L71" s="15">
        <f t="shared" si="5"/>
        <v>10199.699999999983</v>
      </c>
      <c r="M71" s="10"/>
    </row>
    <row r="72" spans="2:13">
      <c r="B72" s="14">
        <v>69</v>
      </c>
      <c r="C72" s="2" t="s">
        <v>211</v>
      </c>
      <c r="D72" s="12">
        <v>150000</v>
      </c>
      <c r="E72" s="12">
        <v>19995</v>
      </c>
      <c r="F72" s="15">
        <f t="shared" si="4"/>
        <v>169995</v>
      </c>
      <c r="G72" s="31">
        <v>50</v>
      </c>
      <c r="H72" s="12">
        <v>3399.9</v>
      </c>
      <c r="I72" s="8">
        <v>22</v>
      </c>
      <c r="J72" s="8">
        <v>28</v>
      </c>
      <c r="K72" s="12">
        <f>(22*3399.9)</f>
        <v>74797.8</v>
      </c>
      <c r="L72" s="15">
        <f t="shared" si="5"/>
        <v>95197.2</v>
      </c>
      <c r="M72" s="8"/>
    </row>
    <row r="73" spans="2:13">
      <c r="B73" s="14">
        <v>70</v>
      </c>
      <c r="C73" s="2" t="s">
        <v>111</v>
      </c>
      <c r="D73" s="12">
        <v>330000</v>
      </c>
      <c r="E73" s="12">
        <v>43989</v>
      </c>
      <c r="F73" s="15">
        <f t="shared" si="4"/>
        <v>373989</v>
      </c>
      <c r="G73" s="31">
        <v>50</v>
      </c>
      <c r="H73" s="12">
        <v>7479.78</v>
      </c>
      <c r="I73" s="11">
        <v>15</v>
      </c>
      <c r="J73" s="11">
        <v>35</v>
      </c>
      <c r="K73" s="16">
        <v>112196.7</v>
      </c>
      <c r="L73" s="15">
        <f t="shared" si="5"/>
        <v>261792.3</v>
      </c>
      <c r="M73" s="8"/>
    </row>
    <row r="74" spans="2:13">
      <c r="B74" s="14">
        <v>71</v>
      </c>
      <c r="C74" s="2" t="s">
        <v>151</v>
      </c>
      <c r="D74" s="15">
        <v>200000</v>
      </c>
      <c r="E74" s="15">
        <v>26660</v>
      </c>
      <c r="F74" s="15">
        <f t="shared" si="4"/>
        <v>226660</v>
      </c>
      <c r="G74" s="31">
        <v>40</v>
      </c>
      <c r="H74" s="15">
        <v>5666.5</v>
      </c>
      <c r="I74" s="8">
        <v>30</v>
      </c>
      <c r="J74" s="8">
        <v>10</v>
      </c>
      <c r="K74" s="12">
        <f>(30*5666.5)</f>
        <v>169995</v>
      </c>
      <c r="L74" s="15">
        <f t="shared" si="5"/>
        <v>56665</v>
      </c>
      <c r="M74" s="8"/>
    </row>
    <row r="75" spans="2:13">
      <c r="B75" s="14">
        <v>72</v>
      </c>
      <c r="C75" s="2" t="s">
        <v>152</v>
      </c>
      <c r="D75" s="15">
        <v>200000</v>
      </c>
      <c r="E75" s="15">
        <v>26660</v>
      </c>
      <c r="F75" s="15">
        <f t="shared" si="4"/>
        <v>226660</v>
      </c>
      <c r="G75" s="32">
        <v>40</v>
      </c>
      <c r="H75" s="15">
        <v>5666.5</v>
      </c>
      <c r="I75" s="22">
        <v>38</v>
      </c>
      <c r="J75" s="21">
        <v>2</v>
      </c>
      <c r="K75" s="15">
        <f>(38*5666.5)</f>
        <v>215327</v>
      </c>
      <c r="L75" s="15">
        <f t="shared" si="5"/>
        <v>11333</v>
      </c>
      <c r="M75" s="10"/>
    </row>
    <row r="76" spans="2:13">
      <c r="B76" s="14">
        <v>73</v>
      </c>
      <c r="C76" s="2" t="s">
        <v>153</v>
      </c>
      <c r="D76" s="15">
        <v>200000</v>
      </c>
      <c r="E76" s="15">
        <v>26660</v>
      </c>
      <c r="F76" s="15">
        <f t="shared" si="4"/>
        <v>226660</v>
      </c>
      <c r="G76" s="31">
        <v>40</v>
      </c>
      <c r="H76" s="15">
        <v>5666.5</v>
      </c>
      <c r="I76" s="8">
        <v>29</v>
      </c>
      <c r="J76" s="8">
        <v>11</v>
      </c>
      <c r="K76" s="12">
        <f>(29*5666.5)</f>
        <v>164328.5</v>
      </c>
      <c r="L76" s="15">
        <f t="shared" si="5"/>
        <v>62331.5</v>
      </c>
      <c r="M76" s="8"/>
    </row>
    <row r="77" spans="2:13">
      <c r="B77" s="14">
        <v>74</v>
      </c>
      <c r="C77" s="2" t="s">
        <v>112</v>
      </c>
      <c r="D77" s="12">
        <v>330000</v>
      </c>
      <c r="E77" s="12">
        <v>43989</v>
      </c>
      <c r="F77" s="15">
        <f t="shared" si="4"/>
        <v>373989</v>
      </c>
      <c r="G77" s="31">
        <v>50</v>
      </c>
      <c r="H77" s="12">
        <v>7479.78</v>
      </c>
      <c r="I77" s="11">
        <v>15</v>
      </c>
      <c r="J77" s="11">
        <v>35</v>
      </c>
      <c r="K77" s="12">
        <f>(15*7479.78)</f>
        <v>112196.7</v>
      </c>
      <c r="L77" s="15">
        <f t="shared" si="5"/>
        <v>261792.3</v>
      </c>
      <c r="M77" s="8"/>
    </row>
    <row r="78" spans="2:13">
      <c r="B78" s="14">
        <v>75</v>
      </c>
      <c r="C78" s="2" t="s">
        <v>62</v>
      </c>
      <c r="D78" s="12">
        <v>500000</v>
      </c>
      <c r="E78" s="12">
        <v>66650</v>
      </c>
      <c r="F78" s="15">
        <f t="shared" si="4"/>
        <v>566650</v>
      </c>
      <c r="G78" s="33">
        <v>50</v>
      </c>
      <c r="H78" s="12">
        <v>11333</v>
      </c>
      <c r="I78" s="11">
        <v>14</v>
      </c>
      <c r="J78" s="11">
        <v>36</v>
      </c>
      <c r="K78" s="12">
        <f>(14*11333)</f>
        <v>158662</v>
      </c>
      <c r="L78" s="15">
        <f t="shared" si="5"/>
        <v>407988</v>
      </c>
      <c r="M78" s="8"/>
    </row>
    <row r="79" spans="2:13">
      <c r="B79" s="14">
        <v>76</v>
      </c>
      <c r="C79" s="2" t="s">
        <v>63</v>
      </c>
      <c r="D79" s="12">
        <v>500000</v>
      </c>
      <c r="E79" s="12">
        <v>66650</v>
      </c>
      <c r="F79" s="15">
        <f t="shared" si="4"/>
        <v>566650</v>
      </c>
      <c r="G79" s="31">
        <v>50</v>
      </c>
      <c r="H79" s="12">
        <v>11333</v>
      </c>
      <c r="I79" s="11">
        <v>15</v>
      </c>
      <c r="J79" s="11">
        <v>35</v>
      </c>
      <c r="K79" s="12">
        <f>(15*11333)</f>
        <v>169995</v>
      </c>
      <c r="L79" s="15">
        <f t="shared" si="5"/>
        <v>396655</v>
      </c>
      <c r="M79" s="8"/>
    </row>
    <row r="80" spans="2:13">
      <c r="B80" s="14">
        <v>77</v>
      </c>
      <c r="C80" s="2" t="s">
        <v>64</v>
      </c>
      <c r="D80" s="12">
        <v>500000</v>
      </c>
      <c r="E80" s="12">
        <v>66650</v>
      </c>
      <c r="F80" s="15">
        <f t="shared" si="4"/>
        <v>566650</v>
      </c>
      <c r="G80" s="33">
        <v>50</v>
      </c>
      <c r="H80" s="12">
        <v>11333</v>
      </c>
      <c r="I80" s="11">
        <v>14</v>
      </c>
      <c r="J80" s="11">
        <v>36</v>
      </c>
      <c r="K80" s="12">
        <f>(14*11333)</f>
        <v>158662</v>
      </c>
      <c r="L80" s="15">
        <f t="shared" si="5"/>
        <v>407988</v>
      </c>
      <c r="M80" s="8"/>
    </row>
    <row r="81" spans="2:13">
      <c r="B81" s="14">
        <v>78</v>
      </c>
      <c r="C81" s="2" t="s">
        <v>65</v>
      </c>
      <c r="D81" s="12">
        <v>500000</v>
      </c>
      <c r="E81" s="12">
        <v>66650</v>
      </c>
      <c r="F81" s="15">
        <f t="shared" si="4"/>
        <v>566650</v>
      </c>
      <c r="G81" s="31">
        <v>50</v>
      </c>
      <c r="H81" s="12">
        <v>11333</v>
      </c>
      <c r="I81" s="8">
        <v>22</v>
      </c>
      <c r="J81" s="8">
        <v>28</v>
      </c>
      <c r="K81" s="12">
        <f>(22*11333)</f>
        <v>249326</v>
      </c>
      <c r="L81" s="15">
        <f t="shared" si="5"/>
        <v>317324</v>
      </c>
      <c r="M81" s="8"/>
    </row>
    <row r="82" spans="2:13">
      <c r="B82" s="14">
        <v>79</v>
      </c>
      <c r="C82" s="2" t="s">
        <v>66</v>
      </c>
      <c r="D82" s="12">
        <v>500000</v>
      </c>
      <c r="E82" s="12">
        <v>66650</v>
      </c>
      <c r="F82" s="15">
        <f t="shared" si="4"/>
        <v>566650</v>
      </c>
      <c r="G82" s="31">
        <v>50</v>
      </c>
      <c r="H82" s="18">
        <v>11333</v>
      </c>
      <c r="I82" s="8">
        <v>4</v>
      </c>
      <c r="J82" s="8">
        <v>46</v>
      </c>
      <c r="K82" s="12">
        <f>(4*11333)</f>
        <v>45332</v>
      </c>
      <c r="L82" s="15">
        <f t="shared" si="5"/>
        <v>521318</v>
      </c>
      <c r="M82" s="8"/>
    </row>
    <row r="83" spans="2:13">
      <c r="B83" s="14">
        <v>80</v>
      </c>
      <c r="C83" s="2" t="s">
        <v>113</v>
      </c>
      <c r="D83" s="12">
        <v>330000</v>
      </c>
      <c r="E83" s="12">
        <v>43989</v>
      </c>
      <c r="F83" s="15">
        <f t="shared" si="4"/>
        <v>373989</v>
      </c>
      <c r="G83" s="31">
        <v>50</v>
      </c>
      <c r="H83" s="12">
        <v>7479.78</v>
      </c>
      <c r="I83" s="8">
        <v>36</v>
      </c>
      <c r="J83" s="8">
        <v>14</v>
      </c>
      <c r="K83" s="12">
        <f>(36*11333)</f>
        <v>407988</v>
      </c>
      <c r="L83" s="15">
        <f t="shared" si="5"/>
        <v>-33999</v>
      </c>
      <c r="M83" s="8"/>
    </row>
    <row r="84" spans="2:13">
      <c r="B84" s="14">
        <v>81</v>
      </c>
      <c r="C84" s="25" t="s">
        <v>67</v>
      </c>
      <c r="D84" s="12">
        <v>500000</v>
      </c>
      <c r="E84" s="12">
        <v>66650</v>
      </c>
      <c r="F84" s="15">
        <f t="shared" si="4"/>
        <v>566650</v>
      </c>
      <c r="G84" s="31">
        <v>50</v>
      </c>
      <c r="H84" s="18">
        <v>11333</v>
      </c>
      <c r="I84" s="8">
        <v>20</v>
      </c>
      <c r="J84" s="8">
        <v>30</v>
      </c>
      <c r="K84" s="12">
        <f>(20*11333)</f>
        <v>226660</v>
      </c>
      <c r="L84" s="15">
        <f t="shared" si="5"/>
        <v>339990</v>
      </c>
      <c r="M84" s="8"/>
    </row>
    <row r="85" spans="2:13">
      <c r="B85" s="14">
        <v>82</v>
      </c>
      <c r="C85" s="2" t="s">
        <v>203</v>
      </c>
      <c r="D85" s="12">
        <v>132000</v>
      </c>
      <c r="E85" s="12">
        <v>17595.599999999999</v>
      </c>
      <c r="F85" s="15">
        <f t="shared" si="4"/>
        <v>149595.6</v>
      </c>
      <c r="G85" s="31">
        <v>40</v>
      </c>
      <c r="H85" s="12">
        <v>3739.89</v>
      </c>
      <c r="I85" s="8">
        <v>29</v>
      </c>
      <c r="J85" s="8">
        <v>11</v>
      </c>
      <c r="K85" s="12">
        <f>(29*3739.89)</f>
        <v>108456.81</v>
      </c>
      <c r="L85" s="15">
        <f t="shared" si="5"/>
        <v>41138.790000000008</v>
      </c>
      <c r="M85" s="8"/>
    </row>
    <row r="86" spans="2:13">
      <c r="B86" s="14">
        <v>83</v>
      </c>
      <c r="C86" s="2" t="s">
        <v>195</v>
      </c>
      <c r="D86" s="12">
        <v>180000</v>
      </c>
      <c r="E86" s="12">
        <v>23994</v>
      </c>
      <c r="F86" s="15">
        <f t="shared" si="4"/>
        <v>203994</v>
      </c>
      <c r="G86" s="31">
        <v>40</v>
      </c>
      <c r="H86" s="12">
        <v>5099.8500000000004</v>
      </c>
      <c r="I86" s="8">
        <v>35</v>
      </c>
      <c r="J86" s="8">
        <v>5</v>
      </c>
      <c r="K86" s="12">
        <f>(35*5099.85)</f>
        <v>178494.75</v>
      </c>
      <c r="L86" s="15">
        <f t="shared" si="5"/>
        <v>25499.25</v>
      </c>
      <c r="M86" s="8"/>
    </row>
    <row r="87" spans="2:13">
      <c r="B87" s="14">
        <v>84</v>
      </c>
      <c r="C87" s="2" t="s">
        <v>154</v>
      </c>
      <c r="D87" s="15">
        <v>200000</v>
      </c>
      <c r="E87" s="15">
        <v>26660</v>
      </c>
      <c r="F87" s="15">
        <f t="shared" si="4"/>
        <v>226660</v>
      </c>
      <c r="G87" s="32">
        <v>40</v>
      </c>
      <c r="H87" s="15">
        <v>5666.5</v>
      </c>
      <c r="I87" s="22">
        <v>38</v>
      </c>
      <c r="J87" s="21">
        <v>2</v>
      </c>
      <c r="K87" s="15">
        <f>(38*5666.5)</f>
        <v>215327</v>
      </c>
      <c r="L87" s="15">
        <f t="shared" si="5"/>
        <v>11333</v>
      </c>
      <c r="M87" s="10"/>
    </row>
    <row r="88" spans="2:13">
      <c r="B88" s="14">
        <v>85</v>
      </c>
      <c r="C88" s="2" t="s">
        <v>155</v>
      </c>
      <c r="D88" s="15">
        <v>200000</v>
      </c>
      <c r="E88" s="15">
        <v>26660</v>
      </c>
      <c r="F88" s="15">
        <f t="shared" si="4"/>
        <v>226660</v>
      </c>
      <c r="G88" s="31">
        <v>40</v>
      </c>
      <c r="H88" s="15">
        <v>5666.5</v>
      </c>
      <c r="I88" s="8">
        <v>29</v>
      </c>
      <c r="J88" s="8">
        <v>11</v>
      </c>
      <c r="K88" s="15">
        <f>(29*5666.5)</f>
        <v>164328.5</v>
      </c>
      <c r="L88" s="15">
        <f t="shared" si="5"/>
        <v>62331.5</v>
      </c>
      <c r="M88" s="8"/>
    </row>
    <row r="89" spans="2:13">
      <c r="B89" s="14">
        <v>86</v>
      </c>
      <c r="C89" s="2" t="s">
        <v>44</v>
      </c>
      <c r="D89" s="12">
        <v>450000</v>
      </c>
      <c r="E89" s="16">
        <v>59985</v>
      </c>
      <c r="F89" s="15">
        <f t="shared" si="4"/>
        <v>509985</v>
      </c>
      <c r="G89" s="33">
        <v>50</v>
      </c>
      <c r="H89" s="24">
        <v>30599.1</v>
      </c>
      <c r="I89" s="8">
        <v>20</v>
      </c>
      <c r="J89" s="8">
        <v>30</v>
      </c>
      <c r="K89" s="12">
        <f>(20*10199.7)</f>
        <v>203994</v>
      </c>
      <c r="L89" s="15">
        <f t="shared" si="5"/>
        <v>305991</v>
      </c>
      <c r="M89" s="8"/>
    </row>
    <row r="90" spans="2:13">
      <c r="B90" s="14">
        <v>87</v>
      </c>
      <c r="C90" s="2" t="s">
        <v>68</v>
      </c>
      <c r="D90" s="12">
        <v>500000</v>
      </c>
      <c r="E90" s="12">
        <v>66650</v>
      </c>
      <c r="F90" s="15">
        <f t="shared" si="4"/>
        <v>566650</v>
      </c>
      <c r="G90" s="31">
        <v>50</v>
      </c>
      <c r="H90" s="12">
        <v>11333</v>
      </c>
      <c r="I90" s="8">
        <v>36</v>
      </c>
      <c r="J90" s="8">
        <v>14</v>
      </c>
      <c r="K90" s="12">
        <f>(36*11333)</f>
        <v>407988</v>
      </c>
      <c r="L90" s="15">
        <f t="shared" si="5"/>
        <v>158662</v>
      </c>
      <c r="M90" s="8"/>
    </row>
    <row r="91" spans="2:13">
      <c r="B91" s="14">
        <v>88</v>
      </c>
      <c r="C91" s="2" t="s">
        <v>217</v>
      </c>
      <c r="D91" s="12">
        <v>60000</v>
      </c>
      <c r="E91" s="12">
        <v>7998</v>
      </c>
      <c r="F91" s="15">
        <f t="shared" si="4"/>
        <v>67998</v>
      </c>
      <c r="G91" s="31">
        <v>40</v>
      </c>
      <c r="H91" s="12">
        <v>1699.95</v>
      </c>
      <c r="I91" s="8">
        <v>39</v>
      </c>
      <c r="J91" s="8">
        <v>1</v>
      </c>
      <c r="K91" s="12">
        <f>(39*1699.95)</f>
        <v>66298.05</v>
      </c>
      <c r="L91" s="15">
        <f t="shared" si="5"/>
        <v>1699.9499999999971</v>
      </c>
      <c r="M91" s="8"/>
    </row>
    <row r="92" spans="2:13">
      <c r="B92" s="14">
        <v>89</v>
      </c>
      <c r="C92" s="2" t="s">
        <v>212</v>
      </c>
      <c r="D92" s="12">
        <v>150000</v>
      </c>
      <c r="E92" s="12">
        <v>19995</v>
      </c>
      <c r="F92" s="15">
        <f t="shared" si="4"/>
        <v>169995</v>
      </c>
      <c r="G92" s="31">
        <v>50</v>
      </c>
      <c r="H92" s="12">
        <v>3399.9</v>
      </c>
      <c r="I92" s="8">
        <v>24</v>
      </c>
      <c r="J92" s="8">
        <v>26</v>
      </c>
      <c r="K92" s="12">
        <f>(24*3399.9)</f>
        <v>81597.600000000006</v>
      </c>
      <c r="L92" s="15">
        <f t="shared" si="5"/>
        <v>88397.4</v>
      </c>
      <c r="M92" s="8"/>
    </row>
    <row r="93" spans="2:13">
      <c r="B93" s="14">
        <v>90</v>
      </c>
      <c r="C93" s="2" t="s">
        <v>156</v>
      </c>
      <c r="D93" s="15">
        <v>200000</v>
      </c>
      <c r="E93" s="15">
        <v>26660</v>
      </c>
      <c r="F93" s="15">
        <f t="shared" si="4"/>
        <v>226660</v>
      </c>
      <c r="G93" s="31">
        <v>40</v>
      </c>
      <c r="H93" s="15">
        <v>5666.5</v>
      </c>
      <c r="I93" s="8">
        <v>32</v>
      </c>
      <c r="J93" s="8">
        <v>8</v>
      </c>
      <c r="K93" s="12">
        <f>(32*5666.5)</f>
        <v>181328</v>
      </c>
      <c r="L93" s="15">
        <f t="shared" si="5"/>
        <v>45332</v>
      </c>
      <c r="M93" s="8"/>
    </row>
    <row r="94" spans="2:13">
      <c r="B94" s="14">
        <v>91</v>
      </c>
      <c r="C94" s="2" t="s">
        <v>157</v>
      </c>
      <c r="D94" s="15">
        <v>200000</v>
      </c>
      <c r="E94" s="15">
        <v>26660</v>
      </c>
      <c r="F94" s="15">
        <f t="shared" si="4"/>
        <v>226660</v>
      </c>
      <c r="G94" s="31">
        <v>40</v>
      </c>
      <c r="H94" s="15">
        <v>5666.5</v>
      </c>
      <c r="I94" s="8">
        <v>32</v>
      </c>
      <c r="J94" s="8">
        <v>8</v>
      </c>
      <c r="K94" s="12">
        <f>(32*5666.5)</f>
        <v>181328</v>
      </c>
      <c r="L94" s="15">
        <f t="shared" si="5"/>
        <v>45332</v>
      </c>
      <c r="M94" s="8"/>
    </row>
    <row r="95" spans="2:13">
      <c r="B95" s="14">
        <v>92</v>
      </c>
      <c r="C95" s="2" t="s">
        <v>158</v>
      </c>
      <c r="D95" s="15">
        <v>200000</v>
      </c>
      <c r="E95" s="15">
        <v>26660</v>
      </c>
      <c r="F95" s="15">
        <f t="shared" si="4"/>
        <v>226660</v>
      </c>
      <c r="G95" s="31">
        <v>40</v>
      </c>
      <c r="H95" s="15">
        <v>5666.5</v>
      </c>
      <c r="I95" s="8">
        <v>32</v>
      </c>
      <c r="J95" s="8">
        <v>8</v>
      </c>
      <c r="K95" s="12">
        <f>(32*5666.5)</f>
        <v>181328</v>
      </c>
      <c r="L95" s="15">
        <f t="shared" si="5"/>
        <v>45332</v>
      </c>
      <c r="M95" s="8"/>
    </row>
    <row r="96" spans="2:13">
      <c r="B96" s="14">
        <v>93</v>
      </c>
      <c r="C96" s="2" t="s">
        <v>51</v>
      </c>
      <c r="D96" s="12">
        <v>500000</v>
      </c>
      <c r="E96" s="12">
        <v>53320</v>
      </c>
      <c r="F96" s="15">
        <f t="shared" si="4"/>
        <v>553320</v>
      </c>
      <c r="G96" s="31">
        <v>40</v>
      </c>
      <c r="H96" s="12">
        <v>13833</v>
      </c>
      <c r="I96" s="8">
        <v>36</v>
      </c>
      <c r="J96" s="8">
        <v>4</v>
      </c>
      <c r="K96" s="12">
        <f>(36*13833)</f>
        <v>497988</v>
      </c>
      <c r="L96" s="15">
        <f t="shared" si="5"/>
        <v>55332</v>
      </c>
      <c r="M96" s="8"/>
    </row>
    <row r="97" spans="2:13">
      <c r="B97" s="14">
        <v>94</v>
      </c>
      <c r="C97" s="2" t="s">
        <v>159</v>
      </c>
      <c r="D97" s="15">
        <v>200000</v>
      </c>
      <c r="E97" s="15">
        <v>26660</v>
      </c>
      <c r="F97" s="15">
        <f t="shared" si="4"/>
        <v>226660</v>
      </c>
      <c r="G97" s="31">
        <v>40</v>
      </c>
      <c r="H97" s="15">
        <v>5666.5</v>
      </c>
      <c r="I97" s="8">
        <v>23</v>
      </c>
      <c r="J97" s="8">
        <v>17</v>
      </c>
      <c r="K97" s="12">
        <f>(23*5666.5)</f>
        <v>130329.5</v>
      </c>
      <c r="L97" s="15">
        <f t="shared" si="5"/>
        <v>96330.5</v>
      </c>
      <c r="M97" s="8"/>
    </row>
    <row r="98" spans="2:13">
      <c r="B98" s="14">
        <v>95</v>
      </c>
      <c r="C98" s="2" t="s">
        <v>160</v>
      </c>
      <c r="D98" s="15">
        <v>200000</v>
      </c>
      <c r="E98" s="15">
        <v>26660</v>
      </c>
      <c r="F98" s="15">
        <f t="shared" si="4"/>
        <v>226660</v>
      </c>
      <c r="G98" s="31">
        <v>40</v>
      </c>
      <c r="H98" s="15">
        <v>5666.5</v>
      </c>
      <c r="I98" s="8">
        <v>32</v>
      </c>
      <c r="J98" s="8">
        <v>8</v>
      </c>
      <c r="K98" s="12">
        <f>(32*5666.5)</f>
        <v>181328</v>
      </c>
      <c r="L98" s="15">
        <f t="shared" si="5"/>
        <v>45332</v>
      </c>
      <c r="M98" s="8"/>
    </row>
    <row r="99" spans="2:13">
      <c r="B99" s="14">
        <v>96</v>
      </c>
      <c r="C99" s="2" t="s">
        <v>204</v>
      </c>
      <c r="D99" s="12">
        <v>132000</v>
      </c>
      <c r="E99" s="12">
        <v>17595.599999999999</v>
      </c>
      <c r="F99" s="15">
        <f t="shared" si="4"/>
        <v>149595.6</v>
      </c>
      <c r="G99" s="31">
        <v>40</v>
      </c>
      <c r="H99" s="12">
        <v>3739.89</v>
      </c>
      <c r="I99" s="8">
        <v>29</v>
      </c>
      <c r="J99" s="8">
        <v>11</v>
      </c>
      <c r="K99" s="12">
        <f>(29*3739.89)</f>
        <v>108456.81</v>
      </c>
      <c r="L99" s="15">
        <f t="shared" si="5"/>
        <v>41138.790000000008</v>
      </c>
      <c r="M99" s="8"/>
    </row>
    <row r="100" spans="2:13">
      <c r="B100" s="14">
        <v>97</v>
      </c>
      <c r="C100" s="2" t="s">
        <v>205</v>
      </c>
      <c r="D100" s="12">
        <v>132000</v>
      </c>
      <c r="E100" s="12">
        <v>17595.599999999999</v>
      </c>
      <c r="F100" s="15">
        <f t="shared" ref="F100:F131" si="6">SUM(D100:E100)</f>
        <v>149595.6</v>
      </c>
      <c r="G100" s="31">
        <v>40</v>
      </c>
      <c r="H100" s="12">
        <v>3739.89</v>
      </c>
      <c r="I100" s="8">
        <v>32</v>
      </c>
      <c r="J100" s="8">
        <v>8</v>
      </c>
      <c r="K100" s="12">
        <f>(32*3739.89)</f>
        <v>119676.48</v>
      </c>
      <c r="L100" s="15">
        <f t="shared" ref="L100:L131" si="7">F100-K100</f>
        <v>29919.12000000001</v>
      </c>
      <c r="M100" s="8"/>
    </row>
    <row r="101" spans="2:13">
      <c r="B101" s="14">
        <v>98</v>
      </c>
      <c r="C101" s="2" t="s">
        <v>161</v>
      </c>
      <c r="D101" s="15">
        <v>200000</v>
      </c>
      <c r="E101" s="15">
        <v>26660</v>
      </c>
      <c r="F101" s="15">
        <f t="shared" si="6"/>
        <v>226660</v>
      </c>
      <c r="G101" s="32">
        <v>40</v>
      </c>
      <c r="H101" s="15">
        <v>5666.5</v>
      </c>
      <c r="I101" s="22">
        <v>38</v>
      </c>
      <c r="J101" s="21">
        <v>2</v>
      </c>
      <c r="K101" s="15">
        <f>(38*5666.5)</f>
        <v>215327</v>
      </c>
      <c r="L101" s="15">
        <f t="shared" si="7"/>
        <v>11333</v>
      </c>
      <c r="M101" s="10"/>
    </row>
    <row r="102" spans="2:13">
      <c r="B102" s="14">
        <v>99</v>
      </c>
      <c r="C102" s="2" t="s">
        <v>162</v>
      </c>
      <c r="D102" s="15">
        <v>200000</v>
      </c>
      <c r="E102" s="15">
        <v>26660</v>
      </c>
      <c r="F102" s="15">
        <f t="shared" si="6"/>
        <v>226660</v>
      </c>
      <c r="G102" s="31">
        <v>40</v>
      </c>
      <c r="H102" s="15">
        <v>5666.5</v>
      </c>
      <c r="I102" s="8">
        <v>31</v>
      </c>
      <c r="J102" s="8">
        <v>9</v>
      </c>
      <c r="K102" s="12">
        <f>(31*5666.5)</f>
        <v>175661.5</v>
      </c>
      <c r="L102" s="15">
        <f t="shared" si="7"/>
        <v>50998.5</v>
      </c>
      <c r="M102" s="8"/>
    </row>
    <row r="103" spans="2:13">
      <c r="B103" s="14">
        <v>100</v>
      </c>
      <c r="C103" s="2" t="s">
        <v>163</v>
      </c>
      <c r="D103" s="15">
        <v>200000</v>
      </c>
      <c r="E103" s="15">
        <v>26660</v>
      </c>
      <c r="F103" s="15">
        <f t="shared" si="6"/>
        <v>226660</v>
      </c>
      <c r="G103" s="32">
        <v>40</v>
      </c>
      <c r="H103" s="15">
        <v>5666.5</v>
      </c>
      <c r="I103" s="22">
        <v>38</v>
      </c>
      <c r="J103" s="21">
        <v>2</v>
      </c>
      <c r="K103" s="15">
        <f>(38*5666.5)</f>
        <v>215327</v>
      </c>
      <c r="L103" s="15">
        <f t="shared" si="7"/>
        <v>11333</v>
      </c>
      <c r="M103" s="10"/>
    </row>
    <row r="104" spans="2:13">
      <c r="B104" s="14">
        <v>101</v>
      </c>
      <c r="C104" s="2" t="s">
        <v>69</v>
      </c>
      <c r="D104" s="12">
        <v>500000</v>
      </c>
      <c r="E104" s="12">
        <v>66650</v>
      </c>
      <c r="F104" s="15">
        <f t="shared" si="6"/>
        <v>566650</v>
      </c>
      <c r="G104" s="31">
        <v>50</v>
      </c>
      <c r="H104" s="12">
        <v>11333</v>
      </c>
      <c r="I104" s="11">
        <v>15</v>
      </c>
      <c r="J104" s="11">
        <v>35</v>
      </c>
      <c r="K104" s="12">
        <f>(15*11333)</f>
        <v>169995</v>
      </c>
      <c r="L104" s="15">
        <f t="shared" si="7"/>
        <v>396655</v>
      </c>
      <c r="M104" s="8"/>
    </row>
    <row r="105" spans="2:13">
      <c r="B105" s="14">
        <v>102</v>
      </c>
      <c r="C105" s="2" t="s">
        <v>164</v>
      </c>
      <c r="D105" s="15">
        <v>200000</v>
      </c>
      <c r="E105" s="15">
        <v>26660</v>
      </c>
      <c r="F105" s="15">
        <f t="shared" si="6"/>
        <v>226660</v>
      </c>
      <c r="G105" s="31">
        <v>40</v>
      </c>
      <c r="H105" s="15">
        <v>5666.5</v>
      </c>
      <c r="I105" s="8">
        <v>29</v>
      </c>
      <c r="J105" s="8">
        <v>11</v>
      </c>
      <c r="K105" s="12">
        <f>(29*5666.5)</f>
        <v>164328.5</v>
      </c>
      <c r="L105" s="15">
        <f t="shared" si="7"/>
        <v>62331.5</v>
      </c>
      <c r="M105" s="8"/>
    </row>
    <row r="106" spans="2:13">
      <c r="B106" s="14">
        <v>103</v>
      </c>
      <c r="C106" s="2" t="s">
        <v>70</v>
      </c>
      <c r="D106" s="12">
        <v>500000</v>
      </c>
      <c r="E106" s="12">
        <v>66650</v>
      </c>
      <c r="F106" s="15">
        <f t="shared" si="6"/>
        <v>566650</v>
      </c>
      <c r="G106" s="31">
        <v>50</v>
      </c>
      <c r="H106" s="18">
        <v>11333</v>
      </c>
      <c r="I106" s="8">
        <v>20</v>
      </c>
      <c r="J106" s="8">
        <v>30</v>
      </c>
      <c r="K106" s="12">
        <f>(20*11333)</f>
        <v>226660</v>
      </c>
      <c r="L106" s="15">
        <f t="shared" si="7"/>
        <v>339990</v>
      </c>
      <c r="M106" s="8"/>
    </row>
    <row r="107" spans="2:13">
      <c r="B107" s="14">
        <v>104</v>
      </c>
      <c r="C107" s="2" t="s">
        <v>71</v>
      </c>
      <c r="D107" s="12">
        <v>500000</v>
      </c>
      <c r="E107" s="12">
        <v>66650</v>
      </c>
      <c r="F107" s="15">
        <f t="shared" si="6"/>
        <v>566650</v>
      </c>
      <c r="G107" s="31">
        <v>50</v>
      </c>
      <c r="H107" s="12">
        <v>11333</v>
      </c>
      <c r="I107" s="8">
        <v>36</v>
      </c>
      <c r="J107" s="8">
        <v>14</v>
      </c>
      <c r="K107" s="12">
        <f>(36*11333)</f>
        <v>407988</v>
      </c>
      <c r="L107" s="15">
        <f t="shared" si="7"/>
        <v>158662</v>
      </c>
      <c r="M107" s="8"/>
    </row>
    <row r="108" spans="2:13">
      <c r="B108" s="14">
        <v>105</v>
      </c>
      <c r="C108" s="2" t="s">
        <v>165</v>
      </c>
      <c r="D108" s="15">
        <v>200000</v>
      </c>
      <c r="E108" s="15">
        <v>26660</v>
      </c>
      <c r="F108" s="15">
        <f t="shared" si="6"/>
        <v>226660</v>
      </c>
      <c r="G108" s="31">
        <v>40</v>
      </c>
      <c r="H108" s="15">
        <v>5666.5</v>
      </c>
      <c r="I108" s="8">
        <v>29</v>
      </c>
      <c r="J108" s="8">
        <v>11</v>
      </c>
      <c r="K108" s="12">
        <f>(29*5666.5)</f>
        <v>164328.5</v>
      </c>
      <c r="L108" s="15">
        <f t="shared" si="7"/>
        <v>62331.5</v>
      </c>
      <c r="M108" s="8"/>
    </row>
    <row r="109" spans="2:13">
      <c r="B109" s="14">
        <v>106</v>
      </c>
      <c r="C109" s="2" t="s">
        <v>218</v>
      </c>
      <c r="D109" s="12">
        <v>60000</v>
      </c>
      <c r="E109" s="12">
        <v>7998</v>
      </c>
      <c r="F109" s="15">
        <f t="shared" si="6"/>
        <v>67998</v>
      </c>
      <c r="G109" s="31">
        <v>40</v>
      </c>
      <c r="H109" s="12">
        <v>1699.95</v>
      </c>
      <c r="I109" s="8">
        <v>29</v>
      </c>
      <c r="J109" s="8">
        <v>11</v>
      </c>
      <c r="K109" s="12">
        <f>(29*1699.95)</f>
        <v>49298.55</v>
      </c>
      <c r="L109" s="15">
        <f t="shared" si="7"/>
        <v>18699.449999999997</v>
      </c>
      <c r="M109" s="8"/>
    </row>
    <row r="110" spans="2:13">
      <c r="B110" s="14">
        <v>107</v>
      </c>
      <c r="C110" s="25" t="s">
        <v>166</v>
      </c>
      <c r="D110" s="15">
        <v>200000</v>
      </c>
      <c r="E110" s="15">
        <v>26660</v>
      </c>
      <c r="F110" s="15">
        <f t="shared" si="6"/>
        <v>226660</v>
      </c>
      <c r="G110" s="31">
        <v>40</v>
      </c>
      <c r="H110" s="15">
        <v>5666.5</v>
      </c>
      <c r="I110" s="8">
        <v>26</v>
      </c>
      <c r="J110" s="8">
        <v>14</v>
      </c>
      <c r="K110" s="12">
        <f>(26*5666.5)</f>
        <v>147329</v>
      </c>
      <c r="L110" s="15">
        <f t="shared" si="7"/>
        <v>79331</v>
      </c>
      <c r="M110" s="8"/>
    </row>
    <row r="111" spans="2:13">
      <c r="B111" s="14">
        <v>108</v>
      </c>
      <c r="C111" s="23" t="s">
        <v>72</v>
      </c>
      <c r="D111" s="12">
        <v>500000</v>
      </c>
      <c r="E111" s="12">
        <v>66650</v>
      </c>
      <c r="F111" s="15">
        <f t="shared" si="6"/>
        <v>566650</v>
      </c>
      <c r="G111" s="31">
        <v>50</v>
      </c>
      <c r="H111" s="12">
        <v>11333</v>
      </c>
      <c r="I111" s="8">
        <v>36</v>
      </c>
      <c r="J111" s="8">
        <v>14</v>
      </c>
      <c r="K111" s="12">
        <f>(36*11333)</f>
        <v>407988</v>
      </c>
      <c r="L111" s="15">
        <f t="shared" si="7"/>
        <v>158662</v>
      </c>
      <c r="M111" s="8"/>
    </row>
    <row r="112" spans="2:13">
      <c r="B112" s="14">
        <v>109</v>
      </c>
      <c r="C112" s="2" t="s">
        <v>45</v>
      </c>
      <c r="D112" s="12">
        <v>500000</v>
      </c>
      <c r="E112" s="16">
        <v>33325</v>
      </c>
      <c r="F112" s="15">
        <f t="shared" si="6"/>
        <v>533325</v>
      </c>
      <c r="G112" s="33">
        <v>25</v>
      </c>
      <c r="H112" s="16">
        <v>21333</v>
      </c>
      <c r="I112" s="11">
        <v>14</v>
      </c>
      <c r="J112" s="11">
        <v>11</v>
      </c>
      <c r="K112" s="16">
        <f>(14*21333)</f>
        <v>298662</v>
      </c>
      <c r="L112" s="15">
        <f t="shared" si="7"/>
        <v>234663</v>
      </c>
      <c r="M112" s="8"/>
    </row>
    <row r="113" spans="2:13">
      <c r="B113" s="14">
        <v>110</v>
      </c>
      <c r="C113" s="2" t="s">
        <v>167</v>
      </c>
      <c r="D113" s="15">
        <v>200000</v>
      </c>
      <c r="E113" s="15">
        <v>26660</v>
      </c>
      <c r="F113" s="15">
        <f t="shared" si="6"/>
        <v>226660</v>
      </c>
      <c r="G113" s="31">
        <v>40</v>
      </c>
      <c r="H113" s="15">
        <v>5666.5</v>
      </c>
      <c r="I113" s="8">
        <v>29</v>
      </c>
      <c r="J113" s="8">
        <v>11</v>
      </c>
      <c r="K113" s="12">
        <f>(29*5666.5)</f>
        <v>164328.5</v>
      </c>
      <c r="L113" s="15">
        <f t="shared" si="7"/>
        <v>62331.5</v>
      </c>
      <c r="M113" s="8"/>
    </row>
    <row r="114" spans="2:13">
      <c r="B114" s="14">
        <v>111</v>
      </c>
      <c r="C114" s="2" t="s">
        <v>168</v>
      </c>
      <c r="D114" s="15">
        <v>200000</v>
      </c>
      <c r="E114" s="15">
        <v>26660</v>
      </c>
      <c r="F114" s="15">
        <f t="shared" si="6"/>
        <v>226660</v>
      </c>
      <c r="G114" s="31">
        <v>40</v>
      </c>
      <c r="H114" s="15">
        <v>5666.5</v>
      </c>
      <c r="I114" s="8">
        <v>29</v>
      </c>
      <c r="J114" s="8">
        <v>11</v>
      </c>
      <c r="K114" s="12">
        <f>(29*5666.5)</f>
        <v>164328.5</v>
      </c>
      <c r="L114" s="15">
        <f t="shared" si="7"/>
        <v>62331.5</v>
      </c>
      <c r="M114" s="8"/>
    </row>
    <row r="115" spans="2:13">
      <c r="B115" s="14">
        <v>112</v>
      </c>
      <c r="C115" s="2" t="s">
        <v>169</v>
      </c>
      <c r="D115" s="15">
        <v>200000</v>
      </c>
      <c r="E115" s="15">
        <v>26660</v>
      </c>
      <c r="F115" s="15">
        <f t="shared" si="6"/>
        <v>226660</v>
      </c>
      <c r="G115" s="31">
        <v>40</v>
      </c>
      <c r="H115" s="15">
        <v>5666.5</v>
      </c>
      <c r="I115" s="8">
        <v>28</v>
      </c>
      <c r="J115" s="11">
        <v>12</v>
      </c>
      <c r="K115" s="12">
        <f>(28*5666.5)</f>
        <v>158662</v>
      </c>
      <c r="L115" s="15">
        <f t="shared" si="7"/>
        <v>67998</v>
      </c>
      <c r="M115" s="8"/>
    </row>
    <row r="116" spans="2:13">
      <c r="B116" s="14">
        <v>113</v>
      </c>
      <c r="C116" s="2" t="s">
        <v>170</v>
      </c>
      <c r="D116" s="15">
        <v>200000</v>
      </c>
      <c r="E116" s="15">
        <v>26660</v>
      </c>
      <c r="F116" s="15">
        <f t="shared" si="6"/>
        <v>226660</v>
      </c>
      <c r="G116" s="31">
        <v>40</v>
      </c>
      <c r="H116" s="15">
        <v>5666.5</v>
      </c>
      <c r="I116" s="8">
        <v>29</v>
      </c>
      <c r="J116" s="8">
        <v>11</v>
      </c>
      <c r="K116" s="12">
        <f>(29*5666.5)</f>
        <v>164328.5</v>
      </c>
      <c r="L116" s="15">
        <f t="shared" si="7"/>
        <v>62331.5</v>
      </c>
      <c r="M116" s="8"/>
    </row>
    <row r="117" spans="2:13">
      <c r="B117" s="14">
        <v>114</v>
      </c>
      <c r="C117" s="2" t="s">
        <v>171</v>
      </c>
      <c r="D117" s="15">
        <v>200000</v>
      </c>
      <c r="E117" s="15">
        <v>26660</v>
      </c>
      <c r="F117" s="15">
        <f t="shared" si="6"/>
        <v>226660</v>
      </c>
      <c r="G117" s="31">
        <v>40</v>
      </c>
      <c r="H117" s="15">
        <v>5666.5</v>
      </c>
      <c r="I117" s="8">
        <v>29</v>
      </c>
      <c r="J117" s="8">
        <v>11</v>
      </c>
      <c r="K117" s="12">
        <f>(29*5666.5)</f>
        <v>164328.5</v>
      </c>
      <c r="L117" s="15">
        <f t="shared" si="7"/>
        <v>62331.5</v>
      </c>
      <c r="M117" s="8"/>
    </row>
    <row r="118" spans="2:13">
      <c r="B118" s="14">
        <v>115</v>
      </c>
      <c r="C118" s="2" t="s">
        <v>95</v>
      </c>
      <c r="D118" s="12">
        <v>450000</v>
      </c>
      <c r="E118" s="12">
        <v>59985</v>
      </c>
      <c r="F118" s="15">
        <f t="shared" si="6"/>
        <v>509985</v>
      </c>
      <c r="G118" s="31">
        <v>50</v>
      </c>
      <c r="H118" s="12">
        <v>10199.700000000001</v>
      </c>
      <c r="I118" s="8">
        <v>22</v>
      </c>
      <c r="J118" s="8">
        <v>28</v>
      </c>
      <c r="K118" s="12">
        <f>(22*10199.7)</f>
        <v>224393.40000000002</v>
      </c>
      <c r="L118" s="15">
        <f t="shared" si="7"/>
        <v>285591.59999999998</v>
      </c>
      <c r="M118" s="8"/>
    </row>
    <row r="119" spans="2:13">
      <c r="B119" s="14">
        <v>116</v>
      </c>
      <c r="C119" s="2" t="s">
        <v>206</v>
      </c>
      <c r="D119" s="12">
        <v>132000</v>
      </c>
      <c r="E119" s="12">
        <v>17595.599999999999</v>
      </c>
      <c r="F119" s="15">
        <f t="shared" si="6"/>
        <v>149595.6</v>
      </c>
      <c r="G119" s="31">
        <v>40</v>
      </c>
      <c r="H119" s="12">
        <v>3739.89</v>
      </c>
      <c r="I119" s="8">
        <v>28</v>
      </c>
      <c r="J119" s="11">
        <v>12</v>
      </c>
      <c r="K119" s="16">
        <f>(28*3739.89)</f>
        <v>104716.92</v>
      </c>
      <c r="L119" s="15">
        <f t="shared" si="7"/>
        <v>44878.680000000008</v>
      </c>
      <c r="M119" s="8"/>
    </row>
    <row r="120" spans="2:13">
      <c r="B120" s="14">
        <v>117</v>
      </c>
      <c r="C120" s="2" t="s">
        <v>172</v>
      </c>
      <c r="D120" s="15">
        <v>200000</v>
      </c>
      <c r="E120" s="15">
        <v>26660</v>
      </c>
      <c r="F120" s="15">
        <f t="shared" si="6"/>
        <v>226660</v>
      </c>
      <c r="G120" s="31">
        <v>40</v>
      </c>
      <c r="H120" s="15">
        <v>5666.5</v>
      </c>
      <c r="I120" s="8">
        <v>36</v>
      </c>
      <c r="J120" s="8">
        <v>4</v>
      </c>
      <c r="K120" s="12">
        <f>(36*5666.5)</f>
        <v>203994</v>
      </c>
      <c r="L120" s="15">
        <f t="shared" si="7"/>
        <v>22666</v>
      </c>
      <c r="M120" s="8"/>
    </row>
    <row r="121" spans="2:13">
      <c r="B121" s="14">
        <v>118</v>
      </c>
      <c r="C121" s="2" t="s">
        <v>73</v>
      </c>
      <c r="D121" s="12">
        <v>500000</v>
      </c>
      <c r="E121" s="12">
        <v>66650</v>
      </c>
      <c r="F121" s="15">
        <f t="shared" si="6"/>
        <v>566650</v>
      </c>
      <c r="G121" s="31">
        <v>50</v>
      </c>
      <c r="H121" s="12">
        <v>11333</v>
      </c>
      <c r="I121" s="11">
        <v>24</v>
      </c>
      <c r="J121" s="11">
        <v>26</v>
      </c>
      <c r="K121" s="16">
        <v>271992</v>
      </c>
      <c r="L121" s="15">
        <f t="shared" si="7"/>
        <v>294658</v>
      </c>
      <c r="M121" s="8"/>
    </row>
    <row r="122" spans="2:13">
      <c r="B122" s="14">
        <v>119</v>
      </c>
      <c r="C122" s="2" t="s">
        <v>173</v>
      </c>
      <c r="D122" s="15">
        <v>200000</v>
      </c>
      <c r="E122" s="15">
        <v>26660</v>
      </c>
      <c r="F122" s="15">
        <f t="shared" si="6"/>
        <v>226660</v>
      </c>
      <c r="G122" s="31">
        <v>40</v>
      </c>
      <c r="H122" s="15">
        <v>5666.5</v>
      </c>
      <c r="I122" s="8">
        <v>32</v>
      </c>
      <c r="J122" s="8">
        <v>8</v>
      </c>
      <c r="K122" s="12">
        <f>(32*5666.5)</f>
        <v>181328</v>
      </c>
      <c r="L122" s="15">
        <f t="shared" si="7"/>
        <v>45332</v>
      </c>
      <c r="M122" s="8"/>
    </row>
    <row r="123" spans="2:13">
      <c r="B123" s="14">
        <v>120</v>
      </c>
      <c r="C123" s="2" t="s">
        <v>74</v>
      </c>
      <c r="D123" s="12">
        <v>500000</v>
      </c>
      <c r="E123" s="12">
        <v>66650</v>
      </c>
      <c r="F123" s="15">
        <f t="shared" si="6"/>
        <v>566650</v>
      </c>
      <c r="G123" s="31">
        <v>50</v>
      </c>
      <c r="H123" s="12">
        <v>11333</v>
      </c>
      <c r="I123" s="8">
        <v>36</v>
      </c>
      <c r="J123" s="8">
        <v>14</v>
      </c>
      <c r="K123" s="12">
        <f>(36*11333)</f>
        <v>407988</v>
      </c>
      <c r="L123" s="15">
        <f t="shared" si="7"/>
        <v>158662</v>
      </c>
      <c r="M123" s="8"/>
    </row>
    <row r="124" spans="2:13">
      <c r="B124" s="14">
        <v>121</v>
      </c>
      <c r="C124" s="25" t="s">
        <v>213</v>
      </c>
      <c r="D124" s="12">
        <v>150000</v>
      </c>
      <c r="E124" s="12">
        <v>19995</v>
      </c>
      <c r="F124" s="15">
        <f t="shared" si="6"/>
        <v>169995</v>
      </c>
      <c r="G124" s="31">
        <v>50</v>
      </c>
      <c r="H124" s="12">
        <v>3399.9</v>
      </c>
      <c r="I124" s="8">
        <v>24</v>
      </c>
      <c r="J124" s="8">
        <v>26</v>
      </c>
      <c r="K124" s="12">
        <f>(24*3399.9)</f>
        <v>81597.600000000006</v>
      </c>
      <c r="L124" s="15">
        <f t="shared" si="7"/>
        <v>88397.4</v>
      </c>
      <c r="M124" s="8"/>
    </row>
    <row r="125" spans="2:13">
      <c r="B125" s="14">
        <v>122</v>
      </c>
      <c r="C125" s="2" t="s">
        <v>196</v>
      </c>
      <c r="D125" s="12">
        <v>180000</v>
      </c>
      <c r="E125" s="12">
        <v>23994</v>
      </c>
      <c r="F125" s="15">
        <f t="shared" si="6"/>
        <v>203994</v>
      </c>
      <c r="G125" s="31">
        <v>40</v>
      </c>
      <c r="H125" s="12">
        <v>5099.8500000000004</v>
      </c>
      <c r="I125" s="8">
        <v>32</v>
      </c>
      <c r="J125" s="8">
        <v>8</v>
      </c>
      <c r="K125" s="12">
        <f>(5099.85*32)</f>
        <v>163195.20000000001</v>
      </c>
      <c r="L125" s="15">
        <f t="shared" si="7"/>
        <v>40798.799999999988</v>
      </c>
      <c r="M125" s="8"/>
    </row>
    <row r="126" spans="2:13">
      <c r="B126" s="14">
        <v>123</v>
      </c>
      <c r="C126" s="2" t="s">
        <v>75</v>
      </c>
      <c r="D126" s="12">
        <v>500000</v>
      </c>
      <c r="E126" s="12">
        <v>66650</v>
      </c>
      <c r="F126" s="15">
        <f t="shared" si="6"/>
        <v>566650</v>
      </c>
      <c r="G126" s="33">
        <v>50</v>
      </c>
      <c r="H126" s="12">
        <v>11333</v>
      </c>
      <c r="I126" s="11">
        <v>14</v>
      </c>
      <c r="J126" s="11">
        <v>36</v>
      </c>
      <c r="K126" s="12">
        <f>(14*11333)</f>
        <v>158662</v>
      </c>
      <c r="L126" s="15">
        <f t="shared" si="7"/>
        <v>407988</v>
      </c>
      <c r="M126" s="8"/>
    </row>
    <row r="127" spans="2:13">
      <c r="B127" s="14">
        <v>124</v>
      </c>
      <c r="C127" s="2" t="s">
        <v>76</v>
      </c>
      <c r="D127" s="12">
        <v>500000</v>
      </c>
      <c r="E127" s="12">
        <v>66650</v>
      </c>
      <c r="F127" s="15">
        <f t="shared" si="6"/>
        <v>566650</v>
      </c>
      <c r="G127" s="33">
        <v>50</v>
      </c>
      <c r="H127" s="12">
        <v>11333</v>
      </c>
      <c r="I127" s="11">
        <v>14</v>
      </c>
      <c r="J127" s="11">
        <v>36</v>
      </c>
      <c r="K127" s="12">
        <f>(14*11333)</f>
        <v>158662</v>
      </c>
      <c r="L127" s="15">
        <f t="shared" si="7"/>
        <v>407988</v>
      </c>
      <c r="M127" s="8"/>
    </row>
    <row r="128" spans="2:13">
      <c r="B128" s="14">
        <v>125</v>
      </c>
      <c r="C128" s="2" t="s">
        <v>96</v>
      </c>
      <c r="D128" s="12">
        <v>450000</v>
      </c>
      <c r="E128" s="16">
        <v>59985</v>
      </c>
      <c r="F128" s="15">
        <f t="shared" si="6"/>
        <v>509985</v>
      </c>
      <c r="G128" s="33">
        <v>50</v>
      </c>
      <c r="H128" s="16">
        <v>10199.700000000001</v>
      </c>
      <c r="I128" s="8">
        <v>20</v>
      </c>
      <c r="J128" s="8">
        <v>30</v>
      </c>
      <c r="K128" s="12">
        <f>(20*10199.7)</f>
        <v>203994</v>
      </c>
      <c r="L128" s="15">
        <f t="shared" si="7"/>
        <v>305991</v>
      </c>
      <c r="M128" s="8"/>
    </row>
    <row r="129" spans="2:13">
      <c r="B129" s="14">
        <v>126</v>
      </c>
      <c r="C129" s="2" t="s">
        <v>77</v>
      </c>
      <c r="D129" s="12">
        <v>500000</v>
      </c>
      <c r="E129" s="12">
        <v>66650</v>
      </c>
      <c r="F129" s="15">
        <f t="shared" si="6"/>
        <v>566650</v>
      </c>
      <c r="G129" s="31">
        <v>50</v>
      </c>
      <c r="H129" s="12">
        <v>11333</v>
      </c>
      <c r="I129" s="11">
        <v>15</v>
      </c>
      <c r="J129" s="11">
        <v>35</v>
      </c>
      <c r="K129" s="12">
        <f>(15*11333)</f>
        <v>169995</v>
      </c>
      <c r="L129" s="15">
        <f t="shared" si="7"/>
        <v>396655</v>
      </c>
      <c r="M129" s="8"/>
    </row>
    <row r="130" spans="2:13">
      <c r="B130" s="14">
        <v>127</v>
      </c>
      <c r="C130" s="2" t="s">
        <v>197</v>
      </c>
      <c r="D130" s="12">
        <v>180000</v>
      </c>
      <c r="E130" s="12">
        <v>23994</v>
      </c>
      <c r="F130" s="15">
        <f t="shared" si="6"/>
        <v>203994</v>
      </c>
      <c r="G130" s="31">
        <v>40</v>
      </c>
      <c r="H130" s="12">
        <v>5099.8500000000004</v>
      </c>
      <c r="I130" s="8">
        <v>36</v>
      </c>
      <c r="J130" s="8">
        <v>4</v>
      </c>
      <c r="K130" s="12">
        <f>(36*5099.85)</f>
        <v>183594.6</v>
      </c>
      <c r="L130" s="15">
        <f t="shared" si="7"/>
        <v>20399.399999999994</v>
      </c>
      <c r="M130" s="8"/>
    </row>
    <row r="131" spans="2:13">
      <c r="B131" s="14">
        <v>128</v>
      </c>
      <c r="C131" s="2" t="s">
        <v>78</v>
      </c>
      <c r="D131" s="12">
        <v>500000</v>
      </c>
      <c r="E131" s="12">
        <v>66650</v>
      </c>
      <c r="F131" s="15">
        <f t="shared" si="6"/>
        <v>566650</v>
      </c>
      <c r="G131" s="31">
        <v>50</v>
      </c>
      <c r="H131" s="12">
        <v>11333</v>
      </c>
      <c r="I131" s="8">
        <v>36</v>
      </c>
      <c r="J131" s="8">
        <v>14</v>
      </c>
      <c r="K131" s="12">
        <f>(36*11333)</f>
        <v>407988</v>
      </c>
      <c r="L131" s="15">
        <f t="shared" si="7"/>
        <v>158662</v>
      </c>
      <c r="M131" s="8"/>
    </row>
    <row r="132" spans="2:13">
      <c r="B132" s="14">
        <v>129</v>
      </c>
      <c r="C132" s="2" t="s">
        <v>174</v>
      </c>
      <c r="D132" s="15">
        <v>200000</v>
      </c>
      <c r="E132" s="15">
        <v>26660</v>
      </c>
      <c r="F132" s="15">
        <f t="shared" ref="F132:F163" si="8">SUM(D132:E132)</f>
        <v>226660</v>
      </c>
      <c r="G132" s="31">
        <v>40</v>
      </c>
      <c r="H132" s="15">
        <v>5666.5</v>
      </c>
      <c r="I132" s="8">
        <v>36</v>
      </c>
      <c r="J132" s="8">
        <v>4</v>
      </c>
      <c r="K132" s="12">
        <f>(36*5666.5)</f>
        <v>203994</v>
      </c>
      <c r="L132" s="15">
        <f t="shared" ref="L132:L163" si="9">F132-K132</f>
        <v>22666</v>
      </c>
      <c r="M132" s="8"/>
    </row>
    <row r="133" spans="2:13">
      <c r="B133" s="14">
        <v>130</v>
      </c>
      <c r="C133" s="2" t="s">
        <v>79</v>
      </c>
      <c r="D133" s="12">
        <v>500000</v>
      </c>
      <c r="E133" s="12">
        <v>66650</v>
      </c>
      <c r="F133" s="15">
        <f t="shared" si="8"/>
        <v>566650</v>
      </c>
      <c r="G133" s="31">
        <v>50</v>
      </c>
      <c r="H133" s="12">
        <v>11333</v>
      </c>
      <c r="I133" s="11">
        <v>15</v>
      </c>
      <c r="J133" s="11">
        <v>35</v>
      </c>
      <c r="K133" s="12">
        <f>(15*11333)</f>
        <v>169995</v>
      </c>
      <c r="L133" s="15">
        <f t="shared" si="9"/>
        <v>396655</v>
      </c>
      <c r="M133" s="8"/>
    </row>
    <row r="134" spans="2:13">
      <c r="B134" s="14">
        <v>131</v>
      </c>
      <c r="C134" s="2" t="s">
        <v>175</v>
      </c>
      <c r="D134" s="15">
        <v>200000</v>
      </c>
      <c r="E134" s="15">
        <v>26660</v>
      </c>
      <c r="F134" s="15">
        <f t="shared" si="8"/>
        <v>226660</v>
      </c>
      <c r="G134" s="32">
        <v>40</v>
      </c>
      <c r="H134" s="15">
        <v>5666.5</v>
      </c>
      <c r="I134" s="22">
        <v>38</v>
      </c>
      <c r="J134" s="21">
        <v>2</v>
      </c>
      <c r="K134" s="15">
        <f>(38*5666.5)</f>
        <v>215327</v>
      </c>
      <c r="L134" s="15">
        <f t="shared" si="9"/>
        <v>11333</v>
      </c>
      <c r="M134" s="10"/>
    </row>
    <row r="135" spans="2:13">
      <c r="B135" s="14">
        <v>132</v>
      </c>
      <c r="C135" s="2" t="s">
        <v>97</v>
      </c>
      <c r="D135" s="12">
        <v>450000</v>
      </c>
      <c r="E135" s="12">
        <v>59985</v>
      </c>
      <c r="F135" s="15">
        <f t="shared" si="8"/>
        <v>509985</v>
      </c>
      <c r="G135" s="31">
        <v>50</v>
      </c>
      <c r="H135" s="12">
        <v>10199.700000000001</v>
      </c>
      <c r="I135" s="11">
        <v>15</v>
      </c>
      <c r="J135" s="11">
        <v>35</v>
      </c>
      <c r="K135" s="12">
        <f>(15*10199.7)</f>
        <v>152995.5</v>
      </c>
      <c r="L135" s="15">
        <f t="shared" si="9"/>
        <v>356989.5</v>
      </c>
      <c r="M135" s="8"/>
    </row>
    <row r="136" spans="2:13">
      <c r="B136" s="14">
        <v>133</v>
      </c>
      <c r="C136" s="2" t="s">
        <v>80</v>
      </c>
      <c r="D136" s="12">
        <v>500000</v>
      </c>
      <c r="E136" s="12">
        <v>66650</v>
      </c>
      <c r="F136" s="15">
        <f t="shared" si="8"/>
        <v>566650</v>
      </c>
      <c r="G136" s="31">
        <v>50</v>
      </c>
      <c r="H136" s="12">
        <v>11333</v>
      </c>
      <c r="I136" s="8">
        <v>36</v>
      </c>
      <c r="J136" s="8">
        <v>14</v>
      </c>
      <c r="K136" s="12">
        <f>(36*11333)</f>
        <v>407988</v>
      </c>
      <c r="L136" s="15">
        <f t="shared" si="9"/>
        <v>158662</v>
      </c>
      <c r="M136" s="8"/>
    </row>
    <row r="137" spans="2:13">
      <c r="B137" s="14">
        <v>134</v>
      </c>
      <c r="C137" s="2" t="s">
        <v>176</v>
      </c>
      <c r="D137" s="15">
        <v>200000</v>
      </c>
      <c r="E137" s="15">
        <v>26660</v>
      </c>
      <c r="F137" s="15">
        <f t="shared" si="8"/>
        <v>226660</v>
      </c>
      <c r="G137" s="31">
        <v>40</v>
      </c>
      <c r="H137" s="15">
        <v>5666.5</v>
      </c>
      <c r="I137" s="8">
        <v>29</v>
      </c>
      <c r="J137" s="8">
        <v>11</v>
      </c>
      <c r="K137" s="12">
        <f>(29*5666.5)</f>
        <v>164328.5</v>
      </c>
      <c r="L137" s="15">
        <f t="shared" si="9"/>
        <v>62331.5</v>
      </c>
      <c r="M137" s="8"/>
    </row>
    <row r="138" spans="2:13">
      <c r="B138" s="14">
        <v>135</v>
      </c>
      <c r="C138" s="2" t="s">
        <v>81</v>
      </c>
      <c r="D138" s="12">
        <v>500000</v>
      </c>
      <c r="E138" s="12">
        <v>66650</v>
      </c>
      <c r="F138" s="15">
        <f t="shared" si="8"/>
        <v>566650</v>
      </c>
      <c r="G138" s="31">
        <v>50</v>
      </c>
      <c r="H138" s="12">
        <v>11333</v>
      </c>
      <c r="I138" s="8">
        <v>22</v>
      </c>
      <c r="J138" s="8">
        <v>28</v>
      </c>
      <c r="K138" s="12">
        <f>(22*11333)</f>
        <v>249326</v>
      </c>
      <c r="L138" s="15">
        <f t="shared" si="9"/>
        <v>317324</v>
      </c>
      <c r="M138" s="8"/>
    </row>
    <row r="139" spans="2:13">
      <c r="B139" s="14">
        <v>136</v>
      </c>
      <c r="C139" s="23" t="s">
        <v>82</v>
      </c>
      <c r="D139" s="12">
        <v>500000</v>
      </c>
      <c r="E139" s="12">
        <v>66650</v>
      </c>
      <c r="F139" s="15">
        <f t="shared" si="8"/>
        <v>566650</v>
      </c>
      <c r="G139" s="31">
        <v>50</v>
      </c>
      <c r="H139" s="12">
        <v>11333</v>
      </c>
      <c r="I139" s="8">
        <v>36</v>
      </c>
      <c r="J139" s="8">
        <v>14</v>
      </c>
      <c r="K139" s="12">
        <f>(36*11333)</f>
        <v>407988</v>
      </c>
      <c r="L139" s="15">
        <f t="shared" si="9"/>
        <v>158662</v>
      </c>
      <c r="M139" s="8"/>
    </row>
    <row r="140" spans="2:13">
      <c r="B140" s="14">
        <v>137</v>
      </c>
      <c r="C140" s="2" t="s">
        <v>177</v>
      </c>
      <c r="D140" s="15">
        <v>200000</v>
      </c>
      <c r="E140" s="15">
        <v>26660</v>
      </c>
      <c r="F140" s="15">
        <f t="shared" si="8"/>
        <v>226660</v>
      </c>
      <c r="G140" s="31">
        <v>40</v>
      </c>
      <c r="H140" s="15">
        <v>5666.5</v>
      </c>
      <c r="I140" s="8">
        <v>28</v>
      </c>
      <c r="J140" s="8">
        <v>12</v>
      </c>
      <c r="K140" s="12">
        <f>(28*5666.5)</f>
        <v>158662</v>
      </c>
      <c r="L140" s="15">
        <f t="shared" si="9"/>
        <v>67998</v>
      </c>
      <c r="M140" s="8"/>
    </row>
    <row r="141" spans="2:13">
      <c r="B141" s="14">
        <v>138</v>
      </c>
      <c r="C141" s="2" t="s">
        <v>98</v>
      </c>
      <c r="D141" s="12">
        <v>450000</v>
      </c>
      <c r="E141" s="16">
        <v>59985</v>
      </c>
      <c r="F141" s="15">
        <f t="shared" si="8"/>
        <v>509985</v>
      </c>
      <c r="G141" s="31">
        <v>50</v>
      </c>
      <c r="H141" s="38">
        <v>10199.700000000001</v>
      </c>
      <c r="I141" s="8">
        <v>1</v>
      </c>
      <c r="J141" s="8">
        <v>49</v>
      </c>
      <c r="K141" s="12">
        <f>(1*10199.7)</f>
        <v>10199.700000000001</v>
      </c>
      <c r="L141" s="15">
        <f t="shared" si="9"/>
        <v>499785.3</v>
      </c>
      <c r="M141" s="8"/>
    </row>
    <row r="142" spans="2:13">
      <c r="B142" s="14">
        <v>139</v>
      </c>
      <c r="C142" s="2" t="s">
        <v>99</v>
      </c>
      <c r="D142" s="12">
        <v>450000</v>
      </c>
      <c r="E142" s="16">
        <v>59985</v>
      </c>
      <c r="F142" s="15">
        <f t="shared" si="8"/>
        <v>509985</v>
      </c>
      <c r="G142" s="33">
        <v>50</v>
      </c>
      <c r="H142" s="37">
        <v>10199.700000000001</v>
      </c>
      <c r="I142" s="8">
        <v>24</v>
      </c>
      <c r="J142" s="8">
        <v>26</v>
      </c>
      <c r="K142" s="12">
        <f>(24*10199.7)</f>
        <v>244792.80000000002</v>
      </c>
      <c r="L142" s="15">
        <f t="shared" si="9"/>
        <v>265192.19999999995</v>
      </c>
      <c r="M142" s="8"/>
    </row>
    <row r="143" spans="2:13">
      <c r="B143" s="14">
        <v>140</v>
      </c>
      <c r="C143" s="2" t="s">
        <v>198</v>
      </c>
      <c r="D143" s="12">
        <v>180000</v>
      </c>
      <c r="E143" s="12">
        <v>23994</v>
      </c>
      <c r="F143" s="15">
        <f t="shared" si="8"/>
        <v>203994</v>
      </c>
      <c r="G143" s="30">
        <v>40</v>
      </c>
      <c r="H143" s="12">
        <v>5099.8500000000004</v>
      </c>
      <c r="I143" s="22">
        <v>38</v>
      </c>
      <c r="J143" s="22">
        <v>2</v>
      </c>
      <c r="K143" s="12">
        <f>(38*5099.85)</f>
        <v>193794.30000000002</v>
      </c>
      <c r="L143" s="15">
        <f t="shared" si="9"/>
        <v>10199.699999999983</v>
      </c>
      <c r="M143" s="10"/>
    </row>
    <row r="144" spans="2:13">
      <c r="B144" s="14">
        <v>141</v>
      </c>
      <c r="C144" s="2" t="s">
        <v>178</v>
      </c>
      <c r="D144" s="15">
        <v>200000</v>
      </c>
      <c r="E144" s="15">
        <v>26660</v>
      </c>
      <c r="F144" s="15">
        <f t="shared" si="8"/>
        <v>226660</v>
      </c>
      <c r="G144" s="31">
        <v>40</v>
      </c>
      <c r="H144" s="15">
        <v>5666.5</v>
      </c>
      <c r="I144" s="8">
        <v>35</v>
      </c>
      <c r="J144" s="8">
        <v>5</v>
      </c>
      <c r="K144" s="12">
        <f>(35*5666.5)</f>
        <v>198327.5</v>
      </c>
      <c r="L144" s="15">
        <f t="shared" si="9"/>
        <v>28332.5</v>
      </c>
      <c r="M144" s="8"/>
    </row>
    <row r="145" spans="2:13">
      <c r="B145" s="14">
        <v>142</v>
      </c>
      <c r="C145" s="2" t="s">
        <v>83</v>
      </c>
      <c r="D145" s="12">
        <v>500000</v>
      </c>
      <c r="E145" s="12">
        <v>66650</v>
      </c>
      <c r="F145" s="15">
        <f t="shared" si="8"/>
        <v>566650</v>
      </c>
      <c r="G145" s="31">
        <v>50</v>
      </c>
      <c r="H145" s="12">
        <v>11333</v>
      </c>
      <c r="I145" s="8">
        <v>20</v>
      </c>
      <c r="J145" s="8">
        <v>30</v>
      </c>
      <c r="K145" s="12">
        <f>(20*11333)</f>
        <v>226660</v>
      </c>
      <c r="L145" s="15">
        <f t="shared" si="9"/>
        <v>339990</v>
      </c>
      <c r="M145" s="8"/>
    </row>
    <row r="146" spans="2:13">
      <c r="B146" s="14">
        <v>143</v>
      </c>
      <c r="C146" s="2" t="s">
        <v>84</v>
      </c>
      <c r="D146" s="12">
        <v>500000</v>
      </c>
      <c r="E146" s="12">
        <v>66650</v>
      </c>
      <c r="F146" s="15">
        <f t="shared" si="8"/>
        <v>566650</v>
      </c>
      <c r="G146" s="31">
        <v>50</v>
      </c>
      <c r="H146" s="12">
        <v>11333</v>
      </c>
      <c r="I146" s="11">
        <v>15</v>
      </c>
      <c r="J146" s="11">
        <v>35</v>
      </c>
      <c r="K146" s="12">
        <f>(15*11333)</f>
        <v>169995</v>
      </c>
      <c r="L146" s="15">
        <f t="shared" si="9"/>
        <v>396655</v>
      </c>
      <c r="M146" s="8"/>
    </row>
    <row r="147" spans="2:13">
      <c r="B147" s="14">
        <v>144</v>
      </c>
      <c r="C147" s="2" t="s">
        <v>179</v>
      </c>
      <c r="D147" s="15">
        <v>200000</v>
      </c>
      <c r="E147" s="15">
        <v>26660</v>
      </c>
      <c r="F147" s="15">
        <f t="shared" si="8"/>
        <v>226660</v>
      </c>
      <c r="G147" s="31">
        <v>40</v>
      </c>
      <c r="H147" s="15">
        <v>5666.5</v>
      </c>
      <c r="I147" s="8">
        <v>28</v>
      </c>
      <c r="J147" s="11">
        <v>12</v>
      </c>
      <c r="K147" s="16">
        <f>(28*5666.5)</f>
        <v>158662</v>
      </c>
      <c r="L147" s="15">
        <f t="shared" si="9"/>
        <v>67998</v>
      </c>
      <c r="M147" s="8"/>
    </row>
    <row r="148" spans="2:13">
      <c r="B148" s="14">
        <v>145</v>
      </c>
      <c r="C148" s="2" t="s">
        <v>85</v>
      </c>
      <c r="D148" s="12">
        <v>500000</v>
      </c>
      <c r="E148" s="12">
        <v>66650</v>
      </c>
      <c r="F148" s="15">
        <f t="shared" si="8"/>
        <v>566650</v>
      </c>
      <c r="G148" s="31">
        <v>50</v>
      </c>
      <c r="H148" s="12">
        <v>11333</v>
      </c>
      <c r="I148" s="11">
        <v>15</v>
      </c>
      <c r="J148" s="11">
        <v>35</v>
      </c>
      <c r="K148" s="12">
        <f>(15*11333)</f>
        <v>169995</v>
      </c>
      <c r="L148" s="15">
        <f t="shared" si="9"/>
        <v>396655</v>
      </c>
      <c r="M148" s="8"/>
    </row>
    <row r="149" spans="2:13">
      <c r="B149" s="14">
        <v>146</v>
      </c>
      <c r="C149" s="2" t="s">
        <v>180</v>
      </c>
      <c r="D149" s="15">
        <v>200000</v>
      </c>
      <c r="E149" s="15">
        <v>26660</v>
      </c>
      <c r="F149" s="15">
        <f t="shared" si="8"/>
        <v>226660</v>
      </c>
      <c r="G149" s="32">
        <v>40</v>
      </c>
      <c r="H149" s="15">
        <v>5666.5</v>
      </c>
      <c r="I149" s="22">
        <v>38</v>
      </c>
      <c r="J149" s="21">
        <v>2</v>
      </c>
      <c r="K149" s="15">
        <f>(38*5666.5)</f>
        <v>215327</v>
      </c>
      <c r="L149" s="15">
        <f t="shared" si="9"/>
        <v>11333</v>
      </c>
      <c r="M149" s="10"/>
    </row>
    <row r="150" spans="2:13">
      <c r="B150" s="14">
        <v>147</v>
      </c>
      <c r="C150" s="2" t="s">
        <v>114</v>
      </c>
      <c r="D150" s="12">
        <v>330000</v>
      </c>
      <c r="E150" s="12">
        <v>43989</v>
      </c>
      <c r="F150" s="15">
        <f t="shared" si="8"/>
        <v>373989</v>
      </c>
      <c r="G150" s="31">
        <v>50</v>
      </c>
      <c r="H150" s="12">
        <v>7479.78</v>
      </c>
      <c r="I150" s="8">
        <v>22</v>
      </c>
      <c r="J150" s="8">
        <v>28</v>
      </c>
      <c r="K150" s="12">
        <f>(22*7479.78)</f>
        <v>164555.16</v>
      </c>
      <c r="L150" s="15">
        <f t="shared" si="9"/>
        <v>209433.84</v>
      </c>
      <c r="M150" s="8"/>
    </row>
    <row r="151" spans="2:13">
      <c r="B151" s="14">
        <v>148</v>
      </c>
      <c r="C151" s="2" t="s">
        <v>219</v>
      </c>
      <c r="D151" s="12">
        <v>60000</v>
      </c>
      <c r="E151" s="12">
        <v>7998</v>
      </c>
      <c r="F151" s="15">
        <f t="shared" si="8"/>
        <v>67998</v>
      </c>
      <c r="G151" s="31">
        <v>40</v>
      </c>
      <c r="H151" s="12">
        <v>1699.95</v>
      </c>
      <c r="I151" s="8">
        <v>29</v>
      </c>
      <c r="J151" s="8">
        <v>11</v>
      </c>
      <c r="K151" s="12">
        <f>(29*1699.95)</f>
        <v>49298.55</v>
      </c>
      <c r="L151" s="15">
        <f t="shared" si="9"/>
        <v>18699.449999999997</v>
      </c>
      <c r="M151" s="8"/>
    </row>
    <row r="152" spans="2:13">
      <c r="B152" s="14">
        <v>149</v>
      </c>
      <c r="C152" s="2" t="s">
        <v>207</v>
      </c>
      <c r="D152" s="12">
        <v>132000</v>
      </c>
      <c r="E152" s="12">
        <v>17595.599999999999</v>
      </c>
      <c r="F152" s="15">
        <f t="shared" si="8"/>
        <v>149595.6</v>
      </c>
      <c r="G152" s="31">
        <v>40</v>
      </c>
      <c r="H152" s="12">
        <v>3739.89</v>
      </c>
      <c r="I152" s="8">
        <v>30</v>
      </c>
      <c r="J152" s="8">
        <v>10</v>
      </c>
      <c r="K152" s="12">
        <f>(30*3739.89)</f>
        <v>112196.7</v>
      </c>
      <c r="L152" s="15">
        <f t="shared" si="9"/>
        <v>37398.900000000009</v>
      </c>
      <c r="M152" s="8"/>
    </row>
    <row r="153" spans="2:13">
      <c r="B153" s="14">
        <v>150</v>
      </c>
      <c r="C153" s="2" t="s">
        <v>100</v>
      </c>
      <c r="D153" s="12">
        <v>450000</v>
      </c>
      <c r="E153" s="16">
        <v>59985</v>
      </c>
      <c r="F153" s="15">
        <f t="shared" si="8"/>
        <v>509985</v>
      </c>
      <c r="G153" s="33">
        <v>50</v>
      </c>
      <c r="H153" s="16">
        <v>10199.700000000001</v>
      </c>
      <c r="I153" s="11">
        <v>14</v>
      </c>
      <c r="J153" s="11">
        <v>36</v>
      </c>
      <c r="K153" s="12">
        <f>(14*10199.7)</f>
        <v>142795.80000000002</v>
      </c>
      <c r="L153" s="15">
        <f t="shared" si="9"/>
        <v>367189.19999999995</v>
      </c>
      <c r="M153" s="8"/>
    </row>
    <row r="154" spans="2:13">
      <c r="B154" s="14">
        <v>151</v>
      </c>
      <c r="C154" s="2" t="s">
        <v>101</v>
      </c>
      <c r="D154" s="12">
        <v>450000</v>
      </c>
      <c r="E154" s="16">
        <v>59985</v>
      </c>
      <c r="F154" s="15">
        <f t="shared" si="8"/>
        <v>509985</v>
      </c>
      <c r="G154" s="33">
        <v>50</v>
      </c>
      <c r="H154" s="16">
        <v>10199.700000000001</v>
      </c>
      <c r="I154" s="8">
        <v>14</v>
      </c>
      <c r="J154" s="8">
        <v>36</v>
      </c>
      <c r="K154" s="12">
        <f>(14*10199.7)</f>
        <v>142795.80000000002</v>
      </c>
      <c r="L154" s="15">
        <f t="shared" si="9"/>
        <v>367189.19999999995</v>
      </c>
      <c r="M154" s="8"/>
    </row>
    <row r="155" spans="2:13">
      <c r="B155" s="14">
        <v>152</v>
      </c>
      <c r="C155" s="2" t="s">
        <v>181</v>
      </c>
      <c r="D155" s="15">
        <v>200000</v>
      </c>
      <c r="E155" s="15">
        <v>26660</v>
      </c>
      <c r="F155" s="15">
        <f t="shared" si="8"/>
        <v>226660</v>
      </c>
      <c r="G155" s="31">
        <v>40</v>
      </c>
      <c r="H155" s="15">
        <v>5666.5</v>
      </c>
      <c r="I155" s="8">
        <v>32</v>
      </c>
      <c r="J155" s="8">
        <v>8</v>
      </c>
      <c r="K155" s="15">
        <f>(32*5666.5)</f>
        <v>181328</v>
      </c>
      <c r="L155" s="15">
        <f t="shared" si="9"/>
        <v>45332</v>
      </c>
      <c r="M155" s="8"/>
    </row>
    <row r="156" spans="2:13">
      <c r="B156" s="14">
        <v>153</v>
      </c>
      <c r="C156" s="2" t="s">
        <v>208</v>
      </c>
      <c r="D156" s="12">
        <v>132000</v>
      </c>
      <c r="E156" s="12">
        <v>17595.599999999999</v>
      </c>
      <c r="F156" s="15">
        <f t="shared" si="8"/>
        <v>149595.6</v>
      </c>
      <c r="G156" s="30">
        <v>40</v>
      </c>
      <c r="H156" s="12">
        <v>3739.89</v>
      </c>
      <c r="I156" s="22">
        <v>38</v>
      </c>
      <c r="J156" s="22">
        <v>2</v>
      </c>
      <c r="K156" s="12">
        <f>(38*3739.89)</f>
        <v>142115.82</v>
      </c>
      <c r="L156" s="15">
        <f t="shared" si="9"/>
        <v>7479.7799999999988</v>
      </c>
      <c r="M156" s="8"/>
    </row>
    <row r="157" spans="2:13">
      <c r="B157" s="14">
        <v>154</v>
      </c>
      <c r="C157" s="2" t="s">
        <v>220</v>
      </c>
      <c r="D157" s="12">
        <v>60000</v>
      </c>
      <c r="E157" s="12">
        <v>7998</v>
      </c>
      <c r="F157" s="15">
        <f t="shared" si="8"/>
        <v>67998</v>
      </c>
      <c r="G157" s="31">
        <v>40</v>
      </c>
      <c r="H157" s="12">
        <v>1699.95</v>
      </c>
      <c r="I157" s="8">
        <v>36</v>
      </c>
      <c r="J157" s="8">
        <v>4</v>
      </c>
      <c r="K157" s="12">
        <f>(36*1699.89)</f>
        <v>61196.04</v>
      </c>
      <c r="L157" s="15">
        <f t="shared" si="9"/>
        <v>6801.9599999999991</v>
      </c>
      <c r="M157" s="8"/>
    </row>
    <row r="158" spans="2:13">
      <c r="B158" s="14">
        <v>155</v>
      </c>
      <c r="C158" s="2" t="s">
        <v>209</v>
      </c>
      <c r="D158" s="12">
        <v>132000</v>
      </c>
      <c r="E158" s="12">
        <v>17595.599999999999</v>
      </c>
      <c r="F158" s="15">
        <f t="shared" si="8"/>
        <v>149595.6</v>
      </c>
      <c r="G158" s="30">
        <v>40</v>
      </c>
      <c r="H158" s="12">
        <v>3739.89</v>
      </c>
      <c r="I158" s="22">
        <v>38</v>
      </c>
      <c r="J158" s="22">
        <v>2</v>
      </c>
      <c r="K158" s="12">
        <f>(38*3739.89)</f>
        <v>142115.82</v>
      </c>
      <c r="L158" s="15">
        <f t="shared" si="9"/>
        <v>7479.7799999999988</v>
      </c>
      <c r="M158" s="8"/>
    </row>
    <row r="159" spans="2:13">
      <c r="B159" s="14">
        <v>156</v>
      </c>
      <c r="C159" s="2" t="s">
        <v>102</v>
      </c>
      <c r="D159" s="12">
        <v>450000</v>
      </c>
      <c r="E159" s="12">
        <v>59985</v>
      </c>
      <c r="F159" s="15">
        <f t="shared" si="8"/>
        <v>509985</v>
      </c>
      <c r="G159" s="31">
        <v>50</v>
      </c>
      <c r="H159" s="12">
        <v>10199.700000000001</v>
      </c>
      <c r="I159" s="11">
        <v>15</v>
      </c>
      <c r="J159" s="11">
        <v>35</v>
      </c>
      <c r="K159" s="12">
        <f>(15*10199.7)</f>
        <v>152995.5</v>
      </c>
      <c r="L159" s="15">
        <f t="shared" si="9"/>
        <v>356989.5</v>
      </c>
      <c r="M159" s="8"/>
    </row>
    <row r="160" spans="2:13">
      <c r="B160" s="14">
        <v>157</v>
      </c>
      <c r="C160" s="2" t="s">
        <v>115</v>
      </c>
      <c r="D160" s="12">
        <v>330000</v>
      </c>
      <c r="E160" s="12">
        <v>43989</v>
      </c>
      <c r="F160" s="15">
        <f t="shared" si="8"/>
        <v>373989</v>
      </c>
      <c r="G160" s="31">
        <v>50</v>
      </c>
      <c r="H160" s="12">
        <v>7479.78</v>
      </c>
      <c r="I160" s="8">
        <v>22</v>
      </c>
      <c r="J160" s="8">
        <v>28</v>
      </c>
      <c r="K160" s="12">
        <f>(22*7479.78)</f>
        <v>164555.16</v>
      </c>
      <c r="L160" s="15">
        <f t="shared" si="9"/>
        <v>209433.84</v>
      </c>
      <c r="M160" s="8"/>
    </row>
    <row r="161" spans="2:13">
      <c r="B161" s="14">
        <v>158</v>
      </c>
      <c r="C161" s="2" t="s">
        <v>86</v>
      </c>
      <c r="D161" s="12">
        <v>500000</v>
      </c>
      <c r="E161" s="12">
        <v>66650</v>
      </c>
      <c r="F161" s="15">
        <f t="shared" si="8"/>
        <v>566650</v>
      </c>
      <c r="G161" s="33">
        <v>50</v>
      </c>
      <c r="H161" s="12">
        <v>11333</v>
      </c>
      <c r="I161" s="11">
        <v>14</v>
      </c>
      <c r="J161" s="11">
        <v>36</v>
      </c>
      <c r="K161" s="16">
        <f>(14*11333)</f>
        <v>158662</v>
      </c>
      <c r="L161" s="15">
        <f t="shared" si="9"/>
        <v>407988</v>
      </c>
      <c r="M161" s="8"/>
    </row>
    <row r="162" spans="2:13">
      <c r="B162" s="14">
        <v>159</v>
      </c>
      <c r="C162" s="2" t="s">
        <v>116</v>
      </c>
      <c r="D162" s="12">
        <v>330000</v>
      </c>
      <c r="E162" s="12">
        <v>43989</v>
      </c>
      <c r="F162" s="15">
        <f t="shared" si="8"/>
        <v>373989</v>
      </c>
      <c r="G162" s="31">
        <v>50</v>
      </c>
      <c r="H162" s="12">
        <v>7479.78</v>
      </c>
      <c r="I162" s="8">
        <v>22</v>
      </c>
      <c r="J162" s="8">
        <v>28</v>
      </c>
      <c r="K162" s="12">
        <f>(22*7479.78)</f>
        <v>164555.16</v>
      </c>
      <c r="L162" s="15">
        <f t="shared" si="9"/>
        <v>209433.84</v>
      </c>
      <c r="M162" s="8"/>
    </row>
    <row r="163" spans="2:13">
      <c r="B163" s="14">
        <v>160</v>
      </c>
      <c r="C163" s="23" t="s">
        <v>47</v>
      </c>
      <c r="D163" s="12">
        <v>500000</v>
      </c>
      <c r="E163" s="16">
        <v>47992</v>
      </c>
      <c r="F163" s="15">
        <f t="shared" si="8"/>
        <v>547992</v>
      </c>
      <c r="G163" s="33">
        <v>36</v>
      </c>
      <c r="H163" s="16">
        <v>15222</v>
      </c>
      <c r="I163" s="11">
        <v>14</v>
      </c>
      <c r="J163" s="11">
        <v>22</v>
      </c>
      <c r="K163" s="16">
        <f>(14*15222)</f>
        <v>213108</v>
      </c>
      <c r="L163" s="15">
        <f t="shared" si="9"/>
        <v>334884</v>
      </c>
      <c r="M163" s="8"/>
    </row>
    <row r="164" spans="2:13">
      <c r="B164" s="14">
        <v>161</v>
      </c>
      <c r="C164" s="2" t="s">
        <v>182</v>
      </c>
      <c r="D164" s="15">
        <v>200000</v>
      </c>
      <c r="E164" s="15">
        <v>26660</v>
      </c>
      <c r="F164" s="15">
        <f t="shared" ref="F164:F182" si="10">SUM(D164:E164)</f>
        <v>226660</v>
      </c>
      <c r="G164" s="31">
        <v>40</v>
      </c>
      <c r="H164" s="15">
        <v>5666.5</v>
      </c>
      <c r="I164" s="8">
        <v>36</v>
      </c>
      <c r="J164" s="8">
        <v>4</v>
      </c>
      <c r="K164" s="12">
        <f>(36*5666.5)</f>
        <v>203994</v>
      </c>
      <c r="L164" s="15">
        <f t="shared" ref="L164:L182" si="11">F164-K164</f>
        <v>22666</v>
      </c>
      <c r="M164" s="8"/>
    </row>
    <row r="165" spans="2:13">
      <c r="B165" s="14">
        <v>162</v>
      </c>
      <c r="C165" s="2" t="s">
        <v>183</v>
      </c>
      <c r="D165" s="15">
        <v>200000</v>
      </c>
      <c r="E165" s="15">
        <v>26660</v>
      </c>
      <c r="F165" s="15">
        <f t="shared" si="10"/>
        <v>226660</v>
      </c>
      <c r="G165" s="32">
        <v>40</v>
      </c>
      <c r="H165" s="15">
        <v>5666.5</v>
      </c>
      <c r="I165" s="22">
        <v>38</v>
      </c>
      <c r="J165" s="21">
        <v>2</v>
      </c>
      <c r="K165" s="12">
        <f>(38*5666.5)</f>
        <v>215327</v>
      </c>
      <c r="L165" s="15">
        <f t="shared" si="11"/>
        <v>11333</v>
      </c>
      <c r="M165" s="10"/>
    </row>
    <row r="166" spans="2:13">
      <c r="B166" s="14">
        <v>163</v>
      </c>
      <c r="C166" s="2" t="s">
        <v>87</v>
      </c>
      <c r="D166" s="12">
        <v>500000</v>
      </c>
      <c r="E166" s="12">
        <v>66650</v>
      </c>
      <c r="F166" s="15">
        <f t="shared" si="10"/>
        <v>566650</v>
      </c>
      <c r="G166" s="31">
        <v>50</v>
      </c>
      <c r="H166" s="12">
        <v>11333</v>
      </c>
      <c r="I166" s="8">
        <v>36</v>
      </c>
      <c r="J166" s="8">
        <v>14</v>
      </c>
      <c r="K166" s="12">
        <f>(36*11333)</f>
        <v>407988</v>
      </c>
      <c r="L166" s="15">
        <f t="shared" si="11"/>
        <v>158662</v>
      </c>
      <c r="M166" s="8"/>
    </row>
    <row r="167" spans="2:13">
      <c r="B167" s="14">
        <v>164</v>
      </c>
      <c r="C167" s="2" t="s">
        <v>103</v>
      </c>
      <c r="D167" s="12">
        <v>450000</v>
      </c>
      <c r="E167" s="16">
        <v>59985</v>
      </c>
      <c r="F167" s="15">
        <f t="shared" si="10"/>
        <v>509985</v>
      </c>
      <c r="G167" s="33">
        <v>50</v>
      </c>
      <c r="H167" s="16">
        <v>10199.700000000001</v>
      </c>
      <c r="I167" s="8">
        <v>15</v>
      </c>
      <c r="J167" s="8">
        <v>35</v>
      </c>
      <c r="K167" s="12">
        <f>(15*10199.7)</f>
        <v>152995.5</v>
      </c>
      <c r="L167" s="15">
        <f t="shared" si="11"/>
        <v>356989.5</v>
      </c>
      <c r="M167" s="8"/>
    </row>
    <row r="168" spans="2:13">
      <c r="B168" s="14">
        <v>165</v>
      </c>
      <c r="C168" s="2" t="s">
        <v>88</v>
      </c>
      <c r="D168" s="12">
        <v>500000</v>
      </c>
      <c r="E168" s="12">
        <v>66650</v>
      </c>
      <c r="F168" s="15">
        <f t="shared" si="10"/>
        <v>566650</v>
      </c>
      <c r="G168" s="31">
        <v>50</v>
      </c>
      <c r="H168" s="12">
        <v>11333</v>
      </c>
      <c r="I168" s="11">
        <v>15</v>
      </c>
      <c r="J168" s="11">
        <v>35</v>
      </c>
      <c r="K168" s="12">
        <f>(15*11333)</f>
        <v>169995</v>
      </c>
      <c r="L168" s="15">
        <f t="shared" si="11"/>
        <v>396655</v>
      </c>
      <c r="M168" s="8"/>
    </row>
    <row r="169" spans="2:13">
      <c r="B169" s="14">
        <v>166</v>
      </c>
      <c r="C169" s="2" t="s">
        <v>104</v>
      </c>
      <c r="D169" s="12">
        <v>450000</v>
      </c>
      <c r="E169" s="12">
        <v>59985</v>
      </c>
      <c r="F169" s="15">
        <f t="shared" si="10"/>
        <v>509985</v>
      </c>
      <c r="G169" s="31">
        <v>50</v>
      </c>
      <c r="H169" s="12">
        <v>10199.700000000001</v>
      </c>
      <c r="I169" s="11">
        <v>15</v>
      </c>
      <c r="J169" s="11">
        <v>35</v>
      </c>
      <c r="K169" s="12">
        <f>(15*10199.7)</f>
        <v>152995.5</v>
      </c>
      <c r="L169" s="15">
        <f t="shared" si="11"/>
        <v>356989.5</v>
      </c>
      <c r="M169" s="8"/>
    </row>
    <row r="170" spans="2:13">
      <c r="B170" s="14">
        <v>167</v>
      </c>
      <c r="C170" s="2" t="s">
        <v>89</v>
      </c>
      <c r="D170" s="12">
        <v>500000</v>
      </c>
      <c r="E170" s="12">
        <v>66650</v>
      </c>
      <c r="F170" s="15">
        <f t="shared" si="10"/>
        <v>566650</v>
      </c>
      <c r="G170" s="31">
        <v>50</v>
      </c>
      <c r="H170" s="12">
        <v>11333</v>
      </c>
      <c r="I170" s="8">
        <v>22</v>
      </c>
      <c r="J170" s="8">
        <v>28</v>
      </c>
      <c r="K170" s="12">
        <f>(22*11333)</f>
        <v>249326</v>
      </c>
      <c r="L170" s="15">
        <f t="shared" si="11"/>
        <v>317324</v>
      </c>
      <c r="M170" s="8"/>
    </row>
    <row r="171" spans="2:13">
      <c r="B171" s="14">
        <v>168</v>
      </c>
      <c r="C171" s="2" t="s">
        <v>117</v>
      </c>
      <c r="D171" s="12">
        <v>330000</v>
      </c>
      <c r="E171" s="12">
        <v>43989</v>
      </c>
      <c r="F171" s="15">
        <f t="shared" si="10"/>
        <v>373989</v>
      </c>
      <c r="G171" s="31">
        <v>50</v>
      </c>
      <c r="H171" s="12">
        <v>7479.78</v>
      </c>
      <c r="I171" s="11">
        <v>24</v>
      </c>
      <c r="J171" s="11">
        <v>26</v>
      </c>
      <c r="K171" s="16">
        <f>(24*7479.78)</f>
        <v>179514.72</v>
      </c>
      <c r="L171" s="15">
        <f t="shared" si="11"/>
        <v>194474.28</v>
      </c>
      <c r="M171" s="8"/>
    </row>
    <row r="172" spans="2:13">
      <c r="B172" s="14">
        <v>169</v>
      </c>
      <c r="C172" s="2" t="s">
        <v>184</v>
      </c>
      <c r="D172" s="15">
        <v>200000</v>
      </c>
      <c r="E172" s="15">
        <v>26660</v>
      </c>
      <c r="F172" s="15">
        <f t="shared" si="10"/>
        <v>226660</v>
      </c>
      <c r="G172" s="31">
        <v>40</v>
      </c>
      <c r="H172" s="15">
        <v>5666.5</v>
      </c>
      <c r="I172" s="8">
        <v>32</v>
      </c>
      <c r="J172" s="8">
        <v>8</v>
      </c>
      <c r="K172" s="12">
        <f>(32*5666.5)</f>
        <v>181328</v>
      </c>
      <c r="L172" s="15">
        <f t="shared" si="11"/>
        <v>45332</v>
      </c>
      <c r="M172" s="8"/>
    </row>
    <row r="173" spans="2:13">
      <c r="B173" s="14">
        <v>170</v>
      </c>
      <c r="C173" s="26" t="s">
        <v>118</v>
      </c>
      <c r="D173" s="12">
        <v>330000</v>
      </c>
      <c r="E173" s="12">
        <v>43989</v>
      </c>
      <c r="F173" s="15">
        <f t="shared" si="10"/>
        <v>373989</v>
      </c>
      <c r="G173" s="31">
        <v>50</v>
      </c>
      <c r="H173" s="12">
        <v>7479.78</v>
      </c>
      <c r="I173" s="8">
        <v>21</v>
      </c>
      <c r="J173" s="8">
        <v>29</v>
      </c>
      <c r="K173" s="12">
        <f>(21*7479.78)</f>
        <v>157075.38</v>
      </c>
      <c r="L173" s="15">
        <f t="shared" si="11"/>
        <v>216913.62</v>
      </c>
      <c r="M173" s="8"/>
    </row>
    <row r="174" spans="2:13">
      <c r="B174" s="14">
        <v>171</v>
      </c>
      <c r="C174" s="2" t="s">
        <v>90</v>
      </c>
      <c r="D174" s="12">
        <v>500000</v>
      </c>
      <c r="E174" s="12">
        <v>66650</v>
      </c>
      <c r="F174" s="15">
        <f t="shared" si="10"/>
        <v>566650</v>
      </c>
      <c r="G174" s="31">
        <v>50</v>
      </c>
      <c r="H174" s="12">
        <v>11333</v>
      </c>
      <c r="I174" s="8">
        <v>36</v>
      </c>
      <c r="J174" s="8">
        <v>14</v>
      </c>
      <c r="K174" s="12">
        <f>(36*11333)</f>
        <v>407988</v>
      </c>
      <c r="L174" s="15">
        <f t="shared" si="11"/>
        <v>158662</v>
      </c>
      <c r="M174" s="8"/>
    </row>
    <row r="175" spans="2:13">
      <c r="B175" s="14">
        <v>172</v>
      </c>
      <c r="C175" s="2" t="s">
        <v>210</v>
      </c>
      <c r="D175" s="12">
        <v>132000</v>
      </c>
      <c r="E175" s="12">
        <v>17595.599999999999</v>
      </c>
      <c r="F175" s="15">
        <f t="shared" si="10"/>
        <v>149595.6</v>
      </c>
      <c r="G175" s="30">
        <v>40</v>
      </c>
      <c r="H175" s="12">
        <v>3739.89</v>
      </c>
      <c r="I175" s="22">
        <v>38</v>
      </c>
      <c r="J175" s="22">
        <v>2</v>
      </c>
      <c r="K175" s="12">
        <f>(38*3739.89)</f>
        <v>142115.82</v>
      </c>
      <c r="L175" s="15">
        <f t="shared" si="11"/>
        <v>7479.7799999999988</v>
      </c>
      <c r="M175" s="8"/>
    </row>
    <row r="176" spans="2:13">
      <c r="B176" s="14">
        <v>173</v>
      </c>
      <c r="C176" s="2" t="s">
        <v>91</v>
      </c>
      <c r="D176" s="12">
        <v>500000</v>
      </c>
      <c r="E176" s="12">
        <v>66650</v>
      </c>
      <c r="F176" s="15">
        <f t="shared" si="10"/>
        <v>566650</v>
      </c>
      <c r="G176" s="33">
        <v>50</v>
      </c>
      <c r="H176" s="12">
        <v>11333</v>
      </c>
      <c r="I176" s="11">
        <v>14</v>
      </c>
      <c r="J176" s="11">
        <v>36</v>
      </c>
      <c r="K176" s="16">
        <f>(14*11333)</f>
        <v>158662</v>
      </c>
      <c r="L176" s="15">
        <f t="shared" si="11"/>
        <v>407988</v>
      </c>
      <c r="M176" s="8"/>
    </row>
    <row r="177" spans="2:13">
      <c r="B177" s="14">
        <v>174</v>
      </c>
      <c r="C177" s="2" t="s">
        <v>92</v>
      </c>
      <c r="D177" s="12">
        <v>500000</v>
      </c>
      <c r="E177" s="12">
        <v>66650</v>
      </c>
      <c r="F177" s="15">
        <f t="shared" si="10"/>
        <v>566650</v>
      </c>
      <c r="G177" s="31">
        <v>50</v>
      </c>
      <c r="H177" s="12">
        <v>11333</v>
      </c>
      <c r="I177" s="8">
        <v>22</v>
      </c>
      <c r="J177" s="8">
        <v>28</v>
      </c>
      <c r="K177" s="16">
        <f>(22*11333)</f>
        <v>249326</v>
      </c>
      <c r="L177" s="15">
        <f t="shared" si="11"/>
        <v>317324</v>
      </c>
      <c r="M177" s="8"/>
    </row>
    <row r="178" spans="2:13">
      <c r="B178" s="14">
        <v>175</v>
      </c>
      <c r="C178" s="2" t="s">
        <v>119</v>
      </c>
      <c r="D178" s="12">
        <v>330000</v>
      </c>
      <c r="E178" s="16">
        <v>43989</v>
      </c>
      <c r="F178" s="15">
        <f t="shared" si="10"/>
        <v>373989</v>
      </c>
      <c r="G178" s="33">
        <v>50</v>
      </c>
      <c r="H178" s="16">
        <v>7479.78</v>
      </c>
      <c r="I178" s="11">
        <v>14</v>
      </c>
      <c r="J178" s="11">
        <v>36</v>
      </c>
      <c r="K178" s="12">
        <f>(14*7479.78)</f>
        <v>104716.92</v>
      </c>
      <c r="L178" s="15">
        <f t="shared" si="11"/>
        <v>269272.08</v>
      </c>
      <c r="M178" s="8"/>
    </row>
    <row r="179" spans="2:13">
      <c r="B179" s="14">
        <v>176</v>
      </c>
      <c r="C179" s="2" t="s">
        <v>48</v>
      </c>
      <c r="D179" s="12">
        <v>500000</v>
      </c>
      <c r="E179" s="16">
        <v>47992</v>
      </c>
      <c r="F179" s="15">
        <f t="shared" si="10"/>
        <v>547992</v>
      </c>
      <c r="G179" s="33">
        <v>36</v>
      </c>
      <c r="H179" s="16">
        <v>15222</v>
      </c>
      <c r="I179" s="11">
        <v>14</v>
      </c>
      <c r="J179" s="11">
        <v>22</v>
      </c>
      <c r="K179" s="16">
        <f>(14*15222)</f>
        <v>213108</v>
      </c>
      <c r="L179" s="15">
        <f t="shared" si="11"/>
        <v>334884</v>
      </c>
      <c r="M179" s="8"/>
    </row>
    <row r="180" spans="2:13">
      <c r="B180" s="14">
        <v>177</v>
      </c>
      <c r="C180" s="2" t="s">
        <v>185</v>
      </c>
      <c r="D180" s="15">
        <v>200000</v>
      </c>
      <c r="E180" s="15">
        <v>26660</v>
      </c>
      <c r="F180" s="15">
        <f t="shared" si="10"/>
        <v>226660</v>
      </c>
      <c r="G180" s="31">
        <v>40</v>
      </c>
      <c r="H180" s="15">
        <v>5666.5</v>
      </c>
      <c r="I180" s="8">
        <v>29</v>
      </c>
      <c r="J180" s="8">
        <v>11</v>
      </c>
      <c r="K180" s="12">
        <f>(29*5666.5)</f>
        <v>164328.5</v>
      </c>
      <c r="L180" s="15">
        <f t="shared" si="11"/>
        <v>62331.5</v>
      </c>
      <c r="M180" s="8"/>
    </row>
    <row r="181" spans="2:13">
      <c r="B181" s="14">
        <v>178</v>
      </c>
      <c r="C181" s="2" t="s">
        <v>93</v>
      </c>
      <c r="D181" s="12">
        <v>500000</v>
      </c>
      <c r="E181" s="12">
        <v>66650</v>
      </c>
      <c r="F181" s="15">
        <f t="shared" si="10"/>
        <v>566650</v>
      </c>
      <c r="G181" s="31">
        <v>50</v>
      </c>
      <c r="H181" s="12">
        <v>11333</v>
      </c>
      <c r="I181" s="8">
        <v>36</v>
      </c>
      <c r="J181" s="8">
        <v>14</v>
      </c>
      <c r="K181" s="12">
        <f>(36*11333)</f>
        <v>407988</v>
      </c>
      <c r="L181" s="15">
        <f t="shared" si="11"/>
        <v>158662</v>
      </c>
      <c r="M181" s="8"/>
    </row>
    <row r="182" spans="2:13">
      <c r="B182" s="14">
        <v>179</v>
      </c>
      <c r="C182" s="2" t="s">
        <v>186</v>
      </c>
      <c r="D182" s="15">
        <v>200000</v>
      </c>
      <c r="E182" s="15">
        <v>26660</v>
      </c>
      <c r="F182" s="15">
        <f t="shared" si="10"/>
        <v>226660</v>
      </c>
      <c r="G182" s="31">
        <v>40</v>
      </c>
      <c r="H182" s="15">
        <v>5666.5</v>
      </c>
      <c r="I182" s="8">
        <v>29</v>
      </c>
      <c r="J182" s="8">
        <v>11</v>
      </c>
      <c r="K182" s="12">
        <f>(29*5666.5)</f>
        <v>164328.5</v>
      </c>
      <c r="L182" s="15">
        <f t="shared" si="11"/>
        <v>62331.5</v>
      </c>
      <c r="M182" s="8"/>
    </row>
    <row r="183" spans="2:13">
      <c r="B183" s="14">
        <v>180</v>
      </c>
      <c r="C183" s="2" t="s">
        <v>224</v>
      </c>
      <c r="D183" s="12">
        <v>450000</v>
      </c>
      <c r="E183" s="12">
        <v>59985</v>
      </c>
      <c r="F183" s="12">
        <v>509985</v>
      </c>
      <c r="G183" s="31">
        <v>50</v>
      </c>
      <c r="H183" s="18">
        <v>20399.400000000001</v>
      </c>
      <c r="I183" s="33">
        <v>15</v>
      </c>
      <c r="J183" s="33">
        <v>35</v>
      </c>
      <c r="K183" s="12">
        <f>(15*10199.7)</f>
        <v>152995.5</v>
      </c>
      <c r="L183" s="15">
        <f>F183-K183</f>
        <v>356989.5</v>
      </c>
      <c r="M183" s="8"/>
    </row>
    <row r="184" spans="2:13">
      <c r="B184" s="14">
        <v>181</v>
      </c>
      <c r="C184" s="2" t="s">
        <v>221</v>
      </c>
      <c r="D184" s="12">
        <v>330000</v>
      </c>
      <c r="E184" s="12">
        <v>21975</v>
      </c>
      <c r="F184" s="12">
        <v>351975</v>
      </c>
      <c r="G184" s="31">
        <v>25</v>
      </c>
      <c r="H184" s="18">
        <v>28158</v>
      </c>
      <c r="I184" s="33">
        <v>24</v>
      </c>
      <c r="J184" s="31">
        <v>1</v>
      </c>
      <c r="K184" s="16">
        <f>(24*14079)</f>
        <v>337896</v>
      </c>
      <c r="L184" s="15">
        <f>F184-K184</f>
        <v>14079</v>
      </c>
      <c r="M184" s="8"/>
    </row>
    <row r="185" spans="2:13">
      <c r="B185" s="14">
        <v>182</v>
      </c>
      <c r="C185" s="2" t="s">
        <v>228</v>
      </c>
      <c r="D185" s="15">
        <v>200000</v>
      </c>
      <c r="E185" s="15">
        <v>26660</v>
      </c>
      <c r="F185" s="15">
        <v>226660</v>
      </c>
      <c r="G185" s="31">
        <v>40</v>
      </c>
      <c r="H185" s="18">
        <v>11333</v>
      </c>
      <c r="I185" s="31">
        <v>29</v>
      </c>
      <c r="J185" s="33">
        <v>11</v>
      </c>
      <c r="K185" s="12">
        <f>(29*5666.5)</f>
        <v>164328.5</v>
      </c>
      <c r="L185" s="15">
        <f>F185-K185</f>
        <v>62331.5</v>
      </c>
      <c r="M185" s="8"/>
    </row>
    <row r="186" spans="2:13">
      <c r="B186" s="14">
        <v>183</v>
      </c>
      <c r="C186" s="2" t="s">
        <v>241</v>
      </c>
      <c r="D186" s="12">
        <v>60000</v>
      </c>
      <c r="E186" s="12">
        <v>7998</v>
      </c>
      <c r="F186" s="15">
        <f>SUM(D186:E186)</f>
        <v>67998</v>
      </c>
      <c r="G186" s="31">
        <v>40</v>
      </c>
      <c r="H186" s="12">
        <v>3399.9</v>
      </c>
      <c r="I186" s="33">
        <v>28</v>
      </c>
      <c r="J186" s="33">
        <v>12</v>
      </c>
      <c r="K186" s="12">
        <f>(28*1699.95)</f>
        <v>47598.6</v>
      </c>
      <c r="L186" s="15">
        <f>F186-K186</f>
        <v>20399.400000000001</v>
      </c>
      <c r="M186" s="8"/>
    </row>
    <row r="187" spans="2:13">
      <c r="B187" s="14">
        <v>184</v>
      </c>
      <c r="C187" s="2" t="s">
        <v>243</v>
      </c>
      <c r="D187" s="12">
        <v>60000</v>
      </c>
      <c r="E187" s="12">
        <v>7998</v>
      </c>
      <c r="F187" s="12">
        <v>67998</v>
      </c>
      <c r="G187" s="31">
        <v>40</v>
      </c>
      <c r="H187" s="18">
        <v>3399.9</v>
      </c>
      <c r="I187" s="31">
        <v>38</v>
      </c>
      <c r="J187" s="31">
        <v>2</v>
      </c>
      <c r="K187" s="12">
        <f>(38*1699.95)</f>
        <v>64598.1</v>
      </c>
      <c r="L187" s="15">
        <f>F187-K187</f>
        <v>3399.9000000000015</v>
      </c>
      <c r="M187" s="8"/>
    </row>
    <row r="188" spans="2:13">
      <c r="B188" s="14"/>
      <c r="C188" s="23"/>
      <c r="D188" s="34">
        <f>SUM(D4:D182)</f>
        <v>53994000</v>
      </c>
      <c r="E188" s="34">
        <f>SUM(E4:E182)</f>
        <v>7001830.4399999995</v>
      </c>
      <c r="F188" s="34">
        <f>SUM(F4:F182)</f>
        <v>60995830.440000013</v>
      </c>
      <c r="G188" s="31"/>
      <c r="H188" s="34">
        <f>SUM(H4:H187)</f>
        <v>1445972.3599999992</v>
      </c>
      <c r="I188" s="8"/>
      <c r="J188" s="8"/>
      <c r="K188" s="34">
        <f>SUM(K4:K182)</f>
        <v>34559468.860000007</v>
      </c>
      <c r="L188" s="34">
        <f>SUM(L4:L182)</f>
        <v>26436361.579999998</v>
      </c>
      <c r="M188" s="8"/>
    </row>
    <row r="189" spans="2:13">
      <c r="B189" s="65"/>
      <c r="C189" s="66"/>
      <c r="D189" s="67"/>
      <c r="E189" s="67"/>
      <c r="F189" s="67"/>
      <c r="G189" s="310"/>
      <c r="H189" s="67"/>
      <c r="I189" s="69"/>
      <c r="J189" s="69"/>
      <c r="K189" s="67"/>
      <c r="L189" s="67"/>
      <c r="M189" s="69"/>
    </row>
    <row r="190" spans="2:13">
      <c r="B190" s="65"/>
      <c r="C190" s="66"/>
      <c r="D190" s="67"/>
      <c r="E190" s="67"/>
      <c r="F190" s="67"/>
      <c r="G190" s="310"/>
      <c r="H190" s="67"/>
      <c r="I190" s="69"/>
      <c r="J190" s="69"/>
      <c r="K190" s="67"/>
      <c r="L190" s="67"/>
      <c r="M190" s="69"/>
    </row>
    <row r="191" spans="2:13">
      <c r="B191" s="65"/>
      <c r="C191" s="66"/>
      <c r="D191" s="67"/>
      <c r="E191" s="67"/>
      <c r="F191" s="67"/>
      <c r="G191" s="310"/>
      <c r="H191" s="67"/>
      <c r="I191" s="69"/>
      <c r="J191" s="69"/>
      <c r="K191" s="67"/>
      <c r="L191" s="67"/>
      <c r="M191" s="69"/>
    </row>
    <row r="192" spans="2:13" ht="20.25">
      <c r="B192" s="419" t="s">
        <v>245</v>
      </c>
      <c r="C192" s="419"/>
      <c r="D192" s="419"/>
      <c r="E192" s="419"/>
      <c r="F192" s="419"/>
      <c r="G192" s="419"/>
      <c r="H192" s="419"/>
      <c r="I192" s="419"/>
      <c r="J192" s="419"/>
      <c r="K192" s="419"/>
      <c r="L192" s="419"/>
      <c r="M192" s="419"/>
    </row>
    <row r="193" spans="2:13" ht="18">
      <c r="B193" s="418" t="s">
        <v>246</v>
      </c>
      <c r="C193" s="418"/>
      <c r="D193" s="418"/>
      <c r="E193" s="418"/>
      <c r="F193" s="418"/>
      <c r="G193" s="418"/>
      <c r="H193" s="418"/>
      <c r="I193" s="418"/>
      <c r="J193" s="418"/>
      <c r="K193" s="418"/>
      <c r="L193" s="418"/>
      <c r="M193" s="418"/>
    </row>
    <row r="194" spans="2:13" ht="18">
      <c r="B194" s="420" t="s">
        <v>252</v>
      </c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2"/>
    </row>
    <row r="195" spans="2:13" s="44" customFormat="1" ht="35.25" customHeight="1">
      <c r="B195" s="49" t="s">
        <v>0</v>
      </c>
      <c r="C195" s="49" t="s">
        <v>1</v>
      </c>
      <c r="D195" s="50" t="s">
        <v>2</v>
      </c>
      <c r="E195" s="50" t="s">
        <v>3</v>
      </c>
      <c r="F195" s="49" t="s">
        <v>4</v>
      </c>
      <c r="G195" s="50" t="s">
        <v>5</v>
      </c>
      <c r="H195" s="51" t="s">
        <v>6</v>
      </c>
      <c r="I195" s="50" t="s">
        <v>7</v>
      </c>
      <c r="J195" s="51" t="s">
        <v>8</v>
      </c>
      <c r="K195" s="50" t="s">
        <v>9</v>
      </c>
      <c r="L195" s="51" t="s">
        <v>10</v>
      </c>
      <c r="M195" s="51" t="s">
        <v>11</v>
      </c>
    </row>
    <row r="196" spans="2:13">
      <c r="B196" s="14">
        <v>1</v>
      </c>
      <c r="C196" s="2" t="s">
        <v>225</v>
      </c>
      <c r="D196" s="15">
        <v>200000</v>
      </c>
      <c r="E196" s="15">
        <v>26660</v>
      </c>
      <c r="F196" s="15">
        <v>226660</v>
      </c>
      <c r="G196" s="32">
        <v>40</v>
      </c>
      <c r="H196" s="18">
        <v>5666.5</v>
      </c>
      <c r="I196" s="30">
        <v>38</v>
      </c>
      <c r="J196" s="30">
        <v>2</v>
      </c>
      <c r="K196" s="15">
        <f>(28*5666.5)</f>
        <v>158662</v>
      </c>
      <c r="L196" s="15">
        <f>F196-K196</f>
        <v>67998</v>
      </c>
      <c r="M196" s="10"/>
    </row>
    <row r="197" spans="2:13">
      <c r="B197" s="14">
        <v>2</v>
      </c>
      <c r="C197" s="2" t="s">
        <v>236</v>
      </c>
      <c r="D197" s="12">
        <v>180000</v>
      </c>
      <c r="E197" s="12">
        <v>23994</v>
      </c>
      <c r="F197" s="12">
        <v>203994</v>
      </c>
      <c r="G197" s="30">
        <v>40</v>
      </c>
      <c r="H197" s="18">
        <v>5099.8500000000004</v>
      </c>
      <c r="I197" s="30">
        <v>38</v>
      </c>
      <c r="J197" s="30">
        <v>2</v>
      </c>
      <c r="K197" s="12">
        <f>(38*5099.85)</f>
        <v>193794.30000000002</v>
      </c>
      <c r="L197" s="15">
        <f>F197-K197</f>
        <v>10199.699999999983</v>
      </c>
      <c r="M197" s="10"/>
    </row>
    <row r="198" spans="2:13">
      <c r="B198" s="14">
        <v>3</v>
      </c>
      <c r="C198" s="2" t="s">
        <v>16</v>
      </c>
      <c r="D198" s="12">
        <v>450000</v>
      </c>
      <c r="E198" s="12">
        <v>59985</v>
      </c>
      <c r="F198" s="12">
        <v>509985</v>
      </c>
      <c r="G198" s="31" t="s">
        <v>13</v>
      </c>
      <c r="H198" s="19">
        <v>11333</v>
      </c>
      <c r="I198" s="31" t="s">
        <v>14</v>
      </c>
      <c r="J198" s="31" t="s">
        <v>15</v>
      </c>
      <c r="K198" s="12">
        <f>(4*11333)</f>
        <v>45332</v>
      </c>
      <c r="L198" s="15">
        <f>F198-K198</f>
        <v>464653</v>
      </c>
      <c r="M198" s="8"/>
    </row>
    <row r="199" spans="2:13">
      <c r="B199" s="14">
        <v>4</v>
      </c>
      <c r="C199" s="2" t="s">
        <v>235</v>
      </c>
      <c r="D199" s="12">
        <v>180000</v>
      </c>
      <c r="E199" s="12">
        <v>23994</v>
      </c>
      <c r="F199" s="12">
        <v>203994</v>
      </c>
      <c r="G199" s="30">
        <v>40</v>
      </c>
      <c r="H199" s="18">
        <v>5099.8500000000004</v>
      </c>
      <c r="I199" s="30">
        <v>38</v>
      </c>
      <c r="J199" s="30">
        <v>2</v>
      </c>
      <c r="K199" s="12">
        <f>(38*5099.85)</f>
        <v>193794.30000000002</v>
      </c>
      <c r="L199" s="15">
        <f>F199-K199</f>
        <v>10199.699999999983</v>
      </c>
      <c r="M199" s="10"/>
    </row>
    <row r="200" spans="2:13">
      <c r="B200" s="14">
        <v>5</v>
      </c>
      <c r="C200" s="23" t="s">
        <v>238</v>
      </c>
      <c r="D200" s="12">
        <v>132000</v>
      </c>
      <c r="E200" s="12">
        <v>17595.599999999999</v>
      </c>
      <c r="F200" s="12">
        <v>149595.6</v>
      </c>
      <c r="G200" s="30">
        <v>40</v>
      </c>
      <c r="H200" s="18">
        <v>3739.89</v>
      </c>
      <c r="I200" s="30">
        <v>38</v>
      </c>
      <c r="J200" s="30">
        <v>2</v>
      </c>
      <c r="K200" s="12">
        <f>(38*3739.89)</f>
        <v>142115.82</v>
      </c>
      <c r="L200" s="15">
        <f>F200-K200</f>
        <v>7479.7799999999988</v>
      </c>
      <c r="M200" s="10"/>
    </row>
    <row r="201" spans="2:13">
      <c r="B201" s="14">
        <v>6</v>
      </c>
      <c r="C201" s="2" t="s">
        <v>233</v>
      </c>
      <c r="D201" s="15">
        <v>200000</v>
      </c>
      <c r="E201" s="15">
        <v>26660</v>
      </c>
      <c r="F201" s="15">
        <v>226660</v>
      </c>
      <c r="G201" s="31">
        <v>40</v>
      </c>
      <c r="H201" s="18">
        <v>5666.5</v>
      </c>
      <c r="I201" s="31">
        <v>32</v>
      </c>
      <c r="J201" s="31">
        <v>8</v>
      </c>
      <c r="K201" s="12">
        <f>(32*5666.5)</f>
        <v>181328</v>
      </c>
      <c r="L201" s="15">
        <f t="shared" ref="L201:L214" si="12">F201-K201</f>
        <v>45332</v>
      </c>
      <c r="M201" s="8"/>
    </row>
    <row r="202" spans="2:13">
      <c r="B202" s="14">
        <v>7</v>
      </c>
      <c r="C202" s="2" t="s">
        <v>226</v>
      </c>
      <c r="D202" s="15">
        <v>200000</v>
      </c>
      <c r="E202" s="15">
        <v>26660</v>
      </c>
      <c r="F202" s="15">
        <v>226660</v>
      </c>
      <c r="G202" s="31">
        <v>40</v>
      </c>
      <c r="H202" s="18">
        <v>5666.5</v>
      </c>
      <c r="I202" s="31">
        <v>32</v>
      </c>
      <c r="J202" s="31">
        <v>8</v>
      </c>
      <c r="K202" s="12">
        <f>(32*5666.5)</f>
        <v>181328</v>
      </c>
      <c r="L202" s="15">
        <f t="shared" si="12"/>
        <v>45332</v>
      </c>
      <c r="M202" s="8"/>
    </row>
    <row r="203" spans="2:13">
      <c r="B203" s="14">
        <v>8</v>
      </c>
      <c r="C203" s="2" t="s">
        <v>234</v>
      </c>
      <c r="D203" s="15">
        <v>200000</v>
      </c>
      <c r="E203" s="15">
        <v>26660</v>
      </c>
      <c r="F203" s="15">
        <v>226660</v>
      </c>
      <c r="G203" s="31">
        <v>40</v>
      </c>
      <c r="H203" s="18">
        <v>5666.5</v>
      </c>
      <c r="I203" s="31">
        <v>32</v>
      </c>
      <c r="J203" s="31">
        <v>8</v>
      </c>
      <c r="K203" s="12">
        <f>(32*5666.5)</f>
        <v>181328</v>
      </c>
      <c r="L203" s="15">
        <f t="shared" si="12"/>
        <v>45332</v>
      </c>
      <c r="M203" s="8"/>
    </row>
    <row r="204" spans="2:13">
      <c r="B204" s="14">
        <v>9</v>
      </c>
      <c r="C204" s="2" t="s">
        <v>232</v>
      </c>
      <c r="D204" s="15">
        <v>200000</v>
      </c>
      <c r="E204" s="15">
        <v>26660</v>
      </c>
      <c r="F204" s="15">
        <v>226660</v>
      </c>
      <c r="G204" s="31">
        <v>40</v>
      </c>
      <c r="H204" s="18">
        <v>5666.5</v>
      </c>
      <c r="I204" s="31">
        <v>29</v>
      </c>
      <c r="J204" s="31">
        <v>11</v>
      </c>
      <c r="K204" s="12">
        <f>(29*5666.5)</f>
        <v>164328.5</v>
      </c>
      <c r="L204" s="15">
        <f t="shared" si="12"/>
        <v>62331.5</v>
      </c>
      <c r="M204" s="8"/>
    </row>
    <row r="205" spans="2:13">
      <c r="B205" s="14">
        <v>10</v>
      </c>
      <c r="C205" s="2" t="s">
        <v>231</v>
      </c>
      <c r="D205" s="15">
        <v>200000</v>
      </c>
      <c r="E205" s="15">
        <v>26660</v>
      </c>
      <c r="F205" s="15">
        <v>226660</v>
      </c>
      <c r="G205" s="31">
        <v>40</v>
      </c>
      <c r="H205" s="18">
        <v>5666.5</v>
      </c>
      <c r="I205" s="31">
        <v>29</v>
      </c>
      <c r="J205" s="31">
        <v>11</v>
      </c>
      <c r="K205" s="12">
        <f>(29*5666.5)</f>
        <v>164328.5</v>
      </c>
      <c r="L205" s="15">
        <f t="shared" si="12"/>
        <v>62331.5</v>
      </c>
      <c r="M205" s="8"/>
    </row>
    <row r="206" spans="2:13">
      <c r="B206" s="14">
        <v>11</v>
      </c>
      <c r="C206" s="2" t="s">
        <v>229</v>
      </c>
      <c r="D206" s="15">
        <v>200000</v>
      </c>
      <c r="E206" s="15">
        <v>26660</v>
      </c>
      <c r="F206" s="15">
        <v>226660</v>
      </c>
      <c r="G206" s="31">
        <v>40</v>
      </c>
      <c r="H206" s="18">
        <v>5666.5</v>
      </c>
      <c r="I206" s="31">
        <v>28</v>
      </c>
      <c r="J206" s="33">
        <v>12</v>
      </c>
      <c r="K206" s="12">
        <f>(28*5666.5)</f>
        <v>158662</v>
      </c>
      <c r="L206" s="15">
        <f t="shared" si="12"/>
        <v>67998</v>
      </c>
      <c r="M206" s="8"/>
    </row>
    <row r="207" spans="2:13">
      <c r="B207" s="14">
        <v>12</v>
      </c>
      <c r="C207" s="2" t="s">
        <v>230</v>
      </c>
      <c r="D207" s="15">
        <v>200000</v>
      </c>
      <c r="E207" s="15">
        <v>26660</v>
      </c>
      <c r="F207" s="15">
        <v>226660</v>
      </c>
      <c r="G207" s="31">
        <v>40</v>
      </c>
      <c r="H207" s="18">
        <v>5666.5</v>
      </c>
      <c r="I207" s="31">
        <v>28</v>
      </c>
      <c r="J207" s="33">
        <v>12</v>
      </c>
      <c r="K207" s="12">
        <f>(28*5666.5)</f>
        <v>158662</v>
      </c>
      <c r="L207" s="15">
        <f t="shared" si="12"/>
        <v>67998</v>
      </c>
      <c r="M207" s="8"/>
    </row>
    <row r="208" spans="2:13">
      <c r="B208" s="14">
        <v>13</v>
      </c>
      <c r="C208" s="2" t="s">
        <v>227</v>
      </c>
      <c r="D208" s="15">
        <v>200000</v>
      </c>
      <c r="E208" s="15">
        <v>26660</v>
      </c>
      <c r="F208" s="15">
        <v>226660</v>
      </c>
      <c r="G208" s="31">
        <v>40</v>
      </c>
      <c r="H208" s="18">
        <v>5666.5</v>
      </c>
      <c r="I208" s="31">
        <v>28</v>
      </c>
      <c r="J208" s="33">
        <v>12</v>
      </c>
      <c r="K208" s="12">
        <f>(28*5666.5)</f>
        <v>158662</v>
      </c>
      <c r="L208" s="15">
        <f t="shared" si="12"/>
        <v>67998</v>
      </c>
      <c r="M208" s="8"/>
    </row>
    <row r="209" spans="2:13">
      <c r="B209" s="14">
        <v>14</v>
      </c>
      <c r="C209" s="2" t="s">
        <v>222</v>
      </c>
      <c r="D209" s="12">
        <v>500000</v>
      </c>
      <c r="E209" s="12">
        <v>66650</v>
      </c>
      <c r="F209" s="12">
        <v>566650</v>
      </c>
      <c r="G209" s="31">
        <v>50</v>
      </c>
      <c r="H209" s="18">
        <v>11333</v>
      </c>
      <c r="I209" s="33">
        <v>15</v>
      </c>
      <c r="J209" s="33">
        <v>35</v>
      </c>
      <c r="K209" s="12">
        <f>(15*11333)</f>
        <v>169995</v>
      </c>
      <c r="L209" s="15">
        <f t="shared" si="12"/>
        <v>396655</v>
      </c>
      <c r="M209" s="8"/>
    </row>
    <row r="210" spans="2:13">
      <c r="B210" s="14">
        <v>15</v>
      </c>
      <c r="C210" s="2" t="s">
        <v>223</v>
      </c>
      <c r="D210" s="12">
        <v>500000</v>
      </c>
      <c r="E210" s="12">
        <v>66650</v>
      </c>
      <c r="F210" s="12">
        <v>566650</v>
      </c>
      <c r="G210" s="31">
        <v>50</v>
      </c>
      <c r="H210" s="18">
        <v>11333</v>
      </c>
      <c r="I210" s="33">
        <v>15</v>
      </c>
      <c r="J210" s="33">
        <v>35</v>
      </c>
      <c r="K210" s="12">
        <f>(15*11333)</f>
        <v>169995</v>
      </c>
      <c r="L210" s="15">
        <f t="shared" si="12"/>
        <v>396655</v>
      </c>
      <c r="M210" s="8"/>
    </row>
    <row r="211" spans="2:13">
      <c r="B211" s="14">
        <v>16</v>
      </c>
      <c r="C211" s="2" t="s">
        <v>237</v>
      </c>
      <c r="D211" s="12">
        <v>132000</v>
      </c>
      <c r="E211" s="12">
        <v>17595.599999999999</v>
      </c>
      <c r="F211" s="12">
        <v>149595.6</v>
      </c>
      <c r="G211" s="30">
        <v>40</v>
      </c>
      <c r="H211" s="18">
        <v>3739.89</v>
      </c>
      <c r="I211" s="33">
        <v>26</v>
      </c>
      <c r="J211" s="33">
        <v>14</v>
      </c>
      <c r="K211" s="12">
        <f>(26*3739.89)</f>
        <v>97237.14</v>
      </c>
      <c r="L211" s="15">
        <f t="shared" si="12"/>
        <v>52358.460000000006</v>
      </c>
      <c r="M211" s="8"/>
    </row>
    <row r="212" spans="2:13">
      <c r="B212" s="14">
        <v>17</v>
      </c>
      <c r="C212" s="2" t="s">
        <v>239</v>
      </c>
      <c r="D212" s="12">
        <v>132000</v>
      </c>
      <c r="E212" s="12">
        <v>17595.599999999999</v>
      </c>
      <c r="F212" s="12">
        <v>149595.6</v>
      </c>
      <c r="G212" s="30">
        <v>40</v>
      </c>
      <c r="H212" s="18">
        <v>3739.89</v>
      </c>
      <c r="I212" s="33">
        <v>39</v>
      </c>
      <c r="J212" s="33">
        <v>1</v>
      </c>
      <c r="K212" s="12">
        <f>(39*3739.89)</f>
        <v>145855.71</v>
      </c>
      <c r="L212" s="15">
        <f t="shared" si="12"/>
        <v>3739.890000000014</v>
      </c>
      <c r="M212" s="8"/>
    </row>
    <row r="213" spans="2:13">
      <c r="B213" s="14">
        <v>18</v>
      </c>
      <c r="C213" s="2" t="s">
        <v>240</v>
      </c>
      <c r="D213" s="16">
        <v>132000</v>
      </c>
      <c r="E213" s="16">
        <v>17595.599999999999</v>
      </c>
      <c r="F213" s="16">
        <v>149595.6</v>
      </c>
      <c r="G213" s="45">
        <v>40</v>
      </c>
      <c r="H213" s="19">
        <v>3739.89</v>
      </c>
      <c r="I213" s="33"/>
      <c r="J213" s="33"/>
      <c r="K213" s="12"/>
      <c r="L213" s="15">
        <f t="shared" si="12"/>
        <v>149595.6</v>
      </c>
      <c r="M213" s="8"/>
    </row>
    <row r="214" spans="2:13">
      <c r="B214" s="14">
        <v>19</v>
      </c>
      <c r="C214" s="2" t="s">
        <v>242</v>
      </c>
      <c r="D214" s="12">
        <v>60000</v>
      </c>
      <c r="E214" s="12">
        <v>7998</v>
      </c>
      <c r="F214" s="15">
        <f>SUM(D214:E214)</f>
        <v>67998</v>
      </c>
      <c r="G214" s="31">
        <v>40</v>
      </c>
      <c r="H214" s="12">
        <v>1699.95</v>
      </c>
      <c r="I214" s="33">
        <v>36</v>
      </c>
      <c r="J214" s="33">
        <v>4</v>
      </c>
      <c r="K214" s="12">
        <f>(36*1699.95)</f>
        <v>61198.200000000004</v>
      </c>
      <c r="L214" s="15">
        <f t="shared" si="12"/>
        <v>6799.7999999999956</v>
      </c>
      <c r="M214" s="8"/>
    </row>
    <row r="215" spans="2:13">
      <c r="B215" s="14"/>
      <c r="C215" s="29"/>
      <c r="D215" s="34">
        <f>SUM(D196:D214)</f>
        <v>4198000</v>
      </c>
      <c r="E215" s="34">
        <f>SUM(E196:E214)</f>
        <v>559593.39999999991</v>
      </c>
      <c r="F215" s="34">
        <f>SUM(F196:F214)</f>
        <v>4757593.3999999985</v>
      </c>
      <c r="G215" s="42"/>
      <c r="H215" s="34">
        <f>SUM(H196:H214)</f>
        <v>111856.70999999999</v>
      </c>
      <c r="I215" s="35"/>
      <c r="J215" s="35"/>
      <c r="K215" s="34">
        <f>SUM(K196:K214)</f>
        <v>2726606.47</v>
      </c>
      <c r="L215" s="36">
        <f>SUM(L196:L214)</f>
        <v>2030986.93</v>
      </c>
      <c r="M215" s="8"/>
    </row>
    <row r="216" spans="2:13">
      <c r="B216" s="14"/>
      <c r="C216" s="29"/>
      <c r="D216" s="34">
        <f>D188+D215</f>
        <v>58192000</v>
      </c>
      <c r="E216" s="34">
        <f>E188+E215</f>
        <v>7561423.8399999999</v>
      </c>
      <c r="F216" s="34">
        <f>F188+F215</f>
        <v>65753423.840000011</v>
      </c>
      <c r="G216" s="42"/>
      <c r="H216" s="34">
        <f>H188+H215</f>
        <v>1557829.0699999991</v>
      </c>
      <c r="I216" s="33"/>
      <c r="J216" s="33"/>
      <c r="K216" s="34">
        <f>K188+K215</f>
        <v>37286075.330000006</v>
      </c>
      <c r="L216" s="34">
        <f>L188+L215</f>
        <v>28467348.509999998</v>
      </c>
      <c r="M216" s="8"/>
    </row>
    <row r="217" spans="2:13">
      <c r="B217" s="8"/>
      <c r="C217" s="8"/>
      <c r="D217" s="8"/>
      <c r="E217" s="8"/>
      <c r="F217" s="8"/>
      <c r="G217" s="31"/>
      <c r="H217" s="8"/>
      <c r="I217" s="8"/>
      <c r="J217" s="8"/>
      <c r="K217" s="8"/>
      <c r="L217" s="13">
        <f>F217-K217</f>
        <v>0</v>
      </c>
      <c r="M217" s="8"/>
    </row>
    <row r="218" spans="2:13">
      <c r="B218" s="8"/>
      <c r="C218" s="8"/>
      <c r="D218" s="8"/>
      <c r="E218" s="8"/>
      <c r="F218" s="8"/>
      <c r="G218" s="31"/>
      <c r="H218" s="8"/>
      <c r="I218" s="8"/>
      <c r="J218" s="8"/>
      <c r="K218" s="8"/>
      <c r="L218" s="8"/>
      <c r="M218" s="8"/>
    </row>
    <row r="219" spans="2:13">
      <c r="B219" s="14">
        <v>173</v>
      </c>
      <c r="C219" s="23" t="s">
        <v>244</v>
      </c>
      <c r="D219" s="12">
        <v>330000</v>
      </c>
      <c r="E219" s="12">
        <v>43989</v>
      </c>
      <c r="F219" s="12">
        <v>373989</v>
      </c>
      <c r="G219" s="31">
        <v>50</v>
      </c>
      <c r="H219" s="12">
        <v>7479.78</v>
      </c>
      <c r="I219" s="11">
        <v>15</v>
      </c>
      <c r="J219" s="11">
        <v>35</v>
      </c>
      <c r="K219" s="16">
        <v>112196.7</v>
      </c>
      <c r="L219" s="16">
        <v>261792.3</v>
      </c>
      <c r="M219" s="8"/>
    </row>
  </sheetData>
  <sortState ref="C215:M219">
    <sortCondition ref="C215:C219"/>
  </sortState>
  <mergeCells count="5">
    <mergeCell ref="B2:M2"/>
    <mergeCell ref="B1:M1"/>
    <mergeCell ref="B192:M192"/>
    <mergeCell ref="B193:M193"/>
    <mergeCell ref="B194:M194"/>
  </mergeCells>
  <conditionalFormatting sqref="C135">
    <cfRule type="duplicateValues" dxfId="7064" priority="493" stopIfTrue="1"/>
    <cfRule type="duplicateValues" dxfId="7063" priority="494" stopIfTrue="1"/>
  </conditionalFormatting>
  <conditionalFormatting sqref="C135">
    <cfRule type="duplicateValues" dxfId="7062" priority="492" stopIfTrue="1"/>
  </conditionalFormatting>
  <conditionalFormatting sqref="C9">
    <cfRule type="duplicateValues" dxfId="7061" priority="481" stopIfTrue="1"/>
    <cfRule type="duplicateValues" dxfId="7060" priority="482" stopIfTrue="1"/>
  </conditionalFormatting>
  <conditionalFormatting sqref="C9">
    <cfRule type="duplicateValues" dxfId="7059" priority="480" stopIfTrue="1"/>
  </conditionalFormatting>
  <conditionalFormatting sqref="C11">
    <cfRule type="duplicateValues" dxfId="7058" priority="478" stopIfTrue="1"/>
    <cfRule type="duplicateValues" dxfId="7057" priority="479" stopIfTrue="1"/>
  </conditionalFormatting>
  <conditionalFormatting sqref="C11">
    <cfRule type="duplicateValues" dxfId="7056" priority="477" stopIfTrue="1"/>
  </conditionalFormatting>
  <conditionalFormatting sqref="C12">
    <cfRule type="duplicateValues" dxfId="7055" priority="475" stopIfTrue="1"/>
    <cfRule type="duplicateValues" dxfId="7054" priority="476" stopIfTrue="1"/>
  </conditionalFormatting>
  <conditionalFormatting sqref="C12">
    <cfRule type="duplicateValues" dxfId="7053" priority="474" stopIfTrue="1"/>
  </conditionalFormatting>
  <conditionalFormatting sqref="C14">
    <cfRule type="duplicateValues" dxfId="7052" priority="472" stopIfTrue="1"/>
    <cfRule type="duplicateValues" dxfId="7051" priority="473" stopIfTrue="1"/>
  </conditionalFormatting>
  <conditionalFormatting sqref="C14">
    <cfRule type="duplicateValues" dxfId="7050" priority="471" stopIfTrue="1"/>
  </conditionalFormatting>
  <conditionalFormatting sqref="C15">
    <cfRule type="duplicateValues" dxfId="7049" priority="469" stopIfTrue="1"/>
    <cfRule type="duplicateValues" dxfId="7048" priority="470" stopIfTrue="1"/>
  </conditionalFormatting>
  <conditionalFormatting sqref="C15">
    <cfRule type="duplicateValues" dxfId="7047" priority="468" stopIfTrue="1"/>
  </conditionalFormatting>
  <conditionalFormatting sqref="C16">
    <cfRule type="duplicateValues" dxfId="7046" priority="466" stopIfTrue="1"/>
    <cfRule type="duplicateValues" dxfId="7045" priority="467" stopIfTrue="1"/>
  </conditionalFormatting>
  <conditionalFormatting sqref="C16">
    <cfRule type="duplicateValues" dxfId="7044" priority="465" stopIfTrue="1"/>
  </conditionalFormatting>
  <conditionalFormatting sqref="C17">
    <cfRule type="duplicateValues" dxfId="7043" priority="463" stopIfTrue="1"/>
    <cfRule type="duplicateValues" dxfId="7042" priority="464" stopIfTrue="1"/>
  </conditionalFormatting>
  <conditionalFormatting sqref="C17">
    <cfRule type="duplicateValues" dxfId="7041" priority="462" stopIfTrue="1"/>
  </conditionalFormatting>
  <conditionalFormatting sqref="C18">
    <cfRule type="duplicateValues" dxfId="7040" priority="460" stopIfTrue="1"/>
    <cfRule type="duplicateValues" dxfId="7039" priority="461" stopIfTrue="1"/>
  </conditionalFormatting>
  <conditionalFormatting sqref="C18">
    <cfRule type="duplicateValues" dxfId="7038" priority="459" stopIfTrue="1"/>
  </conditionalFormatting>
  <conditionalFormatting sqref="C19">
    <cfRule type="duplicateValues" dxfId="7037" priority="457" stopIfTrue="1"/>
    <cfRule type="duplicateValues" dxfId="7036" priority="458" stopIfTrue="1"/>
  </conditionalFormatting>
  <conditionalFormatting sqref="C19">
    <cfRule type="duplicateValues" dxfId="7035" priority="456" stopIfTrue="1"/>
  </conditionalFormatting>
  <conditionalFormatting sqref="C20">
    <cfRule type="duplicateValues" dxfId="7034" priority="454" stopIfTrue="1"/>
    <cfRule type="duplicateValues" dxfId="7033" priority="455" stopIfTrue="1"/>
  </conditionalFormatting>
  <conditionalFormatting sqref="C20">
    <cfRule type="duplicateValues" dxfId="7032" priority="453" stopIfTrue="1"/>
  </conditionalFormatting>
  <conditionalFormatting sqref="C21">
    <cfRule type="duplicateValues" dxfId="7031" priority="451" stopIfTrue="1"/>
    <cfRule type="duplicateValues" dxfId="7030" priority="452" stopIfTrue="1"/>
  </conditionalFormatting>
  <conditionalFormatting sqref="C21">
    <cfRule type="duplicateValues" dxfId="7029" priority="450" stopIfTrue="1"/>
  </conditionalFormatting>
  <conditionalFormatting sqref="C22">
    <cfRule type="duplicateValues" dxfId="7028" priority="448" stopIfTrue="1"/>
    <cfRule type="duplicateValues" dxfId="7027" priority="449" stopIfTrue="1"/>
  </conditionalFormatting>
  <conditionalFormatting sqref="C22">
    <cfRule type="duplicateValues" dxfId="7026" priority="447" stopIfTrue="1"/>
  </conditionalFormatting>
  <conditionalFormatting sqref="C23">
    <cfRule type="duplicateValues" dxfId="7025" priority="445" stopIfTrue="1"/>
    <cfRule type="duplicateValues" dxfId="7024" priority="446" stopIfTrue="1"/>
  </conditionalFormatting>
  <conditionalFormatting sqref="C23">
    <cfRule type="duplicateValues" dxfId="7023" priority="444" stopIfTrue="1"/>
  </conditionalFormatting>
  <conditionalFormatting sqref="C24">
    <cfRule type="duplicateValues" dxfId="7022" priority="439" stopIfTrue="1"/>
    <cfRule type="duplicateValues" dxfId="7021" priority="440" stopIfTrue="1"/>
  </conditionalFormatting>
  <conditionalFormatting sqref="C24">
    <cfRule type="duplicateValues" dxfId="7020" priority="438" stopIfTrue="1"/>
  </conditionalFormatting>
  <conditionalFormatting sqref="C26">
    <cfRule type="duplicateValues" dxfId="7019" priority="436" stopIfTrue="1"/>
    <cfRule type="duplicateValues" dxfId="7018" priority="437" stopIfTrue="1"/>
  </conditionalFormatting>
  <conditionalFormatting sqref="C26">
    <cfRule type="duplicateValues" dxfId="7017" priority="435" stopIfTrue="1"/>
  </conditionalFormatting>
  <conditionalFormatting sqref="C27">
    <cfRule type="duplicateValues" dxfId="7016" priority="433" stopIfTrue="1"/>
    <cfRule type="duplicateValues" dxfId="7015" priority="434" stopIfTrue="1"/>
  </conditionalFormatting>
  <conditionalFormatting sqref="C27">
    <cfRule type="duplicateValues" dxfId="7014" priority="432" stopIfTrue="1"/>
  </conditionalFormatting>
  <conditionalFormatting sqref="C28">
    <cfRule type="duplicateValues" dxfId="7013" priority="430" stopIfTrue="1"/>
    <cfRule type="duplicateValues" dxfId="7012" priority="431" stopIfTrue="1"/>
  </conditionalFormatting>
  <conditionalFormatting sqref="C28">
    <cfRule type="duplicateValues" dxfId="7011" priority="429" stopIfTrue="1"/>
  </conditionalFormatting>
  <conditionalFormatting sqref="C30">
    <cfRule type="duplicateValues" dxfId="7010" priority="427" stopIfTrue="1"/>
    <cfRule type="duplicateValues" dxfId="7009" priority="428" stopIfTrue="1"/>
  </conditionalFormatting>
  <conditionalFormatting sqref="C30">
    <cfRule type="duplicateValues" dxfId="7008" priority="426" stopIfTrue="1"/>
  </conditionalFormatting>
  <conditionalFormatting sqref="C31">
    <cfRule type="duplicateValues" dxfId="7007" priority="424" stopIfTrue="1"/>
    <cfRule type="duplicateValues" dxfId="7006" priority="425" stopIfTrue="1"/>
  </conditionalFormatting>
  <conditionalFormatting sqref="C31">
    <cfRule type="duplicateValues" dxfId="7005" priority="423" stopIfTrue="1"/>
  </conditionalFormatting>
  <conditionalFormatting sqref="C32">
    <cfRule type="duplicateValues" dxfId="7004" priority="421" stopIfTrue="1"/>
    <cfRule type="duplicateValues" dxfId="7003" priority="422" stopIfTrue="1"/>
  </conditionalFormatting>
  <conditionalFormatting sqref="C32">
    <cfRule type="duplicateValues" dxfId="7002" priority="420" stopIfTrue="1"/>
  </conditionalFormatting>
  <conditionalFormatting sqref="C34">
    <cfRule type="duplicateValues" dxfId="7001" priority="418" stopIfTrue="1"/>
    <cfRule type="duplicateValues" dxfId="7000" priority="419" stopIfTrue="1"/>
  </conditionalFormatting>
  <conditionalFormatting sqref="C34">
    <cfRule type="duplicateValues" dxfId="6999" priority="417" stopIfTrue="1"/>
  </conditionalFormatting>
  <conditionalFormatting sqref="C35">
    <cfRule type="duplicateValues" dxfId="6998" priority="415" stopIfTrue="1"/>
    <cfRule type="duplicateValues" dxfId="6997" priority="416" stopIfTrue="1"/>
  </conditionalFormatting>
  <conditionalFormatting sqref="C35">
    <cfRule type="duplicateValues" dxfId="6996" priority="414" stopIfTrue="1"/>
  </conditionalFormatting>
  <conditionalFormatting sqref="C38">
    <cfRule type="duplicateValues" dxfId="6995" priority="412" stopIfTrue="1"/>
    <cfRule type="duplicateValues" dxfId="6994" priority="413" stopIfTrue="1"/>
  </conditionalFormatting>
  <conditionalFormatting sqref="C38">
    <cfRule type="duplicateValues" dxfId="6993" priority="411" stopIfTrue="1"/>
  </conditionalFormatting>
  <conditionalFormatting sqref="C39">
    <cfRule type="duplicateValues" dxfId="6992" priority="409" stopIfTrue="1"/>
    <cfRule type="duplicateValues" dxfId="6991" priority="410" stopIfTrue="1"/>
  </conditionalFormatting>
  <conditionalFormatting sqref="C39">
    <cfRule type="duplicateValues" dxfId="6990" priority="408" stopIfTrue="1"/>
  </conditionalFormatting>
  <conditionalFormatting sqref="C40">
    <cfRule type="duplicateValues" dxfId="6989" priority="406" stopIfTrue="1"/>
    <cfRule type="duplicateValues" dxfId="6988" priority="407" stopIfTrue="1"/>
  </conditionalFormatting>
  <conditionalFormatting sqref="C40">
    <cfRule type="duplicateValues" dxfId="6987" priority="405" stopIfTrue="1"/>
  </conditionalFormatting>
  <conditionalFormatting sqref="C44">
    <cfRule type="duplicateValues" dxfId="6986" priority="403" stopIfTrue="1"/>
    <cfRule type="duplicateValues" dxfId="6985" priority="404" stopIfTrue="1"/>
  </conditionalFormatting>
  <conditionalFormatting sqref="C44">
    <cfRule type="duplicateValues" dxfId="6984" priority="402" stopIfTrue="1"/>
  </conditionalFormatting>
  <conditionalFormatting sqref="C45">
    <cfRule type="duplicateValues" dxfId="6983" priority="400" stopIfTrue="1"/>
    <cfRule type="duplicateValues" dxfId="6982" priority="401" stopIfTrue="1"/>
  </conditionalFormatting>
  <conditionalFormatting sqref="C45">
    <cfRule type="duplicateValues" dxfId="6981" priority="399" stopIfTrue="1"/>
  </conditionalFormatting>
  <conditionalFormatting sqref="C46">
    <cfRule type="duplicateValues" dxfId="6980" priority="397" stopIfTrue="1"/>
    <cfRule type="duplicateValues" dxfId="6979" priority="398" stopIfTrue="1"/>
  </conditionalFormatting>
  <conditionalFormatting sqref="C46">
    <cfRule type="duplicateValues" dxfId="6978" priority="396" stopIfTrue="1"/>
  </conditionalFormatting>
  <conditionalFormatting sqref="C47">
    <cfRule type="duplicateValues" dxfId="6977" priority="394" stopIfTrue="1"/>
    <cfRule type="duplicateValues" dxfId="6976" priority="395" stopIfTrue="1"/>
  </conditionalFormatting>
  <conditionalFormatting sqref="C47">
    <cfRule type="duplicateValues" dxfId="6975" priority="393" stopIfTrue="1"/>
  </conditionalFormatting>
  <conditionalFormatting sqref="C48">
    <cfRule type="duplicateValues" dxfId="6974" priority="391" stopIfTrue="1"/>
    <cfRule type="duplicateValues" dxfId="6973" priority="392" stopIfTrue="1"/>
  </conditionalFormatting>
  <conditionalFormatting sqref="C48">
    <cfRule type="duplicateValues" dxfId="6972" priority="390" stopIfTrue="1"/>
  </conditionalFormatting>
  <conditionalFormatting sqref="C49">
    <cfRule type="duplicateValues" dxfId="6971" priority="388" stopIfTrue="1"/>
    <cfRule type="duplicateValues" dxfId="6970" priority="389" stopIfTrue="1"/>
  </conditionalFormatting>
  <conditionalFormatting sqref="C49">
    <cfRule type="duplicateValues" dxfId="6969" priority="387" stopIfTrue="1"/>
  </conditionalFormatting>
  <conditionalFormatting sqref="C50">
    <cfRule type="duplicateValues" dxfId="6968" priority="385" stopIfTrue="1"/>
    <cfRule type="duplicateValues" dxfId="6967" priority="386" stopIfTrue="1"/>
  </conditionalFormatting>
  <conditionalFormatting sqref="C50">
    <cfRule type="duplicateValues" dxfId="6966" priority="384" stopIfTrue="1"/>
  </conditionalFormatting>
  <conditionalFormatting sqref="C51">
    <cfRule type="duplicateValues" dxfId="6965" priority="382" stopIfTrue="1"/>
    <cfRule type="duplicateValues" dxfId="6964" priority="383" stopIfTrue="1"/>
  </conditionalFormatting>
  <conditionalFormatting sqref="C51">
    <cfRule type="duplicateValues" dxfId="6963" priority="381" stopIfTrue="1"/>
  </conditionalFormatting>
  <conditionalFormatting sqref="C52">
    <cfRule type="duplicateValues" dxfId="6962" priority="379" stopIfTrue="1"/>
    <cfRule type="duplicateValues" dxfId="6961" priority="380" stopIfTrue="1"/>
  </conditionalFormatting>
  <conditionalFormatting sqref="C52">
    <cfRule type="duplicateValues" dxfId="6960" priority="378" stopIfTrue="1"/>
  </conditionalFormatting>
  <conditionalFormatting sqref="C53">
    <cfRule type="duplicateValues" dxfId="6959" priority="376" stopIfTrue="1"/>
    <cfRule type="duplicateValues" dxfId="6958" priority="377" stopIfTrue="1"/>
  </conditionalFormatting>
  <conditionalFormatting sqref="C53">
    <cfRule type="duplicateValues" dxfId="6957" priority="375" stopIfTrue="1"/>
  </conditionalFormatting>
  <conditionalFormatting sqref="C54">
    <cfRule type="duplicateValues" dxfId="6956" priority="373" stopIfTrue="1"/>
    <cfRule type="duplicateValues" dxfId="6955" priority="374" stopIfTrue="1"/>
  </conditionalFormatting>
  <conditionalFormatting sqref="C54">
    <cfRule type="duplicateValues" dxfId="6954" priority="372" stopIfTrue="1"/>
  </conditionalFormatting>
  <conditionalFormatting sqref="C56">
    <cfRule type="duplicateValues" dxfId="6953" priority="370" stopIfTrue="1"/>
    <cfRule type="duplicateValues" dxfId="6952" priority="371" stopIfTrue="1"/>
  </conditionalFormatting>
  <conditionalFormatting sqref="C56">
    <cfRule type="duplicateValues" dxfId="6951" priority="369" stopIfTrue="1"/>
  </conditionalFormatting>
  <conditionalFormatting sqref="C57">
    <cfRule type="duplicateValues" dxfId="6950" priority="367" stopIfTrue="1"/>
    <cfRule type="duplicateValues" dxfId="6949" priority="368" stopIfTrue="1"/>
  </conditionalFormatting>
  <conditionalFormatting sqref="C57">
    <cfRule type="duplicateValues" dxfId="6948" priority="366" stopIfTrue="1"/>
  </conditionalFormatting>
  <conditionalFormatting sqref="C58">
    <cfRule type="duplicateValues" dxfId="6947" priority="364" stopIfTrue="1"/>
    <cfRule type="duplicateValues" dxfId="6946" priority="365" stopIfTrue="1"/>
  </conditionalFormatting>
  <conditionalFormatting sqref="C58">
    <cfRule type="duplicateValues" dxfId="6945" priority="363" stopIfTrue="1"/>
  </conditionalFormatting>
  <conditionalFormatting sqref="C59">
    <cfRule type="duplicateValues" dxfId="6944" priority="361" stopIfTrue="1"/>
    <cfRule type="duplicateValues" dxfId="6943" priority="362" stopIfTrue="1"/>
  </conditionalFormatting>
  <conditionalFormatting sqref="C59">
    <cfRule type="duplicateValues" dxfId="6942" priority="360" stopIfTrue="1"/>
  </conditionalFormatting>
  <conditionalFormatting sqref="C62">
    <cfRule type="duplicateValues" dxfId="6941" priority="358" stopIfTrue="1"/>
    <cfRule type="duplicateValues" dxfId="6940" priority="359" stopIfTrue="1"/>
  </conditionalFormatting>
  <conditionalFormatting sqref="C62">
    <cfRule type="duplicateValues" dxfId="6939" priority="357" stopIfTrue="1"/>
  </conditionalFormatting>
  <conditionalFormatting sqref="C63">
    <cfRule type="duplicateValues" dxfId="6938" priority="355" stopIfTrue="1"/>
    <cfRule type="duplicateValues" dxfId="6937" priority="356" stopIfTrue="1"/>
  </conditionalFormatting>
  <conditionalFormatting sqref="C63">
    <cfRule type="duplicateValues" dxfId="6936" priority="354" stopIfTrue="1"/>
  </conditionalFormatting>
  <conditionalFormatting sqref="C65">
    <cfRule type="duplicateValues" dxfId="6935" priority="352" stopIfTrue="1"/>
    <cfRule type="duplicateValues" dxfId="6934" priority="353" stopIfTrue="1"/>
  </conditionalFormatting>
  <conditionalFormatting sqref="C65">
    <cfRule type="duplicateValues" dxfId="6933" priority="351" stopIfTrue="1"/>
  </conditionalFormatting>
  <conditionalFormatting sqref="C66">
    <cfRule type="duplicateValues" dxfId="6932" priority="349" stopIfTrue="1"/>
    <cfRule type="duplicateValues" dxfId="6931" priority="350" stopIfTrue="1"/>
  </conditionalFormatting>
  <conditionalFormatting sqref="C66">
    <cfRule type="duplicateValues" dxfId="6930" priority="348" stopIfTrue="1"/>
  </conditionalFormatting>
  <conditionalFormatting sqref="C67">
    <cfRule type="duplicateValues" dxfId="6929" priority="346" stopIfTrue="1"/>
    <cfRule type="duplicateValues" dxfId="6928" priority="347" stopIfTrue="1"/>
  </conditionalFormatting>
  <conditionalFormatting sqref="C67">
    <cfRule type="duplicateValues" dxfId="6927" priority="345" stopIfTrue="1"/>
  </conditionalFormatting>
  <conditionalFormatting sqref="C69">
    <cfRule type="duplicateValues" dxfId="6926" priority="343" stopIfTrue="1"/>
    <cfRule type="duplicateValues" dxfId="6925" priority="344" stopIfTrue="1"/>
  </conditionalFormatting>
  <conditionalFormatting sqref="C69">
    <cfRule type="duplicateValues" dxfId="6924" priority="342" stopIfTrue="1"/>
  </conditionalFormatting>
  <conditionalFormatting sqref="C70">
    <cfRule type="duplicateValues" dxfId="6923" priority="340" stopIfTrue="1"/>
    <cfRule type="duplicateValues" dxfId="6922" priority="341" stopIfTrue="1"/>
  </conditionalFormatting>
  <conditionalFormatting sqref="C70">
    <cfRule type="duplicateValues" dxfId="6921" priority="339" stopIfTrue="1"/>
  </conditionalFormatting>
  <conditionalFormatting sqref="C72">
    <cfRule type="duplicateValues" dxfId="6920" priority="337" stopIfTrue="1"/>
    <cfRule type="duplicateValues" dxfId="6919" priority="338" stopIfTrue="1"/>
  </conditionalFormatting>
  <conditionalFormatting sqref="C72">
    <cfRule type="duplicateValues" dxfId="6918" priority="336" stopIfTrue="1"/>
  </conditionalFormatting>
  <conditionalFormatting sqref="C73">
    <cfRule type="duplicateValues" dxfId="6917" priority="334" stopIfTrue="1"/>
    <cfRule type="duplicateValues" dxfId="6916" priority="335" stopIfTrue="1"/>
  </conditionalFormatting>
  <conditionalFormatting sqref="C73">
    <cfRule type="duplicateValues" dxfId="6915" priority="333" stopIfTrue="1"/>
  </conditionalFormatting>
  <conditionalFormatting sqref="C74">
    <cfRule type="duplicateValues" dxfId="6914" priority="331" stopIfTrue="1"/>
    <cfRule type="duplicateValues" dxfId="6913" priority="332" stopIfTrue="1"/>
  </conditionalFormatting>
  <conditionalFormatting sqref="C74">
    <cfRule type="duplicateValues" dxfId="6912" priority="330" stopIfTrue="1"/>
  </conditionalFormatting>
  <conditionalFormatting sqref="C76">
    <cfRule type="duplicateValues" dxfId="6911" priority="328" stopIfTrue="1"/>
    <cfRule type="duplicateValues" dxfId="6910" priority="329" stopIfTrue="1"/>
  </conditionalFormatting>
  <conditionalFormatting sqref="C76">
    <cfRule type="duplicateValues" dxfId="6909" priority="327" stopIfTrue="1"/>
  </conditionalFormatting>
  <conditionalFormatting sqref="C77">
    <cfRule type="duplicateValues" dxfId="6908" priority="325" stopIfTrue="1"/>
    <cfRule type="duplicateValues" dxfId="6907" priority="326" stopIfTrue="1"/>
  </conditionalFormatting>
  <conditionalFormatting sqref="C77">
    <cfRule type="duplicateValues" dxfId="6906" priority="324" stopIfTrue="1"/>
  </conditionalFormatting>
  <conditionalFormatting sqref="C78">
    <cfRule type="duplicateValues" dxfId="6905" priority="322" stopIfTrue="1"/>
    <cfRule type="duplicateValues" dxfId="6904" priority="323" stopIfTrue="1"/>
  </conditionalFormatting>
  <conditionalFormatting sqref="C78">
    <cfRule type="duplicateValues" dxfId="6903" priority="321" stopIfTrue="1"/>
  </conditionalFormatting>
  <conditionalFormatting sqref="C79">
    <cfRule type="duplicateValues" dxfId="6902" priority="319" stopIfTrue="1"/>
    <cfRule type="duplicateValues" dxfId="6901" priority="320" stopIfTrue="1"/>
  </conditionalFormatting>
  <conditionalFormatting sqref="C79">
    <cfRule type="duplicateValues" dxfId="6900" priority="318" stopIfTrue="1"/>
  </conditionalFormatting>
  <conditionalFormatting sqref="C80">
    <cfRule type="duplicateValues" dxfId="6899" priority="316" stopIfTrue="1"/>
    <cfRule type="duplicateValues" dxfId="6898" priority="317" stopIfTrue="1"/>
  </conditionalFormatting>
  <conditionalFormatting sqref="C80">
    <cfRule type="duplicateValues" dxfId="6897" priority="315" stopIfTrue="1"/>
  </conditionalFormatting>
  <conditionalFormatting sqref="C81">
    <cfRule type="duplicateValues" dxfId="6896" priority="313" stopIfTrue="1"/>
    <cfRule type="duplicateValues" dxfId="6895" priority="314" stopIfTrue="1"/>
  </conditionalFormatting>
  <conditionalFormatting sqref="C81">
    <cfRule type="duplicateValues" dxfId="6894" priority="312" stopIfTrue="1"/>
  </conditionalFormatting>
  <conditionalFormatting sqref="C82">
    <cfRule type="duplicateValues" dxfId="6893" priority="310" stopIfTrue="1"/>
    <cfRule type="duplicateValues" dxfId="6892" priority="311" stopIfTrue="1"/>
  </conditionalFormatting>
  <conditionalFormatting sqref="C82">
    <cfRule type="duplicateValues" dxfId="6891" priority="309" stopIfTrue="1"/>
  </conditionalFormatting>
  <conditionalFormatting sqref="C83">
    <cfRule type="duplicateValues" dxfId="6890" priority="307" stopIfTrue="1"/>
    <cfRule type="duplicateValues" dxfId="6889" priority="308" stopIfTrue="1"/>
  </conditionalFormatting>
  <conditionalFormatting sqref="C83">
    <cfRule type="duplicateValues" dxfId="6888" priority="306" stopIfTrue="1"/>
  </conditionalFormatting>
  <conditionalFormatting sqref="C84">
    <cfRule type="duplicateValues" dxfId="6887" priority="304" stopIfTrue="1"/>
    <cfRule type="duplicateValues" dxfId="6886" priority="305" stopIfTrue="1"/>
  </conditionalFormatting>
  <conditionalFormatting sqref="C84">
    <cfRule type="duplicateValues" dxfId="6885" priority="303" stopIfTrue="1"/>
  </conditionalFormatting>
  <conditionalFormatting sqref="C85">
    <cfRule type="duplicateValues" dxfId="6884" priority="301" stopIfTrue="1"/>
    <cfRule type="duplicateValues" dxfId="6883" priority="302" stopIfTrue="1"/>
  </conditionalFormatting>
  <conditionalFormatting sqref="C85">
    <cfRule type="duplicateValues" dxfId="6882" priority="300" stopIfTrue="1"/>
  </conditionalFormatting>
  <conditionalFormatting sqref="C86">
    <cfRule type="duplicateValues" dxfId="6881" priority="298" stopIfTrue="1"/>
    <cfRule type="duplicateValues" dxfId="6880" priority="299" stopIfTrue="1"/>
  </conditionalFormatting>
  <conditionalFormatting sqref="C86">
    <cfRule type="duplicateValues" dxfId="6879" priority="297" stopIfTrue="1"/>
  </conditionalFormatting>
  <conditionalFormatting sqref="C87">
    <cfRule type="duplicateValues" dxfId="6878" priority="295" stopIfTrue="1"/>
    <cfRule type="duplicateValues" dxfId="6877" priority="296" stopIfTrue="1"/>
  </conditionalFormatting>
  <conditionalFormatting sqref="C87">
    <cfRule type="duplicateValues" dxfId="6876" priority="294" stopIfTrue="1"/>
  </conditionalFormatting>
  <conditionalFormatting sqref="C88">
    <cfRule type="duplicateValues" dxfId="6875" priority="292" stopIfTrue="1"/>
    <cfRule type="duplicateValues" dxfId="6874" priority="293" stopIfTrue="1"/>
  </conditionalFormatting>
  <conditionalFormatting sqref="C88">
    <cfRule type="duplicateValues" dxfId="6873" priority="291" stopIfTrue="1"/>
  </conditionalFormatting>
  <conditionalFormatting sqref="C89">
    <cfRule type="duplicateValues" dxfId="6872" priority="289" stopIfTrue="1"/>
    <cfRule type="duplicateValues" dxfId="6871" priority="290" stopIfTrue="1"/>
  </conditionalFormatting>
  <conditionalFormatting sqref="C89">
    <cfRule type="duplicateValues" dxfId="6870" priority="288" stopIfTrue="1"/>
  </conditionalFormatting>
  <conditionalFormatting sqref="C90">
    <cfRule type="duplicateValues" dxfId="6869" priority="286" stopIfTrue="1"/>
    <cfRule type="duplicateValues" dxfId="6868" priority="287" stopIfTrue="1"/>
  </conditionalFormatting>
  <conditionalFormatting sqref="C90">
    <cfRule type="duplicateValues" dxfId="6867" priority="285" stopIfTrue="1"/>
  </conditionalFormatting>
  <conditionalFormatting sqref="C92">
    <cfRule type="duplicateValues" dxfId="6866" priority="283" stopIfTrue="1"/>
    <cfRule type="duplicateValues" dxfId="6865" priority="284" stopIfTrue="1"/>
  </conditionalFormatting>
  <conditionalFormatting sqref="C92">
    <cfRule type="duplicateValues" dxfId="6864" priority="282" stopIfTrue="1"/>
  </conditionalFormatting>
  <conditionalFormatting sqref="C93">
    <cfRule type="duplicateValues" dxfId="6863" priority="280" stopIfTrue="1"/>
    <cfRule type="duplicateValues" dxfId="6862" priority="281" stopIfTrue="1"/>
  </conditionalFormatting>
  <conditionalFormatting sqref="C93">
    <cfRule type="duplicateValues" dxfId="6861" priority="279" stopIfTrue="1"/>
  </conditionalFormatting>
  <conditionalFormatting sqref="C94">
    <cfRule type="duplicateValues" dxfId="6860" priority="277" stopIfTrue="1"/>
    <cfRule type="duplicateValues" dxfId="6859" priority="278" stopIfTrue="1"/>
  </conditionalFormatting>
  <conditionalFormatting sqref="C94">
    <cfRule type="duplicateValues" dxfId="6858" priority="276" stopIfTrue="1"/>
  </conditionalFormatting>
  <conditionalFormatting sqref="C97">
    <cfRule type="duplicateValues" dxfId="6857" priority="274" stopIfTrue="1"/>
    <cfRule type="duplicateValues" dxfId="6856" priority="275" stopIfTrue="1"/>
  </conditionalFormatting>
  <conditionalFormatting sqref="C97">
    <cfRule type="duplicateValues" dxfId="6855" priority="273" stopIfTrue="1"/>
  </conditionalFormatting>
  <conditionalFormatting sqref="C98">
    <cfRule type="duplicateValues" dxfId="6854" priority="271" stopIfTrue="1"/>
    <cfRule type="duplicateValues" dxfId="6853" priority="272" stopIfTrue="1"/>
  </conditionalFormatting>
  <conditionalFormatting sqref="C98">
    <cfRule type="duplicateValues" dxfId="6852" priority="270" stopIfTrue="1"/>
  </conditionalFormatting>
  <conditionalFormatting sqref="C99">
    <cfRule type="duplicateValues" dxfId="6851" priority="268" stopIfTrue="1"/>
    <cfRule type="duplicateValues" dxfId="6850" priority="269" stopIfTrue="1"/>
  </conditionalFormatting>
  <conditionalFormatting sqref="C99">
    <cfRule type="duplicateValues" dxfId="6849" priority="267" stopIfTrue="1"/>
  </conditionalFormatting>
  <conditionalFormatting sqref="C100">
    <cfRule type="duplicateValues" dxfId="6848" priority="265" stopIfTrue="1"/>
    <cfRule type="duplicateValues" dxfId="6847" priority="266" stopIfTrue="1"/>
  </conditionalFormatting>
  <conditionalFormatting sqref="C100">
    <cfRule type="duplicateValues" dxfId="6846" priority="264" stopIfTrue="1"/>
  </conditionalFormatting>
  <conditionalFormatting sqref="C101">
    <cfRule type="duplicateValues" dxfId="6845" priority="262" stopIfTrue="1"/>
    <cfRule type="duplicateValues" dxfId="6844" priority="263" stopIfTrue="1"/>
  </conditionalFormatting>
  <conditionalFormatting sqref="C101">
    <cfRule type="duplicateValues" dxfId="6843" priority="261" stopIfTrue="1"/>
  </conditionalFormatting>
  <conditionalFormatting sqref="C102">
    <cfRule type="duplicateValues" dxfId="6842" priority="259" stopIfTrue="1"/>
    <cfRule type="duplicateValues" dxfId="6841" priority="260" stopIfTrue="1"/>
  </conditionalFormatting>
  <conditionalFormatting sqref="C102">
    <cfRule type="duplicateValues" dxfId="6840" priority="258" stopIfTrue="1"/>
  </conditionalFormatting>
  <conditionalFormatting sqref="C103">
    <cfRule type="duplicateValues" dxfId="6839" priority="256" stopIfTrue="1"/>
    <cfRule type="duplicateValues" dxfId="6838" priority="257" stopIfTrue="1"/>
  </conditionalFormatting>
  <conditionalFormatting sqref="C103">
    <cfRule type="duplicateValues" dxfId="6837" priority="255" stopIfTrue="1"/>
  </conditionalFormatting>
  <conditionalFormatting sqref="C104">
    <cfRule type="duplicateValues" dxfId="6836" priority="253" stopIfTrue="1"/>
    <cfRule type="duplicateValues" dxfId="6835" priority="254" stopIfTrue="1"/>
  </conditionalFormatting>
  <conditionalFormatting sqref="C104">
    <cfRule type="duplicateValues" dxfId="6834" priority="252" stopIfTrue="1"/>
  </conditionalFormatting>
  <conditionalFormatting sqref="C105">
    <cfRule type="duplicateValues" dxfId="6833" priority="250" stopIfTrue="1"/>
    <cfRule type="duplicateValues" dxfId="6832" priority="251" stopIfTrue="1"/>
  </conditionalFormatting>
  <conditionalFormatting sqref="C105">
    <cfRule type="duplicateValues" dxfId="6831" priority="249" stopIfTrue="1"/>
  </conditionalFormatting>
  <conditionalFormatting sqref="C106">
    <cfRule type="duplicateValues" dxfId="6830" priority="247" stopIfTrue="1"/>
    <cfRule type="duplicateValues" dxfId="6829" priority="248" stopIfTrue="1"/>
  </conditionalFormatting>
  <conditionalFormatting sqref="C106">
    <cfRule type="duplicateValues" dxfId="6828" priority="246" stopIfTrue="1"/>
  </conditionalFormatting>
  <conditionalFormatting sqref="C107">
    <cfRule type="duplicateValues" dxfId="6827" priority="244" stopIfTrue="1"/>
    <cfRule type="duplicateValues" dxfId="6826" priority="245" stopIfTrue="1"/>
  </conditionalFormatting>
  <conditionalFormatting sqref="C107">
    <cfRule type="duplicateValues" dxfId="6825" priority="243" stopIfTrue="1"/>
  </conditionalFormatting>
  <conditionalFormatting sqref="C108">
    <cfRule type="duplicateValues" dxfId="6824" priority="241" stopIfTrue="1"/>
    <cfRule type="duplicateValues" dxfId="6823" priority="242" stopIfTrue="1"/>
  </conditionalFormatting>
  <conditionalFormatting sqref="C108">
    <cfRule type="duplicateValues" dxfId="6822" priority="240" stopIfTrue="1"/>
  </conditionalFormatting>
  <conditionalFormatting sqref="C109">
    <cfRule type="duplicateValues" dxfId="6821" priority="238" stopIfTrue="1"/>
    <cfRule type="duplicateValues" dxfId="6820" priority="239" stopIfTrue="1"/>
  </conditionalFormatting>
  <conditionalFormatting sqref="C109">
    <cfRule type="duplicateValues" dxfId="6819" priority="237" stopIfTrue="1"/>
  </conditionalFormatting>
  <conditionalFormatting sqref="C110">
    <cfRule type="duplicateValues" dxfId="6818" priority="235" stopIfTrue="1"/>
    <cfRule type="duplicateValues" dxfId="6817" priority="236" stopIfTrue="1"/>
  </conditionalFormatting>
  <conditionalFormatting sqref="C110">
    <cfRule type="duplicateValues" dxfId="6816" priority="234" stopIfTrue="1"/>
  </conditionalFormatting>
  <conditionalFormatting sqref="C111">
    <cfRule type="duplicateValues" dxfId="6815" priority="232" stopIfTrue="1"/>
    <cfRule type="duplicateValues" dxfId="6814" priority="233" stopIfTrue="1"/>
  </conditionalFormatting>
  <conditionalFormatting sqref="C111">
    <cfRule type="duplicateValues" dxfId="6813" priority="231" stopIfTrue="1"/>
  </conditionalFormatting>
  <conditionalFormatting sqref="C112">
    <cfRule type="duplicateValues" dxfId="6812" priority="229" stopIfTrue="1"/>
    <cfRule type="duplicateValues" dxfId="6811" priority="230" stopIfTrue="1"/>
  </conditionalFormatting>
  <conditionalFormatting sqref="C112">
    <cfRule type="duplicateValues" dxfId="6810" priority="228" stopIfTrue="1"/>
  </conditionalFormatting>
  <conditionalFormatting sqref="C113">
    <cfRule type="duplicateValues" dxfId="6809" priority="226" stopIfTrue="1"/>
    <cfRule type="duplicateValues" dxfId="6808" priority="227" stopIfTrue="1"/>
  </conditionalFormatting>
  <conditionalFormatting sqref="C113">
    <cfRule type="duplicateValues" dxfId="6807" priority="225" stopIfTrue="1"/>
  </conditionalFormatting>
  <conditionalFormatting sqref="C114">
    <cfRule type="duplicateValues" dxfId="6806" priority="223" stopIfTrue="1"/>
    <cfRule type="duplicateValues" dxfId="6805" priority="224" stopIfTrue="1"/>
  </conditionalFormatting>
  <conditionalFormatting sqref="C114">
    <cfRule type="duplicateValues" dxfId="6804" priority="222" stopIfTrue="1"/>
  </conditionalFormatting>
  <conditionalFormatting sqref="C115">
    <cfRule type="duplicateValues" dxfId="6803" priority="220" stopIfTrue="1"/>
    <cfRule type="duplicateValues" dxfId="6802" priority="221" stopIfTrue="1"/>
  </conditionalFormatting>
  <conditionalFormatting sqref="C115">
    <cfRule type="duplicateValues" dxfId="6801" priority="219" stopIfTrue="1"/>
  </conditionalFormatting>
  <conditionalFormatting sqref="C117">
    <cfRule type="duplicateValues" dxfId="6800" priority="217" stopIfTrue="1"/>
    <cfRule type="duplicateValues" dxfId="6799" priority="218" stopIfTrue="1"/>
  </conditionalFormatting>
  <conditionalFormatting sqref="C117">
    <cfRule type="duplicateValues" dxfId="6798" priority="216" stopIfTrue="1"/>
  </conditionalFormatting>
  <conditionalFormatting sqref="C118">
    <cfRule type="duplicateValues" dxfId="6797" priority="214" stopIfTrue="1"/>
    <cfRule type="duplicateValues" dxfId="6796" priority="215" stopIfTrue="1"/>
  </conditionalFormatting>
  <conditionalFormatting sqref="C118">
    <cfRule type="duplicateValues" dxfId="6795" priority="213" stopIfTrue="1"/>
  </conditionalFormatting>
  <conditionalFormatting sqref="C119">
    <cfRule type="duplicateValues" dxfId="6794" priority="211" stopIfTrue="1"/>
    <cfRule type="duplicateValues" dxfId="6793" priority="212" stopIfTrue="1"/>
  </conditionalFormatting>
  <conditionalFormatting sqref="C119">
    <cfRule type="duplicateValues" dxfId="6792" priority="210" stopIfTrue="1"/>
  </conditionalFormatting>
  <conditionalFormatting sqref="C121">
    <cfRule type="duplicateValues" dxfId="6791" priority="208" stopIfTrue="1"/>
    <cfRule type="duplicateValues" dxfId="6790" priority="209" stopIfTrue="1"/>
  </conditionalFormatting>
  <conditionalFormatting sqref="C121">
    <cfRule type="duplicateValues" dxfId="6789" priority="207" stopIfTrue="1"/>
  </conditionalFormatting>
  <conditionalFormatting sqref="C196:C1048576 C1 C3:C193">
    <cfRule type="duplicateValues" dxfId="6788" priority="206"/>
  </conditionalFormatting>
  <conditionalFormatting sqref="C122">
    <cfRule type="duplicateValues" dxfId="6787" priority="204" stopIfTrue="1"/>
    <cfRule type="duplicateValues" dxfId="6786" priority="205" stopIfTrue="1"/>
  </conditionalFormatting>
  <conditionalFormatting sqref="C122">
    <cfRule type="duplicateValues" dxfId="6785" priority="203" stopIfTrue="1"/>
  </conditionalFormatting>
  <conditionalFormatting sqref="C123">
    <cfRule type="duplicateValues" dxfId="6784" priority="201" stopIfTrue="1"/>
    <cfRule type="duplicateValues" dxfId="6783" priority="202" stopIfTrue="1"/>
  </conditionalFormatting>
  <conditionalFormatting sqref="C123">
    <cfRule type="duplicateValues" dxfId="6782" priority="200" stopIfTrue="1"/>
  </conditionalFormatting>
  <conditionalFormatting sqref="C125">
    <cfRule type="duplicateValues" dxfId="6781" priority="198" stopIfTrue="1"/>
    <cfRule type="duplicateValues" dxfId="6780" priority="199" stopIfTrue="1"/>
  </conditionalFormatting>
  <conditionalFormatting sqref="C125">
    <cfRule type="duplicateValues" dxfId="6779" priority="197" stopIfTrue="1"/>
  </conditionalFormatting>
  <conditionalFormatting sqref="C127">
    <cfRule type="duplicateValues" dxfId="6778" priority="195" stopIfTrue="1"/>
    <cfRule type="duplicateValues" dxfId="6777" priority="196" stopIfTrue="1"/>
  </conditionalFormatting>
  <conditionalFormatting sqref="C127">
    <cfRule type="duplicateValues" dxfId="6776" priority="194" stopIfTrue="1"/>
  </conditionalFormatting>
  <conditionalFormatting sqref="C128">
    <cfRule type="duplicateValues" dxfId="6775" priority="192" stopIfTrue="1"/>
    <cfRule type="duplicateValues" dxfId="6774" priority="193" stopIfTrue="1"/>
  </conditionalFormatting>
  <conditionalFormatting sqref="C128">
    <cfRule type="duplicateValues" dxfId="6773" priority="191" stopIfTrue="1"/>
  </conditionalFormatting>
  <conditionalFormatting sqref="C129">
    <cfRule type="duplicateValues" dxfId="6772" priority="189" stopIfTrue="1"/>
    <cfRule type="duplicateValues" dxfId="6771" priority="190" stopIfTrue="1"/>
  </conditionalFormatting>
  <conditionalFormatting sqref="C129">
    <cfRule type="duplicateValues" dxfId="6770" priority="188" stopIfTrue="1"/>
  </conditionalFormatting>
  <conditionalFormatting sqref="C130">
    <cfRule type="duplicateValues" dxfId="6769" priority="186" stopIfTrue="1"/>
    <cfRule type="duplicateValues" dxfId="6768" priority="187" stopIfTrue="1"/>
  </conditionalFormatting>
  <conditionalFormatting sqref="C130">
    <cfRule type="duplicateValues" dxfId="6767" priority="185" stopIfTrue="1"/>
  </conditionalFormatting>
  <conditionalFormatting sqref="C131">
    <cfRule type="duplicateValues" dxfId="6766" priority="183" stopIfTrue="1"/>
    <cfRule type="duplicateValues" dxfId="6765" priority="184" stopIfTrue="1"/>
  </conditionalFormatting>
  <conditionalFormatting sqref="C131">
    <cfRule type="duplicateValues" dxfId="6764" priority="182" stopIfTrue="1"/>
  </conditionalFormatting>
  <conditionalFormatting sqref="C132">
    <cfRule type="duplicateValues" dxfId="6763" priority="180" stopIfTrue="1"/>
    <cfRule type="duplicateValues" dxfId="6762" priority="181" stopIfTrue="1"/>
  </conditionalFormatting>
  <conditionalFormatting sqref="C132">
    <cfRule type="duplicateValues" dxfId="6761" priority="179" stopIfTrue="1"/>
  </conditionalFormatting>
  <conditionalFormatting sqref="C6">
    <cfRule type="duplicateValues" dxfId="6760" priority="177" stopIfTrue="1"/>
    <cfRule type="duplicateValues" dxfId="6759" priority="178" stopIfTrue="1"/>
  </conditionalFormatting>
  <conditionalFormatting sqref="C6">
    <cfRule type="duplicateValues" dxfId="6758" priority="176" stopIfTrue="1"/>
  </conditionalFormatting>
  <conditionalFormatting sqref="C198">
    <cfRule type="duplicateValues" dxfId="6757" priority="174" stopIfTrue="1"/>
    <cfRule type="duplicateValues" dxfId="6756" priority="175" stopIfTrue="1"/>
  </conditionalFormatting>
  <conditionalFormatting sqref="C198">
    <cfRule type="duplicateValues" dxfId="6755" priority="173" stopIfTrue="1"/>
  </conditionalFormatting>
  <conditionalFormatting sqref="C200">
    <cfRule type="duplicateValues" dxfId="6754" priority="168" stopIfTrue="1"/>
    <cfRule type="duplicateValues" dxfId="6753" priority="169" stopIfTrue="1"/>
  </conditionalFormatting>
  <conditionalFormatting sqref="C200">
    <cfRule type="duplicateValues" dxfId="6752" priority="167" stopIfTrue="1"/>
  </conditionalFormatting>
  <conditionalFormatting sqref="C201">
    <cfRule type="duplicateValues" dxfId="6751" priority="165" stopIfTrue="1"/>
    <cfRule type="duplicateValues" dxfId="6750" priority="166" stopIfTrue="1"/>
  </conditionalFormatting>
  <conditionalFormatting sqref="C201">
    <cfRule type="duplicateValues" dxfId="6749" priority="164" stopIfTrue="1"/>
  </conditionalFormatting>
  <conditionalFormatting sqref="C202">
    <cfRule type="duplicateValues" dxfId="6748" priority="162" stopIfTrue="1"/>
    <cfRule type="duplicateValues" dxfId="6747" priority="163" stopIfTrue="1"/>
  </conditionalFormatting>
  <conditionalFormatting sqref="C202">
    <cfRule type="duplicateValues" dxfId="6746" priority="161" stopIfTrue="1"/>
  </conditionalFormatting>
  <conditionalFormatting sqref="C203">
    <cfRule type="duplicateValues" dxfId="6745" priority="159" stopIfTrue="1"/>
    <cfRule type="duplicateValues" dxfId="6744" priority="160" stopIfTrue="1"/>
  </conditionalFormatting>
  <conditionalFormatting sqref="C203">
    <cfRule type="duplicateValues" dxfId="6743" priority="158" stopIfTrue="1"/>
  </conditionalFormatting>
  <conditionalFormatting sqref="C204">
    <cfRule type="duplicateValues" dxfId="6742" priority="156" stopIfTrue="1"/>
    <cfRule type="duplicateValues" dxfId="6741" priority="157" stopIfTrue="1"/>
  </conditionalFormatting>
  <conditionalFormatting sqref="C204">
    <cfRule type="duplicateValues" dxfId="6740" priority="155" stopIfTrue="1"/>
  </conditionalFormatting>
  <conditionalFormatting sqref="C205">
    <cfRule type="duplicateValues" dxfId="6739" priority="153" stopIfTrue="1"/>
    <cfRule type="duplicateValues" dxfId="6738" priority="154" stopIfTrue="1"/>
  </conditionalFormatting>
  <conditionalFormatting sqref="C205">
    <cfRule type="duplicateValues" dxfId="6737" priority="152" stopIfTrue="1"/>
  </conditionalFormatting>
  <conditionalFormatting sqref="C206">
    <cfRule type="duplicateValues" dxfId="6736" priority="150" stopIfTrue="1"/>
    <cfRule type="duplicateValues" dxfId="6735" priority="151" stopIfTrue="1"/>
  </conditionalFormatting>
  <conditionalFormatting sqref="C206">
    <cfRule type="duplicateValues" dxfId="6734" priority="149" stopIfTrue="1"/>
  </conditionalFormatting>
  <conditionalFormatting sqref="C207">
    <cfRule type="duplicateValues" dxfId="6733" priority="147" stopIfTrue="1"/>
    <cfRule type="duplicateValues" dxfId="6732" priority="148" stopIfTrue="1"/>
  </conditionalFormatting>
  <conditionalFormatting sqref="C207">
    <cfRule type="duplicateValues" dxfId="6731" priority="146" stopIfTrue="1"/>
  </conditionalFormatting>
  <conditionalFormatting sqref="C208">
    <cfRule type="duplicateValues" dxfId="6730" priority="144" stopIfTrue="1"/>
    <cfRule type="duplicateValues" dxfId="6729" priority="145" stopIfTrue="1"/>
  </conditionalFormatting>
  <conditionalFormatting sqref="C208">
    <cfRule type="duplicateValues" dxfId="6728" priority="143" stopIfTrue="1"/>
  </conditionalFormatting>
  <conditionalFormatting sqref="C210">
    <cfRule type="duplicateValues" dxfId="6727" priority="141" stopIfTrue="1"/>
    <cfRule type="duplicateValues" dxfId="6726" priority="142" stopIfTrue="1"/>
  </conditionalFormatting>
  <conditionalFormatting sqref="C210">
    <cfRule type="duplicateValues" dxfId="6725" priority="140" stopIfTrue="1"/>
  </conditionalFormatting>
  <conditionalFormatting sqref="C211">
    <cfRule type="duplicateValues" dxfId="6724" priority="138" stopIfTrue="1"/>
    <cfRule type="duplicateValues" dxfId="6723" priority="139" stopIfTrue="1"/>
  </conditionalFormatting>
  <conditionalFormatting sqref="C211">
    <cfRule type="duplicateValues" dxfId="6722" priority="137" stopIfTrue="1"/>
  </conditionalFormatting>
  <conditionalFormatting sqref="C219">
    <cfRule type="duplicateValues" dxfId="6721" priority="69" stopIfTrue="1"/>
    <cfRule type="duplicateValues" dxfId="6720" priority="70" stopIfTrue="1"/>
  </conditionalFormatting>
  <conditionalFormatting sqref="C219">
    <cfRule type="duplicateValues" dxfId="6719" priority="68" stopIfTrue="1"/>
  </conditionalFormatting>
  <conditionalFormatting sqref="C212">
    <cfRule type="duplicateValues" dxfId="6718" priority="57" stopIfTrue="1"/>
    <cfRule type="duplicateValues" dxfId="6717" priority="58" stopIfTrue="1"/>
  </conditionalFormatting>
  <conditionalFormatting sqref="C212">
    <cfRule type="duplicateValues" dxfId="6716" priority="56" stopIfTrue="1"/>
  </conditionalFormatting>
  <conditionalFormatting sqref="C136">
    <cfRule type="duplicateValues" dxfId="6715" priority="48" stopIfTrue="1"/>
    <cfRule type="duplicateValues" dxfId="6714" priority="49" stopIfTrue="1"/>
  </conditionalFormatting>
  <conditionalFormatting sqref="C136">
    <cfRule type="duplicateValues" dxfId="6713" priority="47" stopIfTrue="1"/>
  </conditionalFormatting>
  <conditionalFormatting sqref="C137:C187">
    <cfRule type="duplicateValues" dxfId="6712" priority="1141" stopIfTrue="1"/>
    <cfRule type="duplicateValues" dxfId="6711" priority="1142" stopIfTrue="1"/>
  </conditionalFormatting>
  <conditionalFormatting sqref="C137:C187">
    <cfRule type="duplicateValues" dxfId="6710" priority="1145" stopIfTrue="1"/>
  </conditionalFormatting>
  <conditionalFormatting sqref="C134 C137:C193">
    <cfRule type="duplicateValues" dxfId="6709" priority="1459" stopIfTrue="1"/>
    <cfRule type="duplicateValues" dxfId="6708" priority="1460" stopIfTrue="1"/>
  </conditionalFormatting>
  <conditionalFormatting sqref="C134 C137:C193">
    <cfRule type="duplicateValues" dxfId="6707" priority="1463" stopIfTrue="1"/>
  </conditionalFormatting>
  <conditionalFormatting sqref="C195">
    <cfRule type="duplicateValues" dxfId="6706" priority="4"/>
  </conditionalFormatting>
  <conditionalFormatting sqref="C183:C187">
    <cfRule type="duplicateValues" dxfId="6705" priority="2" stopIfTrue="1"/>
    <cfRule type="duplicateValues" dxfId="6704" priority="3" stopIfTrue="1"/>
  </conditionalFormatting>
  <conditionalFormatting sqref="C183:C187">
    <cfRule type="duplicateValues" dxfId="6703" priority="1" stopIfTrue="1"/>
  </conditionalFormatting>
  <conditionalFormatting sqref="C214:C216">
    <cfRule type="duplicateValues" dxfId="6702" priority="2186" stopIfTrue="1"/>
    <cfRule type="duplicateValues" dxfId="6701" priority="2187" stopIfTrue="1"/>
  </conditionalFormatting>
  <conditionalFormatting sqref="C214:C216">
    <cfRule type="duplicateValues" dxfId="6700" priority="2190" stopIfTrue="1"/>
  </conditionalFormatting>
  <pageMargins left="0.45" right="0.2" top="0.25" bottom="0.25" header="0.3" footer="0.3"/>
  <pageSetup paperSize="9" scale="80" orientation="landscape" r:id="rId1"/>
  <ignoredErrors>
    <ignoredError sqref="K1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2:N241"/>
  <sheetViews>
    <sheetView topLeftCell="A217" workbookViewId="0">
      <selection activeCell="C187" sqref="C187"/>
    </sheetView>
  </sheetViews>
  <sheetFormatPr defaultRowHeight="15"/>
  <cols>
    <col min="2" max="2" width="6.85546875" customWidth="1"/>
    <col min="3" max="3" width="34.5703125" customWidth="1"/>
    <col min="4" max="4" width="13.5703125" customWidth="1"/>
    <col min="5" max="5" width="12.85546875" customWidth="1"/>
    <col min="6" max="6" width="14" customWidth="1"/>
    <col min="7" max="7" width="10.42578125" style="43" customWidth="1"/>
    <col min="8" max="8" width="13" customWidth="1"/>
    <col min="9" max="9" width="10.85546875" customWidth="1"/>
    <col min="10" max="10" width="11.140625" customWidth="1"/>
    <col min="11" max="11" width="15.5703125" customWidth="1"/>
    <col min="12" max="12" width="14" customWidth="1"/>
    <col min="13" max="13" width="10.5703125" customWidth="1"/>
    <col min="14" max="14" width="11.28515625" bestFit="1" customWidth="1"/>
  </cols>
  <sheetData>
    <row r="2" spans="2:14" ht="20.25">
      <c r="B2" s="419" t="s">
        <v>245</v>
      </c>
      <c r="C2" s="419"/>
      <c r="D2" s="419"/>
      <c r="E2" s="419"/>
      <c r="F2" s="419"/>
      <c r="G2" s="419"/>
      <c r="H2" s="419"/>
      <c r="I2" s="419"/>
      <c r="J2" s="419"/>
      <c r="K2" s="419"/>
      <c r="L2" s="419"/>
      <c r="M2" s="419"/>
    </row>
    <row r="3" spans="2:14" ht="18">
      <c r="B3" s="418" t="s">
        <v>247</v>
      </c>
      <c r="C3" s="418"/>
      <c r="D3" s="418"/>
      <c r="E3" s="418"/>
      <c r="F3" s="418"/>
      <c r="G3" s="418"/>
      <c r="H3" s="418"/>
      <c r="I3" s="418"/>
      <c r="J3" s="418"/>
      <c r="K3" s="418"/>
      <c r="L3" s="418"/>
      <c r="M3" s="418"/>
    </row>
    <row r="4" spans="2:14" s="44" customFormat="1" ht="51">
      <c r="B4" s="5" t="s">
        <v>0</v>
      </c>
      <c r="C4" s="5" t="s">
        <v>1</v>
      </c>
      <c r="D4" s="7" t="s">
        <v>2</v>
      </c>
      <c r="E4" s="7" t="s">
        <v>3</v>
      </c>
      <c r="F4" s="5" t="s">
        <v>4</v>
      </c>
      <c r="G4" s="7" t="s">
        <v>5</v>
      </c>
      <c r="H4" s="6" t="s">
        <v>6</v>
      </c>
      <c r="I4" s="7" t="s">
        <v>7</v>
      </c>
      <c r="J4" s="6" t="s">
        <v>8</v>
      </c>
      <c r="K4" s="7" t="s">
        <v>9</v>
      </c>
      <c r="L4" s="6" t="s">
        <v>10</v>
      </c>
      <c r="M4" s="6" t="s">
        <v>11</v>
      </c>
    </row>
    <row r="5" spans="2:14">
      <c r="B5" s="14">
        <v>1</v>
      </c>
      <c r="C5" s="2" t="s">
        <v>121</v>
      </c>
      <c r="D5" s="15">
        <v>200000</v>
      </c>
      <c r="E5" s="15">
        <v>26660</v>
      </c>
      <c r="F5" s="15">
        <f t="shared" ref="F5:F38" si="0">SUM(D5:E5)</f>
        <v>226660</v>
      </c>
      <c r="G5" s="31">
        <v>40</v>
      </c>
      <c r="H5" s="15">
        <v>5666.5</v>
      </c>
      <c r="I5" s="8">
        <v>29</v>
      </c>
      <c r="J5" s="11">
        <v>11</v>
      </c>
      <c r="K5" s="16">
        <f>(29*5666.5)</f>
        <v>164328.5</v>
      </c>
      <c r="L5" s="15">
        <f t="shared" ref="L5:L36" si="1">F5-K5</f>
        <v>62331.5</v>
      </c>
      <c r="M5" s="8"/>
      <c r="N5" s="39" t="e">
        <f>#REF!-H5</f>
        <v>#REF!</v>
      </c>
    </row>
    <row r="6" spans="2:14">
      <c r="B6" s="14">
        <v>2</v>
      </c>
      <c r="C6" s="2" t="s">
        <v>199</v>
      </c>
      <c r="D6" s="12">
        <v>132000</v>
      </c>
      <c r="E6" s="12">
        <v>17595.599999999999</v>
      </c>
      <c r="F6" s="15">
        <f t="shared" si="0"/>
        <v>149595.6</v>
      </c>
      <c r="G6" s="31">
        <v>40</v>
      </c>
      <c r="H6" s="12">
        <v>3739.89</v>
      </c>
      <c r="I6" s="8">
        <v>22</v>
      </c>
      <c r="J6" s="8">
        <v>18</v>
      </c>
      <c r="K6" s="12">
        <f>(22*3739.89)</f>
        <v>82277.58</v>
      </c>
      <c r="L6" s="15">
        <f t="shared" si="1"/>
        <v>67318.02</v>
      </c>
      <c r="M6" s="8"/>
      <c r="N6" s="39" t="e">
        <f>#REF!-H6</f>
        <v>#REF!</v>
      </c>
    </row>
    <row r="7" spans="2:14">
      <c r="B7" s="14">
        <v>3</v>
      </c>
      <c r="C7" s="2" t="s">
        <v>200</v>
      </c>
      <c r="D7" s="12">
        <v>132000</v>
      </c>
      <c r="E7" s="12">
        <v>17595.599999999999</v>
      </c>
      <c r="F7" s="15">
        <f t="shared" si="0"/>
        <v>149595.6</v>
      </c>
      <c r="G7" s="31">
        <v>40</v>
      </c>
      <c r="H7" s="12">
        <v>3739.89</v>
      </c>
      <c r="I7" s="8">
        <v>37</v>
      </c>
      <c r="J7" s="8">
        <v>3</v>
      </c>
      <c r="K7" s="12">
        <f>(37*3739.89)</f>
        <v>138375.93</v>
      </c>
      <c r="L7" s="15">
        <f t="shared" si="1"/>
        <v>11219.670000000013</v>
      </c>
      <c r="M7" s="8"/>
      <c r="N7" s="39" t="e">
        <f>#REF!-H7</f>
        <v>#REF!</v>
      </c>
    </row>
    <row r="8" spans="2:14">
      <c r="B8" s="14">
        <v>4</v>
      </c>
      <c r="C8" s="2" t="s">
        <v>122</v>
      </c>
      <c r="D8" s="15">
        <v>200000</v>
      </c>
      <c r="E8" s="15">
        <v>26660</v>
      </c>
      <c r="F8" s="15">
        <f t="shared" si="0"/>
        <v>226660</v>
      </c>
      <c r="G8" s="31">
        <v>40</v>
      </c>
      <c r="H8" s="15">
        <v>5666.5</v>
      </c>
      <c r="I8" s="8">
        <v>30</v>
      </c>
      <c r="J8" s="8">
        <v>10</v>
      </c>
      <c r="K8" s="12">
        <f>(30*5666.5)</f>
        <v>169995</v>
      </c>
      <c r="L8" s="15">
        <f t="shared" si="1"/>
        <v>56665</v>
      </c>
      <c r="M8" s="8"/>
      <c r="N8" s="39" t="e">
        <f>#REF!-H8</f>
        <v>#REF!</v>
      </c>
    </row>
    <row r="9" spans="2:14">
      <c r="B9" s="14">
        <v>5</v>
      </c>
      <c r="C9" s="2" t="s">
        <v>188</v>
      </c>
      <c r="D9" s="12">
        <v>180000</v>
      </c>
      <c r="E9" s="12">
        <v>23994</v>
      </c>
      <c r="F9" s="15">
        <f t="shared" si="0"/>
        <v>203994</v>
      </c>
      <c r="G9" s="31">
        <v>40</v>
      </c>
      <c r="H9" s="12">
        <v>5099.8500000000004</v>
      </c>
      <c r="I9" s="8">
        <v>30</v>
      </c>
      <c r="J9" s="8">
        <v>10</v>
      </c>
      <c r="K9" s="12">
        <f>(30*5099.85)</f>
        <v>152995.5</v>
      </c>
      <c r="L9" s="15">
        <f t="shared" si="1"/>
        <v>50998.5</v>
      </c>
      <c r="M9" s="8"/>
      <c r="N9" s="39" t="e">
        <f>#REF!-H9</f>
        <v>#REF!</v>
      </c>
    </row>
    <row r="10" spans="2:14">
      <c r="B10" s="14">
        <v>6</v>
      </c>
      <c r="C10" s="4" t="s">
        <v>189</v>
      </c>
      <c r="D10" s="12">
        <v>180000</v>
      </c>
      <c r="E10" s="12">
        <v>23994</v>
      </c>
      <c r="F10" s="15">
        <f t="shared" si="0"/>
        <v>203994</v>
      </c>
      <c r="G10" s="31">
        <v>40</v>
      </c>
      <c r="H10" s="12">
        <v>5099.8500000000004</v>
      </c>
      <c r="I10" s="8">
        <v>27</v>
      </c>
      <c r="J10" s="8">
        <v>13</v>
      </c>
      <c r="K10" s="12">
        <f>(27*5099.85)</f>
        <v>137695.95000000001</v>
      </c>
      <c r="L10" s="15">
        <f t="shared" si="1"/>
        <v>66298.049999999988</v>
      </c>
      <c r="M10" s="8"/>
      <c r="N10" s="39" t="e">
        <f>#REF!-H10</f>
        <v>#REF!</v>
      </c>
    </row>
    <row r="11" spans="2:14">
      <c r="B11" s="14">
        <v>7</v>
      </c>
      <c r="C11" s="2" t="s">
        <v>123</v>
      </c>
      <c r="D11" s="15">
        <v>200000</v>
      </c>
      <c r="E11" s="15">
        <v>26660</v>
      </c>
      <c r="F11" s="15">
        <f t="shared" si="0"/>
        <v>226660</v>
      </c>
      <c r="G11" s="31">
        <v>40</v>
      </c>
      <c r="H11" s="15">
        <v>5666.5</v>
      </c>
      <c r="I11" s="8">
        <v>30</v>
      </c>
      <c r="J11" s="8">
        <v>10</v>
      </c>
      <c r="K11" s="12">
        <f>(30*5666.5)</f>
        <v>169995</v>
      </c>
      <c r="L11" s="15">
        <f t="shared" si="1"/>
        <v>56665</v>
      </c>
      <c r="M11" s="8"/>
      <c r="N11" s="39" t="e">
        <f>#REF!-H11</f>
        <v>#REF!</v>
      </c>
    </row>
    <row r="12" spans="2:14">
      <c r="B12" s="14">
        <v>8</v>
      </c>
      <c r="C12" s="25" t="s">
        <v>43</v>
      </c>
      <c r="D12" s="12">
        <v>330000</v>
      </c>
      <c r="E12" s="12">
        <v>21114.720000000001</v>
      </c>
      <c r="F12" s="15">
        <f t="shared" si="0"/>
        <v>351114.72</v>
      </c>
      <c r="G12" s="31">
        <v>24</v>
      </c>
      <c r="H12" s="12">
        <v>14629.78</v>
      </c>
      <c r="I12" s="11">
        <v>16</v>
      </c>
      <c r="J12" s="11">
        <v>8</v>
      </c>
      <c r="K12" s="16">
        <f>(16*14629.78)</f>
        <v>234076.48</v>
      </c>
      <c r="L12" s="15">
        <f t="shared" si="1"/>
        <v>117038.23999999996</v>
      </c>
      <c r="M12" s="8"/>
      <c r="N12" s="39" t="e">
        <f>#REF!-H12</f>
        <v>#REF!</v>
      </c>
    </row>
    <row r="13" spans="2:14">
      <c r="B13" s="14">
        <v>9</v>
      </c>
      <c r="C13" s="2" t="s">
        <v>124</v>
      </c>
      <c r="D13" s="15">
        <v>200000</v>
      </c>
      <c r="E13" s="15">
        <v>26660</v>
      </c>
      <c r="F13" s="15">
        <f t="shared" si="0"/>
        <v>226660</v>
      </c>
      <c r="G13" s="31">
        <v>40</v>
      </c>
      <c r="H13" s="15">
        <v>5666.5</v>
      </c>
      <c r="I13" s="8">
        <v>33</v>
      </c>
      <c r="J13" s="8">
        <v>7</v>
      </c>
      <c r="K13" s="12">
        <f>(33*5666.5)</f>
        <v>186994.5</v>
      </c>
      <c r="L13" s="15">
        <f t="shared" si="1"/>
        <v>39665.5</v>
      </c>
      <c r="M13" s="8"/>
      <c r="N13" s="39" t="e">
        <f>#REF!-H13</f>
        <v>#REF!</v>
      </c>
    </row>
    <row r="14" spans="2:14">
      <c r="B14" s="14">
        <v>10</v>
      </c>
      <c r="C14" s="2" t="s">
        <v>125</v>
      </c>
      <c r="D14" s="15">
        <v>200000</v>
      </c>
      <c r="E14" s="15">
        <v>26660</v>
      </c>
      <c r="F14" s="15">
        <f t="shared" si="0"/>
        <v>226660</v>
      </c>
      <c r="G14" s="31">
        <v>40</v>
      </c>
      <c r="H14" s="15">
        <v>5666.5</v>
      </c>
      <c r="I14" s="8">
        <v>37</v>
      </c>
      <c r="J14" s="8">
        <v>3</v>
      </c>
      <c r="K14" s="12">
        <f>(37*5666.5)</f>
        <v>209660.5</v>
      </c>
      <c r="L14" s="15">
        <f t="shared" si="1"/>
        <v>16999.5</v>
      </c>
      <c r="M14" s="8"/>
      <c r="N14" s="39" t="e">
        <f>#REF!-H14</f>
        <v>#REF!</v>
      </c>
    </row>
    <row r="15" spans="2:14">
      <c r="B15" s="14">
        <v>11</v>
      </c>
      <c r="C15" s="2" t="s">
        <v>120</v>
      </c>
      <c r="D15" s="12">
        <v>330000</v>
      </c>
      <c r="E15" s="16">
        <v>21114.720000000001</v>
      </c>
      <c r="F15" s="15">
        <f t="shared" si="0"/>
        <v>351114.72</v>
      </c>
      <c r="G15" s="31">
        <v>24</v>
      </c>
      <c r="H15" s="24">
        <v>6649.9</v>
      </c>
      <c r="I15" s="11">
        <v>16</v>
      </c>
      <c r="J15" s="8">
        <v>8</v>
      </c>
      <c r="K15" s="16">
        <f>(16*6649.9)</f>
        <v>106398.39999999999</v>
      </c>
      <c r="L15" s="15">
        <f t="shared" si="1"/>
        <v>244716.31999999998</v>
      </c>
      <c r="M15" s="8"/>
      <c r="N15" s="39" t="e">
        <f>#REF!-H15</f>
        <v>#REF!</v>
      </c>
    </row>
    <row r="16" spans="2:14">
      <c r="B16" s="14">
        <v>12</v>
      </c>
      <c r="C16" s="2" t="s">
        <v>190</v>
      </c>
      <c r="D16" s="12">
        <v>180000</v>
      </c>
      <c r="E16" s="12">
        <v>23994</v>
      </c>
      <c r="F16" s="15">
        <f t="shared" si="0"/>
        <v>203994</v>
      </c>
      <c r="G16" s="30">
        <v>40</v>
      </c>
      <c r="H16" s="12">
        <v>5099.8500000000004</v>
      </c>
      <c r="I16" s="22">
        <v>39</v>
      </c>
      <c r="J16" s="22">
        <v>1</v>
      </c>
      <c r="K16" s="12">
        <f>(39*5099.85)</f>
        <v>198894.15000000002</v>
      </c>
      <c r="L16" s="15">
        <f t="shared" si="1"/>
        <v>5099.8499999999767</v>
      </c>
      <c r="M16" s="10"/>
      <c r="N16" s="39" t="e">
        <f>#REF!-H16</f>
        <v>#REF!</v>
      </c>
    </row>
    <row r="17" spans="2:14">
      <c r="B17" s="14">
        <v>13</v>
      </c>
      <c r="C17" s="2" t="s">
        <v>201</v>
      </c>
      <c r="D17" s="12">
        <v>132000</v>
      </c>
      <c r="E17" s="12">
        <v>17595.599999999999</v>
      </c>
      <c r="F17" s="15">
        <f t="shared" si="0"/>
        <v>149595.6</v>
      </c>
      <c r="G17" s="31">
        <v>40</v>
      </c>
      <c r="H17" s="12">
        <v>3739.89</v>
      </c>
      <c r="I17" s="8">
        <v>30</v>
      </c>
      <c r="J17" s="8">
        <v>10</v>
      </c>
      <c r="K17" s="12">
        <f>(30*3739.89)</f>
        <v>112196.7</v>
      </c>
      <c r="L17" s="15">
        <f t="shared" si="1"/>
        <v>37398.900000000009</v>
      </c>
      <c r="M17" s="8"/>
      <c r="N17" s="39" t="e">
        <f>#REF!-H17</f>
        <v>#REF!</v>
      </c>
    </row>
    <row r="18" spans="2:14">
      <c r="B18" s="14">
        <v>14</v>
      </c>
      <c r="C18" s="2" t="s">
        <v>191</v>
      </c>
      <c r="D18" s="12">
        <v>180000</v>
      </c>
      <c r="E18" s="12">
        <v>23994</v>
      </c>
      <c r="F18" s="15">
        <f t="shared" si="0"/>
        <v>203994</v>
      </c>
      <c r="G18" s="30">
        <v>40</v>
      </c>
      <c r="H18" s="12">
        <v>5099.8500000000004</v>
      </c>
      <c r="I18" s="22">
        <v>39</v>
      </c>
      <c r="J18" s="22">
        <v>1</v>
      </c>
      <c r="K18" s="12">
        <f>(39*5099.85)</f>
        <v>198894.15000000002</v>
      </c>
      <c r="L18" s="15">
        <f t="shared" si="1"/>
        <v>5099.8499999999767</v>
      </c>
      <c r="M18" s="10"/>
      <c r="N18" s="39" t="e">
        <f>#REF!-H18</f>
        <v>#REF!</v>
      </c>
    </row>
    <row r="19" spans="2:14">
      <c r="B19" s="14">
        <v>15</v>
      </c>
      <c r="C19" s="2" t="s">
        <v>52</v>
      </c>
      <c r="D19" s="12">
        <v>500000</v>
      </c>
      <c r="E19" s="12">
        <v>66650</v>
      </c>
      <c r="F19" s="15">
        <f t="shared" si="0"/>
        <v>566650</v>
      </c>
      <c r="G19" s="31">
        <v>50</v>
      </c>
      <c r="H19" s="18">
        <v>11333</v>
      </c>
      <c r="I19" s="31">
        <v>23</v>
      </c>
      <c r="J19" s="31">
        <v>27</v>
      </c>
      <c r="K19" s="12">
        <f>(23*11333)</f>
        <v>260659</v>
      </c>
      <c r="L19" s="15">
        <f t="shared" si="1"/>
        <v>305991</v>
      </c>
      <c r="M19" s="8"/>
      <c r="N19" s="39" t="e">
        <f>#REF!-H19</f>
        <v>#REF!</v>
      </c>
    </row>
    <row r="20" spans="2:14">
      <c r="B20" s="14">
        <v>16</v>
      </c>
      <c r="C20" s="2" t="s">
        <v>49</v>
      </c>
      <c r="D20" s="12">
        <v>500000</v>
      </c>
      <c r="E20" s="12">
        <v>53320</v>
      </c>
      <c r="F20" s="15">
        <f t="shared" si="0"/>
        <v>553320</v>
      </c>
      <c r="G20" s="31">
        <v>40</v>
      </c>
      <c r="H20" s="12">
        <v>13833</v>
      </c>
      <c r="I20" s="8">
        <v>37</v>
      </c>
      <c r="J20" s="8">
        <v>3</v>
      </c>
      <c r="K20" s="12">
        <f>(37*13833)</f>
        <v>511821</v>
      </c>
      <c r="L20" s="15">
        <f t="shared" si="1"/>
        <v>41499</v>
      </c>
      <c r="M20" s="8"/>
      <c r="N20" s="39" t="e">
        <f>#REF!-H20</f>
        <v>#REF!</v>
      </c>
    </row>
    <row r="21" spans="2:14">
      <c r="B21" s="14">
        <v>17</v>
      </c>
      <c r="C21" s="2" t="s">
        <v>126</v>
      </c>
      <c r="D21" s="15">
        <v>200000</v>
      </c>
      <c r="E21" s="15">
        <v>26660</v>
      </c>
      <c r="F21" s="15">
        <f t="shared" si="0"/>
        <v>226660</v>
      </c>
      <c r="G21" s="32">
        <v>40</v>
      </c>
      <c r="H21" s="15">
        <v>5666.5</v>
      </c>
      <c r="I21" s="22">
        <v>39</v>
      </c>
      <c r="J21" s="21">
        <v>1</v>
      </c>
      <c r="K21" s="15">
        <f>(39*5666.5)</f>
        <v>220993.5</v>
      </c>
      <c r="L21" s="15">
        <f t="shared" si="1"/>
        <v>5666.5</v>
      </c>
      <c r="M21" s="10"/>
      <c r="N21" s="39" t="e">
        <f>#REF!-H21</f>
        <v>#REF!</v>
      </c>
    </row>
    <row r="22" spans="2:14">
      <c r="B22" s="14">
        <v>18</v>
      </c>
      <c r="C22" s="2" t="s">
        <v>46</v>
      </c>
      <c r="D22" s="12">
        <v>450000</v>
      </c>
      <c r="E22" s="16">
        <v>28792.799999999999</v>
      </c>
      <c r="F22" s="15">
        <f t="shared" si="0"/>
        <v>478792.8</v>
      </c>
      <c r="G22" s="31">
        <v>24</v>
      </c>
      <c r="H22" s="16">
        <v>19949.7</v>
      </c>
      <c r="I22" s="11">
        <v>16</v>
      </c>
      <c r="J22" s="11">
        <v>8</v>
      </c>
      <c r="K22" s="12">
        <f>(16*19949.7)</f>
        <v>319195.2</v>
      </c>
      <c r="L22" s="15">
        <f t="shared" si="1"/>
        <v>159597.59999999998</v>
      </c>
      <c r="M22" s="8"/>
      <c r="N22" s="39" t="e">
        <f>#REF!-H22</f>
        <v>#REF!</v>
      </c>
    </row>
    <row r="23" spans="2:14">
      <c r="B23" s="14">
        <v>19</v>
      </c>
      <c r="C23" s="2" t="s">
        <v>127</v>
      </c>
      <c r="D23" s="15">
        <v>200000</v>
      </c>
      <c r="E23" s="15">
        <v>26660</v>
      </c>
      <c r="F23" s="15">
        <f t="shared" si="0"/>
        <v>226660</v>
      </c>
      <c r="G23" s="31">
        <v>40</v>
      </c>
      <c r="H23" s="15">
        <v>5666.5</v>
      </c>
      <c r="I23" s="8">
        <v>27</v>
      </c>
      <c r="J23" s="8">
        <v>13</v>
      </c>
      <c r="K23" s="12">
        <f>(27*5666.5)</f>
        <v>152995.5</v>
      </c>
      <c r="L23" s="15">
        <f t="shared" si="1"/>
        <v>73664.5</v>
      </c>
      <c r="M23" s="8"/>
      <c r="N23" s="39" t="e">
        <f>#REF!-H23</f>
        <v>#REF!</v>
      </c>
    </row>
    <row r="24" spans="2:14">
      <c r="B24" s="14">
        <v>20</v>
      </c>
      <c r="C24" s="2" t="s">
        <v>128</v>
      </c>
      <c r="D24" s="15">
        <v>200000</v>
      </c>
      <c r="E24" s="15">
        <v>26660</v>
      </c>
      <c r="F24" s="15">
        <f t="shared" si="0"/>
        <v>226660</v>
      </c>
      <c r="G24" s="32">
        <v>40</v>
      </c>
      <c r="H24" s="15">
        <v>5666.5</v>
      </c>
      <c r="I24" s="22">
        <v>39</v>
      </c>
      <c r="J24" s="21">
        <v>1</v>
      </c>
      <c r="K24" s="12">
        <f>(39*5666.5)</f>
        <v>220993.5</v>
      </c>
      <c r="L24" s="15">
        <f t="shared" si="1"/>
        <v>5666.5</v>
      </c>
      <c r="M24" s="10"/>
      <c r="N24" s="39" t="e">
        <f>#REF!-H24</f>
        <v>#REF!</v>
      </c>
    </row>
    <row r="25" spans="2:14">
      <c r="B25" s="14">
        <v>21</v>
      </c>
      <c r="C25" s="2" t="s">
        <v>129</v>
      </c>
      <c r="D25" s="15">
        <v>200000</v>
      </c>
      <c r="E25" s="15">
        <v>26660</v>
      </c>
      <c r="F25" s="15">
        <f t="shared" si="0"/>
        <v>226660</v>
      </c>
      <c r="G25" s="31">
        <v>40</v>
      </c>
      <c r="H25" s="15">
        <v>5666.5</v>
      </c>
      <c r="I25" s="8">
        <v>33</v>
      </c>
      <c r="J25" s="8">
        <v>7</v>
      </c>
      <c r="K25" s="12">
        <f>(33*5666.5)</f>
        <v>186994.5</v>
      </c>
      <c r="L25" s="15">
        <f t="shared" si="1"/>
        <v>39665.5</v>
      </c>
      <c r="M25" s="8"/>
      <c r="N25" s="39" t="e">
        <f>#REF!-H25</f>
        <v>#REF!</v>
      </c>
    </row>
    <row r="26" spans="2:14">
      <c r="B26" s="14">
        <v>22</v>
      </c>
      <c r="C26" s="25" t="s">
        <v>105</v>
      </c>
      <c r="D26" s="12">
        <v>330000</v>
      </c>
      <c r="E26" s="16">
        <v>43989</v>
      </c>
      <c r="F26" s="15">
        <f t="shared" si="0"/>
        <v>373989</v>
      </c>
      <c r="G26" s="33">
        <v>50</v>
      </c>
      <c r="H26" s="16">
        <v>7479.78</v>
      </c>
      <c r="I26" s="8">
        <v>25</v>
      </c>
      <c r="J26" s="8">
        <v>25</v>
      </c>
      <c r="K26" s="12">
        <f>(25*7479.78)</f>
        <v>186994.5</v>
      </c>
      <c r="L26" s="15">
        <f t="shared" si="1"/>
        <v>186994.5</v>
      </c>
      <c r="M26" s="8"/>
      <c r="N26" s="39" t="e">
        <f>#REF!-H26</f>
        <v>#REF!</v>
      </c>
    </row>
    <row r="27" spans="2:14">
      <c r="B27" s="14">
        <v>23</v>
      </c>
      <c r="C27" s="2" t="s">
        <v>214</v>
      </c>
      <c r="D27" s="12">
        <v>60000</v>
      </c>
      <c r="E27" s="12">
        <v>7998</v>
      </c>
      <c r="F27" s="15">
        <f t="shared" si="0"/>
        <v>67998</v>
      </c>
      <c r="G27" s="31">
        <v>40</v>
      </c>
      <c r="H27" s="12">
        <v>1699.95</v>
      </c>
      <c r="I27" s="8">
        <v>39</v>
      </c>
      <c r="J27" s="8">
        <v>1</v>
      </c>
      <c r="K27" s="12">
        <f>(39*1699.95)</f>
        <v>66298.05</v>
      </c>
      <c r="L27" s="15">
        <f t="shared" si="1"/>
        <v>1699.9499999999971</v>
      </c>
      <c r="M27" s="8"/>
      <c r="N27" s="39" t="e">
        <f>#REF!-H27</f>
        <v>#REF!</v>
      </c>
    </row>
    <row r="28" spans="2:14">
      <c r="B28" s="14">
        <v>24</v>
      </c>
      <c r="C28" s="2" t="s">
        <v>130</v>
      </c>
      <c r="D28" s="15">
        <v>200000</v>
      </c>
      <c r="E28" s="15">
        <v>26660</v>
      </c>
      <c r="F28" s="15">
        <f t="shared" si="0"/>
        <v>226660</v>
      </c>
      <c r="G28" s="31">
        <v>40</v>
      </c>
      <c r="H28" s="15">
        <v>5666.5</v>
      </c>
      <c r="I28" s="8">
        <v>30</v>
      </c>
      <c r="J28" s="8">
        <v>10</v>
      </c>
      <c r="K28" s="12">
        <f>(30*5666.5)</f>
        <v>169995</v>
      </c>
      <c r="L28" s="15">
        <f t="shared" si="1"/>
        <v>56665</v>
      </c>
      <c r="M28" s="8"/>
      <c r="N28" s="39" t="e">
        <f>#REF!-H28</f>
        <v>#REF!</v>
      </c>
    </row>
    <row r="29" spans="2:14">
      <c r="B29" s="14">
        <v>25</v>
      </c>
      <c r="C29" s="2" t="s">
        <v>215</v>
      </c>
      <c r="D29" s="12">
        <v>60000</v>
      </c>
      <c r="E29" s="12">
        <v>7998</v>
      </c>
      <c r="F29" s="15">
        <f t="shared" si="0"/>
        <v>67998</v>
      </c>
      <c r="G29" s="31">
        <v>40</v>
      </c>
      <c r="H29" s="12">
        <v>1699.95</v>
      </c>
      <c r="I29" s="8">
        <v>39</v>
      </c>
      <c r="J29" s="8">
        <v>1</v>
      </c>
      <c r="K29" s="12">
        <f>(39*1699.95)</f>
        <v>66298.05</v>
      </c>
      <c r="L29" s="15">
        <f t="shared" si="1"/>
        <v>1699.9499999999971</v>
      </c>
      <c r="M29" s="8"/>
      <c r="N29" s="39" t="e">
        <f>#REF!-H29</f>
        <v>#REF!</v>
      </c>
    </row>
    <row r="30" spans="2:14">
      <c r="B30" s="14">
        <v>26</v>
      </c>
      <c r="C30" s="2" t="s">
        <v>131</v>
      </c>
      <c r="D30" s="15">
        <v>200000</v>
      </c>
      <c r="E30" s="15">
        <v>26660</v>
      </c>
      <c r="F30" s="15">
        <f t="shared" si="0"/>
        <v>226660</v>
      </c>
      <c r="G30" s="32">
        <v>40</v>
      </c>
      <c r="H30" s="15">
        <v>5666.5</v>
      </c>
      <c r="I30" s="22">
        <v>39</v>
      </c>
      <c r="J30" s="21">
        <v>1</v>
      </c>
      <c r="K30" s="12">
        <f>(39*5666.5)</f>
        <v>220993.5</v>
      </c>
      <c r="L30" s="15">
        <f t="shared" si="1"/>
        <v>5666.5</v>
      </c>
      <c r="M30" s="10"/>
      <c r="N30" s="39" t="e">
        <f>#REF!-H30</f>
        <v>#REF!</v>
      </c>
    </row>
    <row r="31" spans="2:14">
      <c r="B31" s="14">
        <v>27</v>
      </c>
      <c r="C31" s="2" t="s">
        <v>132</v>
      </c>
      <c r="D31" s="15">
        <v>200000</v>
      </c>
      <c r="E31" s="15">
        <v>26660</v>
      </c>
      <c r="F31" s="15">
        <f t="shared" si="0"/>
        <v>226660</v>
      </c>
      <c r="G31" s="31">
        <v>40</v>
      </c>
      <c r="H31" s="15">
        <v>5666.5</v>
      </c>
      <c r="I31" s="8">
        <v>37</v>
      </c>
      <c r="J31" s="8">
        <v>3</v>
      </c>
      <c r="K31" s="12">
        <f>(37*5666.5)</f>
        <v>209660.5</v>
      </c>
      <c r="L31" s="15">
        <f t="shared" si="1"/>
        <v>16999.5</v>
      </c>
      <c r="M31" s="8"/>
      <c r="N31" s="39" t="e">
        <f>#REF!-H31</f>
        <v>#REF!</v>
      </c>
    </row>
    <row r="32" spans="2:14">
      <c r="B32" s="14">
        <v>28</v>
      </c>
      <c r="C32" s="2" t="s">
        <v>106</v>
      </c>
      <c r="D32" s="12">
        <v>330000</v>
      </c>
      <c r="E32" s="12">
        <v>43989</v>
      </c>
      <c r="F32" s="15">
        <f t="shared" si="0"/>
        <v>373989</v>
      </c>
      <c r="G32" s="31">
        <v>50</v>
      </c>
      <c r="H32" s="12">
        <v>7479.78</v>
      </c>
      <c r="I32" s="11">
        <v>16</v>
      </c>
      <c r="J32" s="11">
        <v>34</v>
      </c>
      <c r="K32" s="16">
        <f>(16*7479.78)</f>
        <v>119676.48</v>
      </c>
      <c r="L32" s="15">
        <f t="shared" si="1"/>
        <v>254312.52000000002</v>
      </c>
      <c r="M32" s="8"/>
      <c r="N32" s="39" t="e">
        <f>#REF!-H32</f>
        <v>#REF!</v>
      </c>
    </row>
    <row r="33" spans="2:14">
      <c r="B33" s="14">
        <v>29</v>
      </c>
      <c r="C33" s="2" t="s">
        <v>134</v>
      </c>
      <c r="D33" s="15">
        <v>200000</v>
      </c>
      <c r="E33" s="15">
        <v>26660</v>
      </c>
      <c r="F33" s="15">
        <f t="shared" si="0"/>
        <v>226660</v>
      </c>
      <c r="G33" s="31">
        <v>40</v>
      </c>
      <c r="H33" s="15">
        <v>5666.5</v>
      </c>
      <c r="I33" s="8">
        <v>30</v>
      </c>
      <c r="J33" s="8">
        <v>10</v>
      </c>
      <c r="K33" s="12">
        <f>(30*5666.5)</f>
        <v>169995</v>
      </c>
      <c r="L33" s="15">
        <f t="shared" si="1"/>
        <v>56665</v>
      </c>
      <c r="M33" s="8"/>
      <c r="N33" s="39" t="e">
        <f>#REF!-H33</f>
        <v>#REF!</v>
      </c>
    </row>
    <row r="34" spans="2:14">
      <c r="B34" s="14">
        <v>30</v>
      </c>
      <c r="C34" s="2" t="s">
        <v>135</v>
      </c>
      <c r="D34" s="15">
        <v>200000</v>
      </c>
      <c r="E34" s="15">
        <v>26660</v>
      </c>
      <c r="F34" s="15">
        <f t="shared" si="0"/>
        <v>226660</v>
      </c>
      <c r="G34" s="31">
        <v>40</v>
      </c>
      <c r="H34" s="15">
        <v>5666.5</v>
      </c>
      <c r="I34" s="8">
        <v>30</v>
      </c>
      <c r="J34" s="8">
        <v>10</v>
      </c>
      <c r="K34" s="12">
        <f>(30*5666.5)</f>
        <v>169995</v>
      </c>
      <c r="L34" s="15">
        <f t="shared" si="1"/>
        <v>56665</v>
      </c>
      <c r="M34" s="8"/>
      <c r="N34" s="39" t="e">
        <f>#REF!-H34</f>
        <v>#REF!</v>
      </c>
    </row>
    <row r="35" spans="2:14">
      <c r="B35" s="14">
        <v>31</v>
      </c>
      <c r="C35" s="25" t="s">
        <v>53</v>
      </c>
      <c r="D35" s="12">
        <v>500000</v>
      </c>
      <c r="E35" s="12">
        <v>66650</v>
      </c>
      <c r="F35" s="15">
        <f t="shared" si="0"/>
        <v>566650</v>
      </c>
      <c r="G35" s="31">
        <v>50</v>
      </c>
      <c r="H35" s="12">
        <v>11333</v>
      </c>
      <c r="I35" s="11">
        <v>16</v>
      </c>
      <c r="J35" s="11">
        <v>34</v>
      </c>
      <c r="K35" s="12">
        <f>(16*11333)</f>
        <v>181328</v>
      </c>
      <c r="L35" s="15">
        <f t="shared" si="1"/>
        <v>385322</v>
      </c>
      <c r="M35" s="8"/>
      <c r="N35" s="39" t="e">
        <f>#REF!-H35</f>
        <v>#REF!</v>
      </c>
    </row>
    <row r="36" spans="2:14">
      <c r="B36" s="14">
        <v>32</v>
      </c>
      <c r="C36" s="2" t="s">
        <v>202</v>
      </c>
      <c r="D36" s="12">
        <v>132000</v>
      </c>
      <c r="E36" s="12">
        <v>17595.599999999999</v>
      </c>
      <c r="F36" s="15">
        <f t="shared" si="0"/>
        <v>149595.6</v>
      </c>
      <c r="G36" s="31">
        <v>40</v>
      </c>
      <c r="H36" s="12">
        <v>3739.89</v>
      </c>
      <c r="I36" s="8">
        <v>27</v>
      </c>
      <c r="J36" s="8">
        <v>13</v>
      </c>
      <c r="K36" s="12">
        <f>(27*3739.89)</f>
        <v>100977.03</v>
      </c>
      <c r="L36" s="15">
        <f t="shared" si="1"/>
        <v>48618.570000000007</v>
      </c>
      <c r="M36" s="8"/>
      <c r="N36" s="39" t="e">
        <f>#REF!-H36</f>
        <v>#REF!</v>
      </c>
    </row>
    <row r="37" spans="2:14">
      <c r="B37" s="14">
        <v>33</v>
      </c>
      <c r="C37" s="2" t="s">
        <v>136</v>
      </c>
      <c r="D37" s="15">
        <v>200000</v>
      </c>
      <c r="E37" s="15">
        <v>26660</v>
      </c>
      <c r="F37" s="15">
        <f t="shared" si="0"/>
        <v>226660</v>
      </c>
      <c r="G37" s="32">
        <v>40</v>
      </c>
      <c r="H37" s="15">
        <v>5666.5</v>
      </c>
      <c r="I37" s="30">
        <v>41</v>
      </c>
      <c r="J37" s="9"/>
      <c r="K37" s="12">
        <f>(41*5666.5)</f>
        <v>232326.5</v>
      </c>
      <c r="L37" s="15">
        <f t="shared" ref="L37:L68" si="2">F37-K37</f>
        <v>-5666.5</v>
      </c>
      <c r="M37" s="10"/>
      <c r="N37" s="39" t="e">
        <f>#REF!-H37</f>
        <v>#REF!</v>
      </c>
    </row>
    <row r="38" spans="2:14">
      <c r="B38" s="14">
        <v>34</v>
      </c>
      <c r="C38" s="2" t="s">
        <v>54</v>
      </c>
      <c r="D38" s="12">
        <v>500000</v>
      </c>
      <c r="E38" s="12">
        <v>66650</v>
      </c>
      <c r="F38" s="15">
        <f t="shared" si="0"/>
        <v>566650</v>
      </c>
      <c r="G38" s="31">
        <v>50</v>
      </c>
      <c r="H38" s="12">
        <v>11333</v>
      </c>
      <c r="I38" s="11">
        <v>25</v>
      </c>
      <c r="J38" s="11">
        <v>25</v>
      </c>
      <c r="K38" s="12">
        <f>(25*11333)</f>
        <v>283325</v>
      </c>
      <c r="L38" s="15">
        <f t="shared" si="2"/>
        <v>283325</v>
      </c>
      <c r="M38" s="8"/>
      <c r="N38" s="39" t="e">
        <f>#REF!-H38</f>
        <v>#REF!</v>
      </c>
    </row>
    <row r="39" spans="2:14">
      <c r="B39" s="14">
        <v>35</v>
      </c>
      <c r="C39" s="2" t="s">
        <v>36</v>
      </c>
      <c r="D39" s="18">
        <v>500000</v>
      </c>
      <c r="E39" s="18">
        <v>66650</v>
      </c>
      <c r="F39" s="18">
        <v>566650</v>
      </c>
      <c r="G39" s="8" t="s">
        <v>13</v>
      </c>
      <c r="H39" s="16">
        <v>11333</v>
      </c>
      <c r="I39" s="8">
        <v>2</v>
      </c>
      <c r="J39" s="8">
        <v>48</v>
      </c>
      <c r="K39" s="12">
        <f>(2*11333)</f>
        <v>22666</v>
      </c>
      <c r="L39" s="12">
        <f t="shared" si="2"/>
        <v>543984</v>
      </c>
      <c r="M39" s="1"/>
      <c r="N39" s="39" t="e">
        <f>#REF!-H39</f>
        <v>#REF!</v>
      </c>
    </row>
    <row r="40" spans="2:14">
      <c r="B40" s="14">
        <v>36</v>
      </c>
      <c r="C40" s="2" t="s">
        <v>55</v>
      </c>
      <c r="D40" s="12">
        <v>500000</v>
      </c>
      <c r="E40" s="12">
        <v>66650</v>
      </c>
      <c r="F40" s="15">
        <f t="shared" ref="F40:F52" si="3">SUM(D40:E40)</f>
        <v>566650</v>
      </c>
      <c r="G40" s="31">
        <v>50</v>
      </c>
      <c r="H40" s="12">
        <v>11333</v>
      </c>
      <c r="I40" s="8">
        <v>37</v>
      </c>
      <c r="J40" s="8">
        <v>13</v>
      </c>
      <c r="K40" s="12">
        <f>(37*11333)</f>
        <v>419321</v>
      </c>
      <c r="L40" s="15">
        <f t="shared" si="2"/>
        <v>147329</v>
      </c>
      <c r="M40" s="8"/>
      <c r="N40" s="39" t="e">
        <f>#REF!-H40</f>
        <v>#REF!</v>
      </c>
    </row>
    <row r="41" spans="2:14">
      <c r="B41" s="14">
        <v>37</v>
      </c>
      <c r="C41" s="2" t="s">
        <v>137</v>
      </c>
      <c r="D41" s="15">
        <v>200000</v>
      </c>
      <c r="E41" s="15">
        <v>26660</v>
      </c>
      <c r="F41" s="15">
        <f t="shared" si="3"/>
        <v>226660</v>
      </c>
      <c r="G41" s="31">
        <v>40</v>
      </c>
      <c r="H41" s="15">
        <v>5666.5</v>
      </c>
      <c r="I41" s="8">
        <v>30</v>
      </c>
      <c r="J41" s="8">
        <v>10</v>
      </c>
      <c r="K41" s="12">
        <f>(30*5666.5)</f>
        <v>169995</v>
      </c>
      <c r="L41" s="15">
        <f t="shared" si="2"/>
        <v>56665</v>
      </c>
      <c r="M41" s="8"/>
      <c r="N41" s="39" t="e">
        <f>#REF!-H41</f>
        <v>#REF!</v>
      </c>
    </row>
    <row r="42" spans="2:14">
      <c r="B42" s="14">
        <v>38</v>
      </c>
      <c r="C42" s="2" t="s">
        <v>56</v>
      </c>
      <c r="D42" s="12">
        <v>500000</v>
      </c>
      <c r="E42" s="12">
        <v>66650</v>
      </c>
      <c r="F42" s="15">
        <f t="shared" si="3"/>
        <v>566650</v>
      </c>
      <c r="G42" s="31">
        <v>50</v>
      </c>
      <c r="H42" s="12">
        <v>11333</v>
      </c>
      <c r="I42" s="8">
        <v>37</v>
      </c>
      <c r="J42" s="8">
        <v>13</v>
      </c>
      <c r="K42" s="12">
        <f>(37*11333)</f>
        <v>419321</v>
      </c>
      <c r="L42" s="15">
        <f t="shared" si="2"/>
        <v>147329</v>
      </c>
      <c r="M42" s="8"/>
      <c r="N42" s="39" t="e">
        <f>#REF!-H42</f>
        <v>#REF!</v>
      </c>
    </row>
    <row r="43" spans="2:14">
      <c r="B43" s="14">
        <v>39</v>
      </c>
      <c r="C43" s="2" t="s">
        <v>50</v>
      </c>
      <c r="D43" s="12">
        <v>500000</v>
      </c>
      <c r="E43" s="12">
        <v>53320</v>
      </c>
      <c r="F43" s="15">
        <f t="shared" si="3"/>
        <v>553320</v>
      </c>
      <c r="G43" s="31">
        <v>40</v>
      </c>
      <c r="H43" s="12">
        <v>13833</v>
      </c>
      <c r="I43" s="8">
        <v>37</v>
      </c>
      <c r="J43" s="8">
        <v>3</v>
      </c>
      <c r="K43" s="12">
        <f>(37*13833)</f>
        <v>511821</v>
      </c>
      <c r="L43" s="15">
        <f t="shared" si="2"/>
        <v>41499</v>
      </c>
      <c r="M43" s="8"/>
      <c r="N43" s="39" t="e">
        <f>#REF!-H43</f>
        <v>#REF!</v>
      </c>
    </row>
    <row r="44" spans="2:14">
      <c r="B44" s="14">
        <v>40</v>
      </c>
      <c r="C44" s="2" t="s">
        <v>138</v>
      </c>
      <c r="D44" s="15">
        <v>200000</v>
      </c>
      <c r="E44" s="15">
        <v>26660</v>
      </c>
      <c r="F44" s="15">
        <f t="shared" si="3"/>
        <v>226660</v>
      </c>
      <c r="G44" s="31">
        <v>40</v>
      </c>
      <c r="H44" s="15">
        <v>5666.5</v>
      </c>
      <c r="I44" s="8">
        <v>30</v>
      </c>
      <c r="J44" s="8">
        <v>10</v>
      </c>
      <c r="K44" s="12">
        <f>(30*5666.5)</f>
        <v>169995</v>
      </c>
      <c r="L44" s="15">
        <f t="shared" si="2"/>
        <v>56665</v>
      </c>
      <c r="M44" s="8"/>
      <c r="N44" s="39" t="e">
        <f>#REF!-H44</f>
        <v>#REF!</v>
      </c>
    </row>
    <row r="45" spans="2:14">
      <c r="B45" s="14">
        <v>41</v>
      </c>
      <c r="C45" s="2" t="s">
        <v>57</v>
      </c>
      <c r="D45" s="12">
        <v>500000</v>
      </c>
      <c r="E45" s="12">
        <v>66650</v>
      </c>
      <c r="F45" s="15">
        <f t="shared" si="3"/>
        <v>566650</v>
      </c>
      <c r="G45" s="31">
        <v>50</v>
      </c>
      <c r="H45" s="12">
        <v>11333</v>
      </c>
      <c r="I45" s="11">
        <v>16</v>
      </c>
      <c r="J45" s="11">
        <v>34</v>
      </c>
      <c r="K45" s="12">
        <f>(16*11333)</f>
        <v>181328</v>
      </c>
      <c r="L45" s="15">
        <f t="shared" si="2"/>
        <v>385322</v>
      </c>
      <c r="M45" s="8"/>
      <c r="N45" s="39" t="e">
        <f>#REF!-H45</f>
        <v>#REF!</v>
      </c>
    </row>
    <row r="46" spans="2:14">
      <c r="B46" s="14">
        <v>42</v>
      </c>
      <c r="C46" s="2" t="s">
        <v>139</v>
      </c>
      <c r="D46" s="15">
        <v>200000</v>
      </c>
      <c r="E46" s="15">
        <v>26660</v>
      </c>
      <c r="F46" s="15">
        <f t="shared" si="3"/>
        <v>226660</v>
      </c>
      <c r="G46" s="31">
        <v>40</v>
      </c>
      <c r="H46" s="15">
        <v>5666.5</v>
      </c>
      <c r="I46" s="8">
        <v>30</v>
      </c>
      <c r="J46" s="8">
        <v>10</v>
      </c>
      <c r="K46" s="12">
        <f>(30*5666.5)</f>
        <v>169995</v>
      </c>
      <c r="L46" s="15">
        <f t="shared" si="2"/>
        <v>56665</v>
      </c>
      <c r="M46" s="8"/>
      <c r="N46" s="39" t="e">
        <f>#REF!-H46</f>
        <v>#REF!</v>
      </c>
    </row>
    <row r="47" spans="2:14">
      <c r="B47" s="14">
        <v>43</v>
      </c>
      <c r="C47" s="2" t="s">
        <v>140</v>
      </c>
      <c r="D47" s="15">
        <v>200000</v>
      </c>
      <c r="E47" s="15">
        <v>26660</v>
      </c>
      <c r="F47" s="15">
        <f t="shared" si="3"/>
        <v>226660</v>
      </c>
      <c r="G47" s="31">
        <v>40</v>
      </c>
      <c r="H47" s="15">
        <v>5666.5</v>
      </c>
      <c r="I47" s="8">
        <v>26</v>
      </c>
      <c r="J47" s="8">
        <v>14</v>
      </c>
      <c r="K47" s="12">
        <f>(26*5666.5)</f>
        <v>147329</v>
      </c>
      <c r="L47" s="15">
        <f t="shared" si="2"/>
        <v>79331</v>
      </c>
      <c r="M47" s="8"/>
      <c r="N47" s="39" t="e">
        <f>#REF!-H47</f>
        <v>#REF!</v>
      </c>
    </row>
    <row r="48" spans="2:14">
      <c r="B48" s="14">
        <v>44</v>
      </c>
      <c r="C48" s="2" t="s">
        <v>141</v>
      </c>
      <c r="D48" s="15">
        <v>200000</v>
      </c>
      <c r="E48" s="15">
        <v>26660</v>
      </c>
      <c r="F48" s="15">
        <f t="shared" si="3"/>
        <v>226660</v>
      </c>
      <c r="G48" s="31">
        <v>40</v>
      </c>
      <c r="H48" s="15">
        <v>5666.5</v>
      </c>
      <c r="I48" s="8">
        <v>30</v>
      </c>
      <c r="J48" s="8">
        <v>10</v>
      </c>
      <c r="K48" s="12">
        <f>(30*5666.5)</f>
        <v>169995</v>
      </c>
      <c r="L48" s="15">
        <f t="shared" si="2"/>
        <v>56665</v>
      </c>
      <c r="M48" s="8"/>
      <c r="N48" s="39" t="e">
        <f>#REF!-H48</f>
        <v>#REF!</v>
      </c>
    </row>
    <row r="49" spans="2:14">
      <c r="B49" s="14">
        <v>45</v>
      </c>
      <c r="C49" s="2" t="s">
        <v>107</v>
      </c>
      <c r="D49" s="12">
        <v>330000</v>
      </c>
      <c r="E49" s="12">
        <v>43989</v>
      </c>
      <c r="F49" s="15">
        <f t="shared" si="3"/>
        <v>373989</v>
      </c>
      <c r="G49" s="31">
        <v>50</v>
      </c>
      <c r="H49" s="12">
        <v>7479.78</v>
      </c>
      <c r="I49" s="8">
        <v>37</v>
      </c>
      <c r="J49" s="8">
        <v>13</v>
      </c>
      <c r="K49" s="12">
        <f>(37*11333)</f>
        <v>419321</v>
      </c>
      <c r="L49" s="15">
        <f t="shared" si="2"/>
        <v>-45332</v>
      </c>
      <c r="M49" s="8"/>
      <c r="N49" s="39" t="e">
        <f>#REF!-H49</f>
        <v>#REF!</v>
      </c>
    </row>
    <row r="50" spans="2:14">
      <c r="B50" s="14">
        <v>46</v>
      </c>
      <c r="C50" s="2" t="s">
        <v>108</v>
      </c>
      <c r="D50" s="12">
        <v>330000</v>
      </c>
      <c r="E50" s="12">
        <v>43989</v>
      </c>
      <c r="F50" s="15">
        <f t="shared" si="3"/>
        <v>373989</v>
      </c>
      <c r="G50" s="31">
        <v>50</v>
      </c>
      <c r="H50" s="12">
        <v>7479.78</v>
      </c>
      <c r="I50" s="8">
        <v>37</v>
      </c>
      <c r="J50" s="8">
        <v>13</v>
      </c>
      <c r="K50" s="12">
        <f>(37*11333)</f>
        <v>419321</v>
      </c>
      <c r="L50" s="15">
        <f t="shared" si="2"/>
        <v>-45332</v>
      </c>
      <c r="M50" s="8"/>
      <c r="N50" s="39" t="e">
        <f>#REF!-H50</f>
        <v>#REF!</v>
      </c>
    </row>
    <row r="51" spans="2:14">
      <c r="B51" s="14">
        <v>47</v>
      </c>
      <c r="C51" s="2" t="s">
        <v>142</v>
      </c>
      <c r="D51" s="15">
        <v>200000</v>
      </c>
      <c r="E51" s="15">
        <v>26660</v>
      </c>
      <c r="F51" s="15">
        <f t="shared" si="3"/>
        <v>226660</v>
      </c>
      <c r="G51" s="31">
        <v>40</v>
      </c>
      <c r="H51" s="15">
        <v>5666.5</v>
      </c>
      <c r="I51" s="8">
        <v>30</v>
      </c>
      <c r="J51" s="8">
        <v>10</v>
      </c>
      <c r="K51" s="12">
        <f>(30*5666.5)</f>
        <v>169995</v>
      </c>
      <c r="L51" s="15">
        <f t="shared" si="2"/>
        <v>56665</v>
      </c>
      <c r="M51" s="8"/>
      <c r="N51" s="39" t="e">
        <f>#REF!-H51</f>
        <v>#REF!</v>
      </c>
    </row>
    <row r="52" spans="2:14">
      <c r="B52" s="14">
        <v>48</v>
      </c>
      <c r="C52" s="2" t="s">
        <v>143</v>
      </c>
      <c r="D52" s="15">
        <v>200000</v>
      </c>
      <c r="E52" s="15">
        <v>26660</v>
      </c>
      <c r="F52" s="15">
        <f t="shared" si="3"/>
        <v>226660</v>
      </c>
      <c r="G52" s="31">
        <v>40</v>
      </c>
      <c r="H52" s="15">
        <v>5666.5</v>
      </c>
      <c r="I52" s="8">
        <v>37</v>
      </c>
      <c r="J52" s="8">
        <v>3</v>
      </c>
      <c r="K52" s="12">
        <f>(37*5666.5)</f>
        <v>209660.5</v>
      </c>
      <c r="L52" s="15">
        <f t="shared" si="2"/>
        <v>16999.5</v>
      </c>
      <c r="M52" s="8"/>
      <c r="N52" s="39" t="e">
        <f>#REF!-H52</f>
        <v>#REF!</v>
      </c>
    </row>
    <row r="53" spans="2:14">
      <c r="B53" s="14">
        <v>49</v>
      </c>
      <c r="C53" s="2" t="s">
        <v>24</v>
      </c>
      <c r="D53" s="18">
        <v>500000</v>
      </c>
      <c r="E53" s="18">
        <v>66650</v>
      </c>
      <c r="F53" s="18">
        <v>566650</v>
      </c>
      <c r="G53" s="8" t="s">
        <v>13</v>
      </c>
      <c r="H53" s="16">
        <v>11333</v>
      </c>
      <c r="I53" s="8">
        <v>2</v>
      </c>
      <c r="J53" s="8">
        <v>48</v>
      </c>
      <c r="K53" s="12">
        <f>(2*11333)</f>
        <v>22666</v>
      </c>
      <c r="L53" s="12">
        <f t="shared" si="2"/>
        <v>543984</v>
      </c>
      <c r="M53" s="1"/>
      <c r="N53" s="39" t="e">
        <f>#REF!-H53</f>
        <v>#REF!</v>
      </c>
    </row>
    <row r="54" spans="2:14">
      <c r="B54" s="14">
        <v>50</v>
      </c>
      <c r="C54" s="2" t="s">
        <v>192</v>
      </c>
      <c r="D54" s="12">
        <v>180000</v>
      </c>
      <c r="E54" s="12">
        <v>23994</v>
      </c>
      <c r="F54" s="15">
        <f>SUM(D54:E54)</f>
        <v>203994</v>
      </c>
      <c r="G54" s="31">
        <v>40</v>
      </c>
      <c r="H54" s="12">
        <v>5099.8500000000004</v>
      </c>
      <c r="I54" s="8">
        <v>27</v>
      </c>
      <c r="J54" s="8">
        <v>13</v>
      </c>
      <c r="K54" s="12">
        <f>(27*5099.85)</f>
        <v>137695.95000000001</v>
      </c>
      <c r="L54" s="15">
        <f t="shared" si="2"/>
        <v>66298.049999999988</v>
      </c>
      <c r="M54" s="8"/>
      <c r="N54" s="39" t="e">
        <f>#REF!-H54</f>
        <v>#REF!</v>
      </c>
    </row>
    <row r="55" spans="2:14">
      <c r="B55" s="14">
        <v>51</v>
      </c>
      <c r="C55" s="25" t="s">
        <v>94</v>
      </c>
      <c r="D55" s="12">
        <v>450000</v>
      </c>
      <c r="E55" s="12">
        <v>59985</v>
      </c>
      <c r="F55" s="15">
        <f>SUM(D55:E55)</f>
        <v>509985</v>
      </c>
      <c r="G55" s="31">
        <v>50</v>
      </c>
      <c r="H55" s="12">
        <v>10199.700000000001</v>
      </c>
      <c r="I55" s="8">
        <v>21</v>
      </c>
      <c r="J55" s="8">
        <v>29</v>
      </c>
      <c r="K55" s="12">
        <f>(21*10199.7)</f>
        <v>214193.7</v>
      </c>
      <c r="L55" s="15">
        <f t="shared" si="2"/>
        <v>295791.3</v>
      </c>
      <c r="M55" s="8"/>
      <c r="N55" s="39" t="e">
        <f>#REF!-H55</f>
        <v>#REF!</v>
      </c>
    </row>
    <row r="56" spans="2:14">
      <c r="B56" s="14">
        <v>52</v>
      </c>
      <c r="C56" s="2" t="s">
        <v>25</v>
      </c>
      <c r="D56" s="18">
        <v>500000</v>
      </c>
      <c r="E56" s="18">
        <v>66650</v>
      </c>
      <c r="F56" s="18">
        <v>566650</v>
      </c>
      <c r="G56" s="8" t="s">
        <v>13</v>
      </c>
      <c r="H56" s="16">
        <v>11333</v>
      </c>
      <c r="I56" s="8">
        <v>2</v>
      </c>
      <c r="J56" s="8">
        <v>48</v>
      </c>
      <c r="K56" s="12">
        <f>(2*11333)</f>
        <v>22666</v>
      </c>
      <c r="L56" s="12">
        <f t="shared" si="2"/>
        <v>543984</v>
      </c>
      <c r="M56" s="1"/>
      <c r="N56" s="39" t="e">
        <f>#REF!-H56</f>
        <v>#REF!</v>
      </c>
    </row>
    <row r="57" spans="2:14">
      <c r="B57" s="14">
        <v>53</v>
      </c>
      <c r="C57" s="25" t="s">
        <v>216</v>
      </c>
      <c r="D57" s="12">
        <v>60000</v>
      </c>
      <c r="E57" s="12">
        <v>7998</v>
      </c>
      <c r="F57" s="15">
        <f t="shared" ref="F57:F93" si="4">SUM(D57:E57)</f>
        <v>67998</v>
      </c>
      <c r="G57" s="31">
        <v>40</v>
      </c>
      <c r="H57" s="24">
        <v>1699.95</v>
      </c>
      <c r="I57" s="8"/>
      <c r="J57" s="8"/>
      <c r="K57" s="12"/>
      <c r="L57" s="15">
        <f t="shared" si="2"/>
        <v>67998</v>
      </c>
      <c r="M57" s="8"/>
      <c r="N57" s="39" t="e">
        <f>#REF!-H57</f>
        <v>#REF!</v>
      </c>
    </row>
    <row r="58" spans="2:14">
      <c r="B58" s="14">
        <v>54</v>
      </c>
      <c r="C58" s="2" t="s">
        <v>109</v>
      </c>
      <c r="D58" s="12">
        <v>330000</v>
      </c>
      <c r="E58" s="16">
        <v>43989</v>
      </c>
      <c r="F58" s="15">
        <f t="shared" si="4"/>
        <v>373989</v>
      </c>
      <c r="G58" s="33">
        <v>50</v>
      </c>
      <c r="H58" s="16">
        <v>7479.78</v>
      </c>
      <c r="I58" s="11">
        <v>15</v>
      </c>
      <c r="J58" s="11">
        <v>35</v>
      </c>
      <c r="K58" s="12">
        <f>(15*7479.78)</f>
        <v>112196.7</v>
      </c>
      <c r="L58" s="15">
        <f t="shared" si="2"/>
        <v>261792.3</v>
      </c>
      <c r="M58" s="8"/>
      <c r="N58" s="39" t="e">
        <f>#REF!-H58</f>
        <v>#REF!</v>
      </c>
    </row>
    <row r="59" spans="2:14">
      <c r="B59" s="14">
        <v>55</v>
      </c>
      <c r="C59" s="2" t="s">
        <v>144</v>
      </c>
      <c r="D59" s="15">
        <v>200000</v>
      </c>
      <c r="E59" s="15">
        <v>26660</v>
      </c>
      <c r="F59" s="15">
        <f t="shared" si="4"/>
        <v>226660</v>
      </c>
      <c r="G59" s="31">
        <v>40</v>
      </c>
      <c r="H59" s="15">
        <v>5666.5</v>
      </c>
      <c r="I59" s="8">
        <v>33</v>
      </c>
      <c r="J59" s="8">
        <v>7</v>
      </c>
      <c r="K59" s="12">
        <f>(33*5666.5)</f>
        <v>186994.5</v>
      </c>
      <c r="L59" s="15">
        <f t="shared" si="2"/>
        <v>39665.5</v>
      </c>
      <c r="M59" s="8"/>
      <c r="N59" s="39" t="e">
        <f>#REF!-H59</f>
        <v>#REF!</v>
      </c>
    </row>
    <row r="60" spans="2:14">
      <c r="B60" s="14">
        <v>56</v>
      </c>
      <c r="C60" s="2" t="s">
        <v>193</v>
      </c>
      <c r="D60" s="12">
        <v>180000</v>
      </c>
      <c r="E60" s="12">
        <v>23994</v>
      </c>
      <c r="F60" s="15">
        <f t="shared" si="4"/>
        <v>203994</v>
      </c>
      <c r="G60" s="31">
        <v>40</v>
      </c>
      <c r="H60" s="12">
        <v>5099.8500000000004</v>
      </c>
      <c r="I60" s="8">
        <v>30</v>
      </c>
      <c r="J60" s="8">
        <v>10</v>
      </c>
      <c r="K60" s="12">
        <f>(30*5099.85)</f>
        <v>152995.5</v>
      </c>
      <c r="L60" s="15">
        <f t="shared" si="2"/>
        <v>50998.5</v>
      </c>
      <c r="M60" s="8"/>
      <c r="N60" s="39" t="e">
        <f>#REF!-H60</f>
        <v>#REF!</v>
      </c>
    </row>
    <row r="61" spans="2:14">
      <c r="B61" s="14">
        <v>57</v>
      </c>
      <c r="C61" s="2" t="s">
        <v>58</v>
      </c>
      <c r="D61" s="12">
        <v>500000</v>
      </c>
      <c r="E61" s="12">
        <v>66650</v>
      </c>
      <c r="F61" s="15">
        <f t="shared" si="4"/>
        <v>566650</v>
      </c>
      <c r="G61" s="33">
        <v>50</v>
      </c>
      <c r="H61" s="12">
        <v>11333</v>
      </c>
      <c r="I61" s="11">
        <v>15</v>
      </c>
      <c r="J61" s="11">
        <v>35</v>
      </c>
      <c r="K61" s="12">
        <f>(15*11333)</f>
        <v>169995</v>
      </c>
      <c r="L61" s="15">
        <f t="shared" si="2"/>
        <v>396655</v>
      </c>
      <c r="M61" s="8"/>
      <c r="N61" s="39" t="e">
        <f>#REF!-H61</f>
        <v>#REF!</v>
      </c>
    </row>
    <row r="62" spans="2:14">
      <c r="B62" s="14">
        <v>58</v>
      </c>
      <c r="C62" s="2" t="s">
        <v>59</v>
      </c>
      <c r="D62" s="12">
        <v>500000</v>
      </c>
      <c r="E62" s="12">
        <v>66650</v>
      </c>
      <c r="F62" s="15">
        <f t="shared" si="4"/>
        <v>566650</v>
      </c>
      <c r="G62" s="31">
        <v>50</v>
      </c>
      <c r="H62" s="12">
        <v>11333</v>
      </c>
      <c r="I62" s="11">
        <v>25</v>
      </c>
      <c r="J62" s="11">
        <v>25</v>
      </c>
      <c r="K62" s="12">
        <f>(25*11333)</f>
        <v>283325</v>
      </c>
      <c r="L62" s="15">
        <f t="shared" si="2"/>
        <v>283325</v>
      </c>
      <c r="M62" s="8"/>
      <c r="N62" s="39" t="e">
        <f>#REF!-H62</f>
        <v>#REF!</v>
      </c>
    </row>
    <row r="63" spans="2:14">
      <c r="B63" s="14">
        <v>59</v>
      </c>
      <c r="C63" s="2" t="s">
        <v>60</v>
      </c>
      <c r="D63" s="12">
        <v>500000</v>
      </c>
      <c r="E63" s="12">
        <v>66650</v>
      </c>
      <c r="F63" s="15">
        <f t="shared" si="4"/>
        <v>566650</v>
      </c>
      <c r="G63" s="31">
        <v>50</v>
      </c>
      <c r="H63" s="12">
        <v>11333</v>
      </c>
      <c r="I63" s="11">
        <v>25</v>
      </c>
      <c r="J63" s="11">
        <v>25</v>
      </c>
      <c r="K63" s="12">
        <f>(25*11333)</f>
        <v>283325</v>
      </c>
      <c r="L63" s="15">
        <f t="shared" si="2"/>
        <v>283325</v>
      </c>
      <c r="M63" s="8"/>
      <c r="N63" s="39" t="e">
        <f>#REF!-H63</f>
        <v>#REF!</v>
      </c>
    </row>
    <row r="64" spans="2:14">
      <c r="B64" s="14">
        <v>60</v>
      </c>
      <c r="C64" s="2" t="s">
        <v>145</v>
      </c>
      <c r="D64" s="15">
        <v>200000</v>
      </c>
      <c r="E64" s="15">
        <v>26660</v>
      </c>
      <c r="F64" s="15">
        <f t="shared" si="4"/>
        <v>226660</v>
      </c>
      <c r="G64" s="32">
        <v>40</v>
      </c>
      <c r="H64" s="15">
        <v>5666.5</v>
      </c>
      <c r="I64" s="22">
        <v>39</v>
      </c>
      <c r="J64" s="21">
        <v>1</v>
      </c>
      <c r="K64" s="12">
        <f>(39*5666.5)</f>
        <v>220993.5</v>
      </c>
      <c r="L64" s="15">
        <f t="shared" si="2"/>
        <v>5666.5</v>
      </c>
      <c r="M64" s="10"/>
      <c r="N64" s="39" t="e">
        <f>#REF!-H64</f>
        <v>#REF!</v>
      </c>
    </row>
    <row r="65" spans="2:14">
      <c r="B65" s="14">
        <v>61</v>
      </c>
      <c r="C65" s="2" t="s">
        <v>146</v>
      </c>
      <c r="D65" s="15">
        <v>200000</v>
      </c>
      <c r="E65" s="15">
        <v>26660</v>
      </c>
      <c r="F65" s="15">
        <f t="shared" si="4"/>
        <v>226660</v>
      </c>
      <c r="G65" s="32">
        <v>40</v>
      </c>
      <c r="H65" s="15">
        <v>5666.5</v>
      </c>
      <c r="I65" s="22">
        <v>39</v>
      </c>
      <c r="J65" s="21">
        <v>1</v>
      </c>
      <c r="K65" s="12">
        <f>(39*5666.5)</f>
        <v>220993.5</v>
      </c>
      <c r="L65" s="15">
        <f t="shared" si="2"/>
        <v>5666.5</v>
      </c>
      <c r="M65" s="10"/>
      <c r="N65" s="39" t="e">
        <f>#REF!-H65</f>
        <v>#REF!</v>
      </c>
    </row>
    <row r="66" spans="2:14">
      <c r="B66" s="14">
        <v>62</v>
      </c>
      <c r="C66" s="17" t="s">
        <v>31</v>
      </c>
      <c r="D66" s="20">
        <v>330000</v>
      </c>
      <c r="E66" s="20">
        <v>43989</v>
      </c>
      <c r="F66" s="20">
        <f t="shared" si="4"/>
        <v>373989</v>
      </c>
      <c r="G66" s="8" t="s">
        <v>13</v>
      </c>
      <c r="H66" s="3">
        <v>7479.78</v>
      </c>
      <c r="I66" s="8">
        <v>2</v>
      </c>
      <c r="J66" s="8">
        <v>48</v>
      </c>
      <c r="K66" s="3">
        <f>(2*7479.78)</f>
        <v>14959.56</v>
      </c>
      <c r="L66" s="12">
        <f t="shared" si="2"/>
        <v>359029.44</v>
      </c>
      <c r="M66" s="1"/>
      <c r="N66" s="39" t="e">
        <f>#REF!-H66</f>
        <v>#REF!</v>
      </c>
    </row>
    <row r="67" spans="2:14">
      <c r="B67" s="14">
        <v>63</v>
      </c>
      <c r="C67" s="2" t="s">
        <v>61</v>
      </c>
      <c r="D67" s="12">
        <v>500000</v>
      </c>
      <c r="E67" s="12">
        <v>66650</v>
      </c>
      <c r="F67" s="15">
        <f t="shared" si="4"/>
        <v>566650</v>
      </c>
      <c r="G67" s="31">
        <v>50</v>
      </c>
      <c r="H67" s="12">
        <v>11333</v>
      </c>
      <c r="I67" s="11">
        <v>25</v>
      </c>
      <c r="J67" s="11">
        <v>25</v>
      </c>
      <c r="K67" s="12">
        <f>(25*11333)</f>
        <v>283325</v>
      </c>
      <c r="L67" s="15">
        <f t="shared" si="2"/>
        <v>283325</v>
      </c>
      <c r="M67" s="8"/>
      <c r="N67" s="39" t="e">
        <f>#REF!-H67</f>
        <v>#REF!</v>
      </c>
    </row>
    <row r="68" spans="2:14">
      <c r="B68" s="14">
        <v>64</v>
      </c>
      <c r="C68" s="25" t="s">
        <v>110</v>
      </c>
      <c r="D68" s="12">
        <v>330000</v>
      </c>
      <c r="E68" s="16">
        <v>43989</v>
      </c>
      <c r="F68" s="15">
        <f t="shared" si="4"/>
        <v>373989</v>
      </c>
      <c r="G68" s="33">
        <v>50</v>
      </c>
      <c r="H68" s="16">
        <v>7479.78</v>
      </c>
      <c r="I68" s="8">
        <v>25</v>
      </c>
      <c r="J68" s="8">
        <v>25</v>
      </c>
      <c r="K68" s="12">
        <f>(25*7479.78)</f>
        <v>186994.5</v>
      </c>
      <c r="L68" s="15">
        <f t="shared" si="2"/>
        <v>186994.5</v>
      </c>
      <c r="M68" s="8"/>
      <c r="N68" s="39" t="e">
        <f>#REF!-H68</f>
        <v>#REF!</v>
      </c>
    </row>
    <row r="69" spans="2:14">
      <c r="B69" s="14">
        <v>65</v>
      </c>
      <c r="C69" s="2" t="s">
        <v>147</v>
      </c>
      <c r="D69" s="12">
        <v>500000</v>
      </c>
      <c r="E69" s="12">
        <v>66650</v>
      </c>
      <c r="F69" s="15">
        <f t="shared" si="4"/>
        <v>566650</v>
      </c>
      <c r="G69" s="31">
        <v>50</v>
      </c>
      <c r="H69" s="24">
        <v>5666.5</v>
      </c>
      <c r="I69" s="11">
        <v>25</v>
      </c>
      <c r="J69" s="11">
        <v>25</v>
      </c>
      <c r="K69" s="16">
        <f>(25*5666.5)</f>
        <v>141662.5</v>
      </c>
      <c r="L69" s="15">
        <f t="shared" ref="L69:L100" si="5">F69-K69</f>
        <v>424987.5</v>
      </c>
      <c r="M69" s="8"/>
      <c r="N69" s="39" t="e">
        <f>#REF!-H69</f>
        <v>#REF!</v>
      </c>
    </row>
    <row r="70" spans="2:14">
      <c r="B70" s="14">
        <v>66</v>
      </c>
      <c r="C70" s="25" t="s">
        <v>187</v>
      </c>
      <c r="D70" s="41">
        <v>150000</v>
      </c>
      <c r="E70" s="41">
        <v>11997</v>
      </c>
      <c r="F70" s="41">
        <f t="shared" si="4"/>
        <v>161997</v>
      </c>
      <c r="G70" s="33">
        <v>30</v>
      </c>
      <c r="H70" s="41">
        <v>5399.9</v>
      </c>
      <c r="I70" s="11">
        <v>24</v>
      </c>
      <c r="J70" s="11">
        <v>6</v>
      </c>
      <c r="K70" s="16">
        <f>(24*5399.9)</f>
        <v>129597.59999999999</v>
      </c>
      <c r="L70" s="41">
        <f t="shared" si="5"/>
        <v>32399.400000000009</v>
      </c>
      <c r="M70" s="8"/>
      <c r="N70" s="39" t="e">
        <f>#REF!-H70</f>
        <v>#REF!</v>
      </c>
    </row>
    <row r="71" spans="2:14">
      <c r="B71" s="14">
        <v>67</v>
      </c>
      <c r="C71" s="23" t="s">
        <v>148</v>
      </c>
      <c r="D71" s="15">
        <v>200000</v>
      </c>
      <c r="E71" s="15">
        <v>26660</v>
      </c>
      <c r="F71" s="15">
        <f t="shared" si="4"/>
        <v>226660</v>
      </c>
      <c r="G71" s="31">
        <v>40</v>
      </c>
      <c r="H71" s="15">
        <v>5666.5</v>
      </c>
      <c r="I71" s="8">
        <v>27</v>
      </c>
      <c r="J71" s="8">
        <v>13</v>
      </c>
      <c r="K71" s="48">
        <f>(27*5666.5)</f>
        <v>152995.5</v>
      </c>
      <c r="L71" s="15">
        <f t="shared" si="5"/>
        <v>73664.5</v>
      </c>
      <c r="M71" s="8"/>
      <c r="N71" s="39" t="e">
        <f>#REF!-H71</f>
        <v>#REF!</v>
      </c>
    </row>
    <row r="72" spans="2:14">
      <c r="B72" s="14">
        <v>68</v>
      </c>
      <c r="C72" s="2" t="s">
        <v>149</v>
      </c>
      <c r="D72" s="15">
        <v>200000</v>
      </c>
      <c r="E72" s="15">
        <v>26660</v>
      </c>
      <c r="F72" s="15">
        <f t="shared" si="4"/>
        <v>226660</v>
      </c>
      <c r="G72" s="31">
        <v>40</v>
      </c>
      <c r="H72" s="15">
        <v>5666.5</v>
      </c>
      <c r="I72" s="8">
        <v>30</v>
      </c>
      <c r="J72" s="8">
        <v>10</v>
      </c>
      <c r="K72" s="12">
        <f>(30*5666.5)</f>
        <v>169995</v>
      </c>
      <c r="L72" s="15">
        <f t="shared" si="5"/>
        <v>56665</v>
      </c>
      <c r="M72" s="8"/>
      <c r="N72" s="39" t="e">
        <f>#REF!-H72</f>
        <v>#REF!</v>
      </c>
    </row>
    <row r="73" spans="2:14">
      <c r="B73" s="14">
        <v>69</v>
      </c>
      <c r="C73" s="2" t="s">
        <v>150</v>
      </c>
      <c r="D73" s="15">
        <v>200000</v>
      </c>
      <c r="E73" s="15">
        <v>26660</v>
      </c>
      <c r="F73" s="15">
        <f t="shared" si="4"/>
        <v>226660</v>
      </c>
      <c r="G73" s="31">
        <v>40</v>
      </c>
      <c r="H73" s="15">
        <v>5666.5</v>
      </c>
      <c r="I73" s="8">
        <v>33</v>
      </c>
      <c r="J73" s="8">
        <v>7</v>
      </c>
      <c r="K73" s="12">
        <f>(33*5666.5)</f>
        <v>186994.5</v>
      </c>
      <c r="L73" s="15">
        <f t="shared" si="5"/>
        <v>39665.5</v>
      </c>
      <c r="M73" s="8"/>
      <c r="N73" s="39" t="e">
        <f>#REF!-H73</f>
        <v>#REF!</v>
      </c>
    </row>
    <row r="74" spans="2:14">
      <c r="B74" s="14">
        <v>70</v>
      </c>
      <c r="C74" s="2" t="s">
        <v>12</v>
      </c>
      <c r="D74" s="12">
        <v>450000</v>
      </c>
      <c r="E74" s="12">
        <v>59985</v>
      </c>
      <c r="F74" s="15">
        <f t="shared" si="4"/>
        <v>509985</v>
      </c>
      <c r="G74" s="31" t="s">
        <v>13</v>
      </c>
      <c r="H74" s="16">
        <v>11333</v>
      </c>
      <c r="I74" s="31">
        <v>5</v>
      </c>
      <c r="J74" s="31">
        <v>45</v>
      </c>
      <c r="K74" s="12">
        <f>(5*11333)</f>
        <v>56665</v>
      </c>
      <c r="L74" s="15">
        <f t="shared" si="5"/>
        <v>453320</v>
      </c>
      <c r="M74" s="8"/>
      <c r="N74" s="39" t="e">
        <f>#REF!-H74</f>
        <v>#REF!</v>
      </c>
    </row>
    <row r="75" spans="2:14">
      <c r="B75" s="14">
        <v>71</v>
      </c>
      <c r="C75" s="2" t="s">
        <v>194</v>
      </c>
      <c r="D75" s="12">
        <v>180000</v>
      </c>
      <c r="E75" s="12">
        <v>23994</v>
      </c>
      <c r="F75" s="15">
        <f t="shared" si="4"/>
        <v>203994</v>
      </c>
      <c r="G75" s="30">
        <v>40</v>
      </c>
      <c r="H75" s="12">
        <v>5099.8500000000004</v>
      </c>
      <c r="I75" s="22">
        <v>39</v>
      </c>
      <c r="J75" s="22">
        <v>1</v>
      </c>
      <c r="K75" s="12">
        <f>(39*5099.85)</f>
        <v>198894.15000000002</v>
      </c>
      <c r="L75" s="15">
        <f t="shared" si="5"/>
        <v>5099.8499999999767</v>
      </c>
      <c r="M75" s="10"/>
      <c r="N75" s="39" t="e">
        <f>#REF!-H75</f>
        <v>#REF!</v>
      </c>
    </row>
    <row r="76" spans="2:14">
      <c r="B76" s="14">
        <v>72</v>
      </c>
      <c r="C76" s="2" t="s">
        <v>211</v>
      </c>
      <c r="D76" s="12">
        <v>150000</v>
      </c>
      <c r="E76" s="12">
        <v>19995</v>
      </c>
      <c r="F76" s="15">
        <f t="shared" si="4"/>
        <v>169995</v>
      </c>
      <c r="G76" s="31">
        <v>50</v>
      </c>
      <c r="H76" s="12">
        <v>3399.9</v>
      </c>
      <c r="I76" s="8">
        <v>23</v>
      </c>
      <c r="J76" s="8">
        <v>27</v>
      </c>
      <c r="K76" s="12">
        <f>(23*3399.9)</f>
        <v>78197.7</v>
      </c>
      <c r="L76" s="15">
        <f t="shared" si="5"/>
        <v>91797.3</v>
      </c>
      <c r="M76" s="8"/>
      <c r="N76" s="39" t="e">
        <f>#REF!-H76</f>
        <v>#REF!</v>
      </c>
    </row>
    <row r="77" spans="2:14">
      <c r="B77" s="14">
        <v>73</v>
      </c>
      <c r="C77" s="2" t="s">
        <v>111</v>
      </c>
      <c r="D77" s="12">
        <v>330000</v>
      </c>
      <c r="E77" s="12">
        <v>43989</v>
      </c>
      <c r="F77" s="15">
        <f t="shared" si="4"/>
        <v>373989</v>
      </c>
      <c r="G77" s="31">
        <v>50</v>
      </c>
      <c r="H77" s="12">
        <v>7479.78</v>
      </c>
      <c r="I77" s="11">
        <v>16</v>
      </c>
      <c r="J77" s="11">
        <v>34</v>
      </c>
      <c r="K77" s="16">
        <f>(16*7479.78)</f>
        <v>119676.48</v>
      </c>
      <c r="L77" s="15">
        <f t="shared" si="5"/>
        <v>254312.52000000002</v>
      </c>
      <c r="M77" s="8"/>
      <c r="N77" s="39" t="e">
        <f>#REF!-H77</f>
        <v>#REF!</v>
      </c>
    </row>
    <row r="78" spans="2:14">
      <c r="B78" s="14">
        <v>74</v>
      </c>
      <c r="C78" s="2" t="s">
        <v>151</v>
      </c>
      <c r="D78" s="15">
        <v>200000</v>
      </c>
      <c r="E78" s="15">
        <v>26660</v>
      </c>
      <c r="F78" s="15">
        <f t="shared" si="4"/>
        <v>226660</v>
      </c>
      <c r="G78" s="31">
        <v>40</v>
      </c>
      <c r="H78" s="15">
        <v>5666.5</v>
      </c>
      <c r="I78" s="8">
        <v>31</v>
      </c>
      <c r="J78" s="8">
        <v>9</v>
      </c>
      <c r="K78" s="12">
        <f>(31*5666.5)</f>
        <v>175661.5</v>
      </c>
      <c r="L78" s="15">
        <f t="shared" si="5"/>
        <v>50998.5</v>
      </c>
      <c r="M78" s="8"/>
      <c r="N78" s="39" t="e">
        <f>#REF!-H78</f>
        <v>#REF!</v>
      </c>
    </row>
    <row r="79" spans="2:14">
      <c r="B79" s="14">
        <v>75</v>
      </c>
      <c r="C79" s="2" t="s">
        <v>152</v>
      </c>
      <c r="D79" s="15">
        <v>200000</v>
      </c>
      <c r="E79" s="15">
        <v>26660</v>
      </c>
      <c r="F79" s="15">
        <f t="shared" si="4"/>
        <v>226660</v>
      </c>
      <c r="G79" s="32">
        <v>40</v>
      </c>
      <c r="H79" s="15">
        <v>5666.5</v>
      </c>
      <c r="I79" s="22">
        <v>39</v>
      </c>
      <c r="J79" s="21">
        <v>1</v>
      </c>
      <c r="K79" s="15">
        <f>(39*5666.5)</f>
        <v>220993.5</v>
      </c>
      <c r="L79" s="15">
        <f t="shared" si="5"/>
        <v>5666.5</v>
      </c>
      <c r="M79" s="10"/>
      <c r="N79" s="39" t="e">
        <f>#REF!-H79</f>
        <v>#REF!</v>
      </c>
    </row>
    <row r="80" spans="2:14">
      <c r="B80" s="14">
        <v>76</v>
      </c>
      <c r="C80" s="2" t="s">
        <v>153</v>
      </c>
      <c r="D80" s="15">
        <v>200000</v>
      </c>
      <c r="E80" s="15">
        <v>26660</v>
      </c>
      <c r="F80" s="15">
        <f t="shared" si="4"/>
        <v>226660</v>
      </c>
      <c r="G80" s="31">
        <v>40</v>
      </c>
      <c r="H80" s="15">
        <v>5666.5</v>
      </c>
      <c r="I80" s="8">
        <v>30</v>
      </c>
      <c r="J80" s="8">
        <v>10</v>
      </c>
      <c r="K80" s="12">
        <f>(30*5666.5)</f>
        <v>169995</v>
      </c>
      <c r="L80" s="15">
        <f t="shared" si="5"/>
        <v>56665</v>
      </c>
      <c r="M80" s="8"/>
      <c r="N80" s="39" t="e">
        <f>#REF!-H80</f>
        <v>#REF!</v>
      </c>
    </row>
    <row r="81" spans="2:14">
      <c r="B81" s="14">
        <v>77</v>
      </c>
      <c r="C81" s="2" t="s">
        <v>112</v>
      </c>
      <c r="D81" s="12">
        <v>330000</v>
      </c>
      <c r="E81" s="12">
        <v>43989</v>
      </c>
      <c r="F81" s="15">
        <f t="shared" si="4"/>
        <v>373989</v>
      </c>
      <c r="G81" s="31">
        <v>50</v>
      </c>
      <c r="H81" s="12">
        <v>7479.78</v>
      </c>
      <c r="I81" s="11">
        <v>16</v>
      </c>
      <c r="J81" s="11">
        <v>34</v>
      </c>
      <c r="K81" s="12">
        <f>(16*7479.78)</f>
        <v>119676.48</v>
      </c>
      <c r="L81" s="15">
        <f t="shared" si="5"/>
        <v>254312.52000000002</v>
      </c>
      <c r="M81" s="8"/>
      <c r="N81" s="39" t="e">
        <f>#REF!-H81</f>
        <v>#REF!</v>
      </c>
    </row>
    <row r="82" spans="2:14">
      <c r="B82" s="14">
        <v>78</v>
      </c>
      <c r="C82" s="2" t="s">
        <v>62</v>
      </c>
      <c r="D82" s="12">
        <v>500000</v>
      </c>
      <c r="E82" s="12">
        <v>66650</v>
      </c>
      <c r="F82" s="15">
        <f t="shared" si="4"/>
        <v>566650</v>
      </c>
      <c r="G82" s="33">
        <v>50</v>
      </c>
      <c r="H82" s="12">
        <v>11333</v>
      </c>
      <c r="I82" s="11">
        <v>15</v>
      </c>
      <c r="J82" s="11">
        <v>35</v>
      </c>
      <c r="K82" s="12">
        <f>(15*11333)</f>
        <v>169995</v>
      </c>
      <c r="L82" s="15">
        <f t="shared" si="5"/>
        <v>396655</v>
      </c>
      <c r="M82" s="8"/>
      <c r="N82" s="39" t="e">
        <f>#REF!-H82</f>
        <v>#REF!</v>
      </c>
    </row>
    <row r="83" spans="2:14">
      <c r="B83" s="14">
        <v>79</v>
      </c>
      <c r="C83" s="2" t="s">
        <v>63</v>
      </c>
      <c r="D83" s="12">
        <v>500000</v>
      </c>
      <c r="E83" s="12">
        <v>66650</v>
      </c>
      <c r="F83" s="15">
        <f t="shared" si="4"/>
        <v>566650</v>
      </c>
      <c r="G83" s="31">
        <v>50</v>
      </c>
      <c r="H83" s="12">
        <v>11333</v>
      </c>
      <c r="I83" s="11">
        <v>16</v>
      </c>
      <c r="J83" s="11">
        <v>34</v>
      </c>
      <c r="K83" s="12">
        <f>(16*11333)</f>
        <v>181328</v>
      </c>
      <c r="L83" s="15">
        <f t="shared" si="5"/>
        <v>385322</v>
      </c>
      <c r="M83" s="8"/>
      <c r="N83" s="39" t="e">
        <f>#REF!-H83</f>
        <v>#REF!</v>
      </c>
    </row>
    <row r="84" spans="2:14">
      <c r="B84" s="14">
        <v>80</v>
      </c>
      <c r="C84" s="2" t="s">
        <v>64</v>
      </c>
      <c r="D84" s="12">
        <v>500000</v>
      </c>
      <c r="E84" s="12">
        <v>66650</v>
      </c>
      <c r="F84" s="15">
        <f t="shared" si="4"/>
        <v>566650</v>
      </c>
      <c r="G84" s="33">
        <v>50</v>
      </c>
      <c r="H84" s="12">
        <v>11333</v>
      </c>
      <c r="I84" s="11">
        <v>15</v>
      </c>
      <c r="J84" s="11">
        <v>35</v>
      </c>
      <c r="K84" s="12">
        <f>(15*11333)</f>
        <v>169995</v>
      </c>
      <c r="L84" s="15">
        <f t="shared" si="5"/>
        <v>396655</v>
      </c>
      <c r="M84" s="8"/>
      <c r="N84" s="39" t="e">
        <f>#REF!-H84</f>
        <v>#REF!</v>
      </c>
    </row>
    <row r="85" spans="2:14">
      <c r="B85" s="14">
        <v>81</v>
      </c>
      <c r="C85" s="2" t="s">
        <v>65</v>
      </c>
      <c r="D85" s="12">
        <v>500000</v>
      </c>
      <c r="E85" s="12">
        <v>66650</v>
      </c>
      <c r="F85" s="15">
        <f t="shared" si="4"/>
        <v>566650</v>
      </c>
      <c r="G85" s="31">
        <v>50</v>
      </c>
      <c r="H85" s="12">
        <v>11333</v>
      </c>
      <c r="I85" s="8">
        <v>23</v>
      </c>
      <c r="J85" s="8">
        <v>27</v>
      </c>
      <c r="K85" s="12">
        <f>(23*11333)</f>
        <v>260659</v>
      </c>
      <c r="L85" s="15">
        <f t="shared" si="5"/>
        <v>305991</v>
      </c>
      <c r="M85" s="8"/>
      <c r="N85" s="39" t="e">
        <f>#REF!-H85</f>
        <v>#REF!</v>
      </c>
    </row>
    <row r="86" spans="2:14">
      <c r="B86" s="14">
        <v>82</v>
      </c>
      <c r="C86" s="2" t="s">
        <v>66</v>
      </c>
      <c r="D86" s="12">
        <v>500000</v>
      </c>
      <c r="E86" s="12">
        <v>66650</v>
      </c>
      <c r="F86" s="15">
        <f t="shared" si="4"/>
        <v>566650</v>
      </c>
      <c r="G86" s="31">
        <v>50</v>
      </c>
      <c r="H86" s="18">
        <v>11333</v>
      </c>
      <c r="I86" s="8">
        <v>5</v>
      </c>
      <c r="J86" s="8">
        <v>45</v>
      </c>
      <c r="K86" s="12">
        <f>(5*11333)</f>
        <v>56665</v>
      </c>
      <c r="L86" s="15">
        <f t="shared" si="5"/>
        <v>509985</v>
      </c>
      <c r="M86" s="8"/>
      <c r="N86" s="39" t="e">
        <f>#REF!-H86</f>
        <v>#REF!</v>
      </c>
    </row>
    <row r="87" spans="2:14">
      <c r="B87" s="14">
        <v>83</v>
      </c>
      <c r="C87" s="2" t="s">
        <v>113</v>
      </c>
      <c r="D87" s="12">
        <v>330000</v>
      </c>
      <c r="E87" s="12">
        <v>43989</v>
      </c>
      <c r="F87" s="15">
        <f t="shared" si="4"/>
        <v>373989</v>
      </c>
      <c r="G87" s="31">
        <v>50</v>
      </c>
      <c r="H87" s="12">
        <v>7479.78</v>
      </c>
      <c r="I87" s="8">
        <v>37</v>
      </c>
      <c r="J87" s="8">
        <v>13</v>
      </c>
      <c r="K87" s="12">
        <f>(37*11333)</f>
        <v>419321</v>
      </c>
      <c r="L87" s="15">
        <f t="shared" si="5"/>
        <v>-45332</v>
      </c>
      <c r="M87" s="8"/>
      <c r="N87" s="39" t="e">
        <f>#REF!-H87</f>
        <v>#REF!</v>
      </c>
    </row>
    <row r="88" spans="2:14">
      <c r="B88" s="14">
        <v>84</v>
      </c>
      <c r="C88" s="2" t="s">
        <v>203</v>
      </c>
      <c r="D88" s="12">
        <v>132000</v>
      </c>
      <c r="E88" s="12">
        <v>17595.599999999999</v>
      </c>
      <c r="F88" s="15">
        <f t="shared" si="4"/>
        <v>149595.6</v>
      </c>
      <c r="G88" s="31">
        <v>40</v>
      </c>
      <c r="H88" s="12">
        <v>3739.89</v>
      </c>
      <c r="I88" s="8">
        <v>30</v>
      </c>
      <c r="J88" s="8">
        <v>10</v>
      </c>
      <c r="K88" s="12">
        <f>(30*3739.89)</f>
        <v>112196.7</v>
      </c>
      <c r="L88" s="15">
        <f t="shared" si="5"/>
        <v>37398.900000000009</v>
      </c>
      <c r="M88" s="8"/>
      <c r="N88" s="39" t="e">
        <f>#REF!-H88</f>
        <v>#REF!</v>
      </c>
    </row>
    <row r="89" spans="2:14">
      <c r="B89" s="14">
        <v>85</v>
      </c>
      <c r="C89" s="2" t="s">
        <v>195</v>
      </c>
      <c r="D89" s="12">
        <v>180000</v>
      </c>
      <c r="E89" s="12">
        <v>23994</v>
      </c>
      <c r="F89" s="15">
        <f t="shared" si="4"/>
        <v>203994</v>
      </c>
      <c r="G89" s="31">
        <v>40</v>
      </c>
      <c r="H89" s="12">
        <v>5099.8500000000004</v>
      </c>
      <c r="I89" s="8">
        <v>36</v>
      </c>
      <c r="J89" s="8">
        <v>4</v>
      </c>
      <c r="K89" s="12">
        <f>(36*5099.85)</f>
        <v>183594.6</v>
      </c>
      <c r="L89" s="15">
        <f t="shared" si="5"/>
        <v>20399.399999999994</v>
      </c>
      <c r="M89" s="8"/>
      <c r="N89" s="39" t="e">
        <f>#REF!-H89</f>
        <v>#REF!</v>
      </c>
    </row>
    <row r="90" spans="2:14">
      <c r="B90" s="14">
        <v>86</v>
      </c>
      <c r="C90" s="2" t="s">
        <v>154</v>
      </c>
      <c r="D90" s="15">
        <v>200000</v>
      </c>
      <c r="E90" s="15">
        <v>26660</v>
      </c>
      <c r="F90" s="15">
        <f t="shared" si="4"/>
        <v>226660</v>
      </c>
      <c r="G90" s="32">
        <v>40</v>
      </c>
      <c r="H90" s="15">
        <v>5666.5</v>
      </c>
      <c r="I90" s="22">
        <v>39</v>
      </c>
      <c r="J90" s="21">
        <v>1</v>
      </c>
      <c r="K90" s="15">
        <f>(39*5666.5)</f>
        <v>220993.5</v>
      </c>
      <c r="L90" s="15">
        <f t="shared" si="5"/>
        <v>5666.5</v>
      </c>
      <c r="M90" s="10"/>
      <c r="N90" s="39" t="e">
        <f>#REF!-H90</f>
        <v>#REF!</v>
      </c>
    </row>
    <row r="91" spans="2:14">
      <c r="B91" s="14">
        <v>87</v>
      </c>
      <c r="C91" s="2" t="s">
        <v>155</v>
      </c>
      <c r="D91" s="15">
        <v>200000</v>
      </c>
      <c r="E91" s="15">
        <v>26660</v>
      </c>
      <c r="F91" s="15">
        <f t="shared" si="4"/>
        <v>226660</v>
      </c>
      <c r="G91" s="31">
        <v>40</v>
      </c>
      <c r="H91" s="15">
        <v>5666.5</v>
      </c>
      <c r="I91" s="8">
        <v>30</v>
      </c>
      <c r="J91" s="8">
        <v>10</v>
      </c>
      <c r="K91" s="15">
        <f>(30*5666.5)</f>
        <v>169995</v>
      </c>
      <c r="L91" s="15">
        <f t="shared" si="5"/>
        <v>56665</v>
      </c>
      <c r="M91" s="8"/>
      <c r="N91" s="39" t="e">
        <f>#REF!-H91</f>
        <v>#REF!</v>
      </c>
    </row>
    <row r="92" spans="2:14">
      <c r="B92" s="14">
        <v>88</v>
      </c>
      <c r="C92" s="2" t="s">
        <v>44</v>
      </c>
      <c r="D92" s="12">
        <v>450000</v>
      </c>
      <c r="E92" s="16">
        <v>59985</v>
      </c>
      <c r="F92" s="15">
        <f t="shared" si="4"/>
        <v>509985</v>
      </c>
      <c r="G92" s="33">
        <v>50</v>
      </c>
      <c r="H92" s="24">
        <v>30599.1</v>
      </c>
      <c r="I92" s="8">
        <v>23</v>
      </c>
      <c r="J92" s="8">
        <v>27</v>
      </c>
      <c r="K92" s="12">
        <f>(23*10199.7)</f>
        <v>234593.1</v>
      </c>
      <c r="L92" s="15">
        <f t="shared" si="5"/>
        <v>275391.90000000002</v>
      </c>
      <c r="M92" s="8"/>
      <c r="N92" s="39" t="e">
        <f>#REF!-H92</f>
        <v>#REF!</v>
      </c>
    </row>
    <row r="93" spans="2:14">
      <c r="B93" s="14">
        <v>89</v>
      </c>
      <c r="C93" s="2" t="s">
        <v>68</v>
      </c>
      <c r="D93" s="12">
        <v>500000</v>
      </c>
      <c r="E93" s="12">
        <v>66650</v>
      </c>
      <c r="F93" s="15">
        <f t="shared" si="4"/>
        <v>566650</v>
      </c>
      <c r="G93" s="31">
        <v>50</v>
      </c>
      <c r="H93" s="12">
        <v>11333</v>
      </c>
      <c r="I93" s="8">
        <v>37</v>
      </c>
      <c r="J93" s="8">
        <v>13</v>
      </c>
      <c r="K93" s="12">
        <f>(37*11333)</f>
        <v>419321</v>
      </c>
      <c r="L93" s="15">
        <f t="shared" si="5"/>
        <v>147329</v>
      </c>
      <c r="M93" s="8"/>
      <c r="N93" s="39" t="e">
        <f>#REF!-H93</f>
        <v>#REF!</v>
      </c>
    </row>
    <row r="94" spans="2:14">
      <c r="B94" s="14">
        <v>90</v>
      </c>
      <c r="C94" s="2" t="s">
        <v>28</v>
      </c>
      <c r="D94" s="18">
        <v>500000</v>
      </c>
      <c r="E94" s="18">
        <v>66650</v>
      </c>
      <c r="F94" s="18">
        <v>566650</v>
      </c>
      <c r="G94" s="8" t="s">
        <v>13</v>
      </c>
      <c r="H94" s="16">
        <v>11333</v>
      </c>
      <c r="I94" s="8">
        <v>1</v>
      </c>
      <c r="J94" s="8">
        <v>48</v>
      </c>
      <c r="K94" s="12">
        <f>(1*11333)</f>
        <v>11333</v>
      </c>
      <c r="L94" s="12">
        <f t="shared" si="5"/>
        <v>555317</v>
      </c>
      <c r="M94" s="1"/>
      <c r="N94" s="39" t="e">
        <f>#REF!-H94</f>
        <v>#REF!</v>
      </c>
    </row>
    <row r="95" spans="2:14">
      <c r="B95" s="14">
        <v>91</v>
      </c>
      <c r="C95" s="2" t="s">
        <v>217</v>
      </c>
      <c r="D95" s="12">
        <v>60000</v>
      </c>
      <c r="E95" s="12">
        <v>7998</v>
      </c>
      <c r="F95" s="15">
        <f t="shared" ref="F95:F116" si="6">SUM(D95:E95)</f>
        <v>67998</v>
      </c>
      <c r="G95" s="31">
        <v>40</v>
      </c>
      <c r="H95" s="12">
        <v>1699.95</v>
      </c>
      <c r="I95" s="8">
        <v>40</v>
      </c>
      <c r="J95" s="8">
        <v>0</v>
      </c>
      <c r="K95" s="12">
        <f>(40*1699.95)</f>
        <v>67998</v>
      </c>
      <c r="L95" s="15">
        <f t="shared" si="5"/>
        <v>0</v>
      </c>
      <c r="M95" s="8"/>
      <c r="N95" s="39" t="e">
        <f>#REF!-H95</f>
        <v>#REF!</v>
      </c>
    </row>
    <row r="96" spans="2:14">
      <c r="B96" s="14">
        <v>92</v>
      </c>
      <c r="C96" s="2" t="s">
        <v>212</v>
      </c>
      <c r="D96" s="12">
        <v>150000</v>
      </c>
      <c r="E96" s="12">
        <v>19995</v>
      </c>
      <c r="F96" s="15">
        <f t="shared" si="6"/>
        <v>169995</v>
      </c>
      <c r="G96" s="31">
        <v>50</v>
      </c>
      <c r="H96" s="12">
        <v>3399.9</v>
      </c>
      <c r="I96" s="8">
        <v>25</v>
      </c>
      <c r="J96" s="8">
        <v>25</v>
      </c>
      <c r="K96" s="12">
        <f>(25*3399.9)</f>
        <v>84997.5</v>
      </c>
      <c r="L96" s="15">
        <f t="shared" si="5"/>
        <v>84997.5</v>
      </c>
      <c r="M96" s="8"/>
      <c r="N96" s="39" t="e">
        <f>#REF!-H96</f>
        <v>#REF!</v>
      </c>
    </row>
    <row r="97" spans="2:14">
      <c r="B97" s="14">
        <v>93</v>
      </c>
      <c r="C97" s="2" t="s">
        <v>156</v>
      </c>
      <c r="D97" s="15">
        <v>200000</v>
      </c>
      <c r="E97" s="15">
        <v>26660</v>
      </c>
      <c r="F97" s="15">
        <f t="shared" si="6"/>
        <v>226660</v>
      </c>
      <c r="G97" s="31">
        <v>40</v>
      </c>
      <c r="H97" s="15">
        <v>5666.5</v>
      </c>
      <c r="I97" s="8">
        <v>33</v>
      </c>
      <c r="J97" s="8">
        <v>7</v>
      </c>
      <c r="K97" s="12">
        <f>(33*5666.5)</f>
        <v>186994.5</v>
      </c>
      <c r="L97" s="15">
        <f t="shared" si="5"/>
        <v>39665.5</v>
      </c>
      <c r="M97" s="8"/>
      <c r="N97" s="39" t="e">
        <f>#REF!-H97</f>
        <v>#REF!</v>
      </c>
    </row>
    <row r="98" spans="2:14">
      <c r="B98" s="14">
        <v>94</v>
      </c>
      <c r="C98" s="2" t="s">
        <v>157</v>
      </c>
      <c r="D98" s="15">
        <v>200000</v>
      </c>
      <c r="E98" s="15">
        <v>26660</v>
      </c>
      <c r="F98" s="15">
        <f t="shared" si="6"/>
        <v>226660</v>
      </c>
      <c r="G98" s="31">
        <v>40</v>
      </c>
      <c r="H98" s="15">
        <v>5666.5</v>
      </c>
      <c r="I98" s="8">
        <v>33</v>
      </c>
      <c r="J98" s="8">
        <v>7</v>
      </c>
      <c r="K98" s="12">
        <f>(33*5666.5)</f>
        <v>186994.5</v>
      </c>
      <c r="L98" s="15">
        <f t="shared" si="5"/>
        <v>39665.5</v>
      </c>
      <c r="M98" s="8"/>
      <c r="N98" s="39" t="e">
        <f>#REF!-H98</f>
        <v>#REF!</v>
      </c>
    </row>
    <row r="99" spans="2:14">
      <c r="B99" s="14">
        <v>95</v>
      </c>
      <c r="C99" s="2" t="s">
        <v>158</v>
      </c>
      <c r="D99" s="15">
        <v>200000</v>
      </c>
      <c r="E99" s="15">
        <v>26660</v>
      </c>
      <c r="F99" s="15">
        <f t="shared" si="6"/>
        <v>226660</v>
      </c>
      <c r="G99" s="31">
        <v>40</v>
      </c>
      <c r="H99" s="15">
        <v>5666.5</v>
      </c>
      <c r="I99" s="8">
        <v>33</v>
      </c>
      <c r="J99" s="8">
        <v>7</v>
      </c>
      <c r="K99" s="12">
        <f>(33*5666.5)</f>
        <v>186994.5</v>
      </c>
      <c r="L99" s="15">
        <f t="shared" si="5"/>
        <v>39665.5</v>
      </c>
      <c r="M99" s="8"/>
      <c r="N99" s="39" t="e">
        <f>#REF!-H99</f>
        <v>#REF!</v>
      </c>
    </row>
    <row r="100" spans="2:14">
      <c r="B100" s="14">
        <v>96</v>
      </c>
      <c r="C100" s="2" t="s">
        <v>51</v>
      </c>
      <c r="D100" s="12">
        <v>500000</v>
      </c>
      <c r="E100" s="12">
        <v>53320</v>
      </c>
      <c r="F100" s="15">
        <f t="shared" si="6"/>
        <v>553320</v>
      </c>
      <c r="G100" s="31">
        <v>40</v>
      </c>
      <c r="H100" s="12">
        <v>13833</v>
      </c>
      <c r="I100" s="8">
        <v>37</v>
      </c>
      <c r="J100" s="8">
        <v>3</v>
      </c>
      <c r="K100" s="12">
        <f>(37*13833)</f>
        <v>511821</v>
      </c>
      <c r="L100" s="15">
        <f t="shared" si="5"/>
        <v>41499</v>
      </c>
      <c r="M100" s="8"/>
      <c r="N100" s="39" t="e">
        <f>#REF!-H100</f>
        <v>#REF!</v>
      </c>
    </row>
    <row r="101" spans="2:14">
      <c r="B101" s="14">
        <v>97</v>
      </c>
      <c r="C101" s="2" t="s">
        <v>159</v>
      </c>
      <c r="D101" s="15">
        <v>200000</v>
      </c>
      <c r="E101" s="15">
        <v>26660</v>
      </c>
      <c r="F101" s="15">
        <f t="shared" si="6"/>
        <v>226660</v>
      </c>
      <c r="G101" s="31">
        <v>40</v>
      </c>
      <c r="H101" s="15">
        <v>5666.5</v>
      </c>
      <c r="I101" s="8">
        <v>24</v>
      </c>
      <c r="J101" s="8">
        <v>16</v>
      </c>
      <c r="K101" s="12">
        <f>(24*5666.5)</f>
        <v>135996</v>
      </c>
      <c r="L101" s="15">
        <f t="shared" ref="L101:L132" si="7">F101-K101</f>
        <v>90664</v>
      </c>
      <c r="M101" s="8"/>
      <c r="N101" s="39" t="e">
        <f>#REF!-H101</f>
        <v>#REF!</v>
      </c>
    </row>
    <row r="102" spans="2:14">
      <c r="B102" s="14">
        <v>98</v>
      </c>
      <c r="C102" s="2" t="s">
        <v>160</v>
      </c>
      <c r="D102" s="15">
        <v>200000</v>
      </c>
      <c r="E102" s="15">
        <v>26660</v>
      </c>
      <c r="F102" s="15">
        <f t="shared" si="6"/>
        <v>226660</v>
      </c>
      <c r="G102" s="31">
        <v>40</v>
      </c>
      <c r="H102" s="15">
        <v>5666.5</v>
      </c>
      <c r="I102" s="8">
        <v>33</v>
      </c>
      <c r="J102" s="8">
        <v>7</v>
      </c>
      <c r="K102" s="12">
        <f>(33*5666.5)</f>
        <v>186994.5</v>
      </c>
      <c r="L102" s="15">
        <f t="shared" si="7"/>
        <v>39665.5</v>
      </c>
      <c r="M102" s="8"/>
      <c r="N102" s="39" t="e">
        <f>#REF!-H102</f>
        <v>#REF!</v>
      </c>
    </row>
    <row r="103" spans="2:14">
      <c r="B103" s="14">
        <v>99</v>
      </c>
      <c r="C103" s="2" t="s">
        <v>204</v>
      </c>
      <c r="D103" s="12">
        <v>132000</v>
      </c>
      <c r="E103" s="12">
        <v>17595.599999999999</v>
      </c>
      <c r="F103" s="15">
        <f t="shared" si="6"/>
        <v>149595.6</v>
      </c>
      <c r="G103" s="31">
        <v>40</v>
      </c>
      <c r="H103" s="12">
        <v>3739.89</v>
      </c>
      <c r="I103" s="8">
        <v>30</v>
      </c>
      <c r="J103" s="8">
        <v>10</v>
      </c>
      <c r="K103" s="12">
        <f>(30*3739.89)</f>
        <v>112196.7</v>
      </c>
      <c r="L103" s="15">
        <f t="shared" si="7"/>
        <v>37398.900000000009</v>
      </c>
      <c r="M103" s="8"/>
      <c r="N103" s="39" t="e">
        <f>#REF!-H103</f>
        <v>#REF!</v>
      </c>
    </row>
    <row r="104" spans="2:14">
      <c r="B104" s="14">
        <v>100</v>
      </c>
      <c r="C104" s="2" t="s">
        <v>205</v>
      </c>
      <c r="D104" s="12">
        <v>132000</v>
      </c>
      <c r="E104" s="12">
        <v>17595.599999999999</v>
      </c>
      <c r="F104" s="15">
        <f t="shared" si="6"/>
        <v>149595.6</v>
      </c>
      <c r="G104" s="31">
        <v>40</v>
      </c>
      <c r="H104" s="12">
        <v>3739.89</v>
      </c>
      <c r="I104" s="8">
        <v>33</v>
      </c>
      <c r="J104" s="8">
        <v>7</v>
      </c>
      <c r="K104" s="12">
        <f>(33*3739.89)</f>
        <v>123416.37</v>
      </c>
      <c r="L104" s="15">
        <f t="shared" si="7"/>
        <v>26179.23000000001</v>
      </c>
      <c r="M104" s="8"/>
      <c r="N104" s="39" t="e">
        <f>#REF!-H104</f>
        <v>#REF!</v>
      </c>
    </row>
    <row r="105" spans="2:14">
      <c r="B105" s="14">
        <v>101</v>
      </c>
      <c r="C105" s="2" t="s">
        <v>162</v>
      </c>
      <c r="D105" s="15">
        <v>200000</v>
      </c>
      <c r="E105" s="15">
        <v>26660</v>
      </c>
      <c r="F105" s="15">
        <f t="shared" si="6"/>
        <v>226660</v>
      </c>
      <c r="G105" s="31">
        <v>40</v>
      </c>
      <c r="H105" s="15">
        <v>5666.5</v>
      </c>
      <c r="I105" s="8">
        <v>32</v>
      </c>
      <c r="J105" s="8">
        <v>8</v>
      </c>
      <c r="K105" s="12">
        <f>(32*5666.5)</f>
        <v>181328</v>
      </c>
      <c r="L105" s="15">
        <f t="shared" si="7"/>
        <v>45332</v>
      </c>
      <c r="M105" s="8"/>
      <c r="N105" s="39" t="e">
        <f>#REF!-H105</f>
        <v>#REF!</v>
      </c>
    </row>
    <row r="106" spans="2:14">
      <c r="B106" s="14">
        <v>102</v>
      </c>
      <c r="C106" s="2" t="s">
        <v>163</v>
      </c>
      <c r="D106" s="15">
        <v>200000</v>
      </c>
      <c r="E106" s="15">
        <v>26660</v>
      </c>
      <c r="F106" s="15">
        <f t="shared" si="6"/>
        <v>226660</v>
      </c>
      <c r="G106" s="32">
        <v>40</v>
      </c>
      <c r="H106" s="15">
        <v>5666.5</v>
      </c>
      <c r="I106" s="22">
        <v>39</v>
      </c>
      <c r="J106" s="21">
        <v>1</v>
      </c>
      <c r="K106" s="15">
        <f>(39*5666.5)</f>
        <v>220993.5</v>
      </c>
      <c r="L106" s="15">
        <f t="shared" si="7"/>
        <v>5666.5</v>
      </c>
      <c r="M106" s="10"/>
      <c r="N106" s="39" t="e">
        <f>#REF!-H106</f>
        <v>#REF!</v>
      </c>
    </row>
    <row r="107" spans="2:14">
      <c r="B107" s="14">
        <v>103</v>
      </c>
      <c r="C107" s="2" t="s">
        <v>69</v>
      </c>
      <c r="D107" s="12">
        <v>500000</v>
      </c>
      <c r="E107" s="12">
        <v>66650</v>
      </c>
      <c r="F107" s="15">
        <f t="shared" si="6"/>
        <v>566650</v>
      </c>
      <c r="G107" s="31">
        <v>50</v>
      </c>
      <c r="H107" s="12">
        <v>11333</v>
      </c>
      <c r="I107" s="11">
        <v>16</v>
      </c>
      <c r="J107" s="11">
        <v>34</v>
      </c>
      <c r="K107" s="12">
        <f>(16*11333)</f>
        <v>181328</v>
      </c>
      <c r="L107" s="15">
        <f t="shared" si="7"/>
        <v>385322</v>
      </c>
      <c r="M107" s="8"/>
      <c r="N107" s="39" t="e">
        <f>#REF!-H107</f>
        <v>#REF!</v>
      </c>
    </row>
    <row r="108" spans="2:14">
      <c r="B108" s="14">
        <v>104</v>
      </c>
      <c r="C108" s="2" t="s">
        <v>164</v>
      </c>
      <c r="D108" s="15">
        <v>200000</v>
      </c>
      <c r="E108" s="15">
        <v>26660</v>
      </c>
      <c r="F108" s="15">
        <f t="shared" si="6"/>
        <v>226660</v>
      </c>
      <c r="G108" s="31">
        <v>40</v>
      </c>
      <c r="H108" s="15">
        <v>5666.5</v>
      </c>
      <c r="I108" s="8">
        <v>30</v>
      </c>
      <c r="J108" s="8">
        <v>10</v>
      </c>
      <c r="K108" s="12">
        <f>(30*5666.5)</f>
        <v>169995</v>
      </c>
      <c r="L108" s="15">
        <f t="shared" si="7"/>
        <v>56665</v>
      </c>
      <c r="M108" s="8"/>
      <c r="N108" s="39" t="e">
        <f>#REF!-H108</f>
        <v>#REF!</v>
      </c>
    </row>
    <row r="109" spans="2:14">
      <c r="B109" s="14">
        <v>105</v>
      </c>
      <c r="C109" s="2" t="s">
        <v>70</v>
      </c>
      <c r="D109" s="12">
        <v>500000</v>
      </c>
      <c r="E109" s="12">
        <v>66650</v>
      </c>
      <c r="F109" s="15">
        <f t="shared" si="6"/>
        <v>566650</v>
      </c>
      <c r="G109" s="31">
        <v>50</v>
      </c>
      <c r="H109" s="18">
        <v>11333</v>
      </c>
      <c r="I109" s="8">
        <v>21</v>
      </c>
      <c r="J109" s="8">
        <v>29</v>
      </c>
      <c r="K109" s="12">
        <f>(21*11333)</f>
        <v>237993</v>
      </c>
      <c r="L109" s="15">
        <f t="shared" si="7"/>
        <v>328657</v>
      </c>
      <c r="M109" s="8"/>
      <c r="N109" s="39" t="e">
        <f>#REF!-H109</f>
        <v>#REF!</v>
      </c>
    </row>
    <row r="110" spans="2:14">
      <c r="B110" s="14">
        <v>106</v>
      </c>
      <c r="C110" s="2" t="s">
        <v>71</v>
      </c>
      <c r="D110" s="12">
        <v>500000</v>
      </c>
      <c r="E110" s="12">
        <v>66650</v>
      </c>
      <c r="F110" s="15">
        <f t="shared" si="6"/>
        <v>566650</v>
      </c>
      <c r="G110" s="31">
        <v>50</v>
      </c>
      <c r="H110" s="12">
        <v>11333</v>
      </c>
      <c r="I110" s="8">
        <v>37</v>
      </c>
      <c r="J110" s="8">
        <v>13</v>
      </c>
      <c r="K110" s="12">
        <f>(37*11333)</f>
        <v>419321</v>
      </c>
      <c r="L110" s="15">
        <f t="shared" si="7"/>
        <v>147329</v>
      </c>
      <c r="M110" s="8"/>
      <c r="N110" s="39" t="e">
        <f>#REF!-H110</f>
        <v>#REF!</v>
      </c>
    </row>
    <row r="111" spans="2:14">
      <c r="B111" s="14">
        <v>107</v>
      </c>
      <c r="C111" s="2" t="s">
        <v>165</v>
      </c>
      <c r="D111" s="15">
        <v>200000</v>
      </c>
      <c r="E111" s="15">
        <v>26660</v>
      </c>
      <c r="F111" s="15">
        <f t="shared" si="6"/>
        <v>226660</v>
      </c>
      <c r="G111" s="31">
        <v>40</v>
      </c>
      <c r="H111" s="15">
        <v>5666.5</v>
      </c>
      <c r="I111" s="8">
        <v>30</v>
      </c>
      <c r="J111" s="8">
        <v>10</v>
      </c>
      <c r="K111" s="12">
        <f>(30*5666.5)</f>
        <v>169995</v>
      </c>
      <c r="L111" s="15">
        <f t="shared" si="7"/>
        <v>56665</v>
      </c>
      <c r="M111" s="8"/>
      <c r="N111" s="39" t="e">
        <f>#REF!-H111</f>
        <v>#REF!</v>
      </c>
    </row>
    <row r="112" spans="2:14">
      <c r="B112" s="14">
        <v>108</v>
      </c>
      <c r="C112" s="2" t="s">
        <v>218</v>
      </c>
      <c r="D112" s="12">
        <v>60000</v>
      </c>
      <c r="E112" s="12">
        <v>7998</v>
      </c>
      <c r="F112" s="15">
        <f t="shared" si="6"/>
        <v>67998</v>
      </c>
      <c r="G112" s="31">
        <v>40</v>
      </c>
      <c r="H112" s="12">
        <v>1699.95</v>
      </c>
      <c r="I112" s="8">
        <v>30</v>
      </c>
      <c r="J112" s="8">
        <v>10</v>
      </c>
      <c r="K112" s="12">
        <f>(30*1699.95)</f>
        <v>50998.5</v>
      </c>
      <c r="L112" s="15">
        <f t="shared" si="7"/>
        <v>16999.5</v>
      </c>
      <c r="M112" s="8"/>
      <c r="N112" s="39" t="e">
        <f>#REF!-H112</f>
        <v>#REF!</v>
      </c>
    </row>
    <row r="113" spans="2:14">
      <c r="B113" s="14">
        <v>109</v>
      </c>
      <c r="C113" s="25" t="s">
        <v>166</v>
      </c>
      <c r="D113" s="15">
        <v>200000</v>
      </c>
      <c r="E113" s="15">
        <v>26660</v>
      </c>
      <c r="F113" s="15">
        <f t="shared" si="6"/>
        <v>226660</v>
      </c>
      <c r="G113" s="31">
        <v>40</v>
      </c>
      <c r="H113" s="15">
        <v>5666.5</v>
      </c>
      <c r="I113" s="8">
        <v>27</v>
      </c>
      <c r="J113" s="8">
        <v>13</v>
      </c>
      <c r="K113" s="12">
        <f>(27*5666.5)</f>
        <v>152995.5</v>
      </c>
      <c r="L113" s="15">
        <f t="shared" si="7"/>
        <v>73664.5</v>
      </c>
      <c r="M113" s="8"/>
      <c r="N113" s="39" t="e">
        <f>#REF!-H113</f>
        <v>#REF!</v>
      </c>
    </row>
    <row r="114" spans="2:14">
      <c r="B114" s="14">
        <v>110</v>
      </c>
      <c r="C114" s="23" t="s">
        <v>72</v>
      </c>
      <c r="D114" s="12">
        <v>500000</v>
      </c>
      <c r="E114" s="12">
        <v>66650</v>
      </c>
      <c r="F114" s="15">
        <f t="shared" si="6"/>
        <v>566650</v>
      </c>
      <c r="G114" s="31">
        <v>50</v>
      </c>
      <c r="H114" s="12">
        <v>11333</v>
      </c>
      <c r="I114" s="8">
        <v>37</v>
      </c>
      <c r="J114" s="8">
        <v>13</v>
      </c>
      <c r="K114" s="12">
        <f>(37*11333)</f>
        <v>419321</v>
      </c>
      <c r="L114" s="15">
        <f t="shared" si="7"/>
        <v>147329</v>
      </c>
      <c r="M114" s="8"/>
      <c r="N114" s="39" t="e">
        <f>#REF!-H114</f>
        <v>#REF!</v>
      </c>
    </row>
    <row r="115" spans="2:14">
      <c r="B115" s="14">
        <v>111</v>
      </c>
      <c r="C115" s="2" t="s">
        <v>45</v>
      </c>
      <c r="D115" s="12">
        <v>500000</v>
      </c>
      <c r="E115" s="16">
        <v>33325</v>
      </c>
      <c r="F115" s="15">
        <f t="shared" si="6"/>
        <v>533325</v>
      </c>
      <c r="G115" s="33">
        <v>25</v>
      </c>
      <c r="H115" s="16">
        <v>21333</v>
      </c>
      <c r="I115" s="11">
        <v>15</v>
      </c>
      <c r="J115" s="11">
        <v>10</v>
      </c>
      <c r="K115" s="16">
        <f>(15*21333)</f>
        <v>319995</v>
      </c>
      <c r="L115" s="15">
        <f t="shared" si="7"/>
        <v>213330</v>
      </c>
      <c r="M115" s="8"/>
      <c r="N115" s="39" t="e">
        <f>#REF!-H115</f>
        <v>#REF!</v>
      </c>
    </row>
    <row r="116" spans="2:14">
      <c r="B116" s="14">
        <v>112</v>
      </c>
      <c r="C116" s="2" t="s">
        <v>167</v>
      </c>
      <c r="D116" s="15">
        <v>200000</v>
      </c>
      <c r="E116" s="15">
        <v>26660</v>
      </c>
      <c r="F116" s="15">
        <f t="shared" si="6"/>
        <v>226660</v>
      </c>
      <c r="G116" s="31">
        <v>40</v>
      </c>
      <c r="H116" s="15">
        <v>5666.5</v>
      </c>
      <c r="I116" s="8">
        <v>30</v>
      </c>
      <c r="J116" s="8">
        <v>10</v>
      </c>
      <c r="K116" s="12">
        <f>(30*5666.5)</f>
        <v>169995</v>
      </c>
      <c r="L116" s="15">
        <f t="shared" si="7"/>
        <v>56665</v>
      </c>
      <c r="M116" s="8"/>
      <c r="N116" s="39" t="e">
        <f>#REF!-H116</f>
        <v>#REF!</v>
      </c>
    </row>
    <row r="117" spans="2:14">
      <c r="B117" s="14">
        <v>113</v>
      </c>
      <c r="C117" s="2" t="s">
        <v>23</v>
      </c>
      <c r="D117" s="18">
        <v>500000</v>
      </c>
      <c r="E117" s="18">
        <v>66650</v>
      </c>
      <c r="F117" s="18">
        <v>566650</v>
      </c>
      <c r="G117" s="8" t="s">
        <v>13</v>
      </c>
      <c r="H117" s="16">
        <v>11333</v>
      </c>
      <c r="I117" s="8">
        <v>2</v>
      </c>
      <c r="J117" s="8">
        <v>48</v>
      </c>
      <c r="K117" s="12">
        <f>(2*11333)</f>
        <v>22666</v>
      </c>
      <c r="L117" s="12">
        <f t="shared" si="7"/>
        <v>543984</v>
      </c>
      <c r="M117" s="8"/>
      <c r="N117" s="39" t="e">
        <f>#REF!-H117</f>
        <v>#REF!</v>
      </c>
    </row>
    <row r="118" spans="2:14">
      <c r="B118" s="14">
        <v>114</v>
      </c>
      <c r="C118" s="2" t="s">
        <v>168</v>
      </c>
      <c r="D118" s="15">
        <v>200000</v>
      </c>
      <c r="E118" s="15">
        <v>26660</v>
      </c>
      <c r="F118" s="15">
        <f t="shared" ref="F118:F129" si="8">SUM(D118:E118)</f>
        <v>226660</v>
      </c>
      <c r="G118" s="31">
        <v>40</v>
      </c>
      <c r="H118" s="15">
        <v>5666.5</v>
      </c>
      <c r="I118" s="8">
        <v>30</v>
      </c>
      <c r="J118" s="8">
        <v>10</v>
      </c>
      <c r="K118" s="12">
        <f>(30*5666.5)</f>
        <v>169995</v>
      </c>
      <c r="L118" s="15">
        <f t="shared" si="7"/>
        <v>56665</v>
      </c>
      <c r="M118" s="8"/>
      <c r="N118" s="39" t="e">
        <f>#REF!-H118</f>
        <v>#REF!</v>
      </c>
    </row>
    <row r="119" spans="2:14">
      <c r="B119" s="14">
        <v>115</v>
      </c>
      <c r="C119" s="2" t="s">
        <v>169</v>
      </c>
      <c r="D119" s="15">
        <v>200000</v>
      </c>
      <c r="E119" s="15">
        <v>26660</v>
      </c>
      <c r="F119" s="15">
        <f t="shared" si="8"/>
        <v>226660</v>
      </c>
      <c r="G119" s="31">
        <v>40</v>
      </c>
      <c r="H119" s="15">
        <v>5666.5</v>
      </c>
      <c r="I119" s="8">
        <v>29</v>
      </c>
      <c r="J119" s="11">
        <v>11</v>
      </c>
      <c r="K119" s="12">
        <f>(29*5666.5)</f>
        <v>164328.5</v>
      </c>
      <c r="L119" s="15">
        <f t="shared" si="7"/>
        <v>62331.5</v>
      </c>
      <c r="M119" s="8"/>
      <c r="N119" s="39" t="e">
        <f>#REF!-H119</f>
        <v>#REF!</v>
      </c>
    </row>
    <row r="120" spans="2:14">
      <c r="B120" s="14">
        <v>116</v>
      </c>
      <c r="C120" s="2" t="s">
        <v>33</v>
      </c>
      <c r="D120" s="20">
        <v>150000</v>
      </c>
      <c r="E120" s="20">
        <v>19995</v>
      </c>
      <c r="F120" s="20">
        <f t="shared" si="8"/>
        <v>169995</v>
      </c>
      <c r="G120" s="8" t="s">
        <v>13</v>
      </c>
      <c r="H120" s="3">
        <v>3399.9</v>
      </c>
      <c r="I120" s="8">
        <v>2</v>
      </c>
      <c r="J120" s="8">
        <v>48</v>
      </c>
      <c r="K120" s="3">
        <f>(2*3399.9)</f>
        <v>6799.8</v>
      </c>
      <c r="L120" s="12">
        <f t="shared" si="7"/>
        <v>163195.20000000001</v>
      </c>
      <c r="M120" s="1"/>
      <c r="N120" s="39" t="e">
        <f>#REF!-H120</f>
        <v>#REF!</v>
      </c>
    </row>
    <row r="121" spans="2:14">
      <c r="B121" s="14">
        <v>117</v>
      </c>
      <c r="C121" s="2" t="s">
        <v>170</v>
      </c>
      <c r="D121" s="15">
        <v>200000</v>
      </c>
      <c r="E121" s="15">
        <v>26660</v>
      </c>
      <c r="F121" s="15">
        <f t="shared" si="8"/>
        <v>226660</v>
      </c>
      <c r="G121" s="31">
        <v>40</v>
      </c>
      <c r="H121" s="15">
        <v>5666.5</v>
      </c>
      <c r="I121" s="8">
        <v>30</v>
      </c>
      <c r="J121" s="8">
        <v>10</v>
      </c>
      <c r="K121" s="12">
        <f>(30*5666.5)</f>
        <v>169995</v>
      </c>
      <c r="L121" s="15">
        <f t="shared" si="7"/>
        <v>56665</v>
      </c>
      <c r="M121" s="8"/>
      <c r="N121" s="39" t="e">
        <f>#REF!-H121</f>
        <v>#REF!</v>
      </c>
    </row>
    <row r="122" spans="2:14">
      <c r="B122" s="14">
        <v>118</v>
      </c>
      <c r="C122" s="2" t="s">
        <v>171</v>
      </c>
      <c r="D122" s="15">
        <v>200000</v>
      </c>
      <c r="E122" s="15">
        <v>26660</v>
      </c>
      <c r="F122" s="15">
        <f t="shared" si="8"/>
        <v>226660</v>
      </c>
      <c r="G122" s="31">
        <v>40</v>
      </c>
      <c r="H122" s="15">
        <v>5666.5</v>
      </c>
      <c r="I122" s="8">
        <v>30</v>
      </c>
      <c r="J122" s="8">
        <v>10</v>
      </c>
      <c r="K122" s="12">
        <f>(30*5666.5)</f>
        <v>169995</v>
      </c>
      <c r="L122" s="15">
        <f t="shared" si="7"/>
        <v>56665</v>
      </c>
      <c r="M122" s="8"/>
      <c r="N122" s="39" t="e">
        <f>#REF!-H122</f>
        <v>#REF!</v>
      </c>
    </row>
    <row r="123" spans="2:14">
      <c r="B123" s="14">
        <v>119</v>
      </c>
      <c r="C123" s="2" t="s">
        <v>95</v>
      </c>
      <c r="D123" s="12">
        <v>450000</v>
      </c>
      <c r="E123" s="12">
        <v>59985</v>
      </c>
      <c r="F123" s="15">
        <f t="shared" si="8"/>
        <v>509985</v>
      </c>
      <c r="G123" s="31">
        <v>50</v>
      </c>
      <c r="H123" s="12">
        <v>10199.700000000001</v>
      </c>
      <c r="I123" s="8">
        <v>23</v>
      </c>
      <c r="J123" s="8">
        <v>27</v>
      </c>
      <c r="K123" s="12">
        <f>(23*10199.7)</f>
        <v>234593.1</v>
      </c>
      <c r="L123" s="15">
        <f t="shared" si="7"/>
        <v>275391.90000000002</v>
      </c>
      <c r="M123" s="8"/>
      <c r="N123" s="39" t="e">
        <f>#REF!-H123</f>
        <v>#REF!</v>
      </c>
    </row>
    <row r="124" spans="2:14">
      <c r="B124" s="14">
        <v>120</v>
      </c>
      <c r="C124" s="2" t="s">
        <v>206</v>
      </c>
      <c r="D124" s="12">
        <v>132000</v>
      </c>
      <c r="E124" s="12">
        <v>17595.599999999999</v>
      </c>
      <c r="F124" s="15">
        <f t="shared" si="8"/>
        <v>149595.6</v>
      </c>
      <c r="G124" s="31">
        <v>40</v>
      </c>
      <c r="H124" s="12">
        <v>3739.89</v>
      </c>
      <c r="I124" s="8">
        <v>29</v>
      </c>
      <c r="J124" s="11">
        <v>11</v>
      </c>
      <c r="K124" s="16">
        <f>(29*3739.89)</f>
        <v>108456.81</v>
      </c>
      <c r="L124" s="15">
        <f t="shared" si="7"/>
        <v>41138.790000000008</v>
      </c>
      <c r="M124" s="8"/>
      <c r="N124" s="39" t="e">
        <f>#REF!-H124</f>
        <v>#REF!</v>
      </c>
    </row>
    <row r="125" spans="2:14">
      <c r="B125" s="14">
        <v>121</v>
      </c>
      <c r="C125" s="2" t="s">
        <v>172</v>
      </c>
      <c r="D125" s="15">
        <v>200000</v>
      </c>
      <c r="E125" s="15">
        <v>26660</v>
      </c>
      <c r="F125" s="15">
        <f t="shared" si="8"/>
        <v>226660</v>
      </c>
      <c r="G125" s="31">
        <v>40</v>
      </c>
      <c r="H125" s="15">
        <v>5666.5</v>
      </c>
      <c r="I125" s="8">
        <v>37</v>
      </c>
      <c r="J125" s="8">
        <v>3</v>
      </c>
      <c r="K125" s="12">
        <f>(37*5666.5)</f>
        <v>209660.5</v>
      </c>
      <c r="L125" s="15">
        <f t="shared" si="7"/>
        <v>16999.5</v>
      </c>
      <c r="M125" s="8"/>
      <c r="N125" s="39" t="e">
        <f>#REF!-H125</f>
        <v>#REF!</v>
      </c>
    </row>
    <row r="126" spans="2:14">
      <c r="B126" s="14">
        <v>122</v>
      </c>
      <c r="C126" s="2" t="s">
        <v>73</v>
      </c>
      <c r="D126" s="12">
        <v>500000</v>
      </c>
      <c r="E126" s="12">
        <v>66650</v>
      </c>
      <c r="F126" s="15">
        <f t="shared" si="8"/>
        <v>566650</v>
      </c>
      <c r="G126" s="31">
        <v>50</v>
      </c>
      <c r="H126" s="12">
        <v>11333</v>
      </c>
      <c r="I126" s="11">
        <v>25</v>
      </c>
      <c r="J126" s="11">
        <v>25</v>
      </c>
      <c r="K126" s="16">
        <f>(25*11333)</f>
        <v>283325</v>
      </c>
      <c r="L126" s="15">
        <f t="shared" si="7"/>
        <v>283325</v>
      </c>
      <c r="M126" s="8"/>
      <c r="N126" s="39" t="e">
        <f>#REF!-H126</f>
        <v>#REF!</v>
      </c>
    </row>
    <row r="127" spans="2:14">
      <c r="B127" s="14">
        <v>123</v>
      </c>
      <c r="C127" s="2" t="s">
        <v>173</v>
      </c>
      <c r="D127" s="15">
        <v>200000</v>
      </c>
      <c r="E127" s="15">
        <v>26660</v>
      </c>
      <c r="F127" s="15">
        <f t="shared" si="8"/>
        <v>226660</v>
      </c>
      <c r="G127" s="31">
        <v>40</v>
      </c>
      <c r="H127" s="15">
        <v>5666.5</v>
      </c>
      <c r="I127" s="8">
        <v>33</v>
      </c>
      <c r="J127" s="8">
        <v>7</v>
      </c>
      <c r="K127" s="12">
        <f>(33*5666.5)</f>
        <v>186994.5</v>
      </c>
      <c r="L127" s="15">
        <f t="shared" si="7"/>
        <v>39665.5</v>
      </c>
      <c r="M127" s="8"/>
      <c r="N127" s="39" t="e">
        <f>#REF!-H127</f>
        <v>#REF!</v>
      </c>
    </row>
    <row r="128" spans="2:14">
      <c r="B128" s="14">
        <v>124</v>
      </c>
      <c r="C128" s="2" t="s">
        <v>74</v>
      </c>
      <c r="D128" s="12">
        <v>500000</v>
      </c>
      <c r="E128" s="12">
        <v>66650</v>
      </c>
      <c r="F128" s="15">
        <f t="shared" si="8"/>
        <v>566650</v>
      </c>
      <c r="G128" s="31">
        <v>50</v>
      </c>
      <c r="H128" s="12">
        <v>11333</v>
      </c>
      <c r="I128" s="8">
        <v>37</v>
      </c>
      <c r="J128" s="8">
        <v>13</v>
      </c>
      <c r="K128" s="12">
        <f>(37*11333)</f>
        <v>419321</v>
      </c>
      <c r="L128" s="15">
        <f t="shared" si="7"/>
        <v>147329</v>
      </c>
      <c r="M128" s="8"/>
      <c r="N128" s="39" t="e">
        <f>#REF!-H128</f>
        <v>#REF!</v>
      </c>
    </row>
    <row r="129" spans="2:14">
      <c r="B129" s="14">
        <v>125</v>
      </c>
      <c r="C129" s="25" t="s">
        <v>213</v>
      </c>
      <c r="D129" s="12">
        <v>150000</v>
      </c>
      <c r="E129" s="12">
        <v>19995</v>
      </c>
      <c r="F129" s="15">
        <f t="shared" si="8"/>
        <v>169995</v>
      </c>
      <c r="G129" s="31">
        <v>50</v>
      </c>
      <c r="H129" s="12">
        <v>3399.9</v>
      </c>
      <c r="I129" s="8">
        <v>25</v>
      </c>
      <c r="J129" s="8">
        <v>25</v>
      </c>
      <c r="K129" s="12">
        <f>(25*3399.9)</f>
        <v>84997.5</v>
      </c>
      <c r="L129" s="15">
        <f t="shared" si="7"/>
        <v>84997.5</v>
      </c>
      <c r="M129" s="8"/>
      <c r="N129" s="39" t="e">
        <f>#REF!-H129</f>
        <v>#REF!</v>
      </c>
    </row>
    <row r="130" spans="2:14">
      <c r="B130" s="14">
        <v>126</v>
      </c>
      <c r="C130" s="2" t="s">
        <v>37</v>
      </c>
      <c r="D130" s="18">
        <v>500000</v>
      </c>
      <c r="E130" s="18">
        <v>66650</v>
      </c>
      <c r="F130" s="18">
        <v>566650</v>
      </c>
      <c r="G130" s="8" t="s">
        <v>13</v>
      </c>
      <c r="H130" s="16">
        <v>11333</v>
      </c>
      <c r="I130" s="8">
        <v>2</v>
      </c>
      <c r="J130" s="8">
        <v>48</v>
      </c>
      <c r="K130" s="12">
        <f>(2*11333)</f>
        <v>22666</v>
      </c>
      <c r="L130" s="12">
        <f t="shared" si="7"/>
        <v>543984</v>
      </c>
      <c r="M130" s="1"/>
      <c r="N130" s="39" t="e">
        <f>#REF!-H130</f>
        <v>#REF!</v>
      </c>
    </row>
    <row r="131" spans="2:14">
      <c r="B131" s="14">
        <v>127</v>
      </c>
      <c r="C131" s="2" t="s">
        <v>196</v>
      </c>
      <c r="D131" s="12">
        <v>180000</v>
      </c>
      <c r="E131" s="12">
        <v>23994</v>
      </c>
      <c r="F131" s="15">
        <f t="shared" ref="F131:F138" si="9">SUM(D131:E131)</f>
        <v>203994</v>
      </c>
      <c r="G131" s="31">
        <v>40</v>
      </c>
      <c r="H131" s="12">
        <v>5099.8500000000004</v>
      </c>
      <c r="I131" s="8">
        <v>33</v>
      </c>
      <c r="J131" s="8">
        <v>7</v>
      </c>
      <c r="K131" s="12">
        <f>(33*5099.85)</f>
        <v>168295.05000000002</v>
      </c>
      <c r="L131" s="15">
        <f t="shared" si="7"/>
        <v>35698.949999999983</v>
      </c>
      <c r="M131" s="8"/>
      <c r="N131" s="39" t="e">
        <f>#REF!-H131</f>
        <v>#REF!</v>
      </c>
    </row>
    <row r="132" spans="2:14">
      <c r="B132" s="14">
        <v>128</v>
      </c>
      <c r="C132" s="2" t="s">
        <v>75</v>
      </c>
      <c r="D132" s="12">
        <v>500000</v>
      </c>
      <c r="E132" s="12">
        <v>66650</v>
      </c>
      <c r="F132" s="15">
        <f t="shared" si="9"/>
        <v>566650</v>
      </c>
      <c r="G132" s="33">
        <v>50</v>
      </c>
      <c r="H132" s="12">
        <v>11333</v>
      </c>
      <c r="I132" s="11">
        <v>15</v>
      </c>
      <c r="J132" s="11">
        <v>35</v>
      </c>
      <c r="K132" s="12">
        <f>(15*11333)</f>
        <v>169995</v>
      </c>
      <c r="L132" s="15">
        <f t="shared" si="7"/>
        <v>396655</v>
      </c>
      <c r="M132" s="8"/>
      <c r="N132" s="39" t="e">
        <f>#REF!-H132</f>
        <v>#REF!</v>
      </c>
    </row>
    <row r="133" spans="2:14">
      <c r="B133" s="14">
        <v>129</v>
      </c>
      <c r="C133" s="2" t="s">
        <v>76</v>
      </c>
      <c r="D133" s="12">
        <v>500000</v>
      </c>
      <c r="E133" s="12">
        <v>66650</v>
      </c>
      <c r="F133" s="15">
        <f t="shared" si="9"/>
        <v>566650</v>
      </c>
      <c r="G133" s="33">
        <v>50</v>
      </c>
      <c r="H133" s="12">
        <v>11333</v>
      </c>
      <c r="I133" s="11">
        <v>15</v>
      </c>
      <c r="J133" s="11">
        <v>35</v>
      </c>
      <c r="K133" s="12">
        <f>(15*11333)</f>
        <v>169995</v>
      </c>
      <c r="L133" s="15">
        <f t="shared" ref="L133:L164" si="10">F133-K133</f>
        <v>396655</v>
      </c>
      <c r="M133" s="8"/>
      <c r="N133" s="39" t="e">
        <f>#REF!-H133</f>
        <v>#REF!</v>
      </c>
    </row>
    <row r="134" spans="2:14">
      <c r="B134" s="14">
        <v>130</v>
      </c>
      <c r="C134" s="2" t="s">
        <v>96</v>
      </c>
      <c r="D134" s="12">
        <v>450000</v>
      </c>
      <c r="E134" s="16">
        <v>59985</v>
      </c>
      <c r="F134" s="15">
        <f t="shared" si="9"/>
        <v>509985</v>
      </c>
      <c r="G134" s="33">
        <v>50</v>
      </c>
      <c r="H134" s="16">
        <v>10199.700000000001</v>
      </c>
      <c r="I134" s="8">
        <v>21</v>
      </c>
      <c r="J134" s="8">
        <v>29</v>
      </c>
      <c r="K134" s="12">
        <f>(21*10199.7)</f>
        <v>214193.7</v>
      </c>
      <c r="L134" s="15">
        <f t="shared" si="10"/>
        <v>295791.3</v>
      </c>
      <c r="M134" s="8"/>
      <c r="N134" s="39" t="e">
        <f>#REF!-H134</f>
        <v>#REF!</v>
      </c>
    </row>
    <row r="135" spans="2:14">
      <c r="B135" s="14">
        <v>131</v>
      </c>
      <c r="C135" s="2" t="s">
        <v>77</v>
      </c>
      <c r="D135" s="12">
        <v>500000</v>
      </c>
      <c r="E135" s="12">
        <v>66650</v>
      </c>
      <c r="F135" s="15">
        <f t="shared" si="9"/>
        <v>566650</v>
      </c>
      <c r="G135" s="31">
        <v>50</v>
      </c>
      <c r="H135" s="12">
        <v>11333</v>
      </c>
      <c r="I135" s="11">
        <v>16</v>
      </c>
      <c r="J135" s="11">
        <v>34</v>
      </c>
      <c r="K135" s="12">
        <f>(16*11333)</f>
        <v>181328</v>
      </c>
      <c r="L135" s="15">
        <f t="shared" si="10"/>
        <v>385322</v>
      </c>
      <c r="M135" s="8"/>
      <c r="N135" s="39" t="e">
        <f>#REF!-H135</f>
        <v>#REF!</v>
      </c>
    </row>
    <row r="136" spans="2:14">
      <c r="B136" s="14">
        <v>132</v>
      </c>
      <c r="C136" s="2" t="s">
        <v>197</v>
      </c>
      <c r="D136" s="12">
        <v>180000</v>
      </c>
      <c r="E136" s="12">
        <v>23994</v>
      </c>
      <c r="F136" s="15">
        <f t="shared" si="9"/>
        <v>203994</v>
      </c>
      <c r="G136" s="31">
        <v>40</v>
      </c>
      <c r="H136" s="12">
        <v>5099.8500000000004</v>
      </c>
      <c r="I136" s="8">
        <v>37</v>
      </c>
      <c r="J136" s="8">
        <v>3</v>
      </c>
      <c r="K136" s="12">
        <f>(37*5099.85)</f>
        <v>188694.45</v>
      </c>
      <c r="L136" s="15">
        <f t="shared" si="10"/>
        <v>15299.549999999988</v>
      </c>
      <c r="M136" s="8"/>
      <c r="N136" s="39" t="e">
        <f>#REF!-H136</f>
        <v>#REF!</v>
      </c>
    </row>
    <row r="137" spans="2:14">
      <c r="B137" s="14">
        <v>133</v>
      </c>
      <c r="C137" s="2" t="s">
        <v>78</v>
      </c>
      <c r="D137" s="12">
        <v>500000</v>
      </c>
      <c r="E137" s="12">
        <v>66650</v>
      </c>
      <c r="F137" s="15">
        <f t="shared" si="9"/>
        <v>566650</v>
      </c>
      <c r="G137" s="31">
        <v>50</v>
      </c>
      <c r="H137" s="12">
        <v>11333</v>
      </c>
      <c r="I137" s="8">
        <v>37</v>
      </c>
      <c r="J137" s="8">
        <v>13</v>
      </c>
      <c r="K137" s="12">
        <f>(37*11333)</f>
        <v>419321</v>
      </c>
      <c r="L137" s="15">
        <f t="shared" si="10"/>
        <v>147329</v>
      </c>
      <c r="M137" s="8"/>
      <c r="N137" s="39" t="e">
        <f>#REF!-H137</f>
        <v>#REF!</v>
      </c>
    </row>
    <row r="138" spans="2:14">
      <c r="B138" s="14">
        <v>134</v>
      </c>
      <c r="C138" s="2" t="s">
        <v>174</v>
      </c>
      <c r="D138" s="15">
        <v>200000</v>
      </c>
      <c r="E138" s="15">
        <v>26660</v>
      </c>
      <c r="F138" s="15">
        <f t="shared" si="9"/>
        <v>226660</v>
      </c>
      <c r="G138" s="31">
        <v>40</v>
      </c>
      <c r="H138" s="47">
        <v>5666.5</v>
      </c>
      <c r="I138" s="8">
        <v>37</v>
      </c>
      <c r="J138" s="8">
        <v>3</v>
      </c>
      <c r="K138" s="12">
        <f>(37*5666.5)</f>
        <v>209660.5</v>
      </c>
      <c r="L138" s="15">
        <f t="shared" si="10"/>
        <v>16999.5</v>
      </c>
      <c r="M138" s="8"/>
      <c r="N138" s="39" t="e">
        <f>#REF!-H138</f>
        <v>#REF!</v>
      </c>
    </row>
    <row r="139" spans="2:14">
      <c r="B139" s="14">
        <v>135</v>
      </c>
      <c r="C139" s="2" t="s">
        <v>21</v>
      </c>
      <c r="D139" s="18">
        <v>500000</v>
      </c>
      <c r="E139" s="18">
        <v>66650</v>
      </c>
      <c r="F139" s="18">
        <v>566650</v>
      </c>
      <c r="G139" s="8" t="s">
        <v>13</v>
      </c>
      <c r="H139" s="16">
        <v>11333</v>
      </c>
      <c r="I139" s="8">
        <v>2</v>
      </c>
      <c r="J139" s="8">
        <v>48</v>
      </c>
      <c r="K139" s="12">
        <f>(2*11333)</f>
        <v>22666</v>
      </c>
      <c r="L139" s="12">
        <f t="shared" si="10"/>
        <v>543984</v>
      </c>
      <c r="M139" s="8"/>
      <c r="N139" s="39" t="e">
        <f>#REF!-H139</f>
        <v>#REF!</v>
      </c>
    </row>
    <row r="140" spans="2:14">
      <c r="B140" s="14">
        <v>136</v>
      </c>
      <c r="C140" s="2" t="s">
        <v>79</v>
      </c>
      <c r="D140" s="12">
        <v>500000</v>
      </c>
      <c r="E140" s="12">
        <v>66650</v>
      </c>
      <c r="F140" s="15">
        <f>SUM(D140:E140)</f>
        <v>566650</v>
      </c>
      <c r="G140" s="31">
        <v>50</v>
      </c>
      <c r="H140" s="12">
        <v>11333</v>
      </c>
      <c r="I140" s="11">
        <v>16</v>
      </c>
      <c r="J140" s="11">
        <v>34</v>
      </c>
      <c r="K140" s="12">
        <f>(16*11333)</f>
        <v>181328</v>
      </c>
      <c r="L140" s="15">
        <f t="shared" si="10"/>
        <v>385322</v>
      </c>
      <c r="M140" s="8"/>
      <c r="N140" s="39" t="e">
        <f>#REF!-H140</f>
        <v>#REF!</v>
      </c>
    </row>
    <row r="141" spans="2:14">
      <c r="B141" s="14">
        <v>137</v>
      </c>
      <c r="C141" s="2" t="s">
        <v>27</v>
      </c>
      <c r="D141" s="18">
        <v>500000</v>
      </c>
      <c r="E141" s="18">
        <v>66650</v>
      </c>
      <c r="F141" s="18">
        <v>566650</v>
      </c>
      <c r="G141" s="8" t="s">
        <v>13</v>
      </c>
      <c r="H141" s="16">
        <v>11333</v>
      </c>
      <c r="I141" s="8">
        <v>2</v>
      </c>
      <c r="J141" s="8">
        <v>48</v>
      </c>
      <c r="K141" s="12">
        <f>(2*11333)</f>
        <v>22666</v>
      </c>
      <c r="L141" s="12">
        <f t="shared" si="10"/>
        <v>543984</v>
      </c>
      <c r="M141" s="1"/>
      <c r="N141" s="39" t="e">
        <f>#REF!-H141</f>
        <v>#REF!</v>
      </c>
    </row>
    <row r="142" spans="2:14">
      <c r="B142" s="14">
        <v>138</v>
      </c>
      <c r="C142" s="2" t="s">
        <v>175</v>
      </c>
      <c r="D142" s="15">
        <v>200000</v>
      </c>
      <c r="E142" s="15">
        <v>26660</v>
      </c>
      <c r="F142" s="15">
        <f t="shared" ref="F142:F148" si="11">SUM(D142:E142)</f>
        <v>226660</v>
      </c>
      <c r="G142" s="32">
        <v>40</v>
      </c>
      <c r="H142" s="15">
        <v>5666.5</v>
      </c>
      <c r="I142" s="22">
        <v>39</v>
      </c>
      <c r="J142" s="21">
        <v>1</v>
      </c>
      <c r="K142" s="15">
        <f>(39*5666.5)</f>
        <v>220993.5</v>
      </c>
      <c r="L142" s="15">
        <f t="shared" si="10"/>
        <v>5666.5</v>
      </c>
      <c r="M142" s="10"/>
      <c r="N142" s="39" t="e">
        <f>#REF!-H142</f>
        <v>#REF!</v>
      </c>
    </row>
    <row r="143" spans="2:14">
      <c r="B143" s="14">
        <v>139</v>
      </c>
      <c r="C143" s="2" t="s">
        <v>97</v>
      </c>
      <c r="D143" s="12">
        <v>450000</v>
      </c>
      <c r="E143" s="12">
        <v>59985</v>
      </c>
      <c r="F143" s="15">
        <f t="shared" si="11"/>
        <v>509985</v>
      </c>
      <c r="G143" s="31">
        <v>50</v>
      </c>
      <c r="H143" s="12">
        <v>10199.700000000001</v>
      </c>
      <c r="I143" s="11">
        <v>16</v>
      </c>
      <c r="J143" s="11">
        <v>34</v>
      </c>
      <c r="K143" s="12">
        <f>(16*10199.7)</f>
        <v>163195.20000000001</v>
      </c>
      <c r="L143" s="15">
        <f t="shared" si="10"/>
        <v>346789.8</v>
      </c>
      <c r="M143" s="8"/>
      <c r="N143" s="39" t="e">
        <f>#REF!-H143</f>
        <v>#REF!</v>
      </c>
    </row>
    <row r="144" spans="2:14">
      <c r="B144" s="14">
        <v>140</v>
      </c>
      <c r="C144" s="2" t="s">
        <v>80</v>
      </c>
      <c r="D144" s="12">
        <v>500000</v>
      </c>
      <c r="E144" s="12">
        <v>66650</v>
      </c>
      <c r="F144" s="15">
        <f t="shared" si="11"/>
        <v>566650</v>
      </c>
      <c r="G144" s="31">
        <v>50</v>
      </c>
      <c r="H144" s="12">
        <v>11333</v>
      </c>
      <c r="I144" s="8">
        <v>37</v>
      </c>
      <c r="J144" s="8">
        <v>13</v>
      </c>
      <c r="K144" s="12">
        <f>(37*11333)</f>
        <v>419321</v>
      </c>
      <c r="L144" s="15">
        <f t="shared" si="10"/>
        <v>147329</v>
      </c>
      <c r="M144" s="8"/>
      <c r="N144" s="39" t="e">
        <f>#REF!-H144</f>
        <v>#REF!</v>
      </c>
    </row>
    <row r="145" spans="2:14">
      <c r="B145" s="14">
        <v>141</v>
      </c>
      <c r="C145" s="2" t="s">
        <v>176</v>
      </c>
      <c r="D145" s="15">
        <v>200000</v>
      </c>
      <c r="E145" s="15">
        <v>26660</v>
      </c>
      <c r="F145" s="15">
        <f t="shared" si="11"/>
        <v>226660</v>
      </c>
      <c r="G145" s="31">
        <v>40</v>
      </c>
      <c r="H145" s="15">
        <v>5666.5</v>
      </c>
      <c r="I145" s="8">
        <v>30</v>
      </c>
      <c r="J145" s="8">
        <v>10</v>
      </c>
      <c r="K145" s="12">
        <f>(30*5666.5)</f>
        <v>169995</v>
      </c>
      <c r="L145" s="15">
        <f t="shared" si="10"/>
        <v>56665</v>
      </c>
      <c r="M145" s="8"/>
      <c r="N145" s="39" t="e">
        <f>#REF!-H145</f>
        <v>#REF!</v>
      </c>
    </row>
    <row r="146" spans="2:14">
      <c r="B146" s="14">
        <v>142</v>
      </c>
      <c r="C146" s="2" t="s">
        <v>81</v>
      </c>
      <c r="D146" s="12">
        <v>500000</v>
      </c>
      <c r="E146" s="12">
        <v>66650</v>
      </c>
      <c r="F146" s="15">
        <f t="shared" si="11"/>
        <v>566650</v>
      </c>
      <c r="G146" s="31">
        <v>50</v>
      </c>
      <c r="H146" s="12">
        <v>11333</v>
      </c>
      <c r="I146" s="8">
        <v>23</v>
      </c>
      <c r="J146" s="8">
        <v>27</v>
      </c>
      <c r="K146" s="12">
        <f>(23*11333)</f>
        <v>260659</v>
      </c>
      <c r="L146" s="15">
        <f t="shared" si="10"/>
        <v>305991</v>
      </c>
      <c r="M146" s="8"/>
      <c r="N146" s="39" t="e">
        <f>#REF!-H146</f>
        <v>#REF!</v>
      </c>
    </row>
    <row r="147" spans="2:14">
      <c r="B147" s="14">
        <v>143</v>
      </c>
      <c r="C147" s="23" t="s">
        <v>82</v>
      </c>
      <c r="D147" s="12">
        <v>500000</v>
      </c>
      <c r="E147" s="12">
        <v>66650</v>
      </c>
      <c r="F147" s="15">
        <f t="shared" si="11"/>
        <v>566650</v>
      </c>
      <c r="G147" s="31">
        <v>50</v>
      </c>
      <c r="H147" s="12">
        <v>11333</v>
      </c>
      <c r="I147" s="8">
        <v>37</v>
      </c>
      <c r="J147" s="8">
        <v>13</v>
      </c>
      <c r="K147" s="12">
        <f>(37*11333)</f>
        <v>419321</v>
      </c>
      <c r="L147" s="15">
        <f t="shared" si="10"/>
        <v>147329</v>
      </c>
      <c r="M147" s="8"/>
      <c r="N147" s="39" t="e">
        <f>#REF!-H147</f>
        <v>#REF!</v>
      </c>
    </row>
    <row r="148" spans="2:14">
      <c r="B148" s="14">
        <v>144</v>
      </c>
      <c r="C148" s="2" t="s">
        <v>177</v>
      </c>
      <c r="D148" s="15">
        <v>200000</v>
      </c>
      <c r="E148" s="15">
        <v>26660</v>
      </c>
      <c r="F148" s="15">
        <f t="shared" si="11"/>
        <v>226660</v>
      </c>
      <c r="G148" s="31">
        <v>40</v>
      </c>
      <c r="H148" s="15">
        <v>5666.5</v>
      </c>
      <c r="I148" s="8">
        <v>29</v>
      </c>
      <c r="J148" s="8">
        <v>11</v>
      </c>
      <c r="K148" s="12">
        <f>(29*5666.5)</f>
        <v>164328.5</v>
      </c>
      <c r="L148" s="15">
        <f t="shared" si="10"/>
        <v>62331.5</v>
      </c>
      <c r="M148" s="8"/>
      <c r="N148" s="39" t="e">
        <f>#REF!-H148</f>
        <v>#REF!</v>
      </c>
    </row>
    <row r="149" spans="2:14">
      <c r="B149" s="14">
        <v>145</v>
      </c>
      <c r="C149" s="2" t="s">
        <v>26</v>
      </c>
      <c r="D149" s="18">
        <v>500000</v>
      </c>
      <c r="E149" s="18">
        <v>66650</v>
      </c>
      <c r="F149" s="18">
        <v>566650</v>
      </c>
      <c r="G149" s="8" t="s">
        <v>13</v>
      </c>
      <c r="H149" s="16">
        <v>11333</v>
      </c>
      <c r="I149" s="8">
        <v>2</v>
      </c>
      <c r="J149" s="8">
        <v>48</v>
      </c>
      <c r="K149" s="12">
        <f>(2*11333)</f>
        <v>22666</v>
      </c>
      <c r="L149" s="12">
        <f t="shared" si="10"/>
        <v>543984</v>
      </c>
      <c r="M149" s="1"/>
      <c r="N149" s="39" t="e">
        <f>#REF!-H149</f>
        <v>#REF!</v>
      </c>
    </row>
    <row r="150" spans="2:14">
      <c r="B150" s="14">
        <v>146</v>
      </c>
      <c r="C150" s="2" t="s">
        <v>98</v>
      </c>
      <c r="D150" s="12">
        <v>450000</v>
      </c>
      <c r="E150" s="16">
        <v>59985</v>
      </c>
      <c r="F150" s="15">
        <f>SUM(D150:E150)</f>
        <v>509985</v>
      </c>
      <c r="G150" s="31">
        <v>50</v>
      </c>
      <c r="H150" s="38">
        <v>10199.700000000001</v>
      </c>
      <c r="I150" s="8">
        <v>2</v>
      </c>
      <c r="J150" s="8">
        <v>48</v>
      </c>
      <c r="K150" s="12">
        <f>(2*10199.7)</f>
        <v>20399.400000000001</v>
      </c>
      <c r="L150" s="15">
        <f t="shared" si="10"/>
        <v>489585.6</v>
      </c>
      <c r="M150" s="8"/>
      <c r="N150" s="39" t="e">
        <f>#REF!-H150</f>
        <v>#REF!</v>
      </c>
    </row>
    <row r="151" spans="2:14">
      <c r="B151" s="14">
        <v>147</v>
      </c>
      <c r="C151" s="2" t="s">
        <v>99</v>
      </c>
      <c r="D151" s="12">
        <v>450000</v>
      </c>
      <c r="E151" s="16">
        <v>59985</v>
      </c>
      <c r="F151" s="15">
        <f>SUM(D151:E151)</f>
        <v>509985</v>
      </c>
      <c r="G151" s="33">
        <v>50</v>
      </c>
      <c r="H151" s="16">
        <v>10199.700000000001</v>
      </c>
      <c r="I151" s="8">
        <v>25</v>
      </c>
      <c r="J151" s="8">
        <v>25</v>
      </c>
      <c r="K151" s="12">
        <f>(25*10199.7)</f>
        <v>254992.50000000003</v>
      </c>
      <c r="L151" s="15">
        <f t="shared" si="10"/>
        <v>254992.49999999997</v>
      </c>
      <c r="M151" s="8"/>
      <c r="N151" s="39" t="e">
        <f>#REF!-H151</f>
        <v>#REF!</v>
      </c>
    </row>
    <row r="152" spans="2:14">
      <c r="B152" s="14">
        <v>148</v>
      </c>
      <c r="C152" s="2" t="s">
        <v>198</v>
      </c>
      <c r="D152" s="12">
        <v>180000</v>
      </c>
      <c r="E152" s="12">
        <v>23994</v>
      </c>
      <c r="F152" s="15">
        <f>SUM(D152:E152)</f>
        <v>203994</v>
      </c>
      <c r="G152" s="30">
        <v>40</v>
      </c>
      <c r="H152" s="12">
        <v>5099.8500000000004</v>
      </c>
      <c r="I152" s="22">
        <v>39</v>
      </c>
      <c r="J152" s="22">
        <v>1</v>
      </c>
      <c r="K152" s="12">
        <f>(39*5099.85)</f>
        <v>198894.15000000002</v>
      </c>
      <c r="L152" s="15">
        <f t="shared" si="10"/>
        <v>5099.8499999999767</v>
      </c>
      <c r="M152" s="10"/>
      <c r="N152" s="39" t="e">
        <f>#REF!-H152</f>
        <v>#REF!</v>
      </c>
    </row>
    <row r="153" spans="2:14">
      <c r="B153" s="14">
        <v>149</v>
      </c>
      <c r="C153" s="2" t="s">
        <v>17</v>
      </c>
      <c r="D153" s="18">
        <v>500000</v>
      </c>
      <c r="E153" s="18">
        <v>66650</v>
      </c>
      <c r="F153" s="18">
        <v>566650</v>
      </c>
      <c r="G153" s="8" t="s">
        <v>13</v>
      </c>
      <c r="H153" s="16">
        <v>11333</v>
      </c>
      <c r="I153" s="8">
        <v>2</v>
      </c>
      <c r="J153" s="8">
        <v>48</v>
      </c>
      <c r="K153" s="12">
        <f>(2*11333)</f>
        <v>22666</v>
      </c>
      <c r="L153" s="12">
        <f t="shared" si="10"/>
        <v>543984</v>
      </c>
      <c r="M153" s="8" t="s">
        <v>20</v>
      </c>
      <c r="N153" s="39" t="e">
        <f>#REF!-H153</f>
        <v>#REF!</v>
      </c>
    </row>
    <row r="154" spans="2:14">
      <c r="B154" s="14">
        <v>150</v>
      </c>
      <c r="C154" s="2" t="s">
        <v>178</v>
      </c>
      <c r="D154" s="15">
        <v>200000</v>
      </c>
      <c r="E154" s="15">
        <v>26660</v>
      </c>
      <c r="F154" s="15">
        <f t="shared" ref="F154:F181" si="12">SUM(D154:E154)</f>
        <v>226660</v>
      </c>
      <c r="G154" s="31">
        <v>40</v>
      </c>
      <c r="H154" s="15">
        <v>5666.5</v>
      </c>
      <c r="I154" s="8">
        <v>36</v>
      </c>
      <c r="J154" s="8">
        <v>4</v>
      </c>
      <c r="K154" s="12">
        <f>(36*5666.5)</f>
        <v>203994</v>
      </c>
      <c r="L154" s="15">
        <f t="shared" si="10"/>
        <v>22666</v>
      </c>
      <c r="M154" s="8"/>
      <c r="N154" s="39" t="e">
        <f>#REF!-H154</f>
        <v>#REF!</v>
      </c>
    </row>
    <row r="155" spans="2:14">
      <c r="B155" s="14">
        <v>151</v>
      </c>
      <c r="C155" s="2" t="s">
        <v>83</v>
      </c>
      <c r="D155" s="12">
        <v>500000</v>
      </c>
      <c r="E155" s="12">
        <v>66650</v>
      </c>
      <c r="F155" s="15">
        <f t="shared" si="12"/>
        <v>566650</v>
      </c>
      <c r="G155" s="31">
        <v>50</v>
      </c>
      <c r="H155" s="12">
        <v>11333</v>
      </c>
      <c r="I155" s="8">
        <v>21</v>
      </c>
      <c r="J155" s="8">
        <v>29</v>
      </c>
      <c r="K155" s="12">
        <f>(21*11333)</f>
        <v>237993</v>
      </c>
      <c r="L155" s="15">
        <f t="shared" si="10"/>
        <v>328657</v>
      </c>
      <c r="M155" s="8"/>
      <c r="N155" s="39" t="e">
        <f>#REF!-H155</f>
        <v>#REF!</v>
      </c>
    </row>
    <row r="156" spans="2:14">
      <c r="B156" s="14">
        <v>152</v>
      </c>
      <c r="C156" s="2" t="s">
        <v>84</v>
      </c>
      <c r="D156" s="12">
        <v>500000</v>
      </c>
      <c r="E156" s="12">
        <v>66650</v>
      </c>
      <c r="F156" s="15">
        <f t="shared" si="12"/>
        <v>566650</v>
      </c>
      <c r="G156" s="31">
        <v>50</v>
      </c>
      <c r="H156" s="12">
        <v>11333</v>
      </c>
      <c r="I156" s="11">
        <v>16</v>
      </c>
      <c r="J156" s="11">
        <v>34</v>
      </c>
      <c r="K156" s="12">
        <f>(16*11333)</f>
        <v>181328</v>
      </c>
      <c r="L156" s="15">
        <f t="shared" si="10"/>
        <v>385322</v>
      </c>
      <c r="M156" s="8"/>
      <c r="N156" s="39" t="e">
        <f>#REF!-H156</f>
        <v>#REF!</v>
      </c>
    </row>
    <row r="157" spans="2:14">
      <c r="B157" s="14">
        <v>153</v>
      </c>
      <c r="C157" s="2" t="s">
        <v>32</v>
      </c>
      <c r="D157" s="20">
        <v>330000</v>
      </c>
      <c r="E157" s="20">
        <v>43989</v>
      </c>
      <c r="F157" s="20">
        <f t="shared" si="12"/>
        <v>373989</v>
      </c>
      <c r="G157" s="8" t="s">
        <v>13</v>
      </c>
      <c r="H157" s="3">
        <v>7479.78</v>
      </c>
      <c r="I157" s="8">
        <v>2</v>
      </c>
      <c r="J157" s="8">
        <v>48</v>
      </c>
      <c r="K157" s="3">
        <f>(2*7479.78)</f>
        <v>14959.56</v>
      </c>
      <c r="L157" s="12">
        <f t="shared" si="10"/>
        <v>359029.44</v>
      </c>
      <c r="M157" s="1"/>
      <c r="N157" s="39" t="e">
        <f>#REF!-H157</f>
        <v>#REF!</v>
      </c>
    </row>
    <row r="158" spans="2:14">
      <c r="B158" s="14">
        <v>154</v>
      </c>
      <c r="C158" s="2" t="s">
        <v>179</v>
      </c>
      <c r="D158" s="15">
        <v>200000</v>
      </c>
      <c r="E158" s="15">
        <v>26660</v>
      </c>
      <c r="F158" s="15">
        <f t="shared" si="12"/>
        <v>226660</v>
      </c>
      <c r="G158" s="31">
        <v>40</v>
      </c>
      <c r="H158" s="15">
        <v>5666.5</v>
      </c>
      <c r="I158" s="8">
        <v>29</v>
      </c>
      <c r="J158" s="11">
        <v>11</v>
      </c>
      <c r="K158" s="16">
        <f>(29*5666.5)</f>
        <v>164328.5</v>
      </c>
      <c r="L158" s="15">
        <f t="shared" si="10"/>
        <v>62331.5</v>
      </c>
      <c r="M158" s="8"/>
      <c r="N158" s="39" t="e">
        <f>#REF!-H158</f>
        <v>#REF!</v>
      </c>
    </row>
    <row r="159" spans="2:14">
      <c r="B159" s="14">
        <v>155</v>
      </c>
      <c r="C159" s="2" t="s">
        <v>85</v>
      </c>
      <c r="D159" s="12">
        <v>500000</v>
      </c>
      <c r="E159" s="12">
        <v>66650</v>
      </c>
      <c r="F159" s="15">
        <f t="shared" si="12"/>
        <v>566650</v>
      </c>
      <c r="G159" s="31">
        <v>50</v>
      </c>
      <c r="H159" s="12">
        <v>11333</v>
      </c>
      <c r="I159" s="11">
        <v>16</v>
      </c>
      <c r="J159" s="11">
        <v>34</v>
      </c>
      <c r="K159" s="12">
        <f>(16*11333)</f>
        <v>181328</v>
      </c>
      <c r="L159" s="15">
        <f t="shared" si="10"/>
        <v>385322</v>
      </c>
      <c r="M159" s="8"/>
      <c r="N159" s="39" t="e">
        <f>#REF!-H159</f>
        <v>#REF!</v>
      </c>
    </row>
    <row r="160" spans="2:14">
      <c r="B160" s="14">
        <v>156</v>
      </c>
      <c r="C160" s="2" t="s">
        <v>180</v>
      </c>
      <c r="D160" s="15">
        <v>200000</v>
      </c>
      <c r="E160" s="15">
        <v>26660</v>
      </c>
      <c r="F160" s="15">
        <f t="shared" si="12"/>
        <v>226660</v>
      </c>
      <c r="G160" s="32">
        <v>40</v>
      </c>
      <c r="H160" s="15">
        <v>5666.5</v>
      </c>
      <c r="I160" s="22">
        <v>39</v>
      </c>
      <c r="J160" s="30">
        <v>1</v>
      </c>
      <c r="K160" s="15">
        <f>(39*5666.5)</f>
        <v>220993.5</v>
      </c>
      <c r="L160" s="15">
        <f t="shared" si="10"/>
        <v>5666.5</v>
      </c>
      <c r="M160" s="10"/>
      <c r="N160" s="39" t="e">
        <f>#REF!-H160</f>
        <v>#REF!</v>
      </c>
    </row>
    <row r="161" spans="2:14">
      <c r="B161" s="14">
        <v>157</v>
      </c>
      <c r="C161" s="2" t="s">
        <v>114</v>
      </c>
      <c r="D161" s="12">
        <v>330000</v>
      </c>
      <c r="E161" s="12">
        <v>43989</v>
      </c>
      <c r="F161" s="15">
        <f t="shared" si="12"/>
        <v>373989</v>
      </c>
      <c r="G161" s="31">
        <v>50</v>
      </c>
      <c r="H161" s="12">
        <v>7479.78</v>
      </c>
      <c r="I161" s="8">
        <v>23</v>
      </c>
      <c r="J161" s="8">
        <v>27</v>
      </c>
      <c r="K161" s="12">
        <f>(23*7479.78)</f>
        <v>172034.94</v>
      </c>
      <c r="L161" s="15">
        <f t="shared" si="10"/>
        <v>201954.06</v>
      </c>
      <c r="M161" s="8"/>
      <c r="N161" s="39" t="e">
        <f>#REF!-H161</f>
        <v>#REF!</v>
      </c>
    </row>
    <row r="162" spans="2:14">
      <c r="B162" s="14">
        <v>158</v>
      </c>
      <c r="C162" s="2" t="s">
        <v>219</v>
      </c>
      <c r="D162" s="12">
        <v>60000</v>
      </c>
      <c r="E162" s="12">
        <v>7998</v>
      </c>
      <c r="F162" s="15">
        <f t="shared" si="12"/>
        <v>67998</v>
      </c>
      <c r="G162" s="31">
        <v>40</v>
      </c>
      <c r="H162" s="12">
        <v>1699.95</v>
      </c>
      <c r="I162" s="8">
        <v>30</v>
      </c>
      <c r="J162" s="8">
        <v>10</v>
      </c>
      <c r="K162" s="12">
        <f>(30*1699.95)</f>
        <v>50998.5</v>
      </c>
      <c r="L162" s="15">
        <f t="shared" si="10"/>
        <v>16999.5</v>
      </c>
      <c r="M162" s="8"/>
      <c r="N162" s="39" t="e">
        <f>#REF!-H162</f>
        <v>#REF!</v>
      </c>
    </row>
    <row r="163" spans="2:14">
      <c r="B163" s="14">
        <v>159</v>
      </c>
      <c r="C163" s="2" t="s">
        <v>207</v>
      </c>
      <c r="D163" s="12">
        <v>132000</v>
      </c>
      <c r="E163" s="12">
        <v>17595.599999999999</v>
      </c>
      <c r="F163" s="15">
        <f t="shared" si="12"/>
        <v>149595.6</v>
      </c>
      <c r="G163" s="31">
        <v>40</v>
      </c>
      <c r="H163" s="12">
        <v>3739.89</v>
      </c>
      <c r="I163" s="8">
        <v>31</v>
      </c>
      <c r="J163" s="8">
        <v>9</v>
      </c>
      <c r="K163" s="12">
        <f>(31*3739.89)</f>
        <v>115936.59</v>
      </c>
      <c r="L163" s="15">
        <f t="shared" si="10"/>
        <v>33659.010000000009</v>
      </c>
      <c r="M163" s="8"/>
      <c r="N163" s="39" t="e">
        <f>#REF!-H163</f>
        <v>#REF!</v>
      </c>
    </row>
    <row r="164" spans="2:14">
      <c r="B164" s="14">
        <v>160</v>
      </c>
      <c r="C164" s="2" t="s">
        <v>100</v>
      </c>
      <c r="D164" s="12">
        <v>450000</v>
      </c>
      <c r="E164" s="16">
        <v>59985</v>
      </c>
      <c r="F164" s="15">
        <f t="shared" si="12"/>
        <v>509985</v>
      </c>
      <c r="G164" s="33">
        <v>50</v>
      </c>
      <c r="H164" s="16">
        <v>10199.700000000001</v>
      </c>
      <c r="I164" s="11">
        <v>15</v>
      </c>
      <c r="J164" s="11">
        <v>35</v>
      </c>
      <c r="K164" s="12">
        <f>(15*10199.7)</f>
        <v>152995.5</v>
      </c>
      <c r="L164" s="15">
        <f t="shared" si="10"/>
        <v>356989.5</v>
      </c>
      <c r="M164" s="8"/>
      <c r="N164" s="39" t="e">
        <f>#REF!-H164</f>
        <v>#REF!</v>
      </c>
    </row>
    <row r="165" spans="2:14">
      <c r="B165" s="14">
        <v>161</v>
      </c>
      <c r="C165" s="2" t="s">
        <v>101</v>
      </c>
      <c r="D165" s="12">
        <v>450000</v>
      </c>
      <c r="E165" s="16">
        <v>59985</v>
      </c>
      <c r="F165" s="15">
        <f t="shared" si="12"/>
        <v>509985</v>
      </c>
      <c r="G165" s="33">
        <v>50</v>
      </c>
      <c r="H165" s="16">
        <v>10199.700000000001</v>
      </c>
      <c r="I165" s="8">
        <v>15</v>
      </c>
      <c r="J165" s="8">
        <v>35</v>
      </c>
      <c r="K165" s="12">
        <f>(15*10199.7)</f>
        <v>152995.5</v>
      </c>
      <c r="L165" s="15">
        <f t="shared" ref="L165:L196" si="13">F165-K165</f>
        <v>356989.5</v>
      </c>
      <c r="M165" s="8"/>
      <c r="N165" s="39" t="e">
        <f>#REF!-H165</f>
        <v>#REF!</v>
      </c>
    </row>
    <row r="166" spans="2:14">
      <c r="B166" s="14">
        <v>162</v>
      </c>
      <c r="C166" s="2" t="s">
        <v>181</v>
      </c>
      <c r="D166" s="15">
        <v>200000</v>
      </c>
      <c r="E166" s="15">
        <v>26660</v>
      </c>
      <c r="F166" s="15">
        <f t="shared" si="12"/>
        <v>226660</v>
      </c>
      <c r="G166" s="31">
        <v>40</v>
      </c>
      <c r="H166" s="15">
        <v>5666.5</v>
      </c>
      <c r="I166" s="8">
        <v>33</v>
      </c>
      <c r="J166" s="8">
        <v>7</v>
      </c>
      <c r="K166" s="15">
        <f>(33*5666.5)</f>
        <v>186994.5</v>
      </c>
      <c r="L166" s="15">
        <f t="shared" si="13"/>
        <v>39665.5</v>
      </c>
      <c r="M166" s="8"/>
      <c r="N166" s="39" t="e">
        <f>#REF!-H166</f>
        <v>#REF!</v>
      </c>
    </row>
    <row r="167" spans="2:14">
      <c r="B167" s="14">
        <v>163</v>
      </c>
      <c r="C167" s="2" t="s">
        <v>208</v>
      </c>
      <c r="D167" s="12">
        <v>132000</v>
      </c>
      <c r="E167" s="12">
        <v>17595.599999999999</v>
      </c>
      <c r="F167" s="15">
        <f t="shared" si="12"/>
        <v>149595.6</v>
      </c>
      <c r="G167" s="30">
        <v>40</v>
      </c>
      <c r="H167" s="12">
        <v>3739.89</v>
      </c>
      <c r="I167" s="22">
        <v>39</v>
      </c>
      <c r="J167" s="22">
        <v>1</v>
      </c>
      <c r="K167" s="12">
        <f>(39*3739.89)</f>
        <v>145855.71</v>
      </c>
      <c r="L167" s="15">
        <f t="shared" si="13"/>
        <v>3739.890000000014</v>
      </c>
      <c r="M167" s="8"/>
      <c r="N167" s="39" t="e">
        <f>#REF!-H167</f>
        <v>#REF!</v>
      </c>
    </row>
    <row r="168" spans="2:14">
      <c r="B168" s="14">
        <v>164</v>
      </c>
      <c r="C168" s="2" t="s">
        <v>220</v>
      </c>
      <c r="D168" s="12">
        <v>60000</v>
      </c>
      <c r="E168" s="12">
        <v>7998</v>
      </c>
      <c r="F168" s="15">
        <f t="shared" si="12"/>
        <v>67998</v>
      </c>
      <c r="G168" s="31">
        <v>40</v>
      </c>
      <c r="H168" s="12">
        <v>1699.95</v>
      </c>
      <c r="I168" s="8">
        <v>37</v>
      </c>
      <c r="J168" s="8">
        <v>3</v>
      </c>
      <c r="K168" s="12">
        <f>(37*1699.89)</f>
        <v>62895.93</v>
      </c>
      <c r="L168" s="15">
        <f t="shared" si="13"/>
        <v>5102.07</v>
      </c>
      <c r="M168" s="8"/>
      <c r="N168" s="39" t="e">
        <f>#REF!-H168</f>
        <v>#REF!</v>
      </c>
    </row>
    <row r="169" spans="2:14">
      <c r="B169" s="14">
        <v>165</v>
      </c>
      <c r="C169" s="2" t="s">
        <v>209</v>
      </c>
      <c r="D169" s="12">
        <v>132000</v>
      </c>
      <c r="E169" s="12">
        <v>17595.599999999999</v>
      </c>
      <c r="F169" s="15">
        <f t="shared" si="12"/>
        <v>149595.6</v>
      </c>
      <c r="G169" s="30">
        <v>40</v>
      </c>
      <c r="H169" s="12">
        <v>3739.89</v>
      </c>
      <c r="I169" s="22">
        <v>39</v>
      </c>
      <c r="J169" s="22">
        <v>1</v>
      </c>
      <c r="K169" s="12">
        <f>(39*3739.89)</f>
        <v>145855.71</v>
      </c>
      <c r="L169" s="15">
        <f t="shared" si="13"/>
        <v>3739.890000000014</v>
      </c>
      <c r="M169" s="8"/>
      <c r="N169" s="39" t="e">
        <f>#REF!-H169</f>
        <v>#REF!</v>
      </c>
    </row>
    <row r="170" spans="2:14">
      <c r="B170" s="14">
        <v>166</v>
      </c>
      <c r="C170" s="2" t="s">
        <v>102</v>
      </c>
      <c r="D170" s="12">
        <v>450000</v>
      </c>
      <c r="E170" s="12">
        <v>59985</v>
      </c>
      <c r="F170" s="15">
        <f t="shared" si="12"/>
        <v>509985</v>
      </c>
      <c r="G170" s="31">
        <v>50</v>
      </c>
      <c r="H170" s="12">
        <v>10199.700000000001</v>
      </c>
      <c r="I170" s="11">
        <v>16</v>
      </c>
      <c r="J170" s="11">
        <v>34</v>
      </c>
      <c r="K170" s="12">
        <f>(16*10199.7)</f>
        <v>163195.20000000001</v>
      </c>
      <c r="L170" s="15">
        <f t="shared" si="13"/>
        <v>346789.8</v>
      </c>
      <c r="M170" s="8"/>
      <c r="N170" s="39" t="e">
        <f>#REF!-H170</f>
        <v>#REF!</v>
      </c>
    </row>
    <row r="171" spans="2:14">
      <c r="B171" s="14">
        <v>167</v>
      </c>
      <c r="C171" s="2" t="s">
        <v>35</v>
      </c>
      <c r="D171" s="20">
        <v>150000</v>
      </c>
      <c r="E171" s="20">
        <v>19995</v>
      </c>
      <c r="F171" s="20">
        <f t="shared" si="12"/>
        <v>169995</v>
      </c>
      <c r="G171" s="8" t="s">
        <v>13</v>
      </c>
      <c r="H171" s="3">
        <v>3399.9</v>
      </c>
      <c r="I171" s="8">
        <v>2</v>
      </c>
      <c r="J171" s="8">
        <v>48</v>
      </c>
      <c r="K171" s="3">
        <f>(2*3399.9)</f>
        <v>6799.8</v>
      </c>
      <c r="L171" s="12">
        <f t="shared" si="13"/>
        <v>163195.20000000001</v>
      </c>
      <c r="M171" s="1"/>
      <c r="N171" s="39" t="e">
        <f>#REF!-H171</f>
        <v>#REF!</v>
      </c>
    </row>
    <row r="172" spans="2:14">
      <c r="B172" s="14">
        <v>168</v>
      </c>
      <c r="C172" s="2" t="s">
        <v>115</v>
      </c>
      <c r="D172" s="12">
        <v>330000</v>
      </c>
      <c r="E172" s="12">
        <v>43989</v>
      </c>
      <c r="F172" s="15">
        <f t="shared" si="12"/>
        <v>373989</v>
      </c>
      <c r="G172" s="31">
        <v>50</v>
      </c>
      <c r="H172" s="12">
        <v>7479.78</v>
      </c>
      <c r="I172" s="8">
        <v>23</v>
      </c>
      <c r="J172" s="8">
        <v>27</v>
      </c>
      <c r="K172" s="12">
        <f>(23*7479.78)</f>
        <v>172034.94</v>
      </c>
      <c r="L172" s="15">
        <f t="shared" si="13"/>
        <v>201954.06</v>
      </c>
      <c r="M172" s="8"/>
      <c r="N172" s="39" t="e">
        <f>#REF!-H172</f>
        <v>#REF!</v>
      </c>
    </row>
    <row r="173" spans="2:14">
      <c r="B173" s="14">
        <v>169</v>
      </c>
      <c r="C173" s="2" t="s">
        <v>86</v>
      </c>
      <c r="D173" s="12">
        <v>500000</v>
      </c>
      <c r="E173" s="12">
        <v>66650</v>
      </c>
      <c r="F173" s="15">
        <f t="shared" si="12"/>
        <v>566650</v>
      </c>
      <c r="G173" s="33">
        <v>50</v>
      </c>
      <c r="H173" s="12">
        <v>11333</v>
      </c>
      <c r="I173" s="11">
        <v>15</v>
      </c>
      <c r="J173" s="11">
        <v>35</v>
      </c>
      <c r="K173" s="16">
        <f>(15*11333)</f>
        <v>169995</v>
      </c>
      <c r="L173" s="15">
        <f t="shared" si="13"/>
        <v>396655</v>
      </c>
      <c r="M173" s="8"/>
      <c r="N173" s="39" t="e">
        <f>#REF!-H173</f>
        <v>#REF!</v>
      </c>
    </row>
    <row r="174" spans="2:14">
      <c r="B174" s="14">
        <v>170</v>
      </c>
      <c r="C174" s="2" t="s">
        <v>116</v>
      </c>
      <c r="D174" s="12">
        <v>330000</v>
      </c>
      <c r="E174" s="12">
        <v>43989</v>
      </c>
      <c r="F174" s="15">
        <f t="shared" si="12"/>
        <v>373989</v>
      </c>
      <c r="G174" s="31">
        <v>50</v>
      </c>
      <c r="H174" s="12">
        <v>7479.78</v>
      </c>
      <c r="I174" s="8">
        <v>23</v>
      </c>
      <c r="J174" s="8">
        <v>27</v>
      </c>
      <c r="K174" s="12">
        <f>(23*7479.78)</f>
        <v>172034.94</v>
      </c>
      <c r="L174" s="15">
        <f t="shared" si="13"/>
        <v>201954.06</v>
      </c>
      <c r="M174" s="8"/>
      <c r="N174" s="39" t="e">
        <f>#REF!-H174</f>
        <v>#REF!</v>
      </c>
    </row>
    <row r="175" spans="2:14">
      <c r="B175" s="14">
        <v>171</v>
      </c>
      <c r="C175" s="23" t="s">
        <v>47</v>
      </c>
      <c r="D175" s="12">
        <v>500000</v>
      </c>
      <c r="E175" s="16">
        <v>47992</v>
      </c>
      <c r="F175" s="15">
        <f t="shared" si="12"/>
        <v>547992</v>
      </c>
      <c r="G175" s="33">
        <v>36</v>
      </c>
      <c r="H175" s="16">
        <v>15222</v>
      </c>
      <c r="I175" s="11">
        <v>15</v>
      </c>
      <c r="J175" s="11">
        <v>21</v>
      </c>
      <c r="K175" s="16">
        <f>(15*15222)</f>
        <v>228330</v>
      </c>
      <c r="L175" s="15">
        <f t="shared" si="13"/>
        <v>319662</v>
      </c>
      <c r="M175" s="8"/>
      <c r="N175" s="39" t="e">
        <f>#REF!-H175</f>
        <v>#REF!</v>
      </c>
    </row>
    <row r="176" spans="2:14">
      <c r="B176" s="14">
        <v>172</v>
      </c>
      <c r="C176" s="2" t="s">
        <v>182</v>
      </c>
      <c r="D176" s="15">
        <v>200000</v>
      </c>
      <c r="E176" s="15">
        <v>26660</v>
      </c>
      <c r="F176" s="15">
        <f t="shared" si="12"/>
        <v>226660</v>
      </c>
      <c r="G176" s="31">
        <v>40</v>
      </c>
      <c r="H176" s="15">
        <v>5666.5</v>
      </c>
      <c r="I176" s="8">
        <v>37</v>
      </c>
      <c r="J176" s="8">
        <v>3</v>
      </c>
      <c r="K176" s="12">
        <f>(37*5666.5)</f>
        <v>209660.5</v>
      </c>
      <c r="L176" s="15">
        <f t="shared" si="13"/>
        <v>16999.5</v>
      </c>
      <c r="M176" s="8"/>
      <c r="N176" s="39" t="e">
        <f>#REF!-H176</f>
        <v>#REF!</v>
      </c>
    </row>
    <row r="177" spans="2:14">
      <c r="B177" s="14">
        <v>173</v>
      </c>
      <c r="C177" s="2" t="s">
        <v>183</v>
      </c>
      <c r="D177" s="15">
        <v>200000</v>
      </c>
      <c r="E177" s="15">
        <v>26660</v>
      </c>
      <c r="F177" s="15">
        <f t="shared" si="12"/>
        <v>226660</v>
      </c>
      <c r="G177" s="32">
        <v>40</v>
      </c>
      <c r="H177" s="15">
        <v>5666.5</v>
      </c>
      <c r="I177" s="22">
        <v>39</v>
      </c>
      <c r="J177" s="30">
        <v>1</v>
      </c>
      <c r="K177" s="12">
        <f>(39*5666.5)</f>
        <v>220993.5</v>
      </c>
      <c r="L177" s="15">
        <f t="shared" si="13"/>
        <v>5666.5</v>
      </c>
      <c r="M177" s="10"/>
      <c r="N177" s="39" t="e">
        <f>#REF!-H177</f>
        <v>#REF!</v>
      </c>
    </row>
    <row r="178" spans="2:14">
      <c r="B178" s="14">
        <v>174</v>
      </c>
      <c r="C178" s="4" t="s">
        <v>87</v>
      </c>
      <c r="D178" s="12">
        <v>500000</v>
      </c>
      <c r="E178" s="12">
        <v>66650</v>
      </c>
      <c r="F178" s="15">
        <f t="shared" si="12"/>
        <v>566650</v>
      </c>
      <c r="G178" s="31">
        <v>50</v>
      </c>
      <c r="H178" s="12">
        <v>11333</v>
      </c>
      <c r="I178" s="8">
        <v>37</v>
      </c>
      <c r="J178" s="8">
        <v>13</v>
      </c>
      <c r="K178" s="12">
        <f>(37*11333)</f>
        <v>419321</v>
      </c>
      <c r="L178" s="15">
        <f t="shared" si="13"/>
        <v>147329</v>
      </c>
      <c r="M178" s="8"/>
      <c r="N178" s="39" t="e">
        <f>#REF!-H178</f>
        <v>#REF!</v>
      </c>
    </row>
    <row r="179" spans="2:14">
      <c r="B179" s="14">
        <v>175</v>
      </c>
      <c r="C179" s="4" t="s">
        <v>103</v>
      </c>
      <c r="D179" s="12">
        <v>450000</v>
      </c>
      <c r="E179" s="16">
        <v>59985</v>
      </c>
      <c r="F179" s="15">
        <f t="shared" si="12"/>
        <v>509985</v>
      </c>
      <c r="G179" s="33">
        <v>50</v>
      </c>
      <c r="H179" s="16">
        <v>10199.700000000001</v>
      </c>
      <c r="I179" s="8">
        <v>16</v>
      </c>
      <c r="J179" s="8">
        <v>34</v>
      </c>
      <c r="K179" s="12">
        <f>(16*10199.7)</f>
        <v>163195.20000000001</v>
      </c>
      <c r="L179" s="15">
        <f t="shared" si="13"/>
        <v>346789.8</v>
      </c>
      <c r="M179" s="8"/>
      <c r="N179" s="39" t="e">
        <f>#REF!-H179</f>
        <v>#REF!</v>
      </c>
    </row>
    <row r="180" spans="2:14">
      <c r="B180" s="14">
        <v>176</v>
      </c>
      <c r="C180" s="4" t="s">
        <v>88</v>
      </c>
      <c r="D180" s="12">
        <v>500000</v>
      </c>
      <c r="E180" s="12">
        <v>66650</v>
      </c>
      <c r="F180" s="15">
        <f t="shared" si="12"/>
        <v>566650</v>
      </c>
      <c r="G180" s="31">
        <v>50</v>
      </c>
      <c r="H180" s="12">
        <v>11333</v>
      </c>
      <c r="I180" s="11">
        <v>16</v>
      </c>
      <c r="J180" s="11">
        <v>34</v>
      </c>
      <c r="K180" s="12">
        <f>(16*11333)</f>
        <v>181328</v>
      </c>
      <c r="L180" s="15">
        <f t="shared" si="13"/>
        <v>385322</v>
      </c>
      <c r="M180" s="8"/>
      <c r="N180" s="39" t="e">
        <f>#REF!-H180</f>
        <v>#REF!</v>
      </c>
    </row>
    <row r="181" spans="2:14">
      <c r="B181" s="14">
        <v>177</v>
      </c>
      <c r="C181" s="2" t="s">
        <v>104</v>
      </c>
      <c r="D181" s="12">
        <v>450000</v>
      </c>
      <c r="E181" s="12">
        <v>59985</v>
      </c>
      <c r="F181" s="15">
        <f t="shared" si="12"/>
        <v>509985</v>
      </c>
      <c r="G181" s="31">
        <v>50</v>
      </c>
      <c r="H181" s="12">
        <v>10199.700000000001</v>
      </c>
      <c r="I181" s="11">
        <v>16</v>
      </c>
      <c r="J181" s="11">
        <v>34</v>
      </c>
      <c r="K181" s="12">
        <f>(16*10199.7)</f>
        <v>163195.20000000001</v>
      </c>
      <c r="L181" s="15">
        <f t="shared" si="13"/>
        <v>346789.8</v>
      </c>
      <c r="M181" s="8"/>
      <c r="N181" s="39" t="e">
        <f>#REF!-H181</f>
        <v>#REF!</v>
      </c>
    </row>
    <row r="182" spans="2:14">
      <c r="B182" s="14">
        <v>178</v>
      </c>
      <c r="C182" s="4" t="s">
        <v>38</v>
      </c>
      <c r="D182" s="18">
        <v>500000</v>
      </c>
      <c r="E182" s="18">
        <v>66650</v>
      </c>
      <c r="F182" s="18">
        <v>566650</v>
      </c>
      <c r="G182" s="8" t="s">
        <v>13</v>
      </c>
      <c r="H182" s="16">
        <v>11333</v>
      </c>
      <c r="I182" s="8">
        <v>2</v>
      </c>
      <c r="J182" s="8">
        <v>48</v>
      </c>
      <c r="K182" s="12">
        <f>(2*11333)</f>
        <v>22666</v>
      </c>
      <c r="L182" s="12">
        <f t="shared" si="13"/>
        <v>543984</v>
      </c>
      <c r="M182" s="1"/>
      <c r="N182" s="39" t="e">
        <f>#REF!-H182</f>
        <v>#REF!</v>
      </c>
    </row>
    <row r="183" spans="2:14">
      <c r="B183" s="14">
        <v>179</v>
      </c>
      <c r="C183" s="4" t="s">
        <v>89</v>
      </c>
      <c r="D183" s="12">
        <v>500000</v>
      </c>
      <c r="E183" s="12">
        <v>66650</v>
      </c>
      <c r="F183" s="15">
        <f>SUM(D183:E183)</f>
        <v>566650</v>
      </c>
      <c r="G183" s="31">
        <v>50</v>
      </c>
      <c r="H183" s="12">
        <v>11333</v>
      </c>
      <c r="I183" s="8">
        <v>23</v>
      </c>
      <c r="J183" s="8">
        <v>27</v>
      </c>
      <c r="K183" s="12">
        <f>(23*11333)</f>
        <v>260659</v>
      </c>
      <c r="L183" s="15">
        <f t="shared" si="13"/>
        <v>305991</v>
      </c>
      <c r="M183" s="8"/>
      <c r="N183" s="39" t="e">
        <f>#REF!-H183</f>
        <v>#REF!</v>
      </c>
    </row>
    <row r="184" spans="2:14">
      <c r="B184" s="14">
        <v>180</v>
      </c>
      <c r="C184" s="4" t="s">
        <v>117</v>
      </c>
      <c r="D184" s="12">
        <v>330000</v>
      </c>
      <c r="E184" s="12">
        <v>43989</v>
      </c>
      <c r="F184" s="15">
        <f>SUM(D184:E184)</f>
        <v>373989</v>
      </c>
      <c r="G184" s="31">
        <v>50</v>
      </c>
      <c r="H184" s="12">
        <v>7479.78</v>
      </c>
      <c r="I184" s="11">
        <v>25</v>
      </c>
      <c r="J184" s="11">
        <v>25</v>
      </c>
      <c r="K184" s="16">
        <f>(25*7479.78)</f>
        <v>186994.5</v>
      </c>
      <c r="L184" s="15">
        <f t="shared" si="13"/>
        <v>186994.5</v>
      </c>
      <c r="M184" s="8"/>
      <c r="N184" s="39" t="e">
        <f>#REF!-H184</f>
        <v>#REF!</v>
      </c>
    </row>
    <row r="185" spans="2:14">
      <c r="B185" s="14">
        <v>181</v>
      </c>
      <c r="C185" s="4" t="s">
        <v>184</v>
      </c>
      <c r="D185" s="15">
        <v>200000</v>
      </c>
      <c r="E185" s="15">
        <v>26660</v>
      </c>
      <c r="F185" s="15">
        <f>SUM(D185:E185)</f>
        <v>226660</v>
      </c>
      <c r="G185" s="31">
        <v>40</v>
      </c>
      <c r="H185" s="15">
        <v>5666.5</v>
      </c>
      <c r="I185" s="8">
        <v>33</v>
      </c>
      <c r="J185" s="8">
        <v>7</v>
      </c>
      <c r="K185" s="12">
        <f>(33*5666.5)</f>
        <v>186994.5</v>
      </c>
      <c r="L185" s="15">
        <f t="shared" si="13"/>
        <v>39665.5</v>
      </c>
      <c r="M185" s="8"/>
      <c r="N185" s="39" t="e">
        <f>#REF!-H185</f>
        <v>#REF!</v>
      </c>
    </row>
    <row r="186" spans="2:14">
      <c r="B186" s="14">
        <v>182</v>
      </c>
      <c r="C186" s="4" t="s">
        <v>30</v>
      </c>
      <c r="D186" s="20">
        <v>330000</v>
      </c>
      <c r="E186" s="20">
        <v>43989</v>
      </c>
      <c r="F186" s="20">
        <f>SUM(D186:E186)</f>
        <v>373989</v>
      </c>
      <c r="G186" s="8" t="s">
        <v>13</v>
      </c>
      <c r="H186" s="3">
        <v>7479.78</v>
      </c>
      <c r="I186" s="8">
        <v>2</v>
      </c>
      <c r="J186" s="8">
        <v>48</v>
      </c>
      <c r="K186" s="3">
        <f>(2*7479.78)</f>
        <v>14959.56</v>
      </c>
      <c r="L186" s="12">
        <f t="shared" si="13"/>
        <v>359029.44</v>
      </c>
      <c r="M186" s="1"/>
      <c r="N186" s="39" t="e">
        <f>#REF!-H186</f>
        <v>#REF!</v>
      </c>
    </row>
    <row r="187" spans="2:14">
      <c r="B187" s="14">
        <v>183</v>
      </c>
      <c r="C187" s="2" t="s">
        <v>29</v>
      </c>
      <c r="D187" s="18">
        <v>450000</v>
      </c>
      <c r="E187" s="19">
        <v>59985</v>
      </c>
      <c r="F187" s="19">
        <v>509985</v>
      </c>
      <c r="G187" s="8" t="s">
        <v>13</v>
      </c>
      <c r="H187" s="16">
        <v>10199.700000000001</v>
      </c>
      <c r="I187" s="8">
        <v>2</v>
      </c>
      <c r="J187" s="8">
        <v>48</v>
      </c>
      <c r="K187" s="12">
        <f>(2*10199)</f>
        <v>20398</v>
      </c>
      <c r="L187" s="12">
        <f t="shared" si="13"/>
        <v>489587</v>
      </c>
      <c r="M187" s="1"/>
      <c r="N187" s="39" t="e">
        <f>#REF!-H187</f>
        <v>#REF!</v>
      </c>
    </row>
    <row r="188" spans="2:14">
      <c r="B188" s="14">
        <v>184</v>
      </c>
      <c r="C188" s="26" t="s">
        <v>118</v>
      </c>
      <c r="D188" s="12">
        <v>330000</v>
      </c>
      <c r="E188" s="12">
        <v>43989</v>
      </c>
      <c r="F188" s="15">
        <f t="shared" ref="F188:F193" si="14">SUM(D188:E188)</f>
        <v>373989</v>
      </c>
      <c r="G188" s="31">
        <v>50</v>
      </c>
      <c r="H188" s="12">
        <v>7479.78</v>
      </c>
      <c r="I188" s="8">
        <v>22</v>
      </c>
      <c r="J188" s="8">
        <v>28</v>
      </c>
      <c r="K188" s="12">
        <f>(22*7479.78)</f>
        <v>164555.16</v>
      </c>
      <c r="L188" s="15">
        <f t="shared" si="13"/>
        <v>209433.84</v>
      </c>
      <c r="M188" s="8"/>
      <c r="N188" s="39" t="e">
        <f>#REF!-H188</f>
        <v>#REF!</v>
      </c>
    </row>
    <row r="189" spans="2:14">
      <c r="B189" s="14">
        <v>185</v>
      </c>
      <c r="C189" s="2" t="s">
        <v>90</v>
      </c>
      <c r="D189" s="12">
        <v>500000</v>
      </c>
      <c r="E189" s="12">
        <v>66650</v>
      </c>
      <c r="F189" s="15">
        <f t="shared" si="14"/>
        <v>566650</v>
      </c>
      <c r="G189" s="31">
        <v>50</v>
      </c>
      <c r="H189" s="12">
        <v>11333</v>
      </c>
      <c r="I189" s="8">
        <v>37</v>
      </c>
      <c r="J189" s="8">
        <v>13</v>
      </c>
      <c r="K189" s="12">
        <f>(37*11333)</f>
        <v>419321</v>
      </c>
      <c r="L189" s="15">
        <f t="shared" si="13"/>
        <v>147329</v>
      </c>
      <c r="M189" s="8"/>
      <c r="N189" s="39" t="e">
        <f>#REF!-H189</f>
        <v>#REF!</v>
      </c>
    </row>
    <row r="190" spans="2:14">
      <c r="B190" s="14">
        <v>186</v>
      </c>
      <c r="C190" s="2" t="s">
        <v>210</v>
      </c>
      <c r="D190" s="12">
        <v>132000</v>
      </c>
      <c r="E190" s="12">
        <v>17595.599999999999</v>
      </c>
      <c r="F190" s="15">
        <f t="shared" si="14"/>
        <v>149595.6</v>
      </c>
      <c r="G190" s="30">
        <v>40</v>
      </c>
      <c r="H190" s="12">
        <v>3739.89</v>
      </c>
      <c r="I190" s="22">
        <v>39</v>
      </c>
      <c r="J190" s="22">
        <v>1</v>
      </c>
      <c r="K190" s="12">
        <f>(39*3739.89)</f>
        <v>145855.71</v>
      </c>
      <c r="L190" s="15">
        <f t="shared" si="13"/>
        <v>3739.890000000014</v>
      </c>
      <c r="M190" s="8"/>
      <c r="N190" s="39" t="e">
        <f>#REF!-H190</f>
        <v>#REF!</v>
      </c>
    </row>
    <row r="191" spans="2:14">
      <c r="B191" s="14">
        <v>187</v>
      </c>
      <c r="C191" s="4" t="s">
        <v>91</v>
      </c>
      <c r="D191" s="12">
        <v>500000</v>
      </c>
      <c r="E191" s="12">
        <v>66650</v>
      </c>
      <c r="F191" s="15">
        <f t="shared" si="14"/>
        <v>566650</v>
      </c>
      <c r="G191" s="33">
        <v>50</v>
      </c>
      <c r="H191" s="12">
        <v>11333</v>
      </c>
      <c r="I191" s="11">
        <v>15</v>
      </c>
      <c r="J191" s="11">
        <v>35</v>
      </c>
      <c r="K191" s="16">
        <f>(15*11333)</f>
        <v>169995</v>
      </c>
      <c r="L191" s="15">
        <f t="shared" si="13"/>
        <v>396655</v>
      </c>
      <c r="M191" s="8"/>
      <c r="N191" s="39" t="e">
        <f>#REF!-H191</f>
        <v>#REF!</v>
      </c>
    </row>
    <row r="192" spans="2:14">
      <c r="B192" s="14">
        <v>188</v>
      </c>
      <c r="C192" s="4" t="s">
        <v>92</v>
      </c>
      <c r="D192" s="12">
        <v>500000</v>
      </c>
      <c r="E192" s="12">
        <v>66650</v>
      </c>
      <c r="F192" s="15">
        <f t="shared" si="14"/>
        <v>566650</v>
      </c>
      <c r="G192" s="31">
        <v>50</v>
      </c>
      <c r="H192" s="12">
        <v>11333</v>
      </c>
      <c r="I192" s="8">
        <v>23</v>
      </c>
      <c r="J192" s="8">
        <v>27</v>
      </c>
      <c r="K192" s="16">
        <f>(23*11333)</f>
        <v>260659</v>
      </c>
      <c r="L192" s="15">
        <f t="shared" si="13"/>
        <v>305991</v>
      </c>
      <c r="M192" s="8"/>
      <c r="N192" s="39" t="e">
        <f>#REF!-H192</f>
        <v>#REF!</v>
      </c>
    </row>
    <row r="193" spans="2:14">
      <c r="B193" s="14">
        <v>189</v>
      </c>
      <c r="C193" s="4" t="s">
        <v>119</v>
      </c>
      <c r="D193" s="12">
        <v>330000</v>
      </c>
      <c r="E193" s="16">
        <v>43989</v>
      </c>
      <c r="F193" s="15">
        <f t="shared" si="14"/>
        <v>373989</v>
      </c>
      <c r="G193" s="33">
        <v>50</v>
      </c>
      <c r="H193" s="16">
        <v>7479.78</v>
      </c>
      <c r="I193" s="11">
        <v>15</v>
      </c>
      <c r="J193" s="11">
        <v>35</v>
      </c>
      <c r="K193" s="12">
        <f>(15*7479.78)</f>
        <v>112196.7</v>
      </c>
      <c r="L193" s="15">
        <f t="shared" si="13"/>
        <v>261792.3</v>
      </c>
      <c r="M193" s="8"/>
      <c r="N193" s="39" t="e">
        <f>#REF!-H193</f>
        <v>#REF!</v>
      </c>
    </row>
    <row r="194" spans="2:14">
      <c r="B194" s="14">
        <v>190</v>
      </c>
      <c r="C194" s="4" t="s">
        <v>39</v>
      </c>
      <c r="D194" s="12">
        <v>500000</v>
      </c>
      <c r="E194" s="12">
        <v>66650</v>
      </c>
      <c r="F194" s="12">
        <v>566650</v>
      </c>
      <c r="G194" s="8" t="s">
        <v>13</v>
      </c>
      <c r="H194" s="16">
        <v>11333</v>
      </c>
      <c r="I194" s="8">
        <v>2</v>
      </c>
      <c r="J194" s="8">
        <v>48</v>
      </c>
      <c r="K194" s="12">
        <f>(2*11333)</f>
        <v>22666</v>
      </c>
      <c r="L194" s="12">
        <f t="shared" si="13"/>
        <v>543984</v>
      </c>
      <c r="M194" s="1"/>
      <c r="N194" s="39" t="e">
        <f>#REF!-H194</f>
        <v>#REF!</v>
      </c>
    </row>
    <row r="195" spans="2:14">
      <c r="B195" s="14">
        <v>191</v>
      </c>
      <c r="C195" s="4" t="s">
        <v>48</v>
      </c>
      <c r="D195" s="12">
        <v>500000</v>
      </c>
      <c r="E195" s="16">
        <v>47992</v>
      </c>
      <c r="F195" s="15">
        <f>SUM(D195:E195)</f>
        <v>547992</v>
      </c>
      <c r="G195" s="33">
        <v>36</v>
      </c>
      <c r="H195" s="16">
        <v>15222</v>
      </c>
      <c r="I195" s="11">
        <v>15</v>
      </c>
      <c r="J195" s="11">
        <v>21</v>
      </c>
      <c r="K195" s="16">
        <f>(15*15222)</f>
        <v>228330</v>
      </c>
      <c r="L195" s="15">
        <f t="shared" si="13"/>
        <v>319662</v>
      </c>
      <c r="M195" s="8"/>
      <c r="N195" s="39" t="e">
        <f>#REF!-H195</f>
        <v>#REF!</v>
      </c>
    </row>
    <row r="196" spans="2:14">
      <c r="B196" s="14">
        <v>192</v>
      </c>
      <c r="C196" s="4" t="s">
        <v>185</v>
      </c>
      <c r="D196" s="15">
        <v>200000</v>
      </c>
      <c r="E196" s="15">
        <v>26660</v>
      </c>
      <c r="F196" s="15">
        <f>SUM(D196:E196)</f>
        <v>226660</v>
      </c>
      <c r="G196" s="31">
        <v>40</v>
      </c>
      <c r="H196" s="15">
        <v>5666.5</v>
      </c>
      <c r="I196" s="8">
        <v>30</v>
      </c>
      <c r="J196" s="8">
        <v>10</v>
      </c>
      <c r="K196" s="12">
        <f>(30*5666.5)</f>
        <v>169995</v>
      </c>
      <c r="L196" s="15">
        <f t="shared" si="13"/>
        <v>56665</v>
      </c>
      <c r="M196" s="8"/>
      <c r="N196" s="39" t="e">
        <f>#REF!-H196</f>
        <v>#REF!</v>
      </c>
    </row>
    <row r="197" spans="2:14">
      <c r="B197" s="14">
        <v>193</v>
      </c>
      <c r="C197" s="4" t="s">
        <v>93</v>
      </c>
      <c r="D197" s="12">
        <v>500000</v>
      </c>
      <c r="E197" s="12">
        <v>66650</v>
      </c>
      <c r="F197" s="15">
        <f>SUM(D197:E197)</f>
        <v>566650</v>
      </c>
      <c r="G197" s="31">
        <v>50</v>
      </c>
      <c r="H197" s="12">
        <v>11333</v>
      </c>
      <c r="I197" s="8">
        <v>37</v>
      </c>
      <c r="J197" s="8">
        <v>13</v>
      </c>
      <c r="K197" s="12">
        <f>(37*11333)</f>
        <v>419321</v>
      </c>
      <c r="L197" s="15">
        <f>F197-K197</f>
        <v>147329</v>
      </c>
      <c r="M197" s="8"/>
      <c r="N197" s="39" t="e">
        <f>#REF!-H197</f>
        <v>#REF!</v>
      </c>
    </row>
    <row r="198" spans="2:14">
      <c r="B198" s="14">
        <v>194</v>
      </c>
      <c r="C198" s="4" t="s">
        <v>186</v>
      </c>
      <c r="D198" s="15">
        <v>200000</v>
      </c>
      <c r="E198" s="15">
        <v>26660</v>
      </c>
      <c r="F198" s="15">
        <f>SUM(D198:E198)</f>
        <v>226660</v>
      </c>
      <c r="G198" s="31">
        <v>40</v>
      </c>
      <c r="H198" s="15">
        <v>5666.5</v>
      </c>
      <c r="I198" s="8">
        <v>30</v>
      </c>
      <c r="J198" s="8">
        <v>10</v>
      </c>
      <c r="K198" s="12">
        <f>(30*5666.5)</f>
        <v>169995</v>
      </c>
      <c r="L198" s="15">
        <f>F198-K198</f>
        <v>56665</v>
      </c>
      <c r="M198" s="8"/>
      <c r="N198" s="39" t="e">
        <f>#REF!-H198</f>
        <v>#REF!</v>
      </c>
    </row>
    <row r="199" spans="2:14">
      <c r="B199" s="14"/>
      <c r="C199" s="23"/>
      <c r="D199" s="34">
        <f>SUM(D5:D198)</f>
        <v>60834000</v>
      </c>
      <c r="E199" s="34">
        <f>SUM(E5:E198)</f>
        <v>7913602.4399999985</v>
      </c>
      <c r="F199" s="34">
        <f>SUM(F5:F198)</f>
        <v>68747602.440000013</v>
      </c>
      <c r="G199" s="31"/>
      <c r="H199" s="34">
        <f>SUM(H5:H198)</f>
        <v>1532050.9999999993</v>
      </c>
      <c r="I199" s="27"/>
      <c r="J199" s="13"/>
      <c r="K199" s="34">
        <f>SUM(K5:K176)</f>
        <v>31490238.419999998</v>
      </c>
      <c r="L199" s="34">
        <f>SUM(L5:L176)</f>
        <v>27527375.420000006</v>
      </c>
      <c r="M199" s="8"/>
    </row>
    <row r="200" spans="2:14" ht="20.25">
      <c r="B200" s="419" t="s">
        <v>245</v>
      </c>
      <c r="C200" s="419"/>
      <c r="D200" s="419"/>
      <c r="E200" s="419"/>
      <c r="F200" s="419"/>
      <c r="G200" s="419"/>
      <c r="H200" s="419"/>
      <c r="I200" s="419"/>
      <c r="J200" s="419"/>
      <c r="K200" s="419"/>
      <c r="L200" s="419"/>
      <c r="M200" s="419"/>
    </row>
    <row r="201" spans="2:14" ht="18">
      <c r="B201" s="418" t="s">
        <v>247</v>
      </c>
      <c r="C201" s="418"/>
      <c r="D201" s="418"/>
      <c r="E201" s="418"/>
      <c r="F201" s="418"/>
      <c r="G201" s="418"/>
      <c r="H201" s="418"/>
      <c r="I201" s="418"/>
      <c r="J201" s="418"/>
      <c r="K201" s="418"/>
      <c r="L201" s="418"/>
      <c r="M201" s="418"/>
    </row>
    <row r="202" spans="2:14" ht="18">
      <c r="B202" s="420" t="s">
        <v>252</v>
      </c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2"/>
    </row>
    <row r="203" spans="2:14" s="44" customFormat="1" ht="35.25" customHeight="1">
      <c r="B203" s="49" t="s">
        <v>0</v>
      </c>
      <c r="C203" s="49" t="s">
        <v>1</v>
      </c>
      <c r="D203" s="50" t="s">
        <v>2</v>
      </c>
      <c r="E203" s="50" t="s">
        <v>3</v>
      </c>
      <c r="F203" s="49" t="s">
        <v>4</v>
      </c>
      <c r="G203" s="50" t="s">
        <v>5</v>
      </c>
      <c r="H203" s="51" t="s">
        <v>6</v>
      </c>
      <c r="I203" s="50" t="s">
        <v>7</v>
      </c>
      <c r="J203" s="51" t="s">
        <v>8</v>
      </c>
      <c r="K203" s="50" t="s">
        <v>9</v>
      </c>
      <c r="L203" s="51" t="s">
        <v>10</v>
      </c>
      <c r="M203" s="51" t="s">
        <v>11</v>
      </c>
    </row>
    <row r="204" spans="2:14">
      <c r="B204" s="14">
        <v>1</v>
      </c>
      <c r="C204" s="2" t="s">
        <v>225</v>
      </c>
      <c r="D204" s="15">
        <v>200000</v>
      </c>
      <c r="E204" s="15">
        <v>26660</v>
      </c>
      <c r="F204" s="15">
        <v>226660</v>
      </c>
      <c r="G204" s="32">
        <v>40</v>
      </c>
      <c r="H204" s="18">
        <v>5666.5</v>
      </c>
      <c r="I204" s="30">
        <v>39</v>
      </c>
      <c r="J204" s="30">
        <v>2</v>
      </c>
      <c r="K204" s="15">
        <f>(39*5666.5)</f>
        <v>220993.5</v>
      </c>
      <c r="L204" s="15">
        <f t="shared" ref="L204:L228" si="15">F204-K204</f>
        <v>5666.5</v>
      </c>
      <c r="M204" s="10"/>
    </row>
    <row r="205" spans="2:14">
      <c r="B205" s="14">
        <v>2</v>
      </c>
      <c r="C205" s="2" t="s">
        <v>236</v>
      </c>
      <c r="D205" s="12">
        <v>180000</v>
      </c>
      <c r="E205" s="12">
        <v>23994</v>
      </c>
      <c r="F205" s="12">
        <v>203994</v>
      </c>
      <c r="G205" s="30">
        <v>40</v>
      </c>
      <c r="H205" s="18">
        <v>5099.8500000000004</v>
      </c>
      <c r="I205" s="30">
        <v>39</v>
      </c>
      <c r="J205" s="30">
        <v>2</v>
      </c>
      <c r="K205" s="12">
        <f>(39*5099.85)</f>
        <v>198894.15000000002</v>
      </c>
      <c r="L205" s="15">
        <f t="shared" si="15"/>
        <v>5099.8499999999767</v>
      </c>
      <c r="M205" s="10"/>
    </row>
    <row r="206" spans="2:14">
      <c r="B206" s="14">
        <v>3</v>
      </c>
      <c r="C206" s="2" t="s">
        <v>16</v>
      </c>
      <c r="D206" s="12">
        <v>450000</v>
      </c>
      <c r="E206" s="12">
        <v>59985</v>
      </c>
      <c r="F206" s="12">
        <v>509985</v>
      </c>
      <c r="G206" s="31" t="s">
        <v>13</v>
      </c>
      <c r="H206" s="19">
        <v>11333</v>
      </c>
      <c r="I206" s="31">
        <v>5</v>
      </c>
      <c r="J206" s="31" t="s">
        <v>15</v>
      </c>
      <c r="K206" s="12">
        <f>(5*11333)</f>
        <v>56665</v>
      </c>
      <c r="L206" s="15">
        <f t="shared" si="15"/>
        <v>453320</v>
      </c>
      <c r="M206" s="8"/>
    </row>
    <row r="207" spans="2:14">
      <c r="B207" s="14">
        <v>4</v>
      </c>
      <c r="C207" s="2" t="s">
        <v>235</v>
      </c>
      <c r="D207" s="12">
        <v>180000</v>
      </c>
      <c r="E207" s="12">
        <v>23994</v>
      </c>
      <c r="F207" s="12">
        <v>203994</v>
      </c>
      <c r="G207" s="30">
        <v>40</v>
      </c>
      <c r="H207" s="18">
        <v>5099.8500000000004</v>
      </c>
      <c r="I207" s="30">
        <v>39</v>
      </c>
      <c r="J207" s="30">
        <v>2</v>
      </c>
      <c r="K207" s="12">
        <f>(39*5099.85)</f>
        <v>198894.15000000002</v>
      </c>
      <c r="L207" s="15">
        <f t="shared" si="15"/>
        <v>5099.8499999999767</v>
      </c>
      <c r="M207" s="10"/>
    </row>
    <row r="208" spans="2:14">
      <c r="B208" s="14">
        <v>5</v>
      </c>
      <c r="C208" s="23" t="s">
        <v>238</v>
      </c>
      <c r="D208" s="12">
        <v>132000</v>
      </c>
      <c r="E208" s="12">
        <v>17595.599999999999</v>
      </c>
      <c r="F208" s="12">
        <v>149595.6</v>
      </c>
      <c r="G208" s="30">
        <v>40</v>
      </c>
      <c r="H208" s="18">
        <v>3739.89</v>
      </c>
      <c r="I208" s="30">
        <v>39</v>
      </c>
      <c r="J208" s="30">
        <v>2</v>
      </c>
      <c r="K208" s="12">
        <f>(39*3739.89)</f>
        <v>145855.71</v>
      </c>
      <c r="L208" s="15">
        <f t="shared" si="15"/>
        <v>3739.890000000014</v>
      </c>
      <c r="M208" s="10"/>
    </row>
    <row r="209" spans="2:13">
      <c r="B209" s="14">
        <v>6</v>
      </c>
      <c r="C209" s="2" t="s">
        <v>243</v>
      </c>
      <c r="D209" s="12">
        <v>60000</v>
      </c>
      <c r="E209" s="12">
        <v>7998</v>
      </c>
      <c r="F209" s="12">
        <v>67998</v>
      </c>
      <c r="G209" s="31">
        <v>40</v>
      </c>
      <c r="H209" s="18">
        <v>1699.95</v>
      </c>
      <c r="I209" s="31">
        <v>39</v>
      </c>
      <c r="J209" s="31">
        <v>2</v>
      </c>
      <c r="K209" s="12">
        <f>(39*1699.95)</f>
        <v>66298.05</v>
      </c>
      <c r="L209" s="15">
        <f t="shared" si="15"/>
        <v>1699.9499999999971</v>
      </c>
      <c r="M209" s="8"/>
    </row>
    <row r="210" spans="2:13">
      <c r="B210" s="14">
        <v>7</v>
      </c>
      <c r="C210" s="2" t="s">
        <v>233</v>
      </c>
      <c r="D210" s="15">
        <v>200000</v>
      </c>
      <c r="E210" s="15">
        <v>26660</v>
      </c>
      <c r="F210" s="15">
        <v>226660</v>
      </c>
      <c r="G210" s="31">
        <v>40</v>
      </c>
      <c r="H210" s="18">
        <v>5666.5</v>
      </c>
      <c r="I210" s="31">
        <v>33</v>
      </c>
      <c r="J210" s="31">
        <v>8</v>
      </c>
      <c r="K210" s="12">
        <f>(33*5666.5)</f>
        <v>186994.5</v>
      </c>
      <c r="L210" s="15">
        <f t="shared" si="15"/>
        <v>39665.5</v>
      </c>
      <c r="M210" s="8"/>
    </row>
    <row r="211" spans="2:13">
      <c r="B211" s="14">
        <v>8</v>
      </c>
      <c r="C211" s="2" t="s">
        <v>226</v>
      </c>
      <c r="D211" s="15">
        <v>200000</v>
      </c>
      <c r="E211" s="15">
        <v>26660</v>
      </c>
      <c r="F211" s="15">
        <v>226660</v>
      </c>
      <c r="G211" s="31">
        <v>40</v>
      </c>
      <c r="H211" s="18">
        <v>5666.5</v>
      </c>
      <c r="I211" s="31">
        <v>33</v>
      </c>
      <c r="J211" s="31">
        <v>8</v>
      </c>
      <c r="K211" s="12">
        <f>(33*5666.5)</f>
        <v>186994.5</v>
      </c>
      <c r="L211" s="15">
        <f t="shared" si="15"/>
        <v>39665.5</v>
      </c>
      <c r="M211" s="8"/>
    </row>
    <row r="212" spans="2:13">
      <c r="B212" s="14">
        <v>9</v>
      </c>
      <c r="C212" s="2" t="s">
        <v>234</v>
      </c>
      <c r="D212" s="15">
        <v>200000</v>
      </c>
      <c r="E212" s="15">
        <v>26660</v>
      </c>
      <c r="F212" s="15">
        <v>226660</v>
      </c>
      <c r="G212" s="31">
        <v>40</v>
      </c>
      <c r="H212" s="18">
        <v>5666.5</v>
      </c>
      <c r="I212" s="31">
        <v>33</v>
      </c>
      <c r="J212" s="31">
        <v>8</v>
      </c>
      <c r="K212" s="12">
        <f>(33*5666.5)</f>
        <v>186994.5</v>
      </c>
      <c r="L212" s="15">
        <f t="shared" si="15"/>
        <v>39665.5</v>
      </c>
      <c r="M212" s="8"/>
    </row>
    <row r="213" spans="2:13">
      <c r="B213" s="14">
        <v>10</v>
      </c>
      <c r="C213" s="2" t="s">
        <v>232</v>
      </c>
      <c r="D213" s="15">
        <v>200000</v>
      </c>
      <c r="E213" s="15">
        <v>26660</v>
      </c>
      <c r="F213" s="15">
        <v>226660</v>
      </c>
      <c r="G213" s="31">
        <v>40</v>
      </c>
      <c r="H213" s="18">
        <v>5666.5</v>
      </c>
      <c r="I213" s="31">
        <v>30</v>
      </c>
      <c r="J213" s="31">
        <v>11</v>
      </c>
      <c r="K213" s="12">
        <f>(30*5666.5)</f>
        <v>169995</v>
      </c>
      <c r="L213" s="15">
        <f t="shared" si="15"/>
        <v>56665</v>
      </c>
      <c r="M213" s="8"/>
    </row>
    <row r="214" spans="2:13">
      <c r="B214" s="14">
        <v>11</v>
      </c>
      <c r="C214" s="2" t="s">
        <v>231</v>
      </c>
      <c r="D214" s="15">
        <v>200000</v>
      </c>
      <c r="E214" s="15">
        <v>26660</v>
      </c>
      <c r="F214" s="15">
        <v>226660</v>
      </c>
      <c r="G214" s="31">
        <v>40</v>
      </c>
      <c r="H214" s="18">
        <v>5666.5</v>
      </c>
      <c r="I214" s="31">
        <v>30</v>
      </c>
      <c r="J214" s="31">
        <v>11</v>
      </c>
      <c r="K214" s="12">
        <f>(30*5666.5)</f>
        <v>169995</v>
      </c>
      <c r="L214" s="15">
        <f t="shared" si="15"/>
        <v>56665</v>
      </c>
      <c r="M214" s="8"/>
    </row>
    <row r="215" spans="2:13">
      <c r="B215" s="14">
        <v>12</v>
      </c>
      <c r="C215" s="2" t="s">
        <v>229</v>
      </c>
      <c r="D215" s="15">
        <v>200000</v>
      </c>
      <c r="E215" s="15">
        <v>26660</v>
      </c>
      <c r="F215" s="15">
        <v>226660</v>
      </c>
      <c r="G215" s="31">
        <v>40</v>
      </c>
      <c r="H215" s="18">
        <v>5666.5</v>
      </c>
      <c r="I215" s="31">
        <v>29</v>
      </c>
      <c r="J215" s="33">
        <v>12</v>
      </c>
      <c r="K215" s="12">
        <f>(29*5666.5)</f>
        <v>164328.5</v>
      </c>
      <c r="L215" s="15">
        <f t="shared" si="15"/>
        <v>62331.5</v>
      </c>
      <c r="M215" s="8"/>
    </row>
    <row r="216" spans="2:13">
      <c r="B216" s="14">
        <v>13</v>
      </c>
      <c r="C216" s="2" t="s">
        <v>230</v>
      </c>
      <c r="D216" s="15">
        <v>200000</v>
      </c>
      <c r="E216" s="15">
        <v>26660</v>
      </c>
      <c r="F216" s="15">
        <v>226660</v>
      </c>
      <c r="G216" s="31">
        <v>40</v>
      </c>
      <c r="H216" s="18">
        <v>5666.5</v>
      </c>
      <c r="I216" s="31">
        <v>29</v>
      </c>
      <c r="J216" s="33">
        <v>12</v>
      </c>
      <c r="K216" s="12">
        <f>(29*5666.5)</f>
        <v>164328.5</v>
      </c>
      <c r="L216" s="15">
        <f t="shared" si="15"/>
        <v>62331.5</v>
      </c>
      <c r="M216" s="8"/>
    </row>
    <row r="217" spans="2:13">
      <c r="B217" s="14">
        <v>14</v>
      </c>
      <c r="C217" s="2" t="s">
        <v>227</v>
      </c>
      <c r="D217" s="15">
        <v>200000</v>
      </c>
      <c r="E217" s="15">
        <v>26660</v>
      </c>
      <c r="F217" s="15">
        <v>226660</v>
      </c>
      <c r="G217" s="31">
        <v>40</v>
      </c>
      <c r="H217" s="18">
        <v>5666.5</v>
      </c>
      <c r="I217" s="31">
        <v>29</v>
      </c>
      <c r="J217" s="33">
        <v>12</v>
      </c>
      <c r="K217" s="12">
        <f>(29*5666.5)</f>
        <v>164328.5</v>
      </c>
      <c r="L217" s="15">
        <f t="shared" si="15"/>
        <v>62331.5</v>
      </c>
      <c r="M217" s="8"/>
    </row>
    <row r="218" spans="2:13">
      <c r="B218" s="14">
        <v>15</v>
      </c>
      <c r="C218" s="2" t="s">
        <v>221</v>
      </c>
      <c r="D218" s="12">
        <v>330000</v>
      </c>
      <c r="E218" s="12">
        <v>21975</v>
      </c>
      <c r="F218" s="12">
        <v>351975</v>
      </c>
      <c r="G218" s="31">
        <v>25</v>
      </c>
      <c r="H218" s="18">
        <v>14079</v>
      </c>
      <c r="I218" s="33">
        <v>25</v>
      </c>
      <c r="J218" s="31">
        <v>1</v>
      </c>
      <c r="K218" s="16">
        <f>(25*14079)</f>
        <v>351975</v>
      </c>
      <c r="L218" s="15">
        <f t="shared" si="15"/>
        <v>0</v>
      </c>
      <c r="M218" s="8"/>
    </row>
    <row r="219" spans="2:13">
      <c r="B219" s="14">
        <v>16</v>
      </c>
      <c r="C219" s="2" t="s">
        <v>222</v>
      </c>
      <c r="D219" s="12">
        <v>500000</v>
      </c>
      <c r="E219" s="12">
        <v>66650</v>
      </c>
      <c r="F219" s="12">
        <v>566650</v>
      </c>
      <c r="G219" s="31">
        <v>50</v>
      </c>
      <c r="H219" s="18">
        <v>11333</v>
      </c>
      <c r="I219" s="33">
        <v>15</v>
      </c>
      <c r="J219" s="33">
        <v>35</v>
      </c>
      <c r="K219" s="12">
        <f>(15*11333)</f>
        <v>169995</v>
      </c>
      <c r="L219" s="15">
        <f t="shared" si="15"/>
        <v>396655</v>
      </c>
      <c r="M219" s="8"/>
    </row>
    <row r="220" spans="2:13">
      <c r="B220" s="14">
        <v>17</v>
      </c>
      <c r="C220" s="2" t="s">
        <v>40</v>
      </c>
      <c r="D220" s="12">
        <v>450000</v>
      </c>
      <c r="E220" s="16">
        <v>59985</v>
      </c>
      <c r="F220" s="16">
        <v>509985</v>
      </c>
      <c r="G220" s="8" t="s">
        <v>13</v>
      </c>
      <c r="H220" s="16">
        <v>10199.700000000001</v>
      </c>
      <c r="I220" s="8">
        <v>2</v>
      </c>
      <c r="J220" s="8" t="s">
        <v>19</v>
      </c>
      <c r="K220" s="12">
        <f>(2*10199)</f>
        <v>20398</v>
      </c>
      <c r="L220" s="12">
        <f>F220-K220</f>
        <v>489587</v>
      </c>
      <c r="M220" s="1"/>
    </row>
    <row r="221" spans="2:13">
      <c r="B221" s="14">
        <v>18</v>
      </c>
      <c r="C221" s="2" t="s">
        <v>223</v>
      </c>
      <c r="D221" s="12">
        <v>500000</v>
      </c>
      <c r="E221" s="12">
        <v>66650</v>
      </c>
      <c r="F221" s="12">
        <v>566650</v>
      </c>
      <c r="G221" s="31">
        <v>50</v>
      </c>
      <c r="H221" s="18">
        <v>11333</v>
      </c>
      <c r="I221" s="33">
        <v>16</v>
      </c>
      <c r="J221" s="33">
        <v>35</v>
      </c>
      <c r="K221" s="12">
        <f>(16*11333)</f>
        <v>181328</v>
      </c>
      <c r="L221" s="15">
        <f t="shared" si="15"/>
        <v>385322</v>
      </c>
      <c r="M221" s="8"/>
    </row>
    <row r="222" spans="2:13">
      <c r="B222" s="14">
        <v>19</v>
      </c>
      <c r="C222" s="2" t="s">
        <v>224</v>
      </c>
      <c r="D222" s="12">
        <v>450000</v>
      </c>
      <c r="E222" s="12">
        <v>59985</v>
      </c>
      <c r="F222" s="12">
        <v>509985</v>
      </c>
      <c r="G222" s="31">
        <v>50</v>
      </c>
      <c r="H222" s="18">
        <v>10199.700000000001</v>
      </c>
      <c r="I222" s="33">
        <v>16</v>
      </c>
      <c r="J222" s="33">
        <v>35</v>
      </c>
      <c r="K222" s="12">
        <f>(16*10199.7)</f>
        <v>163195.20000000001</v>
      </c>
      <c r="L222" s="15">
        <f t="shared" si="15"/>
        <v>346789.8</v>
      </c>
      <c r="M222" s="8"/>
    </row>
    <row r="223" spans="2:13">
      <c r="B223" s="14">
        <v>20</v>
      </c>
      <c r="C223" s="2" t="s">
        <v>228</v>
      </c>
      <c r="D223" s="15">
        <v>200000</v>
      </c>
      <c r="E223" s="15">
        <v>26660</v>
      </c>
      <c r="F223" s="15">
        <v>226660</v>
      </c>
      <c r="G223" s="31">
        <v>40</v>
      </c>
      <c r="H223" s="18">
        <v>5666.5</v>
      </c>
      <c r="I223" s="31">
        <v>30</v>
      </c>
      <c r="J223" s="33">
        <v>11</v>
      </c>
      <c r="K223" s="12">
        <f>(30*5666.5)</f>
        <v>169995</v>
      </c>
      <c r="L223" s="15">
        <f t="shared" si="15"/>
        <v>56665</v>
      </c>
      <c r="M223" s="8"/>
    </row>
    <row r="224" spans="2:13">
      <c r="B224" s="14">
        <v>21</v>
      </c>
      <c r="C224" s="2" t="s">
        <v>237</v>
      </c>
      <c r="D224" s="12">
        <v>132000</v>
      </c>
      <c r="E224" s="12">
        <v>17595.599999999999</v>
      </c>
      <c r="F224" s="12">
        <v>149595.6</v>
      </c>
      <c r="G224" s="30">
        <v>40</v>
      </c>
      <c r="H224" s="18">
        <v>3739.89</v>
      </c>
      <c r="I224" s="33">
        <v>27</v>
      </c>
      <c r="J224" s="33">
        <v>14</v>
      </c>
      <c r="K224" s="12">
        <f>(27*3739.89)</f>
        <v>100977.03</v>
      </c>
      <c r="L224" s="15">
        <f t="shared" si="15"/>
        <v>48618.570000000007</v>
      </c>
      <c r="M224" s="8"/>
    </row>
    <row r="225" spans="2:14">
      <c r="B225" s="14">
        <v>22</v>
      </c>
      <c r="C225" s="2" t="s">
        <v>239</v>
      </c>
      <c r="D225" s="12">
        <v>132000</v>
      </c>
      <c r="E225" s="12">
        <v>17595.599999999999</v>
      </c>
      <c r="F225" s="12">
        <v>149595.6</v>
      </c>
      <c r="G225" s="30">
        <v>40</v>
      </c>
      <c r="H225" s="18">
        <v>3739.89</v>
      </c>
      <c r="I225" s="33">
        <v>40</v>
      </c>
      <c r="J225" s="33">
        <v>1</v>
      </c>
      <c r="K225" s="12">
        <f>(40*3739.89)</f>
        <v>149595.6</v>
      </c>
      <c r="L225" s="15">
        <f t="shared" si="15"/>
        <v>0</v>
      </c>
      <c r="M225" s="8"/>
    </row>
    <row r="226" spans="2:14">
      <c r="B226" s="14">
        <v>23</v>
      </c>
      <c r="C226" s="2" t="s">
        <v>240</v>
      </c>
      <c r="D226" s="16">
        <v>132000</v>
      </c>
      <c r="E226" s="16">
        <v>17595.599999999999</v>
      </c>
      <c r="F226" s="16">
        <v>149595.6</v>
      </c>
      <c r="G226" s="45">
        <v>40</v>
      </c>
      <c r="H226" s="19">
        <v>3739.89</v>
      </c>
      <c r="I226" s="33"/>
      <c r="J226" s="33"/>
      <c r="K226" s="12"/>
      <c r="L226" s="15">
        <f t="shared" si="15"/>
        <v>149595.6</v>
      </c>
      <c r="M226" s="8"/>
    </row>
    <row r="227" spans="2:14">
      <c r="B227" s="14">
        <v>24</v>
      </c>
      <c r="C227" s="2" t="s">
        <v>241</v>
      </c>
      <c r="D227" s="12">
        <v>60000</v>
      </c>
      <c r="E227" s="12">
        <v>7998</v>
      </c>
      <c r="F227" s="15">
        <f>SUM(D227:E227)</f>
        <v>67998</v>
      </c>
      <c r="G227" s="31">
        <v>40</v>
      </c>
      <c r="H227" s="12">
        <v>1699.95</v>
      </c>
      <c r="I227" s="33">
        <v>29</v>
      </c>
      <c r="J227" s="33">
        <v>12</v>
      </c>
      <c r="K227" s="12">
        <f>(29*1699.95)</f>
        <v>49298.55</v>
      </c>
      <c r="L227" s="15">
        <f t="shared" si="15"/>
        <v>18699.449999999997</v>
      </c>
      <c r="M227" s="8"/>
    </row>
    <row r="228" spans="2:14">
      <c r="B228" s="14">
        <v>25</v>
      </c>
      <c r="C228" s="2" t="s">
        <v>242</v>
      </c>
      <c r="D228" s="12">
        <v>60000</v>
      </c>
      <c r="E228" s="12">
        <v>7998</v>
      </c>
      <c r="F228" s="15">
        <f>SUM(D228:E228)</f>
        <v>67998</v>
      </c>
      <c r="G228" s="31">
        <v>40</v>
      </c>
      <c r="H228" s="12">
        <v>1699.95</v>
      </c>
      <c r="I228" s="33">
        <v>37</v>
      </c>
      <c r="J228" s="33">
        <v>4</v>
      </c>
      <c r="K228" s="12">
        <f>(37*1699.95)</f>
        <v>62898.15</v>
      </c>
      <c r="L228" s="15">
        <f t="shared" si="15"/>
        <v>5099.8499999999985</v>
      </c>
      <c r="M228" s="8"/>
    </row>
    <row r="229" spans="2:14">
      <c r="B229" s="14">
        <v>26</v>
      </c>
      <c r="C229" s="2" t="s">
        <v>34</v>
      </c>
      <c r="D229" s="20">
        <v>150000</v>
      </c>
      <c r="E229" s="20">
        <v>19995</v>
      </c>
      <c r="F229" s="20">
        <f>SUM(D229:E229)</f>
        <v>169995</v>
      </c>
      <c r="G229" s="8" t="s">
        <v>13</v>
      </c>
      <c r="H229" s="3">
        <v>3399.9</v>
      </c>
      <c r="I229" s="8">
        <v>2</v>
      </c>
      <c r="J229" s="8">
        <v>48</v>
      </c>
      <c r="K229" s="3">
        <f>(2*3399.9)</f>
        <v>6799.8</v>
      </c>
      <c r="L229" s="12">
        <f>F229-K229</f>
        <v>163195.20000000001</v>
      </c>
      <c r="M229" s="1"/>
      <c r="N229" s="39" t="e">
        <f>#REF!-H229</f>
        <v>#REF!</v>
      </c>
    </row>
    <row r="230" spans="2:14">
      <c r="B230" s="14"/>
      <c r="C230" s="29"/>
      <c r="D230" s="34">
        <f>SUM(D204:D229)</f>
        <v>5898000</v>
      </c>
      <c r="E230" s="34">
        <f>SUM(E204:E229)</f>
        <v>764189.39999999991</v>
      </c>
      <c r="F230" s="34">
        <f>SUM(F204:F229)</f>
        <v>6662189.3999999985</v>
      </c>
      <c r="G230" s="42"/>
      <c r="H230" s="34">
        <f>SUM(H204:H229)</f>
        <v>158801.41000000006</v>
      </c>
      <c r="I230" s="35"/>
      <c r="J230" s="35"/>
      <c r="K230" s="34">
        <f>SUM(K204:K228)</f>
        <v>3701215.09</v>
      </c>
      <c r="L230" s="36">
        <f>SUM(L204:L228)</f>
        <v>2790979.31</v>
      </c>
      <c r="M230" s="8"/>
    </row>
    <row r="231" spans="2:14">
      <c r="B231" s="14"/>
      <c r="C231" s="29"/>
      <c r="D231" s="34">
        <f>D199+D230</f>
        <v>66732000</v>
      </c>
      <c r="E231" s="34">
        <f>E199+E230</f>
        <v>8677791.839999998</v>
      </c>
      <c r="F231" s="34">
        <f>F199+F230</f>
        <v>75409791.840000004</v>
      </c>
      <c r="G231" s="42"/>
      <c r="H231" s="34">
        <f>H199+H230</f>
        <v>1690852.4099999995</v>
      </c>
      <c r="I231" s="33"/>
      <c r="J231" s="33"/>
      <c r="K231" s="34">
        <f>K199+K230</f>
        <v>35191453.509999998</v>
      </c>
      <c r="L231" s="34">
        <f>L199+L230</f>
        <v>30318354.730000004</v>
      </c>
      <c r="M231" s="8"/>
    </row>
    <row r="232" spans="2:14">
      <c r="B232" s="8"/>
      <c r="C232" s="8"/>
      <c r="D232" s="8"/>
      <c r="E232" s="8"/>
      <c r="F232" s="8"/>
      <c r="G232" s="31"/>
      <c r="H232" s="8"/>
      <c r="I232" s="8"/>
      <c r="J232" s="8"/>
      <c r="K232" s="8"/>
      <c r="L232" s="13">
        <f>F232-K232</f>
        <v>0</v>
      </c>
      <c r="M232" s="8"/>
    </row>
    <row r="233" spans="2:14">
      <c r="B233" s="8"/>
      <c r="C233" s="8"/>
      <c r="D233" s="8"/>
      <c r="E233" s="8"/>
      <c r="F233" s="8"/>
      <c r="G233" s="31"/>
      <c r="H233" s="8"/>
      <c r="I233" s="8"/>
      <c r="J233" s="8"/>
      <c r="K233" s="8"/>
      <c r="L233" s="8"/>
      <c r="M233" s="8"/>
    </row>
    <row r="234" spans="2:14">
      <c r="B234" s="14">
        <v>173</v>
      </c>
      <c r="C234" s="23" t="s">
        <v>244</v>
      </c>
      <c r="D234" s="12">
        <v>330000</v>
      </c>
      <c r="E234" s="12">
        <v>43989</v>
      </c>
      <c r="F234" s="12">
        <v>373989</v>
      </c>
      <c r="G234" s="31">
        <v>50</v>
      </c>
      <c r="H234" s="12">
        <v>7479.78</v>
      </c>
      <c r="I234" s="11">
        <v>15</v>
      </c>
      <c r="J234" s="11">
        <v>35</v>
      </c>
      <c r="K234" s="16">
        <f>(15*7479.78)</f>
        <v>112196.7</v>
      </c>
      <c r="L234" s="16">
        <v>261792.3</v>
      </c>
      <c r="M234" s="8"/>
    </row>
    <row r="236" spans="2:14">
      <c r="B236" s="14">
        <v>29</v>
      </c>
      <c r="C236" s="2" t="s">
        <v>133</v>
      </c>
      <c r="D236" s="15">
        <v>200000</v>
      </c>
      <c r="E236" s="15">
        <v>26660</v>
      </c>
      <c r="F236" s="15">
        <f>SUM(D236:E236)</f>
        <v>226660</v>
      </c>
      <c r="G236" s="31">
        <v>40</v>
      </c>
      <c r="H236" s="15">
        <v>5666.5</v>
      </c>
      <c r="I236" s="8">
        <v>37</v>
      </c>
      <c r="J236" s="8">
        <v>3</v>
      </c>
      <c r="K236" s="12">
        <f>(37*5666.5)</f>
        <v>209660.5</v>
      </c>
      <c r="L236" s="15">
        <f t="shared" ref="L236:L241" si="16">F236-K236</f>
        <v>16999.5</v>
      </c>
      <c r="M236" s="8"/>
      <c r="N236" s="39" t="e">
        <f>#REF!-H236</f>
        <v>#REF!</v>
      </c>
    </row>
    <row r="237" spans="2:14">
      <c r="B237" s="14">
        <v>85</v>
      </c>
      <c r="C237" s="25" t="s">
        <v>67</v>
      </c>
      <c r="D237" s="12">
        <v>500000</v>
      </c>
      <c r="E237" s="12">
        <v>66650</v>
      </c>
      <c r="F237" s="15">
        <f>SUM(D237:E237)</f>
        <v>566650</v>
      </c>
      <c r="G237" s="31">
        <v>50</v>
      </c>
      <c r="H237" s="18">
        <v>11333</v>
      </c>
      <c r="I237" s="8">
        <v>20</v>
      </c>
      <c r="J237" s="8">
        <v>30</v>
      </c>
      <c r="K237" s="12">
        <f>(20*11333)</f>
        <v>226660</v>
      </c>
      <c r="L237" s="15">
        <f t="shared" si="16"/>
        <v>339990</v>
      </c>
      <c r="M237" s="8"/>
      <c r="N237" s="39" t="e">
        <f>#REF!-H237</f>
        <v>#REF!</v>
      </c>
    </row>
    <row r="238" spans="2:14">
      <c r="B238" s="14">
        <v>97</v>
      </c>
      <c r="C238" s="2" t="s">
        <v>22</v>
      </c>
      <c r="D238" s="18">
        <v>500000</v>
      </c>
      <c r="E238" s="18">
        <v>66650</v>
      </c>
      <c r="F238" s="18">
        <v>566650</v>
      </c>
      <c r="G238" s="8" t="s">
        <v>13</v>
      </c>
      <c r="H238" s="16">
        <v>11333</v>
      </c>
      <c r="I238" s="8" t="s">
        <v>18</v>
      </c>
      <c r="J238" s="8" t="s">
        <v>19</v>
      </c>
      <c r="K238" s="12">
        <f>(1*11333)</f>
        <v>11333</v>
      </c>
      <c r="L238" s="12">
        <f t="shared" si="16"/>
        <v>555317</v>
      </c>
      <c r="M238" s="8"/>
      <c r="N238" s="39" t="e">
        <f>#REF!-H238</f>
        <v>#REF!</v>
      </c>
    </row>
    <row r="239" spans="2:14">
      <c r="B239" s="14">
        <v>104</v>
      </c>
      <c r="C239" s="2" t="s">
        <v>161</v>
      </c>
      <c r="D239" s="15">
        <v>200000</v>
      </c>
      <c r="E239" s="15">
        <v>26660</v>
      </c>
      <c r="F239" s="15">
        <f>SUM(D239:E239)</f>
        <v>226660</v>
      </c>
      <c r="G239" s="32">
        <v>40</v>
      </c>
      <c r="H239" s="15">
        <v>5666.5</v>
      </c>
      <c r="I239" s="22">
        <v>38</v>
      </c>
      <c r="J239" s="21">
        <v>2</v>
      </c>
      <c r="K239" s="15">
        <f>(38*5666.5)</f>
        <v>215327</v>
      </c>
      <c r="L239" s="15">
        <f t="shared" si="16"/>
        <v>11333</v>
      </c>
      <c r="M239" s="10"/>
      <c r="N239" s="39" t="e">
        <f>#REF!-H239</f>
        <v>#REF!</v>
      </c>
    </row>
    <row r="240" spans="2:14">
      <c r="B240" s="14">
        <v>157</v>
      </c>
      <c r="C240" s="2" t="s">
        <v>41</v>
      </c>
      <c r="D240" s="12">
        <v>450000</v>
      </c>
      <c r="E240" s="16">
        <v>59985</v>
      </c>
      <c r="F240" s="16">
        <v>509985</v>
      </c>
      <c r="G240" s="8" t="s">
        <v>13</v>
      </c>
      <c r="H240" s="16">
        <v>10199.700000000001</v>
      </c>
      <c r="I240" s="8" t="s">
        <v>18</v>
      </c>
      <c r="J240" s="8" t="s">
        <v>19</v>
      </c>
      <c r="K240" s="12">
        <f>(1*10199)</f>
        <v>10199</v>
      </c>
      <c r="L240" s="12">
        <f t="shared" si="16"/>
        <v>499786</v>
      </c>
      <c r="M240" s="1"/>
      <c r="N240" s="39" t="e">
        <f>#REF!-H240</f>
        <v>#REF!</v>
      </c>
    </row>
    <row r="241" spans="2:14">
      <c r="B241" s="14">
        <v>120</v>
      </c>
      <c r="C241" s="2" t="s">
        <v>42</v>
      </c>
      <c r="D241" s="12">
        <v>450000</v>
      </c>
      <c r="E241" s="16">
        <v>59985</v>
      </c>
      <c r="F241" s="16">
        <v>509985</v>
      </c>
      <c r="G241" s="8" t="s">
        <v>13</v>
      </c>
      <c r="H241" s="16">
        <v>10199.700000000001</v>
      </c>
      <c r="I241" s="8" t="s">
        <v>18</v>
      </c>
      <c r="J241" s="8" t="s">
        <v>19</v>
      </c>
      <c r="K241" s="12">
        <f>(1*10199)</f>
        <v>10199</v>
      </c>
      <c r="L241" s="12">
        <f t="shared" si="16"/>
        <v>499786</v>
      </c>
      <c r="M241" s="1"/>
      <c r="N241" s="39" t="e">
        <f>#REF!-H241</f>
        <v>#REF!</v>
      </c>
    </row>
  </sheetData>
  <mergeCells count="5">
    <mergeCell ref="B3:M3"/>
    <mergeCell ref="B2:M2"/>
    <mergeCell ref="B200:M200"/>
    <mergeCell ref="B201:M201"/>
    <mergeCell ref="B202:M202"/>
  </mergeCells>
  <conditionalFormatting sqref="C131">
    <cfRule type="duplicateValues" dxfId="6699" priority="438" stopIfTrue="1"/>
    <cfRule type="duplicateValues" dxfId="6698" priority="439" stopIfTrue="1"/>
  </conditionalFormatting>
  <conditionalFormatting sqref="C131">
    <cfRule type="duplicateValues" dxfId="6697" priority="437" stopIfTrue="1"/>
  </conditionalFormatting>
  <conditionalFormatting sqref="C10">
    <cfRule type="duplicateValues" dxfId="6696" priority="435" stopIfTrue="1"/>
    <cfRule type="duplicateValues" dxfId="6695" priority="436" stopIfTrue="1"/>
  </conditionalFormatting>
  <conditionalFormatting sqref="C10">
    <cfRule type="duplicateValues" dxfId="6694" priority="434" stopIfTrue="1"/>
  </conditionalFormatting>
  <conditionalFormatting sqref="C12">
    <cfRule type="duplicateValues" dxfId="6693" priority="432" stopIfTrue="1"/>
    <cfRule type="duplicateValues" dxfId="6692" priority="433" stopIfTrue="1"/>
  </conditionalFormatting>
  <conditionalFormatting sqref="C12">
    <cfRule type="duplicateValues" dxfId="6691" priority="431" stopIfTrue="1"/>
  </conditionalFormatting>
  <conditionalFormatting sqref="C13">
    <cfRule type="duplicateValues" dxfId="6690" priority="429" stopIfTrue="1"/>
    <cfRule type="duplicateValues" dxfId="6689" priority="430" stopIfTrue="1"/>
  </conditionalFormatting>
  <conditionalFormatting sqref="C13">
    <cfRule type="duplicateValues" dxfId="6688" priority="428" stopIfTrue="1"/>
  </conditionalFormatting>
  <conditionalFormatting sqref="C15">
    <cfRule type="duplicateValues" dxfId="6687" priority="426" stopIfTrue="1"/>
    <cfRule type="duplicateValues" dxfId="6686" priority="427" stopIfTrue="1"/>
  </conditionalFormatting>
  <conditionalFormatting sqref="C15">
    <cfRule type="duplicateValues" dxfId="6685" priority="425" stopIfTrue="1"/>
  </conditionalFormatting>
  <conditionalFormatting sqref="C16">
    <cfRule type="duplicateValues" dxfId="6684" priority="423" stopIfTrue="1"/>
    <cfRule type="duplicateValues" dxfId="6683" priority="424" stopIfTrue="1"/>
  </conditionalFormatting>
  <conditionalFormatting sqref="C16">
    <cfRule type="duplicateValues" dxfId="6682" priority="422" stopIfTrue="1"/>
  </conditionalFormatting>
  <conditionalFormatting sqref="C17">
    <cfRule type="duplicateValues" dxfId="6681" priority="420" stopIfTrue="1"/>
    <cfRule type="duplicateValues" dxfId="6680" priority="421" stopIfTrue="1"/>
  </conditionalFormatting>
  <conditionalFormatting sqref="C17">
    <cfRule type="duplicateValues" dxfId="6679" priority="419" stopIfTrue="1"/>
  </conditionalFormatting>
  <conditionalFormatting sqref="C18">
    <cfRule type="duplicateValues" dxfId="6678" priority="417" stopIfTrue="1"/>
    <cfRule type="duplicateValues" dxfId="6677" priority="418" stopIfTrue="1"/>
  </conditionalFormatting>
  <conditionalFormatting sqref="C18">
    <cfRule type="duplicateValues" dxfId="6676" priority="416" stopIfTrue="1"/>
  </conditionalFormatting>
  <conditionalFormatting sqref="C19">
    <cfRule type="duplicateValues" dxfId="6675" priority="414" stopIfTrue="1"/>
    <cfRule type="duplicateValues" dxfId="6674" priority="415" stopIfTrue="1"/>
  </conditionalFormatting>
  <conditionalFormatting sqref="C19">
    <cfRule type="duplicateValues" dxfId="6673" priority="413" stopIfTrue="1"/>
  </conditionalFormatting>
  <conditionalFormatting sqref="C20">
    <cfRule type="duplicateValues" dxfId="6672" priority="411" stopIfTrue="1"/>
    <cfRule type="duplicateValues" dxfId="6671" priority="412" stopIfTrue="1"/>
  </conditionalFormatting>
  <conditionalFormatting sqref="C20">
    <cfRule type="duplicateValues" dxfId="6670" priority="410" stopIfTrue="1"/>
  </conditionalFormatting>
  <conditionalFormatting sqref="C21">
    <cfRule type="duplicateValues" dxfId="6669" priority="408" stopIfTrue="1"/>
    <cfRule type="duplicateValues" dxfId="6668" priority="409" stopIfTrue="1"/>
  </conditionalFormatting>
  <conditionalFormatting sqref="C21">
    <cfRule type="duplicateValues" dxfId="6667" priority="407" stopIfTrue="1"/>
  </conditionalFormatting>
  <conditionalFormatting sqref="C22">
    <cfRule type="duplicateValues" dxfId="6666" priority="405" stopIfTrue="1"/>
    <cfRule type="duplicateValues" dxfId="6665" priority="406" stopIfTrue="1"/>
  </conditionalFormatting>
  <conditionalFormatting sqref="C22">
    <cfRule type="duplicateValues" dxfId="6664" priority="404" stopIfTrue="1"/>
  </conditionalFormatting>
  <conditionalFormatting sqref="C23">
    <cfRule type="duplicateValues" dxfId="6663" priority="402" stopIfTrue="1"/>
    <cfRule type="duplicateValues" dxfId="6662" priority="403" stopIfTrue="1"/>
  </conditionalFormatting>
  <conditionalFormatting sqref="C23">
    <cfRule type="duplicateValues" dxfId="6661" priority="401" stopIfTrue="1"/>
  </conditionalFormatting>
  <conditionalFormatting sqref="C24">
    <cfRule type="duplicateValues" dxfId="6660" priority="399" stopIfTrue="1"/>
    <cfRule type="duplicateValues" dxfId="6659" priority="400" stopIfTrue="1"/>
  </conditionalFormatting>
  <conditionalFormatting sqref="C24">
    <cfRule type="duplicateValues" dxfId="6658" priority="398" stopIfTrue="1"/>
  </conditionalFormatting>
  <conditionalFormatting sqref="C25">
    <cfRule type="duplicateValues" dxfId="6657" priority="396" stopIfTrue="1"/>
    <cfRule type="duplicateValues" dxfId="6656" priority="397" stopIfTrue="1"/>
  </conditionalFormatting>
  <conditionalFormatting sqref="C25">
    <cfRule type="duplicateValues" dxfId="6655" priority="395" stopIfTrue="1"/>
  </conditionalFormatting>
  <conditionalFormatting sqref="C27">
    <cfRule type="duplicateValues" dxfId="6654" priority="393" stopIfTrue="1"/>
    <cfRule type="duplicateValues" dxfId="6653" priority="394" stopIfTrue="1"/>
  </conditionalFormatting>
  <conditionalFormatting sqref="C27">
    <cfRule type="duplicateValues" dxfId="6652" priority="392" stopIfTrue="1"/>
  </conditionalFormatting>
  <conditionalFormatting sqref="C28">
    <cfRule type="duplicateValues" dxfId="6651" priority="390" stopIfTrue="1"/>
    <cfRule type="duplicateValues" dxfId="6650" priority="391" stopIfTrue="1"/>
  </conditionalFormatting>
  <conditionalFormatting sqref="C28">
    <cfRule type="duplicateValues" dxfId="6649" priority="389" stopIfTrue="1"/>
  </conditionalFormatting>
  <conditionalFormatting sqref="C29">
    <cfRule type="duplicateValues" dxfId="6648" priority="387" stopIfTrue="1"/>
    <cfRule type="duplicateValues" dxfId="6647" priority="388" stopIfTrue="1"/>
  </conditionalFormatting>
  <conditionalFormatting sqref="C29">
    <cfRule type="duplicateValues" dxfId="6646" priority="386" stopIfTrue="1"/>
  </conditionalFormatting>
  <conditionalFormatting sqref="C31">
    <cfRule type="duplicateValues" dxfId="6645" priority="384" stopIfTrue="1"/>
    <cfRule type="duplicateValues" dxfId="6644" priority="385" stopIfTrue="1"/>
  </conditionalFormatting>
  <conditionalFormatting sqref="C31">
    <cfRule type="duplicateValues" dxfId="6643" priority="383" stopIfTrue="1"/>
  </conditionalFormatting>
  <conditionalFormatting sqref="C32">
    <cfRule type="duplicateValues" dxfId="6642" priority="381" stopIfTrue="1"/>
    <cfRule type="duplicateValues" dxfId="6641" priority="382" stopIfTrue="1"/>
  </conditionalFormatting>
  <conditionalFormatting sqref="C32">
    <cfRule type="duplicateValues" dxfId="6640" priority="380" stopIfTrue="1"/>
  </conditionalFormatting>
  <conditionalFormatting sqref="C236">
    <cfRule type="duplicateValues" dxfId="6639" priority="378" stopIfTrue="1"/>
    <cfRule type="duplicateValues" dxfId="6638" priority="379" stopIfTrue="1"/>
  </conditionalFormatting>
  <conditionalFormatting sqref="C236">
    <cfRule type="duplicateValues" dxfId="6637" priority="377" stopIfTrue="1"/>
  </conditionalFormatting>
  <conditionalFormatting sqref="C34">
    <cfRule type="duplicateValues" dxfId="6636" priority="375" stopIfTrue="1"/>
    <cfRule type="duplicateValues" dxfId="6635" priority="376" stopIfTrue="1"/>
  </conditionalFormatting>
  <conditionalFormatting sqref="C34">
    <cfRule type="duplicateValues" dxfId="6634" priority="374" stopIfTrue="1"/>
  </conditionalFormatting>
  <conditionalFormatting sqref="C35">
    <cfRule type="duplicateValues" dxfId="6633" priority="372" stopIfTrue="1"/>
    <cfRule type="duplicateValues" dxfId="6632" priority="373" stopIfTrue="1"/>
  </conditionalFormatting>
  <conditionalFormatting sqref="C35">
    <cfRule type="duplicateValues" dxfId="6631" priority="371" stopIfTrue="1"/>
  </conditionalFormatting>
  <conditionalFormatting sqref="C38">
    <cfRule type="duplicateValues" dxfId="6630" priority="369" stopIfTrue="1"/>
    <cfRule type="duplicateValues" dxfId="6629" priority="370" stopIfTrue="1"/>
  </conditionalFormatting>
  <conditionalFormatting sqref="C38">
    <cfRule type="duplicateValues" dxfId="6628" priority="368" stopIfTrue="1"/>
  </conditionalFormatting>
  <conditionalFormatting sqref="C39">
    <cfRule type="duplicateValues" dxfId="6627" priority="366" stopIfTrue="1"/>
    <cfRule type="duplicateValues" dxfId="6626" priority="367" stopIfTrue="1"/>
  </conditionalFormatting>
  <conditionalFormatting sqref="C39">
    <cfRule type="duplicateValues" dxfId="6625" priority="365" stopIfTrue="1"/>
  </conditionalFormatting>
  <conditionalFormatting sqref="C40">
    <cfRule type="duplicateValues" dxfId="6624" priority="363" stopIfTrue="1"/>
    <cfRule type="duplicateValues" dxfId="6623" priority="364" stopIfTrue="1"/>
  </conditionalFormatting>
  <conditionalFormatting sqref="C40">
    <cfRule type="duplicateValues" dxfId="6622" priority="362" stopIfTrue="1"/>
  </conditionalFormatting>
  <conditionalFormatting sqref="C44">
    <cfRule type="duplicateValues" dxfId="6621" priority="360" stopIfTrue="1"/>
    <cfRule type="duplicateValues" dxfId="6620" priority="361" stopIfTrue="1"/>
  </conditionalFormatting>
  <conditionalFormatting sqref="C44">
    <cfRule type="duplicateValues" dxfId="6619" priority="359" stopIfTrue="1"/>
  </conditionalFormatting>
  <conditionalFormatting sqref="C45">
    <cfRule type="duplicateValues" dxfId="6618" priority="357" stopIfTrue="1"/>
    <cfRule type="duplicateValues" dxfId="6617" priority="358" stopIfTrue="1"/>
  </conditionalFormatting>
  <conditionalFormatting sqref="C45">
    <cfRule type="duplicateValues" dxfId="6616" priority="356" stopIfTrue="1"/>
  </conditionalFormatting>
  <conditionalFormatting sqref="C46">
    <cfRule type="duplicateValues" dxfId="6615" priority="354" stopIfTrue="1"/>
    <cfRule type="duplicateValues" dxfId="6614" priority="355" stopIfTrue="1"/>
  </conditionalFormatting>
  <conditionalFormatting sqref="C46">
    <cfRule type="duplicateValues" dxfId="6613" priority="353" stopIfTrue="1"/>
  </conditionalFormatting>
  <conditionalFormatting sqref="C47">
    <cfRule type="duplicateValues" dxfId="6612" priority="351" stopIfTrue="1"/>
    <cfRule type="duplicateValues" dxfId="6611" priority="352" stopIfTrue="1"/>
  </conditionalFormatting>
  <conditionalFormatting sqref="C47">
    <cfRule type="duplicateValues" dxfId="6610" priority="350" stopIfTrue="1"/>
  </conditionalFormatting>
  <conditionalFormatting sqref="C48">
    <cfRule type="duplicateValues" dxfId="6609" priority="348" stopIfTrue="1"/>
    <cfRule type="duplicateValues" dxfId="6608" priority="349" stopIfTrue="1"/>
  </conditionalFormatting>
  <conditionalFormatting sqref="C48">
    <cfRule type="duplicateValues" dxfId="6607" priority="347" stopIfTrue="1"/>
  </conditionalFormatting>
  <conditionalFormatting sqref="C49">
    <cfRule type="duplicateValues" dxfId="6606" priority="345" stopIfTrue="1"/>
    <cfRule type="duplicateValues" dxfId="6605" priority="346" stopIfTrue="1"/>
  </conditionalFormatting>
  <conditionalFormatting sqref="C49">
    <cfRule type="duplicateValues" dxfId="6604" priority="344" stopIfTrue="1"/>
  </conditionalFormatting>
  <conditionalFormatting sqref="C50">
    <cfRule type="duplicateValues" dxfId="6603" priority="342" stopIfTrue="1"/>
    <cfRule type="duplicateValues" dxfId="6602" priority="343" stopIfTrue="1"/>
  </conditionalFormatting>
  <conditionalFormatting sqref="C50">
    <cfRule type="duplicateValues" dxfId="6601" priority="341" stopIfTrue="1"/>
  </conditionalFormatting>
  <conditionalFormatting sqref="C51">
    <cfRule type="duplicateValues" dxfId="6600" priority="339" stopIfTrue="1"/>
    <cfRule type="duplicateValues" dxfId="6599" priority="340" stopIfTrue="1"/>
  </conditionalFormatting>
  <conditionalFormatting sqref="C51">
    <cfRule type="duplicateValues" dxfId="6598" priority="338" stopIfTrue="1"/>
  </conditionalFormatting>
  <conditionalFormatting sqref="C52">
    <cfRule type="duplicateValues" dxfId="6597" priority="336" stopIfTrue="1"/>
    <cfRule type="duplicateValues" dxfId="6596" priority="337" stopIfTrue="1"/>
  </conditionalFormatting>
  <conditionalFormatting sqref="C52">
    <cfRule type="duplicateValues" dxfId="6595" priority="335" stopIfTrue="1"/>
  </conditionalFormatting>
  <conditionalFormatting sqref="C53">
    <cfRule type="duplicateValues" dxfId="6594" priority="333" stopIfTrue="1"/>
    <cfRule type="duplicateValues" dxfId="6593" priority="334" stopIfTrue="1"/>
  </conditionalFormatting>
  <conditionalFormatting sqref="C53">
    <cfRule type="duplicateValues" dxfId="6592" priority="332" stopIfTrue="1"/>
  </conditionalFormatting>
  <conditionalFormatting sqref="C54">
    <cfRule type="duplicateValues" dxfId="6591" priority="330" stopIfTrue="1"/>
    <cfRule type="duplicateValues" dxfId="6590" priority="331" stopIfTrue="1"/>
  </conditionalFormatting>
  <conditionalFormatting sqref="C54">
    <cfRule type="duplicateValues" dxfId="6589" priority="329" stopIfTrue="1"/>
  </conditionalFormatting>
  <conditionalFormatting sqref="C56">
    <cfRule type="duplicateValues" dxfId="6588" priority="327" stopIfTrue="1"/>
    <cfRule type="duplicateValues" dxfId="6587" priority="328" stopIfTrue="1"/>
  </conditionalFormatting>
  <conditionalFormatting sqref="C56">
    <cfRule type="duplicateValues" dxfId="6586" priority="326" stopIfTrue="1"/>
  </conditionalFormatting>
  <conditionalFormatting sqref="C57">
    <cfRule type="duplicateValues" dxfId="6585" priority="324" stopIfTrue="1"/>
    <cfRule type="duplicateValues" dxfId="6584" priority="325" stopIfTrue="1"/>
  </conditionalFormatting>
  <conditionalFormatting sqref="C57">
    <cfRule type="duplicateValues" dxfId="6583" priority="323" stopIfTrue="1"/>
  </conditionalFormatting>
  <conditionalFormatting sqref="C58">
    <cfRule type="duplicateValues" dxfId="6582" priority="321" stopIfTrue="1"/>
    <cfRule type="duplicateValues" dxfId="6581" priority="322" stopIfTrue="1"/>
  </conditionalFormatting>
  <conditionalFormatting sqref="C58">
    <cfRule type="duplicateValues" dxfId="6580" priority="320" stopIfTrue="1"/>
  </conditionalFormatting>
  <conditionalFormatting sqref="C59">
    <cfRule type="duplicateValues" dxfId="6579" priority="318" stopIfTrue="1"/>
    <cfRule type="duplicateValues" dxfId="6578" priority="319" stopIfTrue="1"/>
  </conditionalFormatting>
  <conditionalFormatting sqref="C59">
    <cfRule type="duplicateValues" dxfId="6577" priority="317" stopIfTrue="1"/>
  </conditionalFormatting>
  <conditionalFormatting sqref="C62">
    <cfRule type="duplicateValues" dxfId="6576" priority="315" stopIfTrue="1"/>
    <cfRule type="duplicateValues" dxfId="6575" priority="316" stopIfTrue="1"/>
  </conditionalFormatting>
  <conditionalFormatting sqref="C62">
    <cfRule type="duplicateValues" dxfId="6574" priority="314" stopIfTrue="1"/>
  </conditionalFormatting>
  <conditionalFormatting sqref="C63">
    <cfRule type="duplicateValues" dxfId="6573" priority="312" stopIfTrue="1"/>
    <cfRule type="duplicateValues" dxfId="6572" priority="313" stopIfTrue="1"/>
  </conditionalFormatting>
  <conditionalFormatting sqref="C63">
    <cfRule type="duplicateValues" dxfId="6571" priority="311" stopIfTrue="1"/>
  </conditionalFormatting>
  <conditionalFormatting sqref="C65">
    <cfRule type="duplicateValues" dxfId="6570" priority="309" stopIfTrue="1"/>
    <cfRule type="duplicateValues" dxfId="6569" priority="310" stopIfTrue="1"/>
  </conditionalFormatting>
  <conditionalFormatting sqref="C65">
    <cfRule type="duplicateValues" dxfId="6568" priority="308" stopIfTrue="1"/>
  </conditionalFormatting>
  <conditionalFormatting sqref="C66">
    <cfRule type="duplicateValues" dxfId="6567" priority="306" stopIfTrue="1"/>
    <cfRule type="duplicateValues" dxfId="6566" priority="307" stopIfTrue="1"/>
  </conditionalFormatting>
  <conditionalFormatting sqref="C66">
    <cfRule type="duplicateValues" dxfId="6565" priority="305" stopIfTrue="1"/>
  </conditionalFormatting>
  <conditionalFormatting sqref="C67">
    <cfRule type="duplicateValues" dxfId="6564" priority="303" stopIfTrue="1"/>
    <cfRule type="duplicateValues" dxfId="6563" priority="304" stopIfTrue="1"/>
  </conditionalFormatting>
  <conditionalFormatting sqref="C67">
    <cfRule type="duplicateValues" dxfId="6562" priority="302" stopIfTrue="1"/>
  </conditionalFormatting>
  <conditionalFormatting sqref="C69">
    <cfRule type="duplicateValues" dxfId="6561" priority="300" stopIfTrue="1"/>
    <cfRule type="duplicateValues" dxfId="6560" priority="301" stopIfTrue="1"/>
  </conditionalFormatting>
  <conditionalFormatting sqref="C69">
    <cfRule type="duplicateValues" dxfId="6559" priority="299" stopIfTrue="1"/>
  </conditionalFormatting>
  <conditionalFormatting sqref="C70">
    <cfRule type="duplicateValues" dxfId="6558" priority="297" stopIfTrue="1"/>
    <cfRule type="duplicateValues" dxfId="6557" priority="298" stopIfTrue="1"/>
  </conditionalFormatting>
  <conditionalFormatting sqref="C70">
    <cfRule type="duplicateValues" dxfId="6556" priority="296" stopIfTrue="1"/>
  </conditionalFormatting>
  <conditionalFormatting sqref="C72">
    <cfRule type="duplicateValues" dxfId="6555" priority="294" stopIfTrue="1"/>
    <cfRule type="duplicateValues" dxfId="6554" priority="295" stopIfTrue="1"/>
  </conditionalFormatting>
  <conditionalFormatting sqref="C72">
    <cfRule type="duplicateValues" dxfId="6553" priority="293" stopIfTrue="1"/>
  </conditionalFormatting>
  <conditionalFormatting sqref="C73">
    <cfRule type="duplicateValues" dxfId="6552" priority="291" stopIfTrue="1"/>
    <cfRule type="duplicateValues" dxfId="6551" priority="292" stopIfTrue="1"/>
  </conditionalFormatting>
  <conditionalFormatting sqref="C73">
    <cfRule type="duplicateValues" dxfId="6550" priority="290" stopIfTrue="1"/>
  </conditionalFormatting>
  <conditionalFormatting sqref="C74">
    <cfRule type="duplicateValues" dxfId="6549" priority="288" stopIfTrue="1"/>
    <cfRule type="duplicateValues" dxfId="6548" priority="289" stopIfTrue="1"/>
  </conditionalFormatting>
  <conditionalFormatting sqref="C74">
    <cfRule type="duplicateValues" dxfId="6547" priority="287" stopIfTrue="1"/>
  </conditionalFormatting>
  <conditionalFormatting sqref="C76">
    <cfRule type="duplicateValues" dxfId="6546" priority="285" stopIfTrue="1"/>
    <cfRule type="duplicateValues" dxfId="6545" priority="286" stopIfTrue="1"/>
  </conditionalFormatting>
  <conditionalFormatting sqref="C76">
    <cfRule type="duplicateValues" dxfId="6544" priority="284" stopIfTrue="1"/>
  </conditionalFormatting>
  <conditionalFormatting sqref="C77">
    <cfRule type="duplicateValues" dxfId="6543" priority="282" stopIfTrue="1"/>
    <cfRule type="duplicateValues" dxfId="6542" priority="283" stopIfTrue="1"/>
  </conditionalFormatting>
  <conditionalFormatting sqref="C77">
    <cfRule type="duplicateValues" dxfId="6541" priority="281" stopIfTrue="1"/>
  </conditionalFormatting>
  <conditionalFormatting sqref="C78">
    <cfRule type="duplicateValues" dxfId="6540" priority="279" stopIfTrue="1"/>
    <cfRule type="duplicateValues" dxfId="6539" priority="280" stopIfTrue="1"/>
  </conditionalFormatting>
  <conditionalFormatting sqref="C78">
    <cfRule type="duplicateValues" dxfId="6538" priority="278" stopIfTrue="1"/>
  </conditionalFormatting>
  <conditionalFormatting sqref="C79">
    <cfRule type="duplicateValues" dxfId="6537" priority="276" stopIfTrue="1"/>
    <cfRule type="duplicateValues" dxfId="6536" priority="277" stopIfTrue="1"/>
  </conditionalFormatting>
  <conditionalFormatting sqref="C79">
    <cfRule type="duplicateValues" dxfId="6535" priority="275" stopIfTrue="1"/>
  </conditionalFormatting>
  <conditionalFormatting sqref="C80">
    <cfRule type="duplicateValues" dxfId="6534" priority="273" stopIfTrue="1"/>
    <cfRule type="duplicateValues" dxfId="6533" priority="274" stopIfTrue="1"/>
  </conditionalFormatting>
  <conditionalFormatting sqref="C80">
    <cfRule type="duplicateValues" dxfId="6532" priority="272" stopIfTrue="1"/>
  </conditionalFormatting>
  <conditionalFormatting sqref="C81">
    <cfRule type="duplicateValues" dxfId="6531" priority="270" stopIfTrue="1"/>
    <cfRule type="duplicateValues" dxfId="6530" priority="271" stopIfTrue="1"/>
  </conditionalFormatting>
  <conditionalFormatting sqref="C81">
    <cfRule type="duplicateValues" dxfId="6529" priority="269" stopIfTrue="1"/>
  </conditionalFormatting>
  <conditionalFormatting sqref="C82">
    <cfRule type="duplicateValues" dxfId="6528" priority="267" stopIfTrue="1"/>
    <cfRule type="duplicateValues" dxfId="6527" priority="268" stopIfTrue="1"/>
  </conditionalFormatting>
  <conditionalFormatting sqref="C82">
    <cfRule type="duplicateValues" dxfId="6526" priority="266" stopIfTrue="1"/>
  </conditionalFormatting>
  <conditionalFormatting sqref="C83">
    <cfRule type="duplicateValues" dxfId="6525" priority="264" stopIfTrue="1"/>
    <cfRule type="duplicateValues" dxfId="6524" priority="265" stopIfTrue="1"/>
  </conditionalFormatting>
  <conditionalFormatting sqref="C83">
    <cfRule type="duplicateValues" dxfId="6523" priority="263" stopIfTrue="1"/>
  </conditionalFormatting>
  <conditionalFormatting sqref="C84">
    <cfRule type="duplicateValues" dxfId="6522" priority="261" stopIfTrue="1"/>
    <cfRule type="duplicateValues" dxfId="6521" priority="262" stopIfTrue="1"/>
  </conditionalFormatting>
  <conditionalFormatting sqref="C84">
    <cfRule type="duplicateValues" dxfId="6520" priority="260" stopIfTrue="1"/>
  </conditionalFormatting>
  <conditionalFormatting sqref="C85">
    <cfRule type="duplicateValues" dxfId="6519" priority="258" stopIfTrue="1"/>
    <cfRule type="duplicateValues" dxfId="6518" priority="259" stopIfTrue="1"/>
  </conditionalFormatting>
  <conditionalFormatting sqref="C85">
    <cfRule type="duplicateValues" dxfId="6517" priority="257" stopIfTrue="1"/>
  </conditionalFormatting>
  <conditionalFormatting sqref="C86">
    <cfRule type="duplicateValues" dxfId="6516" priority="255" stopIfTrue="1"/>
    <cfRule type="duplicateValues" dxfId="6515" priority="256" stopIfTrue="1"/>
  </conditionalFormatting>
  <conditionalFormatting sqref="C86">
    <cfRule type="duplicateValues" dxfId="6514" priority="254" stopIfTrue="1"/>
  </conditionalFormatting>
  <conditionalFormatting sqref="C87">
    <cfRule type="duplicateValues" dxfId="6513" priority="252" stopIfTrue="1"/>
    <cfRule type="duplicateValues" dxfId="6512" priority="253" stopIfTrue="1"/>
  </conditionalFormatting>
  <conditionalFormatting sqref="C87">
    <cfRule type="duplicateValues" dxfId="6511" priority="251" stopIfTrue="1"/>
  </conditionalFormatting>
  <conditionalFormatting sqref="C237">
    <cfRule type="duplicateValues" dxfId="6510" priority="249" stopIfTrue="1"/>
    <cfRule type="duplicateValues" dxfId="6509" priority="250" stopIfTrue="1"/>
  </conditionalFormatting>
  <conditionalFormatting sqref="C237">
    <cfRule type="duplicateValues" dxfId="6508" priority="248" stopIfTrue="1"/>
  </conditionalFormatting>
  <conditionalFormatting sqref="C88">
    <cfRule type="duplicateValues" dxfId="6507" priority="246" stopIfTrue="1"/>
    <cfRule type="duplicateValues" dxfId="6506" priority="247" stopIfTrue="1"/>
  </conditionalFormatting>
  <conditionalFormatting sqref="C88">
    <cfRule type="duplicateValues" dxfId="6505" priority="245" stopIfTrue="1"/>
  </conditionalFormatting>
  <conditionalFormatting sqref="C89">
    <cfRule type="duplicateValues" dxfId="6504" priority="243" stopIfTrue="1"/>
    <cfRule type="duplicateValues" dxfId="6503" priority="244" stopIfTrue="1"/>
  </conditionalFormatting>
  <conditionalFormatting sqref="C89">
    <cfRule type="duplicateValues" dxfId="6502" priority="242" stopIfTrue="1"/>
  </conditionalFormatting>
  <conditionalFormatting sqref="C91">
    <cfRule type="duplicateValues" dxfId="6501" priority="240" stopIfTrue="1"/>
    <cfRule type="duplicateValues" dxfId="6500" priority="241" stopIfTrue="1"/>
  </conditionalFormatting>
  <conditionalFormatting sqref="C91">
    <cfRule type="duplicateValues" dxfId="6499" priority="239" stopIfTrue="1"/>
  </conditionalFormatting>
  <conditionalFormatting sqref="C92">
    <cfRule type="duplicateValues" dxfId="6498" priority="237" stopIfTrue="1"/>
    <cfRule type="duplicateValues" dxfId="6497" priority="238" stopIfTrue="1"/>
  </conditionalFormatting>
  <conditionalFormatting sqref="C92">
    <cfRule type="duplicateValues" dxfId="6496" priority="236" stopIfTrue="1"/>
  </conditionalFormatting>
  <conditionalFormatting sqref="C93">
    <cfRule type="duplicateValues" dxfId="6495" priority="234" stopIfTrue="1"/>
    <cfRule type="duplicateValues" dxfId="6494" priority="235" stopIfTrue="1"/>
  </conditionalFormatting>
  <conditionalFormatting sqref="C93">
    <cfRule type="duplicateValues" dxfId="6493" priority="233" stopIfTrue="1"/>
  </conditionalFormatting>
  <conditionalFormatting sqref="C96">
    <cfRule type="duplicateValues" dxfId="6492" priority="231" stopIfTrue="1"/>
    <cfRule type="duplicateValues" dxfId="6491" priority="232" stopIfTrue="1"/>
  </conditionalFormatting>
  <conditionalFormatting sqref="C96">
    <cfRule type="duplicateValues" dxfId="6490" priority="230" stopIfTrue="1"/>
  </conditionalFormatting>
  <conditionalFormatting sqref="C97">
    <cfRule type="duplicateValues" dxfId="6489" priority="228" stopIfTrue="1"/>
    <cfRule type="duplicateValues" dxfId="6488" priority="229" stopIfTrue="1"/>
  </conditionalFormatting>
  <conditionalFormatting sqref="C97">
    <cfRule type="duplicateValues" dxfId="6487" priority="227" stopIfTrue="1"/>
  </conditionalFormatting>
  <conditionalFormatting sqref="C98">
    <cfRule type="duplicateValues" dxfId="6486" priority="225" stopIfTrue="1"/>
    <cfRule type="duplicateValues" dxfId="6485" priority="226" stopIfTrue="1"/>
  </conditionalFormatting>
  <conditionalFormatting sqref="C98">
    <cfRule type="duplicateValues" dxfId="6484" priority="224" stopIfTrue="1"/>
  </conditionalFormatting>
  <conditionalFormatting sqref="C238">
    <cfRule type="duplicateValues" dxfId="6483" priority="222" stopIfTrue="1"/>
    <cfRule type="duplicateValues" dxfId="6482" priority="223" stopIfTrue="1"/>
  </conditionalFormatting>
  <conditionalFormatting sqref="C238">
    <cfRule type="duplicateValues" dxfId="6481" priority="221" stopIfTrue="1"/>
  </conditionalFormatting>
  <conditionalFormatting sqref="C99">
    <cfRule type="duplicateValues" dxfId="6480" priority="219" stopIfTrue="1"/>
    <cfRule type="duplicateValues" dxfId="6479" priority="220" stopIfTrue="1"/>
  </conditionalFormatting>
  <conditionalFormatting sqref="C99">
    <cfRule type="duplicateValues" dxfId="6478" priority="218" stopIfTrue="1"/>
  </conditionalFormatting>
  <conditionalFormatting sqref="C100">
    <cfRule type="duplicateValues" dxfId="6477" priority="216" stopIfTrue="1"/>
    <cfRule type="duplicateValues" dxfId="6476" priority="217" stopIfTrue="1"/>
  </conditionalFormatting>
  <conditionalFormatting sqref="C100">
    <cfRule type="duplicateValues" dxfId="6475" priority="215" stopIfTrue="1"/>
  </conditionalFormatting>
  <conditionalFormatting sqref="C101">
    <cfRule type="duplicateValues" dxfId="6474" priority="213" stopIfTrue="1"/>
    <cfRule type="duplicateValues" dxfId="6473" priority="214" stopIfTrue="1"/>
  </conditionalFormatting>
  <conditionalFormatting sqref="C101">
    <cfRule type="duplicateValues" dxfId="6472" priority="212" stopIfTrue="1"/>
  </conditionalFormatting>
  <conditionalFormatting sqref="C102">
    <cfRule type="duplicateValues" dxfId="6471" priority="210" stopIfTrue="1"/>
    <cfRule type="duplicateValues" dxfId="6470" priority="211" stopIfTrue="1"/>
  </conditionalFormatting>
  <conditionalFormatting sqref="C102">
    <cfRule type="duplicateValues" dxfId="6469" priority="209" stopIfTrue="1"/>
  </conditionalFormatting>
  <conditionalFormatting sqref="C103">
    <cfRule type="duplicateValues" dxfId="6468" priority="207" stopIfTrue="1"/>
    <cfRule type="duplicateValues" dxfId="6467" priority="208" stopIfTrue="1"/>
  </conditionalFormatting>
  <conditionalFormatting sqref="C103">
    <cfRule type="duplicateValues" dxfId="6466" priority="206" stopIfTrue="1"/>
  </conditionalFormatting>
  <conditionalFormatting sqref="C104">
    <cfRule type="duplicateValues" dxfId="6465" priority="204" stopIfTrue="1"/>
    <cfRule type="duplicateValues" dxfId="6464" priority="205" stopIfTrue="1"/>
  </conditionalFormatting>
  <conditionalFormatting sqref="C104">
    <cfRule type="duplicateValues" dxfId="6463" priority="203" stopIfTrue="1"/>
  </conditionalFormatting>
  <conditionalFormatting sqref="C239">
    <cfRule type="duplicateValues" dxfId="6462" priority="201" stopIfTrue="1"/>
    <cfRule type="duplicateValues" dxfId="6461" priority="202" stopIfTrue="1"/>
  </conditionalFormatting>
  <conditionalFormatting sqref="C239">
    <cfRule type="duplicateValues" dxfId="6460" priority="200" stopIfTrue="1"/>
  </conditionalFormatting>
  <conditionalFormatting sqref="C105">
    <cfRule type="duplicateValues" dxfId="6459" priority="198" stopIfTrue="1"/>
    <cfRule type="duplicateValues" dxfId="6458" priority="199" stopIfTrue="1"/>
  </conditionalFormatting>
  <conditionalFormatting sqref="C105">
    <cfRule type="duplicateValues" dxfId="6457" priority="197" stopIfTrue="1"/>
  </conditionalFormatting>
  <conditionalFormatting sqref="C106">
    <cfRule type="duplicateValues" dxfId="6456" priority="195" stopIfTrue="1"/>
    <cfRule type="duplicateValues" dxfId="6455" priority="196" stopIfTrue="1"/>
  </conditionalFormatting>
  <conditionalFormatting sqref="C106">
    <cfRule type="duplicateValues" dxfId="6454" priority="194" stopIfTrue="1"/>
  </conditionalFormatting>
  <conditionalFormatting sqref="C107">
    <cfRule type="duplicateValues" dxfId="6453" priority="192" stopIfTrue="1"/>
    <cfRule type="duplicateValues" dxfId="6452" priority="193" stopIfTrue="1"/>
  </conditionalFormatting>
  <conditionalFormatting sqref="C107">
    <cfRule type="duplicateValues" dxfId="6451" priority="191" stopIfTrue="1"/>
  </conditionalFormatting>
  <conditionalFormatting sqref="C108">
    <cfRule type="duplicateValues" dxfId="6450" priority="189" stopIfTrue="1"/>
    <cfRule type="duplicateValues" dxfId="6449" priority="190" stopIfTrue="1"/>
  </conditionalFormatting>
  <conditionalFormatting sqref="C108">
    <cfRule type="duplicateValues" dxfId="6448" priority="188" stopIfTrue="1"/>
  </conditionalFormatting>
  <conditionalFormatting sqref="C109">
    <cfRule type="duplicateValues" dxfId="6447" priority="186" stopIfTrue="1"/>
    <cfRule type="duplicateValues" dxfId="6446" priority="187" stopIfTrue="1"/>
  </conditionalFormatting>
  <conditionalFormatting sqref="C109">
    <cfRule type="duplicateValues" dxfId="6445" priority="185" stopIfTrue="1"/>
  </conditionalFormatting>
  <conditionalFormatting sqref="C110">
    <cfRule type="duplicateValues" dxfId="6444" priority="183" stopIfTrue="1"/>
    <cfRule type="duplicateValues" dxfId="6443" priority="184" stopIfTrue="1"/>
  </conditionalFormatting>
  <conditionalFormatting sqref="C110">
    <cfRule type="duplicateValues" dxfId="6442" priority="182" stopIfTrue="1"/>
  </conditionalFormatting>
  <conditionalFormatting sqref="C111">
    <cfRule type="duplicateValues" dxfId="6441" priority="180" stopIfTrue="1"/>
    <cfRule type="duplicateValues" dxfId="6440" priority="181" stopIfTrue="1"/>
  </conditionalFormatting>
  <conditionalFormatting sqref="C111">
    <cfRule type="duplicateValues" dxfId="6439" priority="179" stopIfTrue="1"/>
  </conditionalFormatting>
  <conditionalFormatting sqref="C112">
    <cfRule type="duplicateValues" dxfId="6438" priority="177" stopIfTrue="1"/>
    <cfRule type="duplicateValues" dxfId="6437" priority="178" stopIfTrue="1"/>
  </conditionalFormatting>
  <conditionalFormatting sqref="C112">
    <cfRule type="duplicateValues" dxfId="6436" priority="176" stopIfTrue="1"/>
  </conditionalFormatting>
  <conditionalFormatting sqref="C114">
    <cfRule type="duplicateValues" dxfId="6435" priority="174" stopIfTrue="1"/>
    <cfRule type="duplicateValues" dxfId="6434" priority="175" stopIfTrue="1"/>
  </conditionalFormatting>
  <conditionalFormatting sqref="C114">
    <cfRule type="duplicateValues" dxfId="6433" priority="173" stopIfTrue="1"/>
  </conditionalFormatting>
  <conditionalFormatting sqref="C115">
    <cfRule type="duplicateValues" dxfId="6432" priority="171" stopIfTrue="1"/>
    <cfRule type="duplicateValues" dxfId="6431" priority="172" stopIfTrue="1"/>
  </conditionalFormatting>
  <conditionalFormatting sqref="C115">
    <cfRule type="duplicateValues" dxfId="6430" priority="170" stopIfTrue="1"/>
  </conditionalFormatting>
  <conditionalFormatting sqref="C116">
    <cfRule type="duplicateValues" dxfId="6429" priority="168" stopIfTrue="1"/>
    <cfRule type="duplicateValues" dxfId="6428" priority="169" stopIfTrue="1"/>
  </conditionalFormatting>
  <conditionalFormatting sqref="C116">
    <cfRule type="duplicateValues" dxfId="6427" priority="167" stopIfTrue="1"/>
  </conditionalFormatting>
  <conditionalFormatting sqref="C118">
    <cfRule type="duplicateValues" dxfId="6426" priority="165" stopIfTrue="1"/>
    <cfRule type="duplicateValues" dxfId="6425" priority="166" stopIfTrue="1"/>
  </conditionalFormatting>
  <conditionalFormatting sqref="C118">
    <cfRule type="duplicateValues" dxfId="6424" priority="164" stopIfTrue="1"/>
  </conditionalFormatting>
  <conditionalFormatting sqref="C119">
    <cfRule type="duplicateValues" dxfId="6423" priority="161" stopIfTrue="1"/>
    <cfRule type="duplicateValues" dxfId="6422" priority="162" stopIfTrue="1"/>
  </conditionalFormatting>
  <conditionalFormatting sqref="C119">
    <cfRule type="duplicateValues" dxfId="6421" priority="160" stopIfTrue="1"/>
  </conditionalFormatting>
  <conditionalFormatting sqref="C241">
    <cfRule type="duplicateValues" dxfId="6420" priority="158" stopIfTrue="1"/>
    <cfRule type="duplicateValues" dxfId="6419" priority="159" stopIfTrue="1"/>
  </conditionalFormatting>
  <conditionalFormatting sqref="C241">
    <cfRule type="duplicateValues" dxfId="6418" priority="157" stopIfTrue="1"/>
  </conditionalFormatting>
  <conditionalFormatting sqref="C121">
    <cfRule type="duplicateValues" dxfId="6417" priority="155" stopIfTrue="1"/>
    <cfRule type="duplicateValues" dxfId="6416" priority="156" stopIfTrue="1"/>
  </conditionalFormatting>
  <conditionalFormatting sqref="C121">
    <cfRule type="duplicateValues" dxfId="6415" priority="154" stopIfTrue="1"/>
  </conditionalFormatting>
  <conditionalFormatting sqref="C123">
    <cfRule type="duplicateValues" dxfId="6414" priority="152" stopIfTrue="1"/>
    <cfRule type="duplicateValues" dxfId="6413" priority="153" stopIfTrue="1"/>
  </conditionalFormatting>
  <conditionalFormatting sqref="C123">
    <cfRule type="duplicateValues" dxfId="6412" priority="151" stopIfTrue="1"/>
  </conditionalFormatting>
  <conditionalFormatting sqref="C124">
    <cfRule type="duplicateValues" dxfId="6411" priority="149" stopIfTrue="1"/>
    <cfRule type="duplicateValues" dxfId="6410" priority="150" stopIfTrue="1"/>
  </conditionalFormatting>
  <conditionalFormatting sqref="C124">
    <cfRule type="duplicateValues" dxfId="6409" priority="148" stopIfTrue="1"/>
  </conditionalFormatting>
  <conditionalFormatting sqref="C125">
    <cfRule type="duplicateValues" dxfId="6408" priority="146" stopIfTrue="1"/>
    <cfRule type="duplicateValues" dxfId="6407" priority="147" stopIfTrue="1"/>
  </conditionalFormatting>
  <conditionalFormatting sqref="C125">
    <cfRule type="duplicateValues" dxfId="6406" priority="145" stopIfTrue="1"/>
  </conditionalFormatting>
  <conditionalFormatting sqref="C126">
    <cfRule type="duplicateValues" dxfId="6405" priority="143" stopIfTrue="1"/>
    <cfRule type="duplicateValues" dxfId="6404" priority="144" stopIfTrue="1"/>
  </conditionalFormatting>
  <conditionalFormatting sqref="C126">
    <cfRule type="duplicateValues" dxfId="6403" priority="142" stopIfTrue="1"/>
  </conditionalFormatting>
  <conditionalFormatting sqref="C127">
    <cfRule type="duplicateValues" dxfId="6402" priority="140" stopIfTrue="1"/>
    <cfRule type="duplicateValues" dxfId="6401" priority="141" stopIfTrue="1"/>
  </conditionalFormatting>
  <conditionalFormatting sqref="C127">
    <cfRule type="duplicateValues" dxfId="6400" priority="139" stopIfTrue="1"/>
  </conditionalFormatting>
  <conditionalFormatting sqref="C128">
    <cfRule type="duplicateValues" dxfId="6399" priority="137" stopIfTrue="1"/>
    <cfRule type="duplicateValues" dxfId="6398" priority="138" stopIfTrue="1"/>
  </conditionalFormatting>
  <conditionalFormatting sqref="C128">
    <cfRule type="duplicateValues" dxfId="6397" priority="136" stopIfTrue="1"/>
  </conditionalFormatting>
  <conditionalFormatting sqref="C7">
    <cfRule type="duplicateValues" dxfId="6396" priority="134" stopIfTrue="1"/>
    <cfRule type="duplicateValues" dxfId="6395" priority="135" stopIfTrue="1"/>
  </conditionalFormatting>
  <conditionalFormatting sqref="C7">
    <cfRule type="duplicateValues" dxfId="6394" priority="133" stopIfTrue="1"/>
  </conditionalFormatting>
  <conditionalFormatting sqref="C206">
    <cfRule type="duplicateValues" dxfId="6393" priority="131" stopIfTrue="1"/>
    <cfRule type="duplicateValues" dxfId="6392" priority="132" stopIfTrue="1"/>
  </conditionalFormatting>
  <conditionalFormatting sqref="C206">
    <cfRule type="duplicateValues" dxfId="6391" priority="130" stopIfTrue="1"/>
  </conditionalFormatting>
  <conditionalFormatting sqref="C208">
    <cfRule type="duplicateValues" dxfId="6390" priority="128" stopIfTrue="1"/>
    <cfRule type="duplicateValues" dxfId="6389" priority="129" stopIfTrue="1"/>
  </conditionalFormatting>
  <conditionalFormatting sqref="C208">
    <cfRule type="duplicateValues" dxfId="6388" priority="127" stopIfTrue="1"/>
  </conditionalFormatting>
  <conditionalFormatting sqref="C209">
    <cfRule type="duplicateValues" dxfId="6387" priority="125" stopIfTrue="1"/>
    <cfRule type="duplicateValues" dxfId="6386" priority="126" stopIfTrue="1"/>
  </conditionalFormatting>
  <conditionalFormatting sqref="C209">
    <cfRule type="duplicateValues" dxfId="6385" priority="124" stopIfTrue="1"/>
  </conditionalFormatting>
  <conditionalFormatting sqref="C210">
    <cfRule type="duplicateValues" dxfId="6384" priority="122" stopIfTrue="1"/>
    <cfRule type="duplicateValues" dxfId="6383" priority="123" stopIfTrue="1"/>
  </conditionalFormatting>
  <conditionalFormatting sqref="C210">
    <cfRule type="duplicateValues" dxfId="6382" priority="121" stopIfTrue="1"/>
  </conditionalFormatting>
  <conditionalFormatting sqref="C211">
    <cfRule type="duplicateValues" dxfId="6381" priority="119" stopIfTrue="1"/>
    <cfRule type="duplicateValues" dxfId="6380" priority="120" stopIfTrue="1"/>
  </conditionalFormatting>
  <conditionalFormatting sqref="C211">
    <cfRule type="duplicateValues" dxfId="6379" priority="118" stopIfTrue="1"/>
  </conditionalFormatting>
  <conditionalFormatting sqref="C212">
    <cfRule type="duplicateValues" dxfId="6378" priority="116" stopIfTrue="1"/>
    <cfRule type="duplicateValues" dxfId="6377" priority="117" stopIfTrue="1"/>
  </conditionalFormatting>
  <conditionalFormatting sqref="C212">
    <cfRule type="duplicateValues" dxfId="6376" priority="115" stopIfTrue="1"/>
  </conditionalFormatting>
  <conditionalFormatting sqref="C213">
    <cfRule type="duplicateValues" dxfId="6375" priority="113" stopIfTrue="1"/>
    <cfRule type="duplicateValues" dxfId="6374" priority="114" stopIfTrue="1"/>
  </conditionalFormatting>
  <conditionalFormatting sqref="C213">
    <cfRule type="duplicateValues" dxfId="6373" priority="112" stopIfTrue="1"/>
  </conditionalFormatting>
  <conditionalFormatting sqref="C214">
    <cfRule type="duplicateValues" dxfId="6372" priority="110" stopIfTrue="1"/>
    <cfRule type="duplicateValues" dxfId="6371" priority="111" stopIfTrue="1"/>
  </conditionalFormatting>
  <conditionalFormatting sqref="C214">
    <cfRule type="duplicateValues" dxfId="6370" priority="109" stopIfTrue="1"/>
  </conditionalFormatting>
  <conditionalFormatting sqref="C215">
    <cfRule type="duplicateValues" dxfId="6369" priority="107" stopIfTrue="1"/>
    <cfRule type="duplicateValues" dxfId="6368" priority="108" stopIfTrue="1"/>
  </conditionalFormatting>
  <conditionalFormatting sqref="C215">
    <cfRule type="duplicateValues" dxfId="6367" priority="106" stopIfTrue="1"/>
  </conditionalFormatting>
  <conditionalFormatting sqref="C216">
    <cfRule type="duplicateValues" dxfId="6366" priority="104" stopIfTrue="1"/>
    <cfRule type="duplicateValues" dxfId="6365" priority="105" stopIfTrue="1"/>
  </conditionalFormatting>
  <conditionalFormatting sqref="C216">
    <cfRule type="duplicateValues" dxfId="6364" priority="103" stopIfTrue="1"/>
  </conditionalFormatting>
  <conditionalFormatting sqref="C218">
    <cfRule type="duplicateValues" dxfId="6363" priority="101" stopIfTrue="1"/>
    <cfRule type="duplicateValues" dxfId="6362" priority="102" stopIfTrue="1"/>
  </conditionalFormatting>
  <conditionalFormatting sqref="C218">
    <cfRule type="duplicateValues" dxfId="6361" priority="100" stopIfTrue="1"/>
  </conditionalFormatting>
  <conditionalFormatting sqref="C219">
    <cfRule type="duplicateValues" dxfId="6360" priority="98" stopIfTrue="1"/>
    <cfRule type="duplicateValues" dxfId="6359" priority="99" stopIfTrue="1"/>
  </conditionalFormatting>
  <conditionalFormatting sqref="C219">
    <cfRule type="duplicateValues" dxfId="6358" priority="97" stopIfTrue="1"/>
  </conditionalFormatting>
  <conditionalFormatting sqref="C234">
    <cfRule type="duplicateValues" dxfId="6357" priority="95" stopIfTrue="1"/>
    <cfRule type="duplicateValues" dxfId="6356" priority="96" stopIfTrue="1"/>
  </conditionalFormatting>
  <conditionalFormatting sqref="C234">
    <cfRule type="duplicateValues" dxfId="6355" priority="94" stopIfTrue="1"/>
  </conditionalFormatting>
  <conditionalFormatting sqref="C221">
    <cfRule type="duplicateValues" dxfId="6354" priority="92" stopIfTrue="1"/>
    <cfRule type="duplicateValues" dxfId="6353" priority="93" stopIfTrue="1"/>
  </conditionalFormatting>
  <conditionalFormatting sqref="C221">
    <cfRule type="duplicateValues" dxfId="6352" priority="91" stopIfTrue="1"/>
  </conditionalFormatting>
  <conditionalFormatting sqref="C132">
    <cfRule type="duplicateValues" dxfId="6351" priority="89" stopIfTrue="1"/>
    <cfRule type="duplicateValues" dxfId="6350" priority="90" stopIfTrue="1"/>
  </conditionalFormatting>
  <conditionalFormatting sqref="C132">
    <cfRule type="duplicateValues" dxfId="6349" priority="88" stopIfTrue="1"/>
  </conditionalFormatting>
  <conditionalFormatting sqref="C240 C229 C133:C176">
    <cfRule type="duplicateValues" dxfId="6348" priority="86" stopIfTrue="1"/>
    <cfRule type="duplicateValues" dxfId="6347" priority="87" stopIfTrue="1"/>
  </conditionalFormatting>
  <conditionalFormatting sqref="C240 C229 C133:C176">
    <cfRule type="duplicateValues" dxfId="6346" priority="85" stopIfTrue="1"/>
  </conditionalFormatting>
  <conditionalFormatting sqref="C240 C229 C199:C203 C130 C133:C176">
    <cfRule type="duplicateValues" dxfId="6345" priority="83" stopIfTrue="1"/>
    <cfRule type="duplicateValues" dxfId="6344" priority="84" stopIfTrue="1"/>
  </conditionalFormatting>
  <conditionalFormatting sqref="C240 C229 C199:C203 C130 C133:C176">
    <cfRule type="duplicateValues" dxfId="6343" priority="82" stopIfTrue="1"/>
  </conditionalFormatting>
  <conditionalFormatting sqref="C177">
    <cfRule type="duplicateValues" dxfId="6342" priority="77" stopIfTrue="1"/>
    <cfRule type="duplicateValues" dxfId="6341" priority="78" stopIfTrue="1"/>
  </conditionalFormatting>
  <conditionalFormatting sqref="C177">
    <cfRule type="duplicateValues" dxfId="6340" priority="76" stopIfTrue="1"/>
  </conditionalFormatting>
  <conditionalFormatting sqref="C178">
    <cfRule type="duplicateValues" dxfId="6339" priority="74" stopIfTrue="1"/>
    <cfRule type="duplicateValues" dxfId="6338" priority="75" stopIfTrue="1"/>
  </conditionalFormatting>
  <conditionalFormatting sqref="C178">
    <cfRule type="duplicateValues" dxfId="6337" priority="73" stopIfTrue="1"/>
  </conditionalFormatting>
  <conditionalFormatting sqref="C179">
    <cfRule type="duplicateValues" dxfId="6336" priority="71" stopIfTrue="1"/>
    <cfRule type="duplicateValues" dxfId="6335" priority="72" stopIfTrue="1"/>
  </conditionalFormatting>
  <conditionalFormatting sqref="C179">
    <cfRule type="duplicateValues" dxfId="6334" priority="70" stopIfTrue="1"/>
  </conditionalFormatting>
  <conditionalFormatting sqref="C180">
    <cfRule type="duplicateValues" dxfId="6333" priority="68" stopIfTrue="1"/>
    <cfRule type="duplicateValues" dxfId="6332" priority="69" stopIfTrue="1"/>
  </conditionalFormatting>
  <conditionalFormatting sqref="C180">
    <cfRule type="duplicateValues" dxfId="6331" priority="67" stopIfTrue="1"/>
  </conditionalFormatting>
  <conditionalFormatting sqref="C181">
    <cfRule type="duplicateValues" dxfId="6330" priority="65" stopIfTrue="1"/>
    <cfRule type="duplicateValues" dxfId="6329" priority="66" stopIfTrue="1"/>
  </conditionalFormatting>
  <conditionalFormatting sqref="C181">
    <cfRule type="duplicateValues" dxfId="6328" priority="64" stopIfTrue="1"/>
  </conditionalFormatting>
  <conditionalFormatting sqref="C182">
    <cfRule type="duplicateValues" dxfId="6327" priority="62" stopIfTrue="1"/>
    <cfRule type="duplicateValues" dxfId="6326" priority="63" stopIfTrue="1"/>
  </conditionalFormatting>
  <conditionalFormatting sqref="C182">
    <cfRule type="duplicateValues" dxfId="6325" priority="61" stopIfTrue="1"/>
  </conditionalFormatting>
  <conditionalFormatting sqref="C183">
    <cfRule type="duplicateValues" dxfId="6324" priority="59" stopIfTrue="1"/>
    <cfRule type="duplicateValues" dxfId="6323" priority="60" stopIfTrue="1"/>
  </conditionalFormatting>
  <conditionalFormatting sqref="C183">
    <cfRule type="duplicateValues" dxfId="6322" priority="58" stopIfTrue="1"/>
  </conditionalFormatting>
  <conditionalFormatting sqref="C184">
    <cfRule type="duplicateValues" dxfId="6321" priority="56" stopIfTrue="1"/>
    <cfRule type="duplicateValues" dxfId="6320" priority="57" stopIfTrue="1"/>
  </conditionalFormatting>
  <conditionalFormatting sqref="C184">
    <cfRule type="duplicateValues" dxfId="6319" priority="55" stopIfTrue="1"/>
  </conditionalFormatting>
  <conditionalFormatting sqref="C185">
    <cfRule type="duplicateValues" dxfId="6318" priority="53" stopIfTrue="1"/>
    <cfRule type="duplicateValues" dxfId="6317" priority="54" stopIfTrue="1"/>
  </conditionalFormatting>
  <conditionalFormatting sqref="C185">
    <cfRule type="duplicateValues" dxfId="6316" priority="52" stopIfTrue="1"/>
  </conditionalFormatting>
  <conditionalFormatting sqref="C186">
    <cfRule type="duplicateValues" dxfId="6315" priority="50" stopIfTrue="1"/>
    <cfRule type="duplicateValues" dxfId="6314" priority="51" stopIfTrue="1"/>
  </conditionalFormatting>
  <conditionalFormatting sqref="C186">
    <cfRule type="duplicateValues" dxfId="6313" priority="49" stopIfTrue="1"/>
  </conditionalFormatting>
  <conditionalFormatting sqref="C187">
    <cfRule type="duplicateValues" dxfId="6312" priority="47" stopIfTrue="1"/>
    <cfRule type="duplicateValues" dxfId="6311" priority="48" stopIfTrue="1"/>
  </conditionalFormatting>
  <conditionalFormatting sqref="C187">
    <cfRule type="duplicateValues" dxfId="6310" priority="46" stopIfTrue="1"/>
  </conditionalFormatting>
  <conditionalFormatting sqref="C188">
    <cfRule type="duplicateValues" dxfId="6309" priority="44" stopIfTrue="1"/>
    <cfRule type="duplicateValues" dxfId="6308" priority="45" stopIfTrue="1"/>
  </conditionalFormatting>
  <conditionalFormatting sqref="C188">
    <cfRule type="duplicateValues" dxfId="6307" priority="43" stopIfTrue="1"/>
  </conditionalFormatting>
  <conditionalFormatting sqref="C189">
    <cfRule type="duplicateValues" dxfId="6306" priority="41" stopIfTrue="1"/>
    <cfRule type="duplicateValues" dxfId="6305" priority="42" stopIfTrue="1"/>
  </conditionalFormatting>
  <conditionalFormatting sqref="C189">
    <cfRule type="duplicateValues" dxfId="6304" priority="40" stopIfTrue="1"/>
  </conditionalFormatting>
  <conditionalFormatting sqref="C190">
    <cfRule type="duplicateValues" dxfId="6303" priority="38" stopIfTrue="1"/>
    <cfRule type="duplicateValues" dxfId="6302" priority="39" stopIfTrue="1"/>
  </conditionalFormatting>
  <conditionalFormatting sqref="C190">
    <cfRule type="duplicateValues" dxfId="6301" priority="37" stopIfTrue="1"/>
  </conditionalFormatting>
  <conditionalFormatting sqref="C191">
    <cfRule type="duplicateValues" dxfId="6300" priority="35" stopIfTrue="1"/>
    <cfRule type="duplicateValues" dxfId="6299" priority="36" stopIfTrue="1"/>
  </conditionalFormatting>
  <conditionalFormatting sqref="C191">
    <cfRule type="duplicateValues" dxfId="6298" priority="34" stopIfTrue="1"/>
  </conditionalFormatting>
  <conditionalFormatting sqref="C192">
    <cfRule type="duplicateValues" dxfId="6297" priority="32" stopIfTrue="1"/>
    <cfRule type="duplicateValues" dxfId="6296" priority="33" stopIfTrue="1"/>
  </conditionalFormatting>
  <conditionalFormatting sqref="C192">
    <cfRule type="duplicateValues" dxfId="6295" priority="31" stopIfTrue="1"/>
  </conditionalFormatting>
  <conditionalFormatting sqref="C193">
    <cfRule type="duplicateValues" dxfId="6294" priority="29" stopIfTrue="1"/>
    <cfRule type="duplicateValues" dxfId="6293" priority="30" stopIfTrue="1"/>
  </conditionalFormatting>
  <conditionalFormatting sqref="C193">
    <cfRule type="duplicateValues" dxfId="6292" priority="28" stopIfTrue="1"/>
  </conditionalFormatting>
  <conditionalFormatting sqref="C194">
    <cfRule type="duplicateValues" dxfId="6291" priority="26" stopIfTrue="1"/>
    <cfRule type="duplicateValues" dxfId="6290" priority="27" stopIfTrue="1"/>
  </conditionalFormatting>
  <conditionalFormatting sqref="C194">
    <cfRule type="duplicateValues" dxfId="6289" priority="25" stopIfTrue="1"/>
  </conditionalFormatting>
  <conditionalFormatting sqref="C195">
    <cfRule type="duplicateValues" dxfId="6288" priority="23" stopIfTrue="1"/>
    <cfRule type="duplicateValues" dxfId="6287" priority="24" stopIfTrue="1"/>
  </conditionalFormatting>
  <conditionalFormatting sqref="C195">
    <cfRule type="duplicateValues" dxfId="6286" priority="22" stopIfTrue="1"/>
  </conditionalFormatting>
  <conditionalFormatting sqref="C196">
    <cfRule type="duplicateValues" dxfId="6285" priority="20" stopIfTrue="1"/>
    <cfRule type="duplicateValues" dxfId="6284" priority="21" stopIfTrue="1"/>
  </conditionalFormatting>
  <conditionalFormatting sqref="C196">
    <cfRule type="duplicateValues" dxfId="6283" priority="19" stopIfTrue="1"/>
  </conditionalFormatting>
  <conditionalFormatting sqref="C220">
    <cfRule type="duplicateValues" dxfId="6282" priority="17" stopIfTrue="1"/>
    <cfRule type="duplicateValues" dxfId="6281" priority="18" stopIfTrue="1"/>
  </conditionalFormatting>
  <conditionalFormatting sqref="C220">
    <cfRule type="duplicateValues" dxfId="6280" priority="16" stopIfTrue="1"/>
  </conditionalFormatting>
  <conditionalFormatting sqref="C197">
    <cfRule type="duplicateValues" dxfId="6279" priority="14" stopIfTrue="1"/>
    <cfRule type="duplicateValues" dxfId="6278" priority="15" stopIfTrue="1"/>
  </conditionalFormatting>
  <conditionalFormatting sqref="C197">
    <cfRule type="duplicateValues" dxfId="6277" priority="13" stopIfTrue="1"/>
  </conditionalFormatting>
  <conditionalFormatting sqref="C198">
    <cfRule type="duplicateValues" dxfId="6276" priority="11" stopIfTrue="1"/>
    <cfRule type="duplicateValues" dxfId="6275" priority="12" stopIfTrue="1"/>
  </conditionalFormatting>
  <conditionalFormatting sqref="C198">
    <cfRule type="duplicateValues" dxfId="6274" priority="10" stopIfTrue="1"/>
  </conditionalFormatting>
  <conditionalFormatting sqref="C244:C1048576 C1:C2 C4:C241">
    <cfRule type="duplicateValues" dxfId="6273" priority="1774"/>
  </conditionalFormatting>
  <conditionalFormatting sqref="C2">
    <cfRule type="duplicateValues" dxfId="6272" priority="6"/>
  </conditionalFormatting>
  <conditionalFormatting sqref="C230:C231 C220 C177:C198 C223:C228">
    <cfRule type="duplicateValues" dxfId="6271" priority="2560" stopIfTrue="1"/>
    <cfRule type="duplicateValues" dxfId="6270" priority="2561" stopIfTrue="1"/>
  </conditionalFormatting>
  <conditionalFormatting sqref="C230:C231 C220 C177:C198 C223:C228">
    <cfRule type="duplicateValues" dxfId="6269" priority="2568" stopIfTrue="1"/>
  </conditionalFormatting>
  <conditionalFormatting sqref="C200:C201">
    <cfRule type="duplicateValues" dxfId="6268" priority="5"/>
  </conditionalFormatting>
  <conditionalFormatting sqref="C200:C201">
    <cfRule type="duplicateValues" dxfId="6267" priority="3" stopIfTrue="1"/>
    <cfRule type="duplicateValues" dxfId="6266" priority="4" stopIfTrue="1"/>
  </conditionalFormatting>
  <conditionalFormatting sqref="C200:C201">
    <cfRule type="duplicateValues" dxfId="6265" priority="2" stopIfTrue="1"/>
  </conditionalFormatting>
  <conditionalFormatting sqref="C203">
    <cfRule type="duplicateValues" dxfId="6264" priority="1"/>
  </conditionalFormatting>
  <pageMargins left="0.45" right="0.45" top="0.25" bottom="0.25" header="0.3" footer="0.3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</sheetPr>
  <dimension ref="B3:N259"/>
  <sheetViews>
    <sheetView topLeftCell="A162" workbookViewId="0">
      <selection activeCell="C162" sqref="C162"/>
    </sheetView>
  </sheetViews>
  <sheetFormatPr defaultRowHeight="15"/>
  <cols>
    <col min="2" max="2" width="6.85546875" customWidth="1"/>
    <col min="3" max="3" width="34.42578125" customWidth="1"/>
    <col min="4" max="4" width="13.5703125" customWidth="1"/>
    <col min="5" max="5" width="12.85546875" customWidth="1"/>
    <col min="6" max="6" width="13.7109375" customWidth="1"/>
    <col min="7" max="7" width="10.85546875" style="43" customWidth="1"/>
    <col min="8" max="8" width="12.5703125" customWidth="1"/>
    <col min="9" max="9" width="11.5703125" customWidth="1"/>
    <col min="10" max="10" width="10.5703125" customWidth="1"/>
    <col min="11" max="11" width="14.42578125" customWidth="1"/>
    <col min="12" max="12" width="14.140625" customWidth="1"/>
    <col min="13" max="13" width="12.7109375" customWidth="1"/>
    <col min="14" max="14" width="11.28515625" bestFit="1" customWidth="1"/>
  </cols>
  <sheetData>
    <row r="3" spans="2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2:14" ht="18">
      <c r="B4" s="418" t="s">
        <v>248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2:14" s="44" customFormat="1" ht="63.75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2:14">
      <c r="B6" s="14">
        <v>1</v>
      </c>
      <c r="C6" s="2" t="s">
        <v>49</v>
      </c>
      <c r="D6" s="12">
        <v>500000</v>
      </c>
      <c r="E6" s="12">
        <v>53320</v>
      </c>
      <c r="F6" s="15">
        <f t="shared" ref="F6:F53" si="0">SUM(D6:E6)</f>
        <v>553320</v>
      </c>
      <c r="G6" s="31">
        <v>40</v>
      </c>
      <c r="H6" s="12">
        <v>13833</v>
      </c>
      <c r="I6" s="8">
        <v>38</v>
      </c>
      <c r="J6" s="8">
        <f t="shared" ref="J6:J37" si="1">G6-I6</f>
        <v>2</v>
      </c>
      <c r="K6" s="12">
        <f>(38*13833)</f>
        <v>525654</v>
      </c>
      <c r="L6" s="15">
        <f t="shared" ref="L6:L37" si="2">F6-K6</f>
        <v>27666</v>
      </c>
      <c r="M6" s="8"/>
      <c r="N6" s="39" t="e">
        <f>#REF!-H6</f>
        <v>#REF!</v>
      </c>
    </row>
    <row r="7" spans="2:14">
      <c r="B7" s="14">
        <v>2</v>
      </c>
      <c r="C7" s="2" t="s">
        <v>55</v>
      </c>
      <c r="D7" s="12">
        <v>500000</v>
      </c>
      <c r="E7" s="12">
        <v>66650</v>
      </c>
      <c r="F7" s="15">
        <f t="shared" si="0"/>
        <v>566650</v>
      </c>
      <c r="G7" s="31">
        <v>50</v>
      </c>
      <c r="H7" s="12">
        <v>11333</v>
      </c>
      <c r="I7" s="8">
        <v>38</v>
      </c>
      <c r="J7" s="8">
        <f t="shared" si="1"/>
        <v>12</v>
      </c>
      <c r="K7" s="12">
        <f>(38*11333)</f>
        <v>430654</v>
      </c>
      <c r="L7" s="15">
        <f t="shared" si="2"/>
        <v>135996</v>
      </c>
      <c r="M7" s="8"/>
      <c r="N7" s="39" t="e">
        <f>#REF!-H7</f>
        <v>#REF!</v>
      </c>
    </row>
    <row r="8" spans="2:14">
      <c r="B8" s="14">
        <v>3</v>
      </c>
      <c r="C8" s="2" t="s">
        <v>56</v>
      </c>
      <c r="D8" s="12">
        <v>500000</v>
      </c>
      <c r="E8" s="12">
        <v>66650</v>
      </c>
      <c r="F8" s="15">
        <f t="shared" si="0"/>
        <v>566650</v>
      </c>
      <c r="G8" s="31">
        <v>50</v>
      </c>
      <c r="H8" s="12">
        <v>11333</v>
      </c>
      <c r="I8" s="8">
        <v>38</v>
      </c>
      <c r="J8" s="8">
        <f t="shared" si="1"/>
        <v>12</v>
      </c>
      <c r="K8" s="12">
        <f>(38*11333)</f>
        <v>430654</v>
      </c>
      <c r="L8" s="15">
        <f t="shared" si="2"/>
        <v>135996</v>
      </c>
      <c r="M8" s="8"/>
      <c r="N8" s="39" t="e">
        <f>#REF!-H8</f>
        <v>#REF!</v>
      </c>
    </row>
    <row r="9" spans="2:14">
      <c r="B9" s="14">
        <v>4</v>
      </c>
      <c r="C9" s="2" t="s">
        <v>50</v>
      </c>
      <c r="D9" s="12">
        <v>500000</v>
      </c>
      <c r="E9" s="12">
        <v>53320</v>
      </c>
      <c r="F9" s="15">
        <f t="shared" si="0"/>
        <v>553320</v>
      </c>
      <c r="G9" s="31">
        <v>40</v>
      </c>
      <c r="H9" s="12">
        <v>13833</v>
      </c>
      <c r="I9" s="8">
        <v>38</v>
      </c>
      <c r="J9" s="8">
        <f t="shared" si="1"/>
        <v>2</v>
      </c>
      <c r="K9" s="12">
        <f>(38*13833)</f>
        <v>525654</v>
      </c>
      <c r="L9" s="15">
        <f t="shared" si="2"/>
        <v>27666</v>
      </c>
      <c r="M9" s="8"/>
      <c r="N9" s="39" t="e">
        <f>#REF!-H9</f>
        <v>#REF!</v>
      </c>
    </row>
    <row r="10" spans="2:14">
      <c r="B10" s="14">
        <v>5</v>
      </c>
      <c r="C10" s="2" t="s">
        <v>68</v>
      </c>
      <c r="D10" s="12">
        <v>500000</v>
      </c>
      <c r="E10" s="12">
        <v>66650</v>
      </c>
      <c r="F10" s="15">
        <f t="shared" si="0"/>
        <v>566650</v>
      </c>
      <c r="G10" s="31">
        <v>50</v>
      </c>
      <c r="H10" s="12">
        <v>11333</v>
      </c>
      <c r="I10" s="8">
        <v>38</v>
      </c>
      <c r="J10" s="8">
        <f t="shared" si="1"/>
        <v>12</v>
      </c>
      <c r="K10" s="12">
        <f>(38*11333)</f>
        <v>430654</v>
      </c>
      <c r="L10" s="15">
        <f t="shared" si="2"/>
        <v>135996</v>
      </c>
      <c r="M10" s="8"/>
      <c r="N10" s="39" t="e">
        <f>#REF!-H10</f>
        <v>#REF!</v>
      </c>
    </row>
    <row r="11" spans="2:14">
      <c r="B11" s="14">
        <v>6</v>
      </c>
      <c r="C11" s="4" t="s">
        <v>51</v>
      </c>
      <c r="D11" s="12">
        <v>500000</v>
      </c>
      <c r="E11" s="12">
        <v>53320</v>
      </c>
      <c r="F11" s="15">
        <f t="shared" si="0"/>
        <v>553320</v>
      </c>
      <c r="G11" s="31">
        <v>40</v>
      </c>
      <c r="H11" s="12">
        <v>13833</v>
      </c>
      <c r="I11" s="8">
        <v>38</v>
      </c>
      <c r="J11" s="8">
        <f t="shared" si="1"/>
        <v>2</v>
      </c>
      <c r="K11" s="12">
        <f>(38*13833)</f>
        <v>525654</v>
      </c>
      <c r="L11" s="15">
        <f t="shared" si="2"/>
        <v>27666</v>
      </c>
      <c r="M11" s="8"/>
      <c r="N11" s="39" t="e">
        <f>#REF!-H11</f>
        <v>#REF!</v>
      </c>
    </row>
    <row r="12" spans="2:14">
      <c r="B12" s="14">
        <v>7</v>
      </c>
      <c r="C12" s="2" t="s">
        <v>71</v>
      </c>
      <c r="D12" s="12">
        <v>500000</v>
      </c>
      <c r="E12" s="12">
        <v>66650</v>
      </c>
      <c r="F12" s="15">
        <f t="shared" si="0"/>
        <v>566650</v>
      </c>
      <c r="G12" s="31">
        <v>50</v>
      </c>
      <c r="H12" s="12">
        <v>11333</v>
      </c>
      <c r="I12" s="8">
        <v>38</v>
      </c>
      <c r="J12" s="8">
        <f t="shared" si="1"/>
        <v>12</v>
      </c>
      <c r="K12" s="12">
        <f t="shared" ref="K12:K20" si="3">(38*11333)</f>
        <v>430654</v>
      </c>
      <c r="L12" s="15">
        <f t="shared" si="2"/>
        <v>135996</v>
      </c>
      <c r="M12" s="8"/>
      <c r="N12" s="39" t="e">
        <f>#REF!-H12</f>
        <v>#REF!</v>
      </c>
    </row>
    <row r="13" spans="2:14">
      <c r="B13" s="14">
        <v>8</v>
      </c>
      <c r="C13" s="23" t="s">
        <v>72</v>
      </c>
      <c r="D13" s="12">
        <v>500000</v>
      </c>
      <c r="E13" s="12">
        <v>66650</v>
      </c>
      <c r="F13" s="15">
        <f t="shared" si="0"/>
        <v>566650</v>
      </c>
      <c r="G13" s="31">
        <v>50</v>
      </c>
      <c r="H13" s="12">
        <v>11333</v>
      </c>
      <c r="I13" s="8">
        <v>38</v>
      </c>
      <c r="J13" s="8">
        <f t="shared" si="1"/>
        <v>12</v>
      </c>
      <c r="K13" s="12">
        <f t="shared" si="3"/>
        <v>430654</v>
      </c>
      <c r="L13" s="15">
        <f t="shared" si="2"/>
        <v>135996</v>
      </c>
      <c r="M13" s="8"/>
      <c r="N13" s="39" t="e">
        <f>#REF!-H13</f>
        <v>#REF!</v>
      </c>
    </row>
    <row r="14" spans="2:14">
      <c r="B14" s="14">
        <v>9</v>
      </c>
      <c r="C14" s="2" t="s">
        <v>74</v>
      </c>
      <c r="D14" s="12">
        <v>500000</v>
      </c>
      <c r="E14" s="12">
        <v>66650</v>
      </c>
      <c r="F14" s="15">
        <f t="shared" si="0"/>
        <v>566650</v>
      </c>
      <c r="G14" s="31">
        <v>50</v>
      </c>
      <c r="H14" s="12">
        <v>11333</v>
      </c>
      <c r="I14" s="8">
        <v>38</v>
      </c>
      <c r="J14" s="8">
        <f t="shared" si="1"/>
        <v>12</v>
      </c>
      <c r="K14" s="12">
        <f t="shared" si="3"/>
        <v>430654</v>
      </c>
      <c r="L14" s="15">
        <f t="shared" si="2"/>
        <v>135996</v>
      </c>
      <c r="M14" s="8"/>
      <c r="N14" s="39" t="e">
        <f>#REF!-H14</f>
        <v>#REF!</v>
      </c>
    </row>
    <row r="15" spans="2:14">
      <c r="B15" s="14">
        <v>10</v>
      </c>
      <c r="C15" s="2" t="s">
        <v>78</v>
      </c>
      <c r="D15" s="12">
        <v>500000</v>
      </c>
      <c r="E15" s="12">
        <v>66650</v>
      </c>
      <c r="F15" s="15">
        <f t="shared" si="0"/>
        <v>566650</v>
      </c>
      <c r="G15" s="31">
        <v>50</v>
      </c>
      <c r="H15" s="12">
        <v>11333</v>
      </c>
      <c r="I15" s="8">
        <v>38</v>
      </c>
      <c r="J15" s="8">
        <f t="shared" si="1"/>
        <v>12</v>
      </c>
      <c r="K15" s="12">
        <f t="shared" si="3"/>
        <v>430654</v>
      </c>
      <c r="L15" s="15">
        <f t="shared" si="2"/>
        <v>135996</v>
      </c>
      <c r="M15" s="8"/>
      <c r="N15" s="39" t="e">
        <f>#REF!-H15</f>
        <v>#REF!</v>
      </c>
    </row>
    <row r="16" spans="2:14">
      <c r="B16" s="14">
        <v>11</v>
      </c>
      <c r="C16" s="2" t="s">
        <v>80</v>
      </c>
      <c r="D16" s="12">
        <v>500000</v>
      </c>
      <c r="E16" s="12">
        <v>66650</v>
      </c>
      <c r="F16" s="15">
        <f t="shared" si="0"/>
        <v>566650</v>
      </c>
      <c r="G16" s="31">
        <v>50</v>
      </c>
      <c r="H16" s="12">
        <v>11333</v>
      </c>
      <c r="I16" s="8">
        <v>38</v>
      </c>
      <c r="J16" s="8">
        <f t="shared" si="1"/>
        <v>12</v>
      </c>
      <c r="K16" s="12">
        <f t="shared" si="3"/>
        <v>430654</v>
      </c>
      <c r="L16" s="15">
        <f t="shared" si="2"/>
        <v>135996</v>
      </c>
      <c r="M16" s="8"/>
      <c r="N16" s="39" t="e">
        <f>#REF!-H16</f>
        <v>#REF!</v>
      </c>
    </row>
    <row r="17" spans="2:14">
      <c r="B17" s="14">
        <v>12</v>
      </c>
      <c r="C17" s="23" t="s">
        <v>82</v>
      </c>
      <c r="D17" s="12">
        <v>500000</v>
      </c>
      <c r="E17" s="12">
        <v>66650</v>
      </c>
      <c r="F17" s="15">
        <f t="shared" si="0"/>
        <v>566650</v>
      </c>
      <c r="G17" s="31">
        <v>50</v>
      </c>
      <c r="H17" s="12">
        <v>11333</v>
      </c>
      <c r="I17" s="8">
        <v>38</v>
      </c>
      <c r="J17" s="8">
        <f t="shared" si="1"/>
        <v>12</v>
      </c>
      <c r="K17" s="12">
        <f t="shared" si="3"/>
        <v>430654</v>
      </c>
      <c r="L17" s="15">
        <f t="shared" si="2"/>
        <v>135996</v>
      </c>
      <c r="M17" s="8"/>
      <c r="N17" s="39" t="e">
        <f>#REF!-H17</f>
        <v>#REF!</v>
      </c>
    </row>
    <row r="18" spans="2:14">
      <c r="B18" s="14">
        <v>13</v>
      </c>
      <c r="C18" s="2" t="s">
        <v>87</v>
      </c>
      <c r="D18" s="12">
        <v>500000</v>
      </c>
      <c r="E18" s="12">
        <v>66650</v>
      </c>
      <c r="F18" s="15">
        <f t="shared" si="0"/>
        <v>566650</v>
      </c>
      <c r="G18" s="31">
        <v>50</v>
      </c>
      <c r="H18" s="12">
        <v>11333</v>
      </c>
      <c r="I18" s="8">
        <v>38</v>
      </c>
      <c r="J18" s="8">
        <f t="shared" si="1"/>
        <v>12</v>
      </c>
      <c r="K18" s="12">
        <f t="shared" si="3"/>
        <v>430654</v>
      </c>
      <c r="L18" s="15">
        <f t="shared" si="2"/>
        <v>135996</v>
      </c>
      <c r="M18" s="8"/>
      <c r="N18" s="39" t="e">
        <f>#REF!-H18</f>
        <v>#REF!</v>
      </c>
    </row>
    <row r="19" spans="2:14">
      <c r="B19" s="14">
        <v>14</v>
      </c>
      <c r="C19" s="2" t="s">
        <v>90</v>
      </c>
      <c r="D19" s="12">
        <v>500000</v>
      </c>
      <c r="E19" s="12">
        <v>66650</v>
      </c>
      <c r="F19" s="15">
        <f t="shared" si="0"/>
        <v>566650</v>
      </c>
      <c r="G19" s="31">
        <v>50</v>
      </c>
      <c r="H19" s="12">
        <v>11333</v>
      </c>
      <c r="I19" s="8">
        <v>38</v>
      </c>
      <c r="J19" s="8">
        <f t="shared" si="1"/>
        <v>12</v>
      </c>
      <c r="K19" s="12">
        <f t="shared" si="3"/>
        <v>430654</v>
      </c>
      <c r="L19" s="15">
        <f t="shared" si="2"/>
        <v>135996</v>
      </c>
      <c r="M19" s="8"/>
      <c r="N19" s="39" t="e">
        <f>#REF!-H19</f>
        <v>#REF!</v>
      </c>
    </row>
    <row r="20" spans="2:14">
      <c r="B20" s="14">
        <v>15</v>
      </c>
      <c r="C20" s="2" t="s">
        <v>93</v>
      </c>
      <c r="D20" s="12">
        <v>500000</v>
      </c>
      <c r="E20" s="12">
        <v>66650</v>
      </c>
      <c r="F20" s="15">
        <f t="shared" si="0"/>
        <v>566650</v>
      </c>
      <c r="G20" s="31">
        <v>50</v>
      </c>
      <c r="H20" s="12">
        <v>11333</v>
      </c>
      <c r="I20" s="8">
        <v>38</v>
      </c>
      <c r="J20" s="8">
        <f t="shared" si="1"/>
        <v>12</v>
      </c>
      <c r="K20" s="12">
        <f t="shared" si="3"/>
        <v>430654</v>
      </c>
      <c r="L20" s="15">
        <f t="shared" si="2"/>
        <v>135996</v>
      </c>
      <c r="M20" s="8"/>
      <c r="N20" s="39" t="e">
        <f>#REF!-H20</f>
        <v>#REF!</v>
      </c>
    </row>
    <row r="21" spans="2:14">
      <c r="B21" s="14">
        <v>16</v>
      </c>
      <c r="C21" s="2" t="s">
        <v>54</v>
      </c>
      <c r="D21" s="12">
        <v>500000</v>
      </c>
      <c r="E21" s="12">
        <v>66650</v>
      </c>
      <c r="F21" s="15">
        <f t="shared" si="0"/>
        <v>566650</v>
      </c>
      <c r="G21" s="31">
        <v>50</v>
      </c>
      <c r="H21" s="12">
        <v>11333</v>
      </c>
      <c r="I21" s="11">
        <v>26</v>
      </c>
      <c r="J21" s="8">
        <f t="shared" si="1"/>
        <v>24</v>
      </c>
      <c r="K21" s="12">
        <f>(26*11333)</f>
        <v>294658</v>
      </c>
      <c r="L21" s="15">
        <f t="shared" si="2"/>
        <v>271992</v>
      </c>
      <c r="M21" s="8"/>
      <c r="N21" s="39" t="e">
        <f>#REF!-H21</f>
        <v>#REF!</v>
      </c>
    </row>
    <row r="22" spans="2:14">
      <c r="B22" s="14">
        <v>17</v>
      </c>
      <c r="C22" s="2" t="s">
        <v>59</v>
      </c>
      <c r="D22" s="12">
        <v>500000</v>
      </c>
      <c r="E22" s="12">
        <v>66650</v>
      </c>
      <c r="F22" s="15">
        <f t="shared" si="0"/>
        <v>566650</v>
      </c>
      <c r="G22" s="31">
        <v>50</v>
      </c>
      <c r="H22" s="12">
        <v>11333</v>
      </c>
      <c r="I22" s="11">
        <v>26</v>
      </c>
      <c r="J22" s="8">
        <f t="shared" si="1"/>
        <v>24</v>
      </c>
      <c r="K22" s="12">
        <f>(26*11333)</f>
        <v>294658</v>
      </c>
      <c r="L22" s="15">
        <f t="shared" si="2"/>
        <v>271992</v>
      </c>
      <c r="M22" s="8"/>
      <c r="N22" s="39" t="e">
        <f>#REF!-H22</f>
        <v>#REF!</v>
      </c>
    </row>
    <row r="23" spans="2:14">
      <c r="B23" s="14">
        <v>18</v>
      </c>
      <c r="C23" s="2" t="s">
        <v>60</v>
      </c>
      <c r="D23" s="12">
        <v>500000</v>
      </c>
      <c r="E23" s="12">
        <v>66650</v>
      </c>
      <c r="F23" s="15">
        <f t="shared" si="0"/>
        <v>566650</v>
      </c>
      <c r="G23" s="31">
        <v>50</v>
      </c>
      <c r="H23" s="12">
        <v>11333</v>
      </c>
      <c r="I23" s="11">
        <v>26</v>
      </c>
      <c r="J23" s="8">
        <f t="shared" si="1"/>
        <v>24</v>
      </c>
      <c r="K23" s="12">
        <f>(26*11333)</f>
        <v>294658</v>
      </c>
      <c r="L23" s="15">
        <f t="shared" si="2"/>
        <v>271992</v>
      </c>
      <c r="M23" s="8"/>
      <c r="N23" s="39" t="e">
        <f>#REF!-H23</f>
        <v>#REF!</v>
      </c>
    </row>
    <row r="24" spans="2:14">
      <c r="B24" s="14">
        <v>19</v>
      </c>
      <c r="C24" s="2" t="s">
        <v>61</v>
      </c>
      <c r="D24" s="12">
        <v>500000</v>
      </c>
      <c r="E24" s="12">
        <v>66650</v>
      </c>
      <c r="F24" s="15">
        <f t="shared" si="0"/>
        <v>566650</v>
      </c>
      <c r="G24" s="31">
        <v>50</v>
      </c>
      <c r="H24" s="12">
        <v>11333</v>
      </c>
      <c r="I24" s="11">
        <v>26</v>
      </c>
      <c r="J24" s="8">
        <f t="shared" si="1"/>
        <v>24</v>
      </c>
      <c r="K24" s="12">
        <f>(26*11333)</f>
        <v>294658</v>
      </c>
      <c r="L24" s="15">
        <f t="shared" si="2"/>
        <v>271992</v>
      </c>
      <c r="M24" s="8"/>
      <c r="N24" s="39" t="e">
        <f>#REF!-H24</f>
        <v>#REF!</v>
      </c>
    </row>
    <row r="25" spans="2:14">
      <c r="B25" s="14">
        <v>20</v>
      </c>
      <c r="C25" s="2" t="s">
        <v>147</v>
      </c>
      <c r="D25" s="12">
        <v>500000</v>
      </c>
      <c r="E25" s="12">
        <v>66650</v>
      </c>
      <c r="F25" s="15">
        <f t="shared" si="0"/>
        <v>566650</v>
      </c>
      <c r="G25" s="31">
        <v>50</v>
      </c>
      <c r="H25" s="24">
        <v>5666.5</v>
      </c>
      <c r="I25" s="11">
        <v>26</v>
      </c>
      <c r="J25" s="8">
        <f t="shared" si="1"/>
        <v>24</v>
      </c>
      <c r="K25" s="16">
        <f>(26*5666.5)</f>
        <v>147329</v>
      </c>
      <c r="L25" s="15">
        <f t="shared" si="2"/>
        <v>419321</v>
      </c>
      <c r="M25" s="8"/>
      <c r="N25" s="39" t="e">
        <f>#REF!-H25</f>
        <v>#REF!</v>
      </c>
    </row>
    <row r="26" spans="2:14">
      <c r="B26" s="14">
        <v>21</v>
      </c>
      <c r="C26" s="2" t="s">
        <v>73</v>
      </c>
      <c r="D26" s="12">
        <v>500000</v>
      </c>
      <c r="E26" s="12">
        <v>66650</v>
      </c>
      <c r="F26" s="15">
        <f t="shared" si="0"/>
        <v>566650</v>
      </c>
      <c r="G26" s="31">
        <v>50</v>
      </c>
      <c r="H26" s="12">
        <v>11333</v>
      </c>
      <c r="I26" s="11">
        <v>26</v>
      </c>
      <c r="J26" s="8">
        <f t="shared" si="1"/>
        <v>24</v>
      </c>
      <c r="K26" s="16">
        <f>(26*11333)</f>
        <v>294658</v>
      </c>
      <c r="L26" s="15">
        <f t="shared" si="2"/>
        <v>271992</v>
      </c>
      <c r="M26" s="8"/>
      <c r="N26" s="39" t="e">
        <f>#REF!-H26</f>
        <v>#REF!</v>
      </c>
    </row>
    <row r="27" spans="2:14">
      <c r="B27" s="14">
        <v>22</v>
      </c>
      <c r="C27" s="2" t="s">
        <v>52</v>
      </c>
      <c r="D27" s="12">
        <v>500000</v>
      </c>
      <c r="E27" s="12">
        <v>66650</v>
      </c>
      <c r="F27" s="15">
        <f t="shared" si="0"/>
        <v>566650</v>
      </c>
      <c r="G27" s="31">
        <v>50</v>
      </c>
      <c r="H27" s="18">
        <v>11333</v>
      </c>
      <c r="I27" s="31">
        <v>24</v>
      </c>
      <c r="J27" s="8">
        <f t="shared" si="1"/>
        <v>26</v>
      </c>
      <c r="K27" s="12">
        <f>(24*11333)</f>
        <v>271992</v>
      </c>
      <c r="L27" s="15">
        <f t="shared" si="2"/>
        <v>294658</v>
      </c>
      <c r="M27" s="8"/>
      <c r="N27" s="39" t="e">
        <f>#REF!-H27</f>
        <v>#REF!</v>
      </c>
    </row>
    <row r="28" spans="2:14">
      <c r="B28" s="14">
        <v>23</v>
      </c>
      <c r="C28" s="2" t="s">
        <v>65</v>
      </c>
      <c r="D28" s="12">
        <v>500000</v>
      </c>
      <c r="E28" s="12">
        <v>66650</v>
      </c>
      <c r="F28" s="15">
        <f t="shared" si="0"/>
        <v>566650</v>
      </c>
      <c r="G28" s="31">
        <v>50</v>
      </c>
      <c r="H28" s="12">
        <v>11333</v>
      </c>
      <c r="I28" s="8">
        <v>24</v>
      </c>
      <c r="J28" s="8">
        <f t="shared" si="1"/>
        <v>26</v>
      </c>
      <c r="K28" s="12">
        <f>(24*11333)</f>
        <v>271992</v>
      </c>
      <c r="L28" s="15">
        <f t="shared" si="2"/>
        <v>294658</v>
      </c>
      <c r="M28" s="8"/>
      <c r="N28" s="39" t="e">
        <f>#REF!-H28</f>
        <v>#REF!</v>
      </c>
    </row>
    <row r="29" spans="2:14">
      <c r="B29" s="14">
        <v>24</v>
      </c>
      <c r="C29" s="2" t="s">
        <v>81</v>
      </c>
      <c r="D29" s="12">
        <v>500000</v>
      </c>
      <c r="E29" s="12">
        <v>66650</v>
      </c>
      <c r="F29" s="15">
        <f t="shared" si="0"/>
        <v>566650</v>
      </c>
      <c r="G29" s="31">
        <v>50</v>
      </c>
      <c r="H29" s="12">
        <v>11333</v>
      </c>
      <c r="I29" s="8">
        <v>24</v>
      </c>
      <c r="J29" s="8">
        <f t="shared" si="1"/>
        <v>26</v>
      </c>
      <c r="K29" s="12">
        <f>(24*11333)</f>
        <v>271992</v>
      </c>
      <c r="L29" s="15">
        <f t="shared" si="2"/>
        <v>294658</v>
      </c>
      <c r="M29" s="8"/>
      <c r="N29" s="39" t="e">
        <f>#REF!-H29</f>
        <v>#REF!</v>
      </c>
    </row>
    <row r="30" spans="2:14">
      <c r="B30" s="14">
        <v>25</v>
      </c>
      <c r="C30" s="2" t="s">
        <v>89</v>
      </c>
      <c r="D30" s="12">
        <v>500000</v>
      </c>
      <c r="E30" s="12">
        <v>66650</v>
      </c>
      <c r="F30" s="15">
        <f t="shared" si="0"/>
        <v>566650</v>
      </c>
      <c r="G30" s="31">
        <v>50</v>
      </c>
      <c r="H30" s="12">
        <v>11333</v>
      </c>
      <c r="I30" s="8">
        <v>24</v>
      </c>
      <c r="J30" s="8">
        <f t="shared" si="1"/>
        <v>26</v>
      </c>
      <c r="K30" s="12">
        <f>(24*11333)</f>
        <v>271992</v>
      </c>
      <c r="L30" s="15">
        <f t="shared" si="2"/>
        <v>294658</v>
      </c>
      <c r="M30" s="8"/>
      <c r="N30" s="39" t="e">
        <f>#REF!-H30</f>
        <v>#REF!</v>
      </c>
    </row>
    <row r="31" spans="2:14">
      <c r="B31" s="14">
        <v>26</v>
      </c>
      <c r="C31" s="2" t="s">
        <v>92</v>
      </c>
      <c r="D31" s="12">
        <v>500000</v>
      </c>
      <c r="E31" s="12">
        <v>66650</v>
      </c>
      <c r="F31" s="15">
        <f t="shared" si="0"/>
        <v>566650</v>
      </c>
      <c r="G31" s="31">
        <v>50</v>
      </c>
      <c r="H31" s="12">
        <v>11333</v>
      </c>
      <c r="I31" s="8">
        <v>24</v>
      </c>
      <c r="J31" s="8">
        <f t="shared" si="1"/>
        <v>26</v>
      </c>
      <c r="K31" s="12">
        <f>(24*11333)</f>
        <v>271992</v>
      </c>
      <c r="L31" s="15">
        <f t="shared" si="2"/>
        <v>294658</v>
      </c>
      <c r="M31" s="8"/>
      <c r="N31" s="39" t="e">
        <f>#REF!-H31</f>
        <v>#REF!</v>
      </c>
    </row>
    <row r="32" spans="2:14">
      <c r="B32" s="14">
        <v>27</v>
      </c>
      <c r="C32" s="2" t="s">
        <v>70</v>
      </c>
      <c r="D32" s="12">
        <v>500000</v>
      </c>
      <c r="E32" s="12">
        <v>66650</v>
      </c>
      <c r="F32" s="15">
        <f t="shared" si="0"/>
        <v>566650</v>
      </c>
      <c r="G32" s="31">
        <v>50</v>
      </c>
      <c r="H32" s="18">
        <v>11333</v>
      </c>
      <c r="I32" s="8">
        <v>22</v>
      </c>
      <c r="J32" s="8">
        <f t="shared" si="1"/>
        <v>28</v>
      </c>
      <c r="K32" s="12">
        <f>(22*11333)</f>
        <v>249326</v>
      </c>
      <c r="L32" s="15">
        <f t="shared" si="2"/>
        <v>317324</v>
      </c>
      <c r="M32" s="8"/>
      <c r="N32" s="39" t="e">
        <f>#REF!-H32</f>
        <v>#REF!</v>
      </c>
    </row>
    <row r="33" spans="2:14">
      <c r="B33" s="14">
        <v>28</v>
      </c>
      <c r="C33" s="2" t="s">
        <v>83</v>
      </c>
      <c r="D33" s="12">
        <v>500000</v>
      </c>
      <c r="E33" s="12">
        <v>66650</v>
      </c>
      <c r="F33" s="15">
        <f t="shared" si="0"/>
        <v>566650</v>
      </c>
      <c r="G33" s="31">
        <v>50</v>
      </c>
      <c r="H33" s="12">
        <v>11333</v>
      </c>
      <c r="I33" s="8">
        <v>22</v>
      </c>
      <c r="J33" s="8">
        <f t="shared" si="1"/>
        <v>28</v>
      </c>
      <c r="K33" s="12">
        <f>(22*11333)</f>
        <v>249326</v>
      </c>
      <c r="L33" s="15">
        <f t="shared" si="2"/>
        <v>317324</v>
      </c>
      <c r="M33" s="8"/>
      <c r="N33" s="39" t="e">
        <f>#REF!-H33</f>
        <v>#REF!</v>
      </c>
    </row>
    <row r="34" spans="2:14">
      <c r="B34" s="14">
        <v>29</v>
      </c>
      <c r="C34" s="25" t="s">
        <v>53</v>
      </c>
      <c r="D34" s="12">
        <v>500000</v>
      </c>
      <c r="E34" s="12">
        <v>66650</v>
      </c>
      <c r="F34" s="15">
        <f t="shared" si="0"/>
        <v>566650</v>
      </c>
      <c r="G34" s="31">
        <v>50</v>
      </c>
      <c r="H34" s="12">
        <v>11333</v>
      </c>
      <c r="I34" s="11">
        <v>17</v>
      </c>
      <c r="J34" s="8">
        <f t="shared" si="1"/>
        <v>33</v>
      </c>
      <c r="K34" s="12">
        <f t="shared" ref="K34:K42" si="4">(17*11333)</f>
        <v>192661</v>
      </c>
      <c r="L34" s="15">
        <f t="shared" si="2"/>
        <v>373989</v>
      </c>
      <c r="M34" s="8"/>
      <c r="N34" s="39" t="e">
        <f>#REF!-H34</f>
        <v>#REF!</v>
      </c>
    </row>
    <row r="35" spans="2:14">
      <c r="B35" s="14">
        <v>30</v>
      </c>
      <c r="C35" s="2" t="s">
        <v>57</v>
      </c>
      <c r="D35" s="12">
        <v>500000</v>
      </c>
      <c r="E35" s="12">
        <v>66650</v>
      </c>
      <c r="F35" s="15">
        <f t="shared" si="0"/>
        <v>566650</v>
      </c>
      <c r="G35" s="31">
        <v>50</v>
      </c>
      <c r="H35" s="12">
        <v>11333</v>
      </c>
      <c r="I35" s="11">
        <v>17</v>
      </c>
      <c r="J35" s="8">
        <f t="shared" si="1"/>
        <v>33</v>
      </c>
      <c r="K35" s="12">
        <f t="shared" si="4"/>
        <v>192661</v>
      </c>
      <c r="L35" s="15">
        <f t="shared" si="2"/>
        <v>373989</v>
      </c>
      <c r="M35" s="8"/>
      <c r="N35" s="39" t="e">
        <f>#REF!-H35</f>
        <v>#REF!</v>
      </c>
    </row>
    <row r="36" spans="2:14">
      <c r="B36" s="14">
        <v>31</v>
      </c>
      <c r="C36" s="2" t="s">
        <v>63</v>
      </c>
      <c r="D36" s="12">
        <v>500000</v>
      </c>
      <c r="E36" s="12">
        <v>66650</v>
      </c>
      <c r="F36" s="15">
        <f t="shared" si="0"/>
        <v>566650</v>
      </c>
      <c r="G36" s="31">
        <v>50</v>
      </c>
      <c r="H36" s="12">
        <v>11333</v>
      </c>
      <c r="I36" s="11">
        <v>17</v>
      </c>
      <c r="J36" s="8">
        <f t="shared" si="1"/>
        <v>33</v>
      </c>
      <c r="K36" s="12">
        <f t="shared" si="4"/>
        <v>192661</v>
      </c>
      <c r="L36" s="15">
        <f t="shared" si="2"/>
        <v>373989</v>
      </c>
      <c r="M36" s="8"/>
      <c r="N36" s="39" t="e">
        <f>#REF!-H36</f>
        <v>#REF!</v>
      </c>
    </row>
    <row r="37" spans="2:14">
      <c r="B37" s="14">
        <v>32</v>
      </c>
      <c r="C37" s="2" t="s">
        <v>69</v>
      </c>
      <c r="D37" s="12">
        <v>500000</v>
      </c>
      <c r="E37" s="12">
        <v>66650</v>
      </c>
      <c r="F37" s="15">
        <f t="shared" si="0"/>
        <v>566650</v>
      </c>
      <c r="G37" s="31">
        <v>50</v>
      </c>
      <c r="H37" s="12">
        <v>11333</v>
      </c>
      <c r="I37" s="11">
        <v>17</v>
      </c>
      <c r="J37" s="8">
        <f t="shared" si="1"/>
        <v>33</v>
      </c>
      <c r="K37" s="12">
        <f t="shared" si="4"/>
        <v>192661</v>
      </c>
      <c r="L37" s="15">
        <f t="shared" si="2"/>
        <v>373989</v>
      </c>
      <c r="M37" s="8"/>
      <c r="N37" s="39" t="e">
        <f>#REF!-H37</f>
        <v>#REF!</v>
      </c>
    </row>
    <row r="38" spans="2:14">
      <c r="B38" s="14">
        <v>33</v>
      </c>
      <c r="C38" s="2" t="s">
        <v>77</v>
      </c>
      <c r="D38" s="12">
        <v>500000</v>
      </c>
      <c r="E38" s="12">
        <v>66650</v>
      </c>
      <c r="F38" s="15">
        <f t="shared" si="0"/>
        <v>566650</v>
      </c>
      <c r="G38" s="31">
        <v>50</v>
      </c>
      <c r="H38" s="12">
        <v>11333</v>
      </c>
      <c r="I38" s="11">
        <v>17</v>
      </c>
      <c r="J38" s="8">
        <f t="shared" ref="J38:J69" si="5">G38-I38</f>
        <v>33</v>
      </c>
      <c r="K38" s="12">
        <f t="shared" si="4"/>
        <v>192661</v>
      </c>
      <c r="L38" s="15">
        <f t="shared" ref="L38:L69" si="6">F38-K38</f>
        <v>373989</v>
      </c>
      <c r="M38" s="8"/>
      <c r="N38" s="39" t="e">
        <f>#REF!-H38</f>
        <v>#REF!</v>
      </c>
    </row>
    <row r="39" spans="2:14">
      <c r="B39" s="14">
        <v>34</v>
      </c>
      <c r="C39" s="2" t="s">
        <v>79</v>
      </c>
      <c r="D39" s="12">
        <v>500000</v>
      </c>
      <c r="E39" s="12">
        <v>66650</v>
      </c>
      <c r="F39" s="15">
        <f t="shared" si="0"/>
        <v>566650</v>
      </c>
      <c r="G39" s="31">
        <v>50</v>
      </c>
      <c r="H39" s="12">
        <v>11333</v>
      </c>
      <c r="I39" s="11">
        <v>17</v>
      </c>
      <c r="J39" s="8">
        <f t="shared" si="5"/>
        <v>33</v>
      </c>
      <c r="K39" s="12">
        <f t="shared" si="4"/>
        <v>192661</v>
      </c>
      <c r="L39" s="15">
        <f t="shared" si="6"/>
        <v>373989</v>
      </c>
      <c r="M39" s="8"/>
      <c r="N39" s="39" t="e">
        <f>#REF!-H39</f>
        <v>#REF!</v>
      </c>
    </row>
    <row r="40" spans="2:14">
      <c r="B40" s="14">
        <v>35</v>
      </c>
      <c r="C40" s="2" t="s">
        <v>84</v>
      </c>
      <c r="D40" s="12">
        <v>500000</v>
      </c>
      <c r="E40" s="12">
        <v>66650</v>
      </c>
      <c r="F40" s="15">
        <f t="shared" si="0"/>
        <v>566650</v>
      </c>
      <c r="G40" s="31">
        <v>50</v>
      </c>
      <c r="H40" s="12">
        <v>11333</v>
      </c>
      <c r="I40" s="11">
        <v>17</v>
      </c>
      <c r="J40" s="8">
        <f t="shared" si="5"/>
        <v>33</v>
      </c>
      <c r="K40" s="12">
        <f t="shared" si="4"/>
        <v>192661</v>
      </c>
      <c r="L40" s="15">
        <f t="shared" si="6"/>
        <v>373989</v>
      </c>
      <c r="M40" s="8"/>
      <c r="N40" s="39" t="e">
        <f>#REF!-H40</f>
        <v>#REF!</v>
      </c>
    </row>
    <row r="41" spans="2:14">
      <c r="B41" s="14">
        <v>36</v>
      </c>
      <c r="C41" s="2" t="s">
        <v>85</v>
      </c>
      <c r="D41" s="12">
        <v>500000</v>
      </c>
      <c r="E41" s="12">
        <v>66650</v>
      </c>
      <c r="F41" s="15">
        <f t="shared" si="0"/>
        <v>566650</v>
      </c>
      <c r="G41" s="31">
        <v>50</v>
      </c>
      <c r="H41" s="12">
        <v>11333</v>
      </c>
      <c r="I41" s="11">
        <v>17</v>
      </c>
      <c r="J41" s="8">
        <f t="shared" si="5"/>
        <v>33</v>
      </c>
      <c r="K41" s="12">
        <f t="shared" si="4"/>
        <v>192661</v>
      </c>
      <c r="L41" s="15">
        <f t="shared" si="6"/>
        <v>373989</v>
      </c>
      <c r="M41" s="8"/>
      <c r="N41" s="39" t="e">
        <f>#REF!-H41</f>
        <v>#REF!</v>
      </c>
    </row>
    <row r="42" spans="2:14">
      <c r="B42" s="14">
        <v>37</v>
      </c>
      <c r="C42" s="2" t="s">
        <v>88</v>
      </c>
      <c r="D42" s="12">
        <v>500000</v>
      </c>
      <c r="E42" s="12">
        <v>66650</v>
      </c>
      <c r="F42" s="15">
        <f t="shared" si="0"/>
        <v>566650</v>
      </c>
      <c r="G42" s="31">
        <v>50</v>
      </c>
      <c r="H42" s="12">
        <v>11333</v>
      </c>
      <c r="I42" s="11">
        <v>17</v>
      </c>
      <c r="J42" s="8">
        <f t="shared" si="5"/>
        <v>33</v>
      </c>
      <c r="K42" s="12">
        <f t="shared" si="4"/>
        <v>192661</v>
      </c>
      <c r="L42" s="15">
        <f t="shared" si="6"/>
        <v>373989</v>
      </c>
      <c r="M42" s="8"/>
      <c r="N42" s="39" t="e">
        <f>#REF!-H42</f>
        <v>#REF!</v>
      </c>
    </row>
    <row r="43" spans="2:14">
      <c r="B43" s="14">
        <v>38</v>
      </c>
      <c r="C43" s="2" t="s">
        <v>58</v>
      </c>
      <c r="D43" s="12">
        <v>500000</v>
      </c>
      <c r="E43" s="12">
        <v>66650</v>
      </c>
      <c r="F43" s="15">
        <f t="shared" si="0"/>
        <v>566650</v>
      </c>
      <c r="G43" s="33">
        <v>50</v>
      </c>
      <c r="H43" s="12">
        <v>11333</v>
      </c>
      <c r="I43" s="11">
        <v>16</v>
      </c>
      <c r="J43" s="8">
        <f t="shared" si="5"/>
        <v>34</v>
      </c>
      <c r="K43" s="12">
        <f>(16*11333)</f>
        <v>181328</v>
      </c>
      <c r="L43" s="15">
        <f t="shared" si="6"/>
        <v>385322</v>
      </c>
      <c r="M43" s="8"/>
      <c r="N43" s="39" t="e">
        <f>#REF!-H43</f>
        <v>#REF!</v>
      </c>
    </row>
    <row r="44" spans="2:14">
      <c r="B44" s="14">
        <v>39</v>
      </c>
      <c r="C44" s="2" t="s">
        <v>62</v>
      </c>
      <c r="D44" s="12">
        <v>500000</v>
      </c>
      <c r="E44" s="12">
        <v>66650</v>
      </c>
      <c r="F44" s="15">
        <f t="shared" si="0"/>
        <v>566650</v>
      </c>
      <c r="G44" s="33">
        <v>50</v>
      </c>
      <c r="H44" s="12">
        <v>11333</v>
      </c>
      <c r="I44" s="11">
        <v>16</v>
      </c>
      <c r="J44" s="8">
        <f t="shared" si="5"/>
        <v>34</v>
      </c>
      <c r="K44" s="12">
        <f>(16*11333)</f>
        <v>181328</v>
      </c>
      <c r="L44" s="15">
        <f t="shared" si="6"/>
        <v>385322</v>
      </c>
      <c r="M44" s="8"/>
      <c r="N44" s="39" t="e">
        <f>#REF!-H44</f>
        <v>#REF!</v>
      </c>
    </row>
    <row r="45" spans="2:14">
      <c r="B45" s="14">
        <v>40</v>
      </c>
      <c r="C45" s="2" t="s">
        <v>64</v>
      </c>
      <c r="D45" s="12">
        <v>500000</v>
      </c>
      <c r="E45" s="12">
        <v>66650</v>
      </c>
      <c r="F45" s="15">
        <f t="shared" si="0"/>
        <v>566650</v>
      </c>
      <c r="G45" s="33">
        <v>50</v>
      </c>
      <c r="H45" s="12">
        <v>11333</v>
      </c>
      <c r="I45" s="11">
        <v>16</v>
      </c>
      <c r="J45" s="8">
        <f t="shared" si="5"/>
        <v>34</v>
      </c>
      <c r="K45" s="12">
        <f>(16*11333)</f>
        <v>181328</v>
      </c>
      <c r="L45" s="15">
        <f t="shared" si="6"/>
        <v>385322</v>
      </c>
      <c r="M45" s="8"/>
      <c r="N45" s="39" t="e">
        <f>#REF!-H45</f>
        <v>#REF!</v>
      </c>
    </row>
    <row r="46" spans="2:14">
      <c r="B46" s="14">
        <v>41</v>
      </c>
      <c r="C46" s="2" t="s">
        <v>45</v>
      </c>
      <c r="D46" s="12">
        <v>500000</v>
      </c>
      <c r="E46" s="16">
        <v>33325</v>
      </c>
      <c r="F46" s="15">
        <f t="shared" si="0"/>
        <v>533325</v>
      </c>
      <c r="G46" s="33">
        <v>25</v>
      </c>
      <c r="H46" s="16">
        <v>21333</v>
      </c>
      <c r="I46" s="11">
        <v>16</v>
      </c>
      <c r="J46" s="8">
        <f t="shared" si="5"/>
        <v>9</v>
      </c>
      <c r="K46" s="16">
        <f>(16*21333)</f>
        <v>341328</v>
      </c>
      <c r="L46" s="15">
        <f t="shared" si="6"/>
        <v>191997</v>
      </c>
      <c r="M46" s="8"/>
      <c r="N46" s="39" t="e">
        <f>#REF!-H46</f>
        <v>#REF!</v>
      </c>
    </row>
    <row r="47" spans="2:14">
      <c r="B47" s="14">
        <v>42</v>
      </c>
      <c r="C47" s="2" t="s">
        <v>75</v>
      </c>
      <c r="D47" s="12">
        <v>500000</v>
      </c>
      <c r="E47" s="12">
        <v>66650</v>
      </c>
      <c r="F47" s="15">
        <f t="shared" si="0"/>
        <v>566650</v>
      </c>
      <c r="G47" s="33">
        <v>50</v>
      </c>
      <c r="H47" s="12">
        <v>11333</v>
      </c>
      <c r="I47" s="11">
        <v>16</v>
      </c>
      <c r="J47" s="8">
        <f t="shared" si="5"/>
        <v>34</v>
      </c>
      <c r="K47" s="12">
        <f>(16*11333)</f>
        <v>181328</v>
      </c>
      <c r="L47" s="15">
        <f t="shared" si="6"/>
        <v>385322</v>
      </c>
      <c r="M47" s="8"/>
      <c r="N47" s="39" t="e">
        <f>#REF!-H47</f>
        <v>#REF!</v>
      </c>
    </row>
    <row r="48" spans="2:14">
      <c r="B48" s="14">
        <v>43</v>
      </c>
      <c r="C48" s="2" t="s">
        <v>76</v>
      </c>
      <c r="D48" s="12">
        <v>500000</v>
      </c>
      <c r="E48" s="12">
        <v>66650</v>
      </c>
      <c r="F48" s="15">
        <f t="shared" si="0"/>
        <v>566650</v>
      </c>
      <c r="G48" s="33">
        <v>50</v>
      </c>
      <c r="H48" s="12">
        <v>11333</v>
      </c>
      <c r="I48" s="11">
        <v>16</v>
      </c>
      <c r="J48" s="8">
        <f t="shared" si="5"/>
        <v>34</v>
      </c>
      <c r="K48" s="12">
        <f>(16*11333)</f>
        <v>181328</v>
      </c>
      <c r="L48" s="15">
        <f t="shared" si="6"/>
        <v>385322</v>
      </c>
      <c r="M48" s="8"/>
      <c r="N48" s="39" t="e">
        <f>#REF!-H48</f>
        <v>#REF!</v>
      </c>
    </row>
    <row r="49" spans="2:14">
      <c r="B49" s="14">
        <v>44</v>
      </c>
      <c r="C49" s="2" t="s">
        <v>86</v>
      </c>
      <c r="D49" s="12">
        <v>500000</v>
      </c>
      <c r="E49" s="12">
        <v>66650</v>
      </c>
      <c r="F49" s="15">
        <f t="shared" si="0"/>
        <v>566650</v>
      </c>
      <c r="G49" s="33">
        <v>50</v>
      </c>
      <c r="H49" s="12">
        <v>11333</v>
      </c>
      <c r="I49" s="11">
        <v>16</v>
      </c>
      <c r="J49" s="8">
        <f t="shared" si="5"/>
        <v>34</v>
      </c>
      <c r="K49" s="16">
        <f>(16*11333)</f>
        <v>181328</v>
      </c>
      <c r="L49" s="15">
        <f t="shared" si="6"/>
        <v>385322</v>
      </c>
      <c r="M49" s="8"/>
      <c r="N49" s="39" t="e">
        <f>#REF!-H49</f>
        <v>#REF!</v>
      </c>
    </row>
    <row r="50" spans="2:14">
      <c r="B50" s="14">
        <v>45</v>
      </c>
      <c r="C50" s="23" t="s">
        <v>47</v>
      </c>
      <c r="D50" s="12">
        <v>500000</v>
      </c>
      <c r="E50" s="16">
        <v>47992</v>
      </c>
      <c r="F50" s="15">
        <f t="shared" si="0"/>
        <v>547992</v>
      </c>
      <c r="G50" s="33">
        <v>36</v>
      </c>
      <c r="H50" s="16">
        <v>15222</v>
      </c>
      <c r="I50" s="11">
        <v>16</v>
      </c>
      <c r="J50" s="8">
        <f t="shared" si="5"/>
        <v>20</v>
      </c>
      <c r="K50" s="16">
        <f>(16*15222)</f>
        <v>243552</v>
      </c>
      <c r="L50" s="15">
        <f t="shared" si="6"/>
        <v>304440</v>
      </c>
      <c r="M50" s="8"/>
      <c r="N50" s="39" t="e">
        <f>#REF!-H50</f>
        <v>#REF!</v>
      </c>
    </row>
    <row r="51" spans="2:14">
      <c r="B51" s="14">
        <v>46</v>
      </c>
      <c r="C51" s="2" t="s">
        <v>91</v>
      </c>
      <c r="D51" s="12">
        <v>500000</v>
      </c>
      <c r="E51" s="12">
        <v>66650</v>
      </c>
      <c r="F51" s="15">
        <f t="shared" si="0"/>
        <v>566650</v>
      </c>
      <c r="G51" s="33">
        <v>50</v>
      </c>
      <c r="H51" s="12">
        <v>11333</v>
      </c>
      <c r="I51" s="11">
        <v>16</v>
      </c>
      <c r="J51" s="8">
        <f t="shared" si="5"/>
        <v>34</v>
      </c>
      <c r="K51" s="16">
        <f>(16*11333)</f>
        <v>181328</v>
      </c>
      <c r="L51" s="15">
        <f t="shared" si="6"/>
        <v>385322</v>
      </c>
      <c r="M51" s="8"/>
      <c r="N51" s="39" t="e">
        <f>#REF!-H51</f>
        <v>#REF!</v>
      </c>
    </row>
    <row r="52" spans="2:14">
      <c r="B52" s="14">
        <v>47</v>
      </c>
      <c r="C52" s="2" t="s">
        <v>48</v>
      </c>
      <c r="D52" s="12">
        <v>500000</v>
      </c>
      <c r="E52" s="16">
        <v>47992</v>
      </c>
      <c r="F52" s="15">
        <f t="shared" si="0"/>
        <v>547992</v>
      </c>
      <c r="G52" s="33">
        <v>36</v>
      </c>
      <c r="H52" s="16">
        <v>15222</v>
      </c>
      <c r="I52" s="11">
        <v>16</v>
      </c>
      <c r="J52" s="8">
        <f t="shared" si="5"/>
        <v>20</v>
      </c>
      <c r="K52" s="16">
        <f>(16*15222)</f>
        <v>243552</v>
      </c>
      <c r="L52" s="15">
        <f t="shared" si="6"/>
        <v>304440</v>
      </c>
      <c r="M52" s="8"/>
      <c r="N52" s="39" t="e">
        <f>#REF!-H52</f>
        <v>#REF!</v>
      </c>
    </row>
    <row r="53" spans="2:14">
      <c r="B53" s="14">
        <v>48</v>
      </c>
      <c r="C53" s="2" t="s">
        <v>66</v>
      </c>
      <c r="D53" s="12">
        <v>500000</v>
      </c>
      <c r="E53" s="12">
        <v>66650</v>
      </c>
      <c r="F53" s="15">
        <f t="shared" si="0"/>
        <v>566650</v>
      </c>
      <c r="G53" s="31">
        <v>50</v>
      </c>
      <c r="H53" s="18">
        <v>11333</v>
      </c>
      <c r="I53" s="8">
        <v>6</v>
      </c>
      <c r="J53" s="8">
        <f t="shared" si="5"/>
        <v>44</v>
      </c>
      <c r="K53" s="12">
        <f>(6*11333)</f>
        <v>67998</v>
      </c>
      <c r="L53" s="15">
        <f t="shared" si="6"/>
        <v>498652</v>
      </c>
      <c r="M53" s="8"/>
      <c r="N53" s="39" t="e">
        <f>#REF!-H53</f>
        <v>#REF!</v>
      </c>
    </row>
    <row r="54" spans="2:14">
      <c r="B54" s="14">
        <v>49</v>
      </c>
      <c r="C54" s="2" t="s">
        <v>36</v>
      </c>
      <c r="D54" s="18">
        <v>500000</v>
      </c>
      <c r="E54" s="18">
        <v>66650</v>
      </c>
      <c r="F54" s="18">
        <v>566650</v>
      </c>
      <c r="G54" s="33">
        <v>50</v>
      </c>
      <c r="H54" s="16">
        <v>11333</v>
      </c>
      <c r="I54" s="8">
        <v>3</v>
      </c>
      <c r="J54" s="8">
        <f t="shared" si="5"/>
        <v>47</v>
      </c>
      <c r="K54" s="12">
        <f t="shared" ref="K54:K65" si="7">(3*11333)</f>
        <v>33999</v>
      </c>
      <c r="L54" s="12">
        <f t="shared" si="6"/>
        <v>532651</v>
      </c>
      <c r="M54" s="1"/>
      <c r="N54" s="39" t="e">
        <f>#REF!-H54</f>
        <v>#REF!</v>
      </c>
    </row>
    <row r="55" spans="2:14">
      <c r="B55" s="14">
        <v>50</v>
      </c>
      <c r="C55" s="2" t="s">
        <v>24</v>
      </c>
      <c r="D55" s="18">
        <v>500000</v>
      </c>
      <c r="E55" s="18">
        <v>66650</v>
      </c>
      <c r="F55" s="18">
        <v>566650</v>
      </c>
      <c r="G55" s="33">
        <v>50</v>
      </c>
      <c r="H55" s="16">
        <v>11333</v>
      </c>
      <c r="I55" s="8">
        <v>3</v>
      </c>
      <c r="J55" s="8">
        <f t="shared" si="5"/>
        <v>47</v>
      </c>
      <c r="K55" s="12">
        <f t="shared" si="7"/>
        <v>33999</v>
      </c>
      <c r="L55" s="12">
        <f t="shared" si="6"/>
        <v>532651</v>
      </c>
      <c r="M55" s="1"/>
      <c r="N55" s="39" t="e">
        <f>#REF!-H55</f>
        <v>#REF!</v>
      </c>
    </row>
    <row r="56" spans="2:14">
      <c r="B56" s="14">
        <v>51</v>
      </c>
      <c r="C56" s="2" t="s">
        <v>25</v>
      </c>
      <c r="D56" s="18">
        <v>500000</v>
      </c>
      <c r="E56" s="18">
        <v>66650</v>
      </c>
      <c r="F56" s="18">
        <v>566650</v>
      </c>
      <c r="G56" s="33">
        <v>50</v>
      </c>
      <c r="H56" s="16">
        <v>11333</v>
      </c>
      <c r="I56" s="8">
        <v>3</v>
      </c>
      <c r="J56" s="8">
        <f t="shared" si="5"/>
        <v>47</v>
      </c>
      <c r="K56" s="12">
        <f t="shared" si="7"/>
        <v>33999</v>
      </c>
      <c r="L56" s="12">
        <f t="shared" si="6"/>
        <v>532651</v>
      </c>
      <c r="M56" s="1"/>
      <c r="N56" s="39" t="e">
        <f>#REF!-H56</f>
        <v>#REF!</v>
      </c>
    </row>
    <row r="57" spans="2:14">
      <c r="B57" s="14">
        <v>52</v>
      </c>
      <c r="C57" s="2" t="s">
        <v>28</v>
      </c>
      <c r="D57" s="18">
        <v>500000</v>
      </c>
      <c r="E57" s="18">
        <v>66650</v>
      </c>
      <c r="F57" s="18">
        <v>566650</v>
      </c>
      <c r="G57" s="33">
        <v>50</v>
      </c>
      <c r="H57" s="16">
        <v>11333</v>
      </c>
      <c r="I57" s="8">
        <v>3</v>
      </c>
      <c r="J57" s="8">
        <f t="shared" si="5"/>
        <v>47</v>
      </c>
      <c r="K57" s="12">
        <f t="shared" si="7"/>
        <v>33999</v>
      </c>
      <c r="L57" s="12">
        <f t="shared" si="6"/>
        <v>532651</v>
      </c>
      <c r="M57" s="1"/>
      <c r="N57" s="39" t="e">
        <f>#REF!-H57</f>
        <v>#REF!</v>
      </c>
    </row>
    <row r="58" spans="2:14">
      <c r="B58" s="14">
        <v>53</v>
      </c>
      <c r="C58" s="2" t="s">
        <v>23</v>
      </c>
      <c r="D58" s="18">
        <v>500000</v>
      </c>
      <c r="E58" s="18">
        <v>66650</v>
      </c>
      <c r="F58" s="18">
        <v>566650</v>
      </c>
      <c r="G58" s="33">
        <v>50</v>
      </c>
      <c r="H58" s="16">
        <v>11333</v>
      </c>
      <c r="I58" s="8">
        <v>3</v>
      </c>
      <c r="J58" s="8">
        <f t="shared" si="5"/>
        <v>47</v>
      </c>
      <c r="K58" s="12">
        <f t="shared" si="7"/>
        <v>33999</v>
      </c>
      <c r="L58" s="12">
        <f t="shared" si="6"/>
        <v>532651</v>
      </c>
      <c r="M58" s="8"/>
      <c r="N58" s="39" t="e">
        <f>#REF!-H58</f>
        <v>#REF!</v>
      </c>
    </row>
    <row r="59" spans="2:14">
      <c r="B59" s="14">
        <v>54</v>
      </c>
      <c r="C59" s="2" t="s">
        <v>37</v>
      </c>
      <c r="D59" s="18">
        <v>500000</v>
      </c>
      <c r="E59" s="18">
        <v>66650</v>
      </c>
      <c r="F59" s="18">
        <v>566650</v>
      </c>
      <c r="G59" s="33">
        <v>50</v>
      </c>
      <c r="H59" s="16">
        <v>11333</v>
      </c>
      <c r="I59" s="8">
        <v>3</v>
      </c>
      <c r="J59" s="8">
        <f t="shared" si="5"/>
        <v>47</v>
      </c>
      <c r="K59" s="12">
        <f t="shared" si="7"/>
        <v>33999</v>
      </c>
      <c r="L59" s="12">
        <f t="shared" si="6"/>
        <v>532651</v>
      </c>
      <c r="M59" s="1"/>
      <c r="N59" s="39" t="e">
        <f>#REF!-H59</f>
        <v>#REF!</v>
      </c>
    </row>
    <row r="60" spans="2:14">
      <c r="B60" s="14">
        <v>55</v>
      </c>
      <c r="C60" s="2" t="s">
        <v>21</v>
      </c>
      <c r="D60" s="18">
        <v>500000</v>
      </c>
      <c r="E60" s="18">
        <v>66650</v>
      </c>
      <c r="F60" s="18">
        <v>566650</v>
      </c>
      <c r="G60" s="33">
        <v>50</v>
      </c>
      <c r="H60" s="16">
        <v>11333</v>
      </c>
      <c r="I60" s="8">
        <v>3</v>
      </c>
      <c r="J60" s="8">
        <f t="shared" si="5"/>
        <v>47</v>
      </c>
      <c r="K60" s="12">
        <f t="shared" si="7"/>
        <v>33999</v>
      </c>
      <c r="L60" s="12">
        <f t="shared" si="6"/>
        <v>532651</v>
      </c>
      <c r="M60" s="8"/>
      <c r="N60" s="39" t="e">
        <f>#REF!-H60</f>
        <v>#REF!</v>
      </c>
    </row>
    <row r="61" spans="2:14">
      <c r="B61" s="14">
        <v>56</v>
      </c>
      <c r="C61" s="2" t="s">
        <v>27</v>
      </c>
      <c r="D61" s="18">
        <v>500000</v>
      </c>
      <c r="E61" s="18">
        <v>66650</v>
      </c>
      <c r="F61" s="18">
        <v>566650</v>
      </c>
      <c r="G61" s="33">
        <v>50</v>
      </c>
      <c r="H61" s="16">
        <v>11333</v>
      </c>
      <c r="I61" s="8">
        <v>3</v>
      </c>
      <c r="J61" s="8">
        <f t="shared" si="5"/>
        <v>47</v>
      </c>
      <c r="K61" s="12">
        <f t="shared" si="7"/>
        <v>33999</v>
      </c>
      <c r="L61" s="12">
        <f t="shared" si="6"/>
        <v>532651</v>
      </c>
      <c r="M61" s="1"/>
      <c r="N61" s="39" t="e">
        <f>#REF!-H61</f>
        <v>#REF!</v>
      </c>
    </row>
    <row r="62" spans="2:14">
      <c r="B62" s="14">
        <v>57</v>
      </c>
      <c r="C62" s="2" t="s">
        <v>26</v>
      </c>
      <c r="D62" s="18">
        <v>500000</v>
      </c>
      <c r="E62" s="18">
        <v>66650</v>
      </c>
      <c r="F62" s="18">
        <v>566650</v>
      </c>
      <c r="G62" s="33">
        <v>50</v>
      </c>
      <c r="H62" s="16">
        <v>11333</v>
      </c>
      <c r="I62" s="8">
        <v>3</v>
      </c>
      <c r="J62" s="8">
        <f t="shared" si="5"/>
        <v>47</v>
      </c>
      <c r="K62" s="12">
        <f t="shared" si="7"/>
        <v>33999</v>
      </c>
      <c r="L62" s="12">
        <f t="shared" si="6"/>
        <v>532651</v>
      </c>
      <c r="M62" s="1"/>
      <c r="N62" s="39" t="e">
        <f>#REF!-H62</f>
        <v>#REF!</v>
      </c>
    </row>
    <row r="63" spans="2:14">
      <c r="B63" s="14">
        <v>58</v>
      </c>
      <c r="C63" s="2" t="s">
        <v>17</v>
      </c>
      <c r="D63" s="18">
        <v>500000</v>
      </c>
      <c r="E63" s="18">
        <v>66650</v>
      </c>
      <c r="F63" s="18">
        <v>566650</v>
      </c>
      <c r="G63" s="33">
        <v>50</v>
      </c>
      <c r="H63" s="16">
        <v>11333</v>
      </c>
      <c r="I63" s="8">
        <v>3</v>
      </c>
      <c r="J63" s="8">
        <f t="shared" si="5"/>
        <v>47</v>
      </c>
      <c r="K63" s="12">
        <f t="shared" si="7"/>
        <v>33999</v>
      </c>
      <c r="L63" s="12">
        <f t="shared" si="6"/>
        <v>532651</v>
      </c>
      <c r="M63" s="8" t="s">
        <v>20</v>
      </c>
      <c r="N63" s="39" t="e">
        <f>#REF!-H63</f>
        <v>#REF!</v>
      </c>
    </row>
    <row r="64" spans="2:14">
      <c r="B64" s="14">
        <v>59</v>
      </c>
      <c r="C64" s="2" t="s">
        <v>38</v>
      </c>
      <c r="D64" s="18">
        <v>500000</v>
      </c>
      <c r="E64" s="18">
        <v>66650</v>
      </c>
      <c r="F64" s="18">
        <v>566650</v>
      </c>
      <c r="G64" s="33">
        <v>50</v>
      </c>
      <c r="H64" s="16">
        <v>11333</v>
      </c>
      <c r="I64" s="8">
        <v>3</v>
      </c>
      <c r="J64" s="8">
        <f t="shared" si="5"/>
        <v>47</v>
      </c>
      <c r="K64" s="12">
        <f t="shared" si="7"/>
        <v>33999</v>
      </c>
      <c r="L64" s="12">
        <f t="shared" si="6"/>
        <v>532651</v>
      </c>
      <c r="M64" s="1"/>
      <c r="N64" s="39" t="e">
        <f>#REF!-H64</f>
        <v>#REF!</v>
      </c>
    </row>
    <row r="65" spans="2:14">
      <c r="B65" s="14">
        <v>60</v>
      </c>
      <c r="C65" s="2" t="s">
        <v>39</v>
      </c>
      <c r="D65" s="12">
        <v>500000</v>
      </c>
      <c r="E65" s="12">
        <v>66650</v>
      </c>
      <c r="F65" s="12">
        <v>566650</v>
      </c>
      <c r="G65" s="33">
        <v>50</v>
      </c>
      <c r="H65" s="16">
        <v>11333</v>
      </c>
      <c r="I65" s="8">
        <v>3</v>
      </c>
      <c r="J65" s="8">
        <f t="shared" si="5"/>
        <v>47</v>
      </c>
      <c r="K65" s="12">
        <f t="shared" si="7"/>
        <v>33999</v>
      </c>
      <c r="L65" s="12">
        <f t="shared" si="6"/>
        <v>532651</v>
      </c>
      <c r="M65" s="1"/>
      <c r="N65" s="39" t="e">
        <f>#REF!-H65</f>
        <v>#REF!</v>
      </c>
    </row>
    <row r="66" spans="2:14">
      <c r="B66" s="14">
        <v>61</v>
      </c>
      <c r="C66" s="2" t="s">
        <v>99</v>
      </c>
      <c r="D66" s="12">
        <v>450000</v>
      </c>
      <c r="E66" s="16">
        <v>59985</v>
      </c>
      <c r="F66" s="15">
        <f t="shared" ref="F66:F79" si="8">SUM(D66:E66)</f>
        <v>509985</v>
      </c>
      <c r="G66" s="33">
        <v>50</v>
      </c>
      <c r="H66" s="16">
        <v>10199.700000000001</v>
      </c>
      <c r="I66" s="8">
        <v>26</v>
      </c>
      <c r="J66" s="8">
        <f t="shared" si="5"/>
        <v>24</v>
      </c>
      <c r="K66" s="12">
        <f>(26*10199.7)</f>
        <v>265192.2</v>
      </c>
      <c r="L66" s="15">
        <f t="shared" si="6"/>
        <v>244792.8</v>
      </c>
      <c r="M66" s="8"/>
      <c r="N66" s="39" t="e">
        <f>#REF!-H66</f>
        <v>#REF!</v>
      </c>
    </row>
    <row r="67" spans="2:14">
      <c r="B67" s="14">
        <v>62</v>
      </c>
      <c r="C67" s="2" t="s">
        <v>95</v>
      </c>
      <c r="D67" s="12">
        <v>450000</v>
      </c>
      <c r="E67" s="12">
        <v>59985</v>
      </c>
      <c r="F67" s="15">
        <f t="shared" si="8"/>
        <v>509985</v>
      </c>
      <c r="G67" s="31">
        <v>50</v>
      </c>
      <c r="H67" s="12">
        <v>10199.700000000001</v>
      </c>
      <c r="I67" s="8">
        <v>24</v>
      </c>
      <c r="J67" s="8">
        <f t="shared" si="5"/>
        <v>26</v>
      </c>
      <c r="K67" s="12">
        <f>(24*10199.7)</f>
        <v>244792.80000000002</v>
      </c>
      <c r="L67" s="15">
        <f t="shared" si="6"/>
        <v>265192.19999999995</v>
      </c>
      <c r="M67" s="8"/>
      <c r="N67" s="39" t="e">
        <f>#REF!-H67</f>
        <v>#REF!</v>
      </c>
    </row>
    <row r="68" spans="2:14">
      <c r="B68" s="14">
        <v>63</v>
      </c>
      <c r="C68" s="25" t="s">
        <v>94</v>
      </c>
      <c r="D68" s="12">
        <v>450000</v>
      </c>
      <c r="E68" s="12">
        <v>59985</v>
      </c>
      <c r="F68" s="15">
        <f t="shared" si="8"/>
        <v>509985</v>
      </c>
      <c r="G68" s="31">
        <v>50</v>
      </c>
      <c r="H68" s="12">
        <v>10199.700000000001</v>
      </c>
      <c r="I68" s="8">
        <v>22</v>
      </c>
      <c r="J68" s="8">
        <f t="shared" si="5"/>
        <v>28</v>
      </c>
      <c r="K68" s="12">
        <f>(22*10199.7)</f>
        <v>224393.40000000002</v>
      </c>
      <c r="L68" s="15">
        <f t="shared" si="6"/>
        <v>285591.59999999998</v>
      </c>
      <c r="M68" s="8"/>
      <c r="N68" s="39" t="e">
        <f>#REF!-H68</f>
        <v>#REF!</v>
      </c>
    </row>
    <row r="69" spans="2:14">
      <c r="B69" s="14">
        <v>64</v>
      </c>
      <c r="C69" s="2" t="s">
        <v>44</v>
      </c>
      <c r="D69" s="12">
        <v>450000</v>
      </c>
      <c r="E69" s="16">
        <v>59985</v>
      </c>
      <c r="F69" s="15">
        <f t="shared" si="8"/>
        <v>509985</v>
      </c>
      <c r="G69" s="33">
        <v>50</v>
      </c>
      <c r="H69" s="24">
        <v>30599.1</v>
      </c>
      <c r="I69" s="8">
        <v>26</v>
      </c>
      <c r="J69" s="8">
        <f t="shared" si="5"/>
        <v>24</v>
      </c>
      <c r="K69" s="12">
        <f>(26*10199.7)</f>
        <v>265192.2</v>
      </c>
      <c r="L69" s="15">
        <f t="shared" si="6"/>
        <v>244792.8</v>
      </c>
      <c r="M69" s="8"/>
      <c r="N69" s="39" t="e">
        <f>#REF!-H69</f>
        <v>#REF!</v>
      </c>
    </row>
    <row r="70" spans="2:14">
      <c r="B70" s="14">
        <v>65</v>
      </c>
      <c r="C70" s="2" t="s">
        <v>96</v>
      </c>
      <c r="D70" s="12">
        <v>450000</v>
      </c>
      <c r="E70" s="16">
        <v>59985</v>
      </c>
      <c r="F70" s="15">
        <f t="shared" si="8"/>
        <v>509985</v>
      </c>
      <c r="G70" s="33">
        <v>50</v>
      </c>
      <c r="H70" s="16">
        <v>10199.700000000001</v>
      </c>
      <c r="I70" s="8">
        <v>22</v>
      </c>
      <c r="J70" s="8">
        <f t="shared" ref="J70:J80" si="9">G70-I70</f>
        <v>28</v>
      </c>
      <c r="K70" s="12">
        <f>(22*10199.7)</f>
        <v>224393.40000000002</v>
      </c>
      <c r="L70" s="15">
        <f t="shared" ref="L70:L101" si="10">F70-K70</f>
        <v>285591.59999999998</v>
      </c>
      <c r="M70" s="8"/>
      <c r="N70" s="39" t="e">
        <f>#REF!-H70</f>
        <v>#REF!</v>
      </c>
    </row>
    <row r="71" spans="2:14">
      <c r="B71" s="14">
        <v>66</v>
      </c>
      <c r="C71" s="2" t="s">
        <v>46</v>
      </c>
      <c r="D71" s="12">
        <v>450000</v>
      </c>
      <c r="E71" s="16">
        <v>28792.799999999999</v>
      </c>
      <c r="F71" s="15">
        <f t="shared" si="8"/>
        <v>478792.8</v>
      </c>
      <c r="G71" s="31">
        <v>24</v>
      </c>
      <c r="H71" s="16">
        <v>19949.7</v>
      </c>
      <c r="I71" s="11">
        <v>17</v>
      </c>
      <c r="J71" s="8">
        <f t="shared" si="9"/>
        <v>7</v>
      </c>
      <c r="K71" s="12">
        <f>(17*19949.7)</f>
        <v>339144.9</v>
      </c>
      <c r="L71" s="15">
        <f t="shared" si="10"/>
        <v>139647.89999999997</v>
      </c>
      <c r="M71" s="8"/>
      <c r="N71" s="39" t="e">
        <f>#REF!-H71</f>
        <v>#REF!</v>
      </c>
    </row>
    <row r="72" spans="2:14">
      <c r="B72" s="14">
        <v>67</v>
      </c>
      <c r="C72" s="2" t="s">
        <v>97</v>
      </c>
      <c r="D72" s="12">
        <v>450000</v>
      </c>
      <c r="E72" s="12">
        <v>59985</v>
      </c>
      <c r="F72" s="15">
        <f t="shared" si="8"/>
        <v>509985</v>
      </c>
      <c r="G72" s="31">
        <v>50</v>
      </c>
      <c r="H72" s="12">
        <v>10199.700000000001</v>
      </c>
      <c r="I72" s="11">
        <v>17</v>
      </c>
      <c r="J72" s="8">
        <f t="shared" si="9"/>
        <v>33</v>
      </c>
      <c r="K72" s="12">
        <f>(17*10199.7)</f>
        <v>173394.90000000002</v>
      </c>
      <c r="L72" s="15">
        <f t="shared" si="10"/>
        <v>336590.1</v>
      </c>
      <c r="M72" s="8"/>
      <c r="N72" s="39" t="e">
        <f>#REF!-H72</f>
        <v>#REF!</v>
      </c>
    </row>
    <row r="73" spans="2:14">
      <c r="B73" s="14">
        <v>68</v>
      </c>
      <c r="C73" s="2" t="s">
        <v>102</v>
      </c>
      <c r="D73" s="12">
        <v>450000</v>
      </c>
      <c r="E73" s="12">
        <v>59985</v>
      </c>
      <c r="F73" s="15">
        <f t="shared" si="8"/>
        <v>509985</v>
      </c>
      <c r="G73" s="31">
        <v>50</v>
      </c>
      <c r="H73" s="12">
        <v>10199.700000000001</v>
      </c>
      <c r="I73" s="11">
        <v>17</v>
      </c>
      <c r="J73" s="8">
        <f t="shared" si="9"/>
        <v>33</v>
      </c>
      <c r="K73" s="12">
        <f>(17*10199.7)</f>
        <v>173394.90000000002</v>
      </c>
      <c r="L73" s="15">
        <f t="shared" si="10"/>
        <v>336590.1</v>
      </c>
      <c r="M73" s="8"/>
      <c r="N73" s="39" t="e">
        <f>#REF!-H73</f>
        <v>#REF!</v>
      </c>
    </row>
    <row r="74" spans="2:14">
      <c r="B74" s="14">
        <v>69</v>
      </c>
      <c r="C74" s="2" t="s">
        <v>103</v>
      </c>
      <c r="D74" s="12">
        <v>450000</v>
      </c>
      <c r="E74" s="16">
        <v>59985</v>
      </c>
      <c r="F74" s="15">
        <f t="shared" si="8"/>
        <v>509985</v>
      </c>
      <c r="G74" s="33">
        <v>50</v>
      </c>
      <c r="H74" s="16">
        <v>10199.700000000001</v>
      </c>
      <c r="I74" s="8">
        <v>17</v>
      </c>
      <c r="J74" s="8">
        <f t="shared" si="9"/>
        <v>33</v>
      </c>
      <c r="K74" s="12">
        <f>(17*10199.7)</f>
        <v>173394.90000000002</v>
      </c>
      <c r="L74" s="15">
        <f t="shared" si="10"/>
        <v>336590.1</v>
      </c>
      <c r="M74" s="8"/>
      <c r="N74" s="39" t="e">
        <f>#REF!-H74</f>
        <v>#REF!</v>
      </c>
    </row>
    <row r="75" spans="2:14">
      <c r="B75" s="14">
        <v>70</v>
      </c>
      <c r="C75" s="2" t="s">
        <v>104</v>
      </c>
      <c r="D75" s="12">
        <v>450000</v>
      </c>
      <c r="E75" s="12">
        <v>59985</v>
      </c>
      <c r="F75" s="15">
        <f t="shared" si="8"/>
        <v>509985</v>
      </c>
      <c r="G75" s="31">
        <v>50</v>
      </c>
      <c r="H75" s="12">
        <v>10199.700000000001</v>
      </c>
      <c r="I75" s="11">
        <v>17</v>
      </c>
      <c r="J75" s="8">
        <f t="shared" si="9"/>
        <v>33</v>
      </c>
      <c r="K75" s="12">
        <f>(17*10199.7)</f>
        <v>173394.90000000002</v>
      </c>
      <c r="L75" s="15">
        <f t="shared" si="10"/>
        <v>336590.1</v>
      </c>
      <c r="M75" s="8"/>
      <c r="N75" s="39" t="e">
        <f>#REF!-H75</f>
        <v>#REF!</v>
      </c>
    </row>
    <row r="76" spans="2:14">
      <c r="B76" s="14">
        <v>71</v>
      </c>
      <c r="C76" s="2" t="s">
        <v>100</v>
      </c>
      <c r="D76" s="12">
        <v>450000</v>
      </c>
      <c r="E76" s="16">
        <v>59985</v>
      </c>
      <c r="F76" s="15">
        <f t="shared" si="8"/>
        <v>509985</v>
      </c>
      <c r="G76" s="33">
        <v>50</v>
      </c>
      <c r="H76" s="16">
        <v>10199.700000000001</v>
      </c>
      <c r="I76" s="11">
        <v>16</v>
      </c>
      <c r="J76" s="8">
        <f t="shared" si="9"/>
        <v>34</v>
      </c>
      <c r="K76" s="12">
        <f>(16*10199.7)</f>
        <v>163195.20000000001</v>
      </c>
      <c r="L76" s="15">
        <f t="shared" si="10"/>
        <v>346789.8</v>
      </c>
      <c r="M76" s="8"/>
      <c r="N76" s="39" t="e">
        <f>#REF!-H76</f>
        <v>#REF!</v>
      </c>
    </row>
    <row r="77" spans="2:14">
      <c r="B77" s="14">
        <v>72</v>
      </c>
      <c r="C77" s="2" t="s">
        <v>101</v>
      </c>
      <c r="D77" s="12">
        <v>450000</v>
      </c>
      <c r="E77" s="16">
        <v>59985</v>
      </c>
      <c r="F77" s="15">
        <f t="shared" si="8"/>
        <v>509985</v>
      </c>
      <c r="G77" s="33">
        <v>50</v>
      </c>
      <c r="H77" s="16">
        <v>10199.700000000001</v>
      </c>
      <c r="I77" s="8">
        <v>16</v>
      </c>
      <c r="J77" s="8">
        <f t="shared" si="9"/>
        <v>34</v>
      </c>
      <c r="K77" s="48">
        <f>(16*10199.7)</f>
        <v>163195.20000000001</v>
      </c>
      <c r="L77" s="15">
        <f t="shared" si="10"/>
        <v>346789.8</v>
      </c>
      <c r="M77" s="8"/>
      <c r="N77" s="39" t="e">
        <f>#REF!-H77</f>
        <v>#REF!</v>
      </c>
    </row>
    <row r="78" spans="2:14">
      <c r="B78" s="14">
        <v>73</v>
      </c>
      <c r="C78" s="2" t="s">
        <v>12</v>
      </c>
      <c r="D78" s="12">
        <v>450000</v>
      </c>
      <c r="E78" s="12">
        <v>59985</v>
      </c>
      <c r="F78" s="15">
        <f t="shared" si="8"/>
        <v>509985</v>
      </c>
      <c r="G78" s="33">
        <v>50</v>
      </c>
      <c r="H78" s="16">
        <v>11333</v>
      </c>
      <c r="I78" s="31">
        <v>6</v>
      </c>
      <c r="J78" s="8">
        <f t="shared" si="9"/>
        <v>44</v>
      </c>
      <c r="K78" s="12">
        <f>(6*11333)</f>
        <v>67998</v>
      </c>
      <c r="L78" s="15">
        <f t="shared" si="10"/>
        <v>441987</v>
      </c>
      <c r="M78" s="8"/>
      <c r="N78" s="39" t="e">
        <f>#REF!-H78</f>
        <v>#REF!</v>
      </c>
    </row>
    <row r="79" spans="2:14">
      <c r="B79" s="14">
        <v>74</v>
      </c>
      <c r="C79" s="2" t="s">
        <v>98</v>
      </c>
      <c r="D79" s="12">
        <v>450000</v>
      </c>
      <c r="E79" s="16">
        <v>59985</v>
      </c>
      <c r="F79" s="15">
        <f t="shared" si="8"/>
        <v>509985</v>
      </c>
      <c r="G79" s="31">
        <v>50</v>
      </c>
      <c r="H79" s="38">
        <v>10199.700000000001</v>
      </c>
      <c r="I79" s="8">
        <v>3</v>
      </c>
      <c r="J79" s="8">
        <f t="shared" si="9"/>
        <v>47</v>
      </c>
      <c r="K79" s="12">
        <f>(3*10199.7)</f>
        <v>30599.100000000002</v>
      </c>
      <c r="L79" s="15">
        <f t="shared" si="10"/>
        <v>479385.9</v>
      </c>
      <c r="M79" s="8"/>
      <c r="N79" s="39" t="e">
        <f>#REF!-H79</f>
        <v>#REF!</v>
      </c>
    </row>
    <row r="80" spans="2:14">
      <c r="B80" s="14">
        <v>75</v>
      </c>
      <c r="C80" s="2" t="s">
        <v>29</v>
      </c>
      <c r="D80" s="18">
        <v>450000</v>
      </c>
      <c r="E80" s="19">
        <v>59985</v>
      </c>
      <c r="F80" s="19">
        <v>509985</v>
      </c>
      <c r="G80" s="33">
        <v>50</v>
      </c>
      <c r="H80" s="16">
        <v>10199.700000000001</v>
      </c>
      <c r="I80" s="8">
        <v>3</v>
      </c>
      <c r="J80" s="8">
        <f t="shared" si="9"/>
        <v>47</v>
      </c>
      <c r="K80" s="12">
        <f>(3*10199)</f>
        <v>30597</v>
      </c>
      <c r="L80" s="12">
        <f t="shared" si="10"/>
        <v>479388</v>
      </c>
      <c r="M80" s="1"/>
      <c r="N80" s="39" t="e">
        <f>#REF!-H80</f>
        <v>#REF!</v>
      </c>
    </row>
    <row r="81" spans="2:14">
      <c r="B81" s="14">
        <v>76</v>
      </c>
      <c r="C81" s="25" t="s">
        <v>43</v>
      </c>
      <c r="D81" s="12">
        <v>330000</v>
      </c>
      <c r="E81" s="12">
        <v>21114.720000000001</v>
      </c>
      <c r="F81" s="15">
        <f t="shared" ref="F81:F112" si="11">SUM(D81:E81)</f>
        <v>351114.72</v>
      </c>
      <c r="G81" s="31">
        <v>24</v>
      </c>
      <c r="H81" s="12">
        <v>14629.78</v>
      </c>
      <c r="I81" s="11">
        <v>17</v>
      </c>
      <c r="J81" s="11">
        <v>7</v>
      </c>
      <c r="K81" s="16">
        <f>(17*14629.78)</f>
        <v>248706.26</v>
      </c>
      <c r="L81" s="15">
        <f t="shared" si="10"/>
        <v>102408.45999999996</v>
      </c>
      <c r="M81" s="8"/>
      <c r="N81" s="39" t="e">
        <f>#REF!-H81</f>
        <v>#REF!</v>
      </c>
    </row>
    <row r="82" spans="2:14">
      <c r="B82" s="14">
        <v>77</v>
      </c>
      <c r="C82" s="2" t="s">
        <v>120</v>
      </c>
      <c r="D82" s="12">
        <v>330000</v>
      </c>
      <c r="E82" s="16">
        <v>21114.720000000001</v>
      </c>
      <c r="F82" s="15">
        <f t="shared" si="11"/>
        <v>351114.72</v>
      </c>
      <c r="G82" s="31">
        <v>24</v>
      </c>
      <c r="H82" s="24">
        <v>6649.9</v>
      </c>
      <c r="I82" s="11">
        <v>17</v>
      </c>
      <c r="J82" s="8">
        <v>7</v>
      </c>
      <c r="K82" s="16">
        <f>(17*6649.9)</f>
        <v>113048.29999999999</v>
      </c>
      <c r="L82" s="15">
        <f t="shared" si="10"/>
        <v>238066.41999999998</v>
      </c>
      <c r="M82" s="8"/>
      <c r="N82" s="39" t="e">
        <f>#REF!-H82</f>
        <v>#REF!</v>
      </c>
    </row>
    <row r="83" spans="2:14">
      <c r="B83" s="14">
        <v>78</v>
      </c>
      <c r="C83" s="2" t="s">
        <v>107</v>
      </c>
      <c r="D83" s="12">
        <v>330000</v>
      </c>
      <c r="E83" s="12">
        <v>43989</v>
      </c>
      <c r="F83" s="15">
        <f t="shared" si="11"/>
        <v>373989</v>
      </c>
      <c r="G83" s="31">
        <v>50</v>
      </c>
      <c r="H83" s="12">
        <v>7479.78</v>
      </c>
      <c r="I83" s="8">
        <v>38</v>
      </c>
      <c r="J83" s="8">
        <f t="shared" ref="J83:J100" si="12">G83-I83</f>
        <v>12</v>
      </c>
      <c r="K83" s="12">
        <f>(38*11333)</f>
        <v>430654</v>
      </c>
      <c r="L83" s="15">
        <f t="shared" si="10"/>
        <v>-56665</v>
      </c>
      <c r="M83" s="8"/>
      <c r="N83" s="39" t="e">
        <f>#REF!-H83</f>
        <v>#REF!</v>
      </c>
    </row>
    <row r="84" spans="2:14">
      <c r="B84" s="14">
        <v>79</v>
      </c>
      <c r="C84" s="2" t="s">
        <v>108</v>
      </c>
      <c r="D84" s="12">
        <v>330000</v>
      </c>
      <c r="E84" s="12">
        <v>43989</v>
      </c>
      <c r="F84" s="15">
        <f t="shared" si="11"/>
        <v>373989</v>
      </c>
      <c r="G84" s="31">
        <v>50</v>
      </c>
      <c r="H84" s="12">
        <v>7479.78</v>
      </c>
      <c r="I84" s="8">
        <v>38</v>
      </c>
      <c r="J84" s="8">
        <f t="shared" si="12"/>
        <v>12</v>
      </c>
      <c r="K84" s="12">
        <f>(38*11333)</f>
        <v>430654</v>
      </c>
      <c r="L84" s="15">
        <f t="shared" si="10"/>
        <v>-56665</v>
      </c>
      <c r="M84" s="8"/>
      <c r="N84" s="39" t="e">
        <f>#REF!-H84</f>
        <v>#REF!</v>
      </c>
    </row>
    <row r="85" spans="2:14">
      <c r="B85" s="14">
        <v>80</v>
      </c>
      <c r="C85" s="2" t="s">
        <v>113</v>
      </c>
      <c r="D85" s="12">
        <v>330000</v>
      </c>
      <c r="E85" s="12">
        <v>43989</v>
      </c>
      <c r="F85" s="15">
        <f t="shared" si="11"/>
        <v>373989</v>
      </c>
      <c r="G85" s="31">
        <v>50</v>
      </c>
      <c r="H85" s="12">
        <v>7479.78</v>
      </c>
      <c r="I85" s="8">
        <v>38</v>
      </c>
      <c r="J85" s="8">
        <f t="shared" si="12"/>
        <v>12</v>
      </c>
      <c r="K85" s="12">
        <f>(38*11333)</f>
        <v>430654</v>
      </c>
      <c r="L85" s="15">
        <f t="shared" si="10"/>
        <v>-56665</v>
      </c>
      <c r="M85" s="8"/>
      <c r="N85" s="39" t="e">
        <f>#REF!-H85</f>
        <v>#REF!</v>
      </c>
    </row>
    <row r="86" spans="2:14">
      <c r="B86" s="14">
        <v>81</v>
      </c>
      <c r="C86" s="25" t="s">
        <v>105</v>
      </c>
      <c r="D86" s="12">
        <v>330000</v>
      </c>
      <c r="E86" s="16">
        <v>43989</v>
      </c>
      <c r="F86" s="15">
        <f t="shared" si="11"/>
        <v>373989</v>
      </c>
      <c r="G86" s="33">
        <v>50</v>
      </c>
      <c r="H86" s="16">
        <v>7479.78</v>
      </c>
      <c r="I86" s="8">
        <v>26</v>
      </c>
      <c r="J86" s="8">
        <f t="shared" si="12"/>
        <v>24</v>
      </c>
      <c r="K86" s="12">
        <f>(26*7479.78)</f>
        <v>194474.28</v>
      </c>
      <c r="L86" s="15">
        <f t="shared" si="10"/>
        <v>179514.72</v>
      </c>
      <c r="M86" s="8"/>
      <c r="N86" s="39" t="e">
        <f>#REF!-H86</f>
        <v>#REF!</v>
      </c>
    </row>
    <row r="87" spans="2:14">
      <c r="B87" s="14">
        <v>82</v>
      </c>
      <c r="C87" s="25" t="s">
        <v>110</v>
      </c>
      <c r="D87" s="12">
        <v>330000</v>
      </c>
      <c r="E87" s="16">
        <v>43989</v>
      </c>
      <c r="F87" s="15">
        <f t="shared" si="11"/>
        <v>373989</v>
      </c>
      <c r="G87" s="33">
        <v>50</v>
      </c>
      <c r="H87" s="16">
        <v>7479.78</v>
      </c>
      <c r="I87" s="8">
        <v>26</v>
      </c>
      <c r="J87" s="8">
        <f t="shared" si="12"/>
        <v>24</v>
      </c>
      <c r="K87" s="12">
        <f>(26*7479.78)</f>
        <v>194474.28</v>
      </c>
      <c r="L87" s="15">
        <f t="shared" si="10"/>
        <v>179514.72</v>
      </c>
      <c r="M87" s="8"/>
      <c r="N87" s="39" t="e">
        <f>#REF!-H87</f>
        <v>#REF!</v>
      </c>
    </row>
    <row r="88" spans="2:14">
      <c r="B88" s="14">
        <v>83</v>
      </c>
      <c r="C88" s="2" t="s">
        <v>117</v>
      </c>
      <c r="D88" s="12">
        <v>330000</v>
      </c>
      <c r="E88" s="12">
        <v>43989</v>
      </c>
      <c r="F88" s="15">
        <f t="shared" si="11"/>
        <v>373989</v>
      </c>
      <c r="G88" s="31">
        <v>50</v>
      </c>
      <c r="H88" s="12">
        <v>7479.78</v>
      </c>
      <c r="I88" s="11">
        <v>26</v>
      </c>
      <c r="J88" s="8">
        <f t="shared" si="12"/>
        <v>24</v>
      </c>
      <c r="K88" s="16">
        <f>(26*7479.78)</f>
        <v>194474.28</v>
      </c>
      <c r="L88" s="15">
        <f t="shared" si="10"/>
        <v>179514.72</v>
      </c>
      <c r="M88" s="8"/>
      <c r="N88" s="39" t="e">
        <f>#REF!-H88</f>
        <v>#REF!</v>
      </c>
    </row>
    <row r="89" spans="2:14">
      <c r="B89" s="14">
        <v>84</v>
      </c>
      <c r="C89" s="2" t="s">
        <v>114</v>
      </c>
      <c r="D89" s="12">
        <v>330000</v>
      </c>
      <c r="E89" s="12">
        <v>43989</v>
      </c>
      <c r="F89" s="15">
        <f t="shared" si="11"/>
        <v>373989</v>
      </c>
      <c r="G89" s="31">
        <v>50</v>
      </c>
      <c r="H89" s="12">
        <v>7479.78</v>
      </c>
      <c r="I89" s="8">
        <v>24</v>
      </c>
      <c r="J89" s="8">
        <f t="shared" si="12"/>
        <v>26</v>
      </c>
      <c r="K89" s="12">
        <f>(24*7479.78)</f>
        <v>179514.72</v>
      </c>
      <c r="L89" s="15">
        <f t="shared" si="10"/>
        <v>194474.28</v>
      </c>
      <c r="M89" s="8"/>
      <c r="N89" s="39" t="e">
        <f>#REF!-H89</f>
        <v>#REF!</v>
      </c>
    </row>
    <row r="90" spans="2:14">
      <c r="B90" s="14">
        <v>85</v>
      </c>
      <c r="C90" s="2" t="s">
        <v>115</v>
      </c>
      <c r="D90" s="12">
        <v>330000</v>
      </c>
      <c r="E90" s="12">
        <v>43989</v>
      </c>
      <c r="F90" s="15">
        <f t="shared" si="11"/>
        <v>373989</v>
      </c>
      <c r="G90" s="31">
        <v>50</v>
      </c>
      <c r="H90" s="12">
        <v>7479.78</v>
      </c>
      <c r="I90" s="8">
        <v>24</v>
      </c>
      <c r="J90" s="8">
        <f t="shared" si="12"/>
        <v>26</v>
      </c>
      <c r="K90" s="12">
        <f>(24*7479.78)</f>
        <v>179514.72</v>
      </c>
      <c r="L90" s="15">
        <f t="shared" si="10"/>
        <v>194474.28</v>
      </c>
      <c r="M90" s="8"/>
      <c r="N90" s="39" t="e">
        <f>#REF!-H90</f>
        <v>#REF!</v>
      </c>
    </row>
    <row r="91" spans="2:14">
      <c r="B91" s="14">
        <v>86</v>
      </c>
      <c r="C91" s="2" t="s">
        <v>116</v>
      </c>
      <c r="D91" s="12">
        <v>330000</v>
      </c>
      <c r="E91" s="12">
        <v>43989</v>
      </c>
      <c r="F91" s="15">
        <f t="shared" si="11"/>
        <v>373989</v>
      </c>
      <c r="G91" s="31">
        <v>50</v>
      </c>
      <c r="H91" s="12">
        <v>7479.78</v>
      </c>
      <c r="I91" s="8">
        <v>24</v>
      </c>
      <c r="J91" s="8">
        <f t="shared" si="12"/>
        <v>26</v>
      </c>
      <c r="K91" s="12">
        <f>(24*7479.78)</f>
        <v>179514.72</v>
      </c>
      <c r="L91" s="15">
        <f t="shared" si="10"/>
        <v>194474.28</v>
      </c>
      <c r="M91" s="8"/>
      <c r="N91" s="39" t="e">
        <f>#REF!-H91</f>
        <v>#REF!</v>
      </c>
    </row>
    <row r="92" spans="2:14">
      <c r="B92" s="14">
        <v>87</v>
      </c>
      <c r="C92" s="26" t="s">
        <v>118</v>
      </c>
      <c r="D92" s="12">
        <v>330000</v>
      </c>
      <c r="E92" s="12">
        <v>43989</v>
      </c>
      <c r="F92" s="15">
        <f t="shared" si="11"/>
        <v>373989</v>
      </c>
      <c r="G92" s="31">
        <v>50</v>
      </c>
      <c r="H92" s="12">
        <v>7479.78</v>
      </c>
      <c r="I92" s="8">
        <v>23</v>
      </c>
      <c r="J92" s="8">
        <f t="shared" si="12"/>
        <v>27</v>
      </c>
      <c r="K92" s="12">
        <f>(23*7479.78)</f>
        <v>172034.94</v>
      </c>
      <c r="L92" s="15">
        <f t="shared" si="10"/>
        <v>201954.06</v>
      </c>
      <c r="M92" s="8"/>
      <c r="N92" s="39" t="e">
        <f>#REF!-H92</f>
        <v>#REF!</v>
      </c>
    </row>
    <row r="93" spans="2:14">
      <c r="B93" s="14">
        <v>88</v>
      </c>
      <c r="C93" s="2" t="s">
        <v>106</v>
      </c>
      <c r="D93" s="12">
        <v>330000</v>
      </c>
      <c r="E93" s="12">
        <v>43989</v>
      </c>
      <c r="F93" s="15">
        <f t="shared" si="11"/>
        <v>373989</v>
      </c>
      <c r="G93" s="31">
        <v>50</v>
      </c>
      <c r="H93" s="12">
        <v>7479.78</v>
      </c>
      <c r="I93" s="11">
        <v>17</v>
      </c>
      <c r="J93" s="8">
        <f t="shared" si="12"/>
        <v>33</v>
      </c>
      <c r="K93" s="16">
        <f>(17*7479.78)</f>
        <v>127156.26</v>
      </c>
      <c r="L93" s="15">
        <f t="shared" si="10"/>
        <v>246832.74</v>
      </c>
      <c r="M93" s="8"/>
      <c r="N93" s="39" t="e">
        <f>#REF!-H93</f>
        <v>#REF!</v>
      </c>
    </row>
    <row r="94" spans="2:14">
      <c r="B94" s="14">
        <v>89</v>
      </c>
      <c r="C94" s="2" t="s">
        <v>111</v>
      </c>
      <c r="D94" s="12">
        <v>330000</v>
      </c>
      <c r="E94" s="12">
        <v>43989</v>
      </c>
      <c r="F94" s="15">
        <f t="shared" si="11"/>
        <v>373989</v>
      </c>
      <c r="G94" s="31">
        <v>50</v>
      </c>
      <c r="H94" s="12">
        <v>7479.78</v>
      </c>
      <c r="I94" s="11">
        <v>17</v>
      </c>
      <c r="J94" s="8">
        <f t="shared" si="12"/>
        <v>33</v>
      </c>
      <c r="K94" s="16">
        <f>(17*7479.78)</f>
        <v>127156.26</v>
      </c>
      <c r="L94" s="15">
        <f t="shared" si="10"/>
        <v>246832.74</v>
      </c>
      <c r="M94" s="8"/>
      <c r="N94" s="39" t="e">
        <f>#REF!-H94</f>
        <v>#REF!</v>
      </c>
    </row>
    <row r="95" spans="2:14">
      <c r="B95" s="14">
        <v>90</v>
      </c>
      <c r="C95" s="2" t="s">
        <v>112</v>
      </c>
      <c r="D95" s="12">
        <v>330000</v>
      </c>
      <c r="E95" s="12">
        <v>43989</v>
      </c>
      <c r="F95" s="15">
        <f t="shared" si="11"/>
        <v>373989</v>
      </c>
      <c r="G95" s="31">
        <v>50</v>
      </c>
      <c r="H95" s="12">
        <v>7479.78</v>
      </c>
      <c r="I95" s="11">
        <v>17</v>
      </c>
      <c r="J95" s="8">
        <f t="shared" si="12"/>
        <v>33</v>
      </c>
      <c r="K95" s="16">
        <f>(17*7479.78)</f>
        <v>127156.26</v>
      </c>
      <c r="L95" s="15">
        <f t="shared" si="10"/>
        <v>246832.74</v>
      </c>
      <c r="M95" s="8"/>
      <c r="N95" s="39" t="e">
        <f>#REF!-H95</f>
        <v>#REF!</v>
      </c>
    </row>
    <row r="96" spans="2:14">
      <c r="B96" s="14">
        <v>91</v>
      </c>
      <c r="C96" s="2" t="s">
        <v>109</v>
      </c>
      <c r="D96" s="12">
        <v>330000</v>
      </c>
      <c r="E96" s="16">
        <v>43989</v>
      </c>
      <c r="F96" s="15">
        <f t="shared" si="11"/>
        <v>373989</v>
      </c>
      <c r="G96" s="33">
        <v>50</v>
      </c>
      <c r="H96" s="16">
        <v>7479.78</v>
      </c>
      <c r="I96" s="11">
        <v>16</v>
      </c>
      <c r="J96" s="8">
        <f t="shared" si="12"/>
        <v>34</v>
      </c>
      <c r="K96" s="12">
        <f>(16*7479.78)</f>
        <v>119676.48</v>
      </c>
      <c r="L96" s="15">
        <f t="shared" si="10"/>
        <v>254312.52000000002</v>
      </c>
      <c r="M96" s="8"/>
      <c r="N96" s="39" t="e">
        <f>#REF!-H96</f>
        <v>#REF!</v>
      </c>
    </row>
    <row r="97" spans="2:14">
      <c r="B97" s="14">
        <v>92</v>
      </c>
      <c r="C97" s="2" t="s">
        <v>119</v>
      </c>
      <c r="D97" s="12">
        <v>330000</v>
      </c>
      <c r="E97" s="16">
        <v>43989</v>
      </c>
      <c r="F97" s="15">
        <f t="shared" si="11"/>
        <v>373989</v>
      </c>
      <c r="G97" s="33">
        <v>50</v>
      </c>
      <c r="H97" s="16">
        <v>7479.78</v>
      </c>
      <c r="I97" s="11">
        <v>16</v>
      </c>
      <c r="J97" s="8">
        <f t="shared" si="12"/>
        <v>34</v>
      </c>
      <c r="K97" s="12">
        <f>(16*7479.78)</f>
        <v>119676.48</v>
      </c>
      <c r="L97" s="15">
        <f t="shared" si="10"/>
        <v>254312.52000000002</v>
      </c>
      <c r="M97" s="8"/>
      <c r="N97" s="39" t="e">
        <f>#REF!-H97</f>
        <v>#REF!</v>
      </c>
    </row>
    <row r="98" spans="2:14">
      <c r="B98" s="14">
        <v>93</v>
      </c>
      <c r="C98" s="17" t="s">
        <v>31</v>
      </c>
      <c r="D98" s="20">
        <v>330000</v>
      </c>
      <c r="E98" s="20">
        <v>43989</v>
      </c>
      <c r="F98" s="20">
        <f t="shared" si="11"/>
        <v>373989</v>
      </c>
      <c r="G98" s="33">
        <v>50</v>
      </c>
      <c r="H98" s="3">
        <v>7479.78</v>
      </c>
      <c r="I98" s="8">
        <v>3</v>
      </c>
      <c r="J98" s="8">
        <f t="shared" si="12"/>
        <v>47</v>
      </c>
      <c r="K98" s="3">
        <f>(3*7479.78)</f>
        <v>22439.34</v>
      </c>
      <c r="L98" s="12">
        <f t="shared" si="10"/>
        <v>351549.66</v>
      </c>
      <c r="M98" s="1"/>
      <c r="N98" s="39" t="e">
        <f>#REF!-H98</f>
        <v>#REF!</v>
      </c>
    </row>
    <row r="99" spans="2:14">
      <c r="B99" s="14">
        <v>94</v>
      </c>
      <c r="C99" s="2" t="s">
        <v>32</v>
      </c>
      <c r="D99" s="20">
        <v>330000</v>
      </c>
      <c r="E99" s="20">
        <v>43989</v>
      </c>
      <c r="F99" s="20">
        <f t="shared" si="11"/>
        <v>373989</v>
      </c>
      <c r="G99" s="33">
        <v>50</v>
      </c>
      <c r="H99" s="3">
        <v>7479.78</v>
      </c>
      <c r="I99" s="8">
        <v>3</v>
      </c>
      <c r="J99" s="8">
        <f t="shared" si="12"/>
        <v>47</v>
      </c>
      <c r="K99" s="3">
        <f>(3*7479.78)</f>
        <v>22439.34</v>
      </c>
      <c r="L99" s="12">
        <f t="shared" si="10"/>
        <v>351549.66</v>
      </c>
      <c r="M99" s="1"/>
      <c r="N99" s="39" t="e">
        <f>#REF!-H99</f>
        <v>#REF!</v>
      </c>
    </row>
    <row r="100" spans="2:14">
      <c r="B100" s="14">
        <v>95</v>
      </c>
      <c r="C100" s="2" t="s">
        <v>30</v>
      </c>
      <c r="D100" s="20">
        <v>330000</v>
      </c>
      <c r="E100" s="20">
        <v>43989</v>
      </c>
      <c r="F100" s="20">
        <f t="shared" si="11"/>
        <v>373989</v>
      </c>
      <c r="G100" s="33">
        <v>50</v>
      </c>
      <c r="H100" s="3">
        <v>7479.78</v>
      </c>
      <c r="I100" s="8">
        <v>3</v>
      </c>
      <c r="J100" s="8">
        <f t="shared" si="12"/>
        <v>47</v>
      </c>
      <c r="K100" s="3">
        <f>(3*7479.78)</f>
        <v>22439.34</v>
      </c>
      <c r="L100" s="12">
        <f t="shared" si="10"/>
        <v>351549.66</v>
      </c>
      <c r="M100" s="1"/>
      <c r="N100" s="39" t="e">
        <f>#REF!-H100</f>
        <v>#REF!</v>
      </c>
    </row>
    <row r="101" spans="2:14">
      <c r="B101" s="14">
        <v>96</v>
      </c>
      <c r="C101" s="2" t="s">
        <v>121</v>
      </c>
      <c r="D101" s="15">
        <v>200000</v>
      </c>
      <c r="E101" s="15">
        <v>26660</v>
      </c>
      <c r="F101" s="15">
        <f t="shared" si="11"/>
        <v>226660</v>
      </c>
      <c r="G101" s="31">
        <v>40</v>
      </c>
      <c r="H101" s="15">
        <v>5666.5</v>
      </c>
      <c r="I101" s="8">
        <v>30</v>
      </c>
      <c r="J101" s="11">
        <v>10</v>
      </c>
      <c r="K101" s="16">
        <f>(30*5666.5)</f>
        <v>169995</v>
      </c>
      <c r="L101" s="15">
        <f t="shared" si="10"/>
        <v>56665</v>
      </c>
      <c r="M101" s="8"/>
      <c r="N101" s="39" t="e">
        <f>#REF!-H101</f>
        <v>#REF!</v>
      </c>
    </row>
    <row r="102" spans="2:14">
      <c r="B102" s="14">
        <v>97</v>
      </c>
      <c r="C102" s="2" t="s">
        <v>122</v>
      </c>
      <c r="D102" s="15">
        <v>200000</v>
      </c>
      <c r="E102" s="15">
        <v>26660</v>
      </c>
      <c r="F102" s="15">
        <f t="shared" si="11"/>
        <v>226660</v>
      </c>
      <c r="G102" s="31">
        <v>40</v>
      </c>
      <c r="H102" s="15">
        <v>5666.5</v>
      </c>
      <c r="I102" s="8">
        <v>31</v>
      </c>
      <c r="J102" s="8">
        <v>9</v>
      </c>
      <c r="K102" s="12">
        <f>(31*5666.5)</f>
        <v>175661.5</v>
      </c>
      <c r="L102" s="15">
        <f t="shared" ref="L102:L133" si="13">F102-K102</f>
        <v>50998.5</v>
      </c>
      <c r="M102" s="8"/>
      <c r="N102" s="39" t="e">
        <f>#REF!-H102</f>
        <v>#REF!</v>
      </c>
    </row>
    <row r="103" spans="2:14">
      <c r="B103" s="14">
        <v>98</v>
      </c>
      <c r="C103" s="2" t="s">
        <v>123</v>
      </c>
      <c r="D103" s="15">
        <v>200000</v>
      </c>
      <c r="E103" s="15">
        <v>26660</v>
      </c>
      <c r="F103" s="15">
        <f t="shared" si="11"/>
        <v>226660</v>
      </c>
      <c r="G103" s="31">
        <v>40</v>
      </c>
      <c r="H103" s="15">
        <v>5666.5</v>
      </c>
      <c r="I103" s="8">
        <v>31</v>
      </c>
      <c r="J103" s="8">
        <v>9</v>
      </c>
      <c r="K103" s="12">
        <f>(31*5666.5)</f>
        <v>175661.5</v>
      </c>
      <c r="L103" s="15">
        <f t="shared" si="13"/>
        <v>50998.5</v>
      </c>
      <c r="M103" s="8"/>
      <c r="N103" s="39" t="e">
        <f>#REF!-H103</f>
        <v>#REF!</v>
      </c>
    </row>
    <row r="104" spans="2:14">
      <c r="B104" s="14">
        <v>99</v>
      </c>
      <c r="C104" s="2" t="s">
        <v>124</v>
      </c>
      <c r="D104" s="15">
        <v>200000</v>
      </c>
      <c r="E104" s="15">
        <v>26660</v>
      </c>
      <c r="F104" s="15">
        <f t="shared" si="11"/>
        <v>226660</v>
      </c>
      <c r="G104" s="31">
        <v>40</v>
      </c>
      <c r="H104" s="15">
        <v>5666.5</v>
      </c>
      <c r="I104" s="8">
        <v>34</v>
      </c>
      <c r="J104" s="8">
        <v>6</v>
      </c>
      <c r="K104" s="12">
        <f>(34*5666.5)</f>
        <v>192661</v>
      </c>
      <c r="L104" s="15">
        <f t="shared" si="13"/>
        <v>33999</v>
      </c>
      <c r="M104" s="8"/>
      <c r="N104" s="39" t="e">
        <f>#REF!-H104</f>
        <v>#REF!</v>
      </c>
    </row>
    <row r="105" spans="2:14">
      <c r="B105" s="14">
        <v>100</v>
      </c>
      <c r="C105" s="2" t="s">
        <v>125</v>
      </c>
      <c r="D105" s="15">
        <v>200000</v>
      </c>
      <c r="E105" s="15">
        <v>26660</v>
      </c>
      <c r="F105" s="15">
        <f t="shared" si="11"/>
        <v>226660</v>
      </c>
      <c r="G105" s="31">
        <v>40</v>
      </c>
      <c r="H105" s="15">
        <v>5666.5</v>
      </c>
      <c r="I105" s="8">
        <v>38</v>
      </c>
      <c r="J105" s="8">
        <v>2</v>
      </c>
      <c r="K105" s="12">
        <f>(38*5666.5)</f>
        <v>215327</v>
      </c>
      <c r="L105" s="15">
        <f t="shared" si="13"/>
        <v>11333</v>
      </c>
      <c r="M105" s="8"/>
      <c r="N105" s="39" t="e">
        <f>#REF!-H105</f>
        <v>#REF!</v>
      </c>
    </row>
    <row r="106" spans="2:14">
      <c r="B106" s="14">
        <v>101</v>
      </c>
      <c r="C106" s="2" t="s">
        <v>136</v>
      </c>
      <c r="D106" s="15">
        <v>200000</v>
      </c>
      <c r="E106" s="15">
        <v>26660</v>
      </c>
      <c r="F106" s="15">
        <f t="shared" si="11"/>
        <v>226660</v>
      </c>
      <c r="G106" s="32">
        <v>40</v>
      </c>
      <c r="H106" s="15">
        <v>5666.5</v>
      </c>
      <c r="I106" s="30">
        <v>42</v>
      </c>
      <c r="J106" s="8">
        <f t="shared" ref="J106:J137" si="14">G106-I106</f>
        <v>-2</v>
      </c>
      <c r="K106" s="12">
        <f>(42*5666.5)</f>
        <v>237993</v>
      </c>
      <c r="L106" s="15">
        <f t="shared" si="13"/>
        <v>-11333</v>
      </c>
      <c r="M106" s="10"/>
      <c r="N106" s="39" t="e">
        <f>#REF!-H106</f>
        <v>#REF!</v>
      </c>
    </row>
    <row r="107" spans="2:14">
      <c r="B107" s="14">
        <v>102</v>
      </c>
      <c r="C107" s="2" t="s">
        <v>126</v>
      </c>
      <c r="D107" s="15">
        <v>200000</v>
      </c>
      <c r="E107" s="15">
        <v>26660</v>
      </c>
      <c r="F107" s="15">
        <f t="shared" si="11"/>
        <v>226660</v>
      </c>
      <c r="G107" s="32">
        <v>40</v>
      </c>
      <c r="H107" s="15">
        <v>5666.5</v>
      </c>
      <c r="I107" s="22">
        <v>40</v>
      </c>
      <c r="J107" s="8">
        <f t="shared" si="14"/>
        <v>0</v>
      </c>
      <c r="K107" s="15">
        <f t="shared" ref="K107:K117" si="15">(40*5666.5)</f>
        <v>226660</v>
      </c>
      <c r="L107" s="15">
        <f t="shared" si="13"/>
        <v>0</v>
      </c>
      <c r="M107" s="10"/>
      <c r="N107" s="39" t="e">
        <f>#REF!-H107</f>
        <v>#REF!</v>
      </c>
    </row>
    <row r="108" spans="2:14">
      <c r="B108" s="14">
        <v>103</v>
      </c>
      <c r="C108" s="2" t="s">
        <v>128</v>
      </c>
      <c r="D108" s="15">
        <v>200000</v>
      </c>
      <c r="E108" s="15">
        <v>26660</v>
      </c>
      <c r="F108" s="15">
        <f t="shared" si="11"/>
        <v>226660</v>
      </c>
      <c r="G108" s="32">
        <v>40</v>
      </c>
      <c r="H108" s="15">
        <v>5666.5</v>
      </c>
      <c r="I108" s="22">
        <v>40</v>
      </c>
      <c r="J108" s="8">
        <f t="shared" si="14"/>
        <v>0</v>
      </c>
      <c r="K108" s="15">
        <f t="shared" si="15"/>
        <v>226660</v>
      </c>
      <c r="L108" s="15">
        <f t="shared" si="13"/>
        <v>0</v>
      </c>
      <c r="M108" s="10"/>
      <c r="N108" s="39" t="e">
        <f>#REF!-H108</f>
        <v>#REF!</v>
      </c>
    </row>
    <row r="109" spans="2:14">
      <c r="B109" s="14">
        <v>104</v>
      </c>
      <c r="C109" s="2" t="s">
        <v>131</v>
      </c>
      <c r="D109" s="15">
        <v>200000</v>
      </c>
      <c r="E109" s="15">
        <v>26660</v>
      </c>
      <c r="F109" s="15">
        <f t="shared" si="11"/>
        <v>226660</v>
      </c>
      <c r="G109" s="32">
        <v>40</v>
      </c>
      <c r="H109" s="15">
        <v>5666.5</v>
      </c>
      <c r="I109" s="22">
        <v>40</v>
      </c>
      <c r="J109" s="8">
        <f t="shared" si="14"/>
        <v>0</v>
      </c>
      <c r="K109" s="15">
        <f t="shared" si="15"/>
        <v>226660</v>
      </c>
      <c r="L109" s="15">
        <f t="shared" si="13"/>
        <v>0</v>
      </c>
      <c r="M109" s="10"/>
      <c r="N109" s="39" t="e">
        <f>#REF!-H109</f>
        <v>#REF!</v>
      </c>
    </row>
    <row r="110" spans="2:14">
      <c r="B110" s="14">
        <v>105</v>
      </c>
      <c r="C110" s="2" t="s">
        <v>145</v>
      </c>
      <c r="D110" s="15">
        <v>200000</v>
      </c>
      <c r="E110" s="15">
        <v>26660</v>
      </c>
      <c r="F110" s="15">
        <f t="shared" si="11"/>
        <v>226660</v>
      </c>
      <c r="G110" s="32">
        <v>40</v>
      </c>
      <c r="H110" s="15">
        <v>5666.5</v>
      </c>
      <c r="I110" s="22">
        <v>40</v>
      </c>
      <c r="J110" s="8">
        <f t="shared" si="14"/>
        <v>0</v>
      </c>
      <c r="K110" s="15">
        <f t="shared" si="15"/>
        <v>226660</v>
      </c>
      <c r="L110" s="15">
        <f t="shared" si="13"/>
        <v>0</v>
      </c>
      <c r="M110" s="10"/>
      <c r="N110" s="39" t="e">
        <f>#REF!-H110</f>
        <v>#REF!</v>
      </c>
    </row>
    <row r="111" spans="2:14">
      <c r="B111" s="14">
        <v>106</v>
      </c>
      <c r="C111" s="2" t="s">
        <v>146</v>
      </c>
      <c r="D111" s="15">
        <v>200000</v>
      </c>
      <c r="E111" s="15">
        <v>26660</v>
      </c>
      <c r="F111" s="15">
        <f t="shared" si="11"/>
        <v>226660</v>
      </c>
      <c r="G111" s="32">
        <v>40</v>
      </c>
      <c r="H111" s="15">
        <v>5666.5</v>
      </c>
      <c r="I111" s="22">
        <v>40</v>
      </c>
      <c r="J111" s="8">
        <f t="shared" si="14"/>
        <v>0</v>
      </c>
      <c r="K111" s="15">
        <f t="shared" si="15"/>
        <v>226660</v>
      </c>
      <c r="L111" s="15">
        <f t="shared" si="13"/>
        <v>0</v>
      </c>
      <c r="M111" s="10"/>
      <c r="N111" s="39" t="e">
        <f>#REF!-H111</f>
        <v>#REF!</v>
      </c>
    </row>
    <row r="112" spans="2:14">
      <c r="B112" s="14">
        <v>107</v>
      </c>
      <c r="C112" s="2" t="s">
        <v>152</v>
      </c>
      <c r="D112" s="15">
        <v>200000</v>
      </c>
      <c r="E112" s="15">
        <v>26660</v>
      </c>
      <c r="F112" s="15">
        <f t="shared" si="11"/>
        <v>226660</v>
      </c>
      <c r="G112" s="32">
        <v>40</v>
      </c>
      <c r="H112" s="15">
        <v>5666.5</v>
      </c>
      <c r="I112" s="22">
        <v>40</v>
      </c>
      <c r="J112" s="8">
        <f t="shared" si="14"/>
        <v>0</v>
      </c>
      <c r="K112" s="15">
        <f t="shared" si="15"/>
        <v>226660</v>
      </c>
      <c r="L112" s="15">
        <f t="shared" si="13"/>
        <v>0</v>
      </c>
      <c r="M112" s="10"/>
      <c r="N112" s="39" t="e">
        <f>#REF!-H112</f>
        <v>#REF!</v>
      </c>
    </row>
    <row r="113" spans="2:14">
      <c r="B113" s="14">
        <v>108</v>
      </c>
      <c r="C113" s="2" t="s">
        <v>154</v>
      </c>
      <c r="D113" s="15">
        <v>200000</v>
      </c>
      <c r="E113" s="15">
        <v>26660</v>
      </c>
      <c r="F113" s="15">
        <f t="shared" ref="F113:F144" si="16">SUM(D113:E113)</f>
        <v>226660</v>
      </c>
      <c r="G113" s="32">
        <v>40</v>
      </c>
      <c r="H113" s="15">
        <v>5666.5</v>
      </c>
      <c r="I113" s="22">
        <v>40</v>
      </c>
      <c r="J113" s="8">
        <f t="shared" si="14"/>
        <v>0</v>
      </c>
      <c r="K113" s="15">
        <f t="shared" si="15"/>
        <v>226660</v>
      </c>
      <c r="L113" s="15">
        <f t="shared" si="13"/>
        <v>0</v>
      </c>
      <c r="M113" s="10"/>
      <c r="N113" s="39" t="e">
        <f>#REF!-H113</f>
        <v>#REF!</v>
      </c>
    </row>
    <row r="114" spans="2:14">
      <c r="B114" s="14">
        <v>109</v>
      </c>
      <c r="C114" s="2" t="s">
        <v>163</v>
      </c>
      <c r="D114" s="15">
        <v>200000</v>
      </c>
      <c r="E114" s="15">
        <v>26660</v>
      </c>
      <c r="F114" s="15">
        <f t="shared" si="16"/>
        <v>226660</v>
      </c>
      <c r="G114" s="32">
        <v>40</v>
      </c>
      <c r="H114" s="15">
        <v>5666.5</v>
      </c>
      <c r="I114" s="22">
        <v>40</v>
      </c>
      <c r="J114" s="8">
        <f t="shared" si="14"/>
        <v>0</v>
      </c>
      <c r="K114" s="15">
        <f t="shared" si="15"/>
        <v>226660</v>
      </c>
      <c r="L114" s="15">
        <f t="shared" si="13"/>
        <v>0</v>
      </c>
      <c r="M114" s="10"/>
      <c r="N114" s="39" t="e">
        <f>#REF!-H114</f>
        <v>#REF!</v>
      </c>
    </row>
    <row r="115" spans="2:14">
      <c r="B115" s="14">
        <v>110</v>
      </c>
      <c r="C115" s="2" t="s">
        <v>175</v>
      </c>
      <c r="D115" s="15">
        <v>200000</v>
      </c>
      <c r="E115" s="15">
        <v>26660</v>
      </c>
      <c r="F115" s="15">
        <f t="shared" si="16"/>
        <v>226660</v>
      </c>
      <c r="G115" s="32">
        <v>40</v>
      </c>
      <c r="H115" s="15">
        <v>5666.5</v>
      </c>
      <c r="I115" s="22">
        <v>40</v>
      </c>
      <c r="J115" s="8">
        <f t="shared" si="14"/>
        <v>0</v>
      </c>
      <c r="K115" s="15">
        <f t="shared" si="15"/>
        <v>226660</v>
      </c>
      <c r="L115" s="15">
        <f t="shared" si="13"/>
        <v>0</v>
      </c>
      <c r="M115" s="10"/>
      <c r="N115" s="39" t="e">
        <f>#REF!-H115</f>
        <v>#REF!</v>
      </c>
    </row>
    <row r="116" spans="2:14">
      <c r="B116" s="14">
        <v>111</v>
      </c>
      <c r="C116" s="2" t="s">
        <v>180</v>
      </c>
      <c r="D116" s="15">
        <v>200000</v>
      </c>
      <c r="E116" s="15">
        <v>26660</v>
      </c>
      <c r="F116" s="15">
        <f t="shared" si="16"/>
        <v>226660</v>
      </c>
      <c r="G116" s="32">
        <v>40</v>
      </c>
      <c r="H116" s="15">
        <v>5666.5</v>
      </c>
      <c r="I116" s="22">
        <v>40</v>
      </c>
      <c r="J116" s="8">
        <f t="shared" si="14"/>
        <v>0</v>
      </c>
      <c r="K116" s="15">
        <f t="shared" si="15"/>
        <v>226660</v>
      </c>
      <c r="L116" s="15">
        <f t="shared" si="13"/>
        <v>0</v>
      </c>
      <c r="M116" s="10"/>
      <c r="N116" s="39" t="e">
        <f>#REF!-H116</f>
        <v>#REF!</v>
      </c>
    </row>
    <row r="117" spans="2:14">
      <c r="B117" s="14">
        <v>112</v>
      </c>
      <c r="C117" s="2" t="s">
        <v>183</v>
      </c>
      <c r="D117" s="15">
        <v>200000</v>
      </c>
      <c r="E117" s="15">
        <v>26660</v>
      </c>
      <c r="F117" s="15">
        <f t="shared" si="16"/>
        <v>226660</v>
      </c>
      <c r="G117" s="32">
        <v>40</v>
      </c>
      <c r="H117" s="15">
        <v>5666.5</v>
      </c>
      <c r="I117" s="22">
        <v>40</v>
      </c>
      <c r="J117" s="8">
        <f t="shared" si="14"/>
        <v>0</v>
      </c>
      <c r="K117" s="15">
        <f t="shared" si="15"/>
        <v>226660</v>
      </c>
      <c r="L117" s="15">
        <f t="shared" si="13"/>
        <v>0</v>
      </c>
      <c r="M117" s="10"/>
      <c r="N117" s="39" t="e">
        <f>#REF!-H117</f>
        <v>#REF!</v>
      </c>
    </row>
    <row r="118" spans="2:14">
      <c r="B118" s="14">
        <v>113</v>
      </c>
      <c r="C118" s="2" t="s">
        <v>132</v>
      </c>
      <c r="D118" s="15">
        <v>200000</v>
      </c>
      <c r="E118" s="15">
        <v>26660</v>
      </c>
      <c r="F118" s="15">
        <f t="shared" si="16"/>
        <v>226660</v>
      </c>
      <c r="G118" s="31">
        <v>40</v>
      </c>
      <c r="H118" s="15">
        <v>5666.5</v>
      </c>
      <c r="I118" s="8">
        <v>38</v>
      </c>
      <c r="J118" s="8">
        <f t="shared" si="14"/>
        <v>2</v>
      </c>
      <c r="K118" s="12">
        <f>(38*5666.5)</f>
        <v>215327</v>
      </c>
      <c r="L118" s="15">
        <f t="shared" si="13"/>
        <v>11333</v>
      </c>
      <c r="M118" s="8"/>
      <c r="N118" s="39" t="e">
        <f>#REF!-H118</f>
        <v>#REF!</v>
      </c>
    </row>
    <row r="119" spans="2:14">
      <c r="B119" s="14">
        <v>114</v>
      </c>
      <c r="C119" s="2" t="s">
        <v>143</v>
      </c>
      <c r="D119" s="15">
        <v>200000</v>
      </c>
      <c r="E119" s="15">
        <v>26660</v>
      </c>
      <c r="F119" s="15">
        <f t="shared" si="16"/>
        <v>226660</v>
      </c>
      <c r="G119" s="31">
        <v>40</v>
      </c>
      <c r="H119" s="15">
        <v>5666.5</v>
      </c>
      <c r="I119" s="8">
        <v>38</v>
      </c>
      <c r="J119" s="8">
        <f t="shared" si="14"/>
        <v>2</v>
      </c>
      <c r="K119" s="12">
        <f>(38*5666.5)</f>
        <v>215327</v>
      </c>
      <c r="L119" s="15">
        <f t="shared" si="13"/>
        <v>11333</v>
      </c>
      <c r="M119" s="8"/>
      <c r="N119" s="39" t="e">
        <f>#REF!-H119</f>
        <v>#REF!</v>
      </c>
    </row>
    <row r="120" spans="2:14">
      <c r="B120" s="14">
        <v>115</v>
      </c>
      <c r="C120" s="2" t="s">
        <v>172</v>
      </c>
      <c r="D120" s="15">
        <v>200000</v>
      </c>
      <c r="E120" s="15">
        <v>26660</v>
      </c>
      <c r="F120" s="15">
        <f t="shared" si="16"/>
        <v>226660</v>
      </c>
      <c r="G120" s="31">
        <v>40</v>
      </c>
      <c r="H120" s="15">
        <v>5666.5</v>
      </c>
      <c r="I120" s="8">
        <v>38</v>
      </c>
      <c r="J120" s="8">
        <f t="shared" si="14"/>
        <v>2</v>
      </c>
      <c r="K120" s="12">
        <f>(38*5666.5)</f>
        <v>215327</v>
      </c>
      <c r="L120" s="15">
        <f t="shared" si="13"/>
        <v>11333</v>
      </c>
      <c r="M120" s="8"/>
      <c r="N120" s="39" t="e">
        <f>#REF!-H120</f>
        <v>#REF!</v>
      </c>
    </row>
    <row r="121" spans="2:14">
      <c r="B121" s="14">
        <v>116</v>
      </c>
      <c r="C121" s="2" t="s">
        <v>174</v>
      </c>
      <c r="D121" s="15">
        <v>200000</v>
      </c>
      <c r="E121" s="15">
        <v>26660</v>
      </c>
      <c r="F121" s="15">
        <f t="shared" si="16"/>
        <v>226660</v>
      </c>
      <c r="G121" s="31">
        <v>40</v>
      </c>
      <c r="H121" s="15">
        <v>5666.5</v>
      </c>
      <c r="I121" s="8">
        <v>38</v>
      </c>
      <c r="J121" s="8">
        <f t="shared" si="14"/>
        <v>2</v>
      </c>
      <c r="K121" s="12">
        <f>(38*5666.5)</f>
        <v>215327</v>
      </c>
      <c r="L121" s="15">
        <f t="shared" si="13"/>
        <v>11333</v>
      </c>
      <c r="M121" s="8"/>
      <c r="N121" s="39" t="e">
        <f>#REF!-H121</f>
        <v>#REF!</v>
      </c>
    </row>
    <row r="122" spans="2:14">
      <c r="B122" s="14">
        <v>117</v>
      </c>
      <c r="C122" s="2" t="s">
        <v>182</v>
      </c>
      <c r="D122" s="15">
        <v>200000</v>
      </c>
      <c r="E122" s="15">
        <v>26660</v>
      </c>
      <c r="F122" s="15">
        <f t="shared" si="16"/>
        <v>226660</v>
      </c>
      <c r="G122" s="31">
        <v>40</v>
      </c>
      <c r="H122" s="15">
        <v>5666.5</v>
      </c>
      <c r="I122" s="8">
        <v>38</v>
      </c>
      <c r="J122" s="8">
        <f t="shared" si="14"/>
        <v>2</v>
      </c>
      <c r="K122" s="12">
        <f>(38*5666.5)</f>
        <v>215327</v>
      </c>
      <c r="L122" s="15">
        <f t="shared" si="13"/>
        <v>11333</v>
      </c>
      <c r="M122" s="8"/>
      <c r="N122" s="39" t="e">
        <f>#REF!-H122</f>
        <v>#REF!</v>
      </c>
    </row>
    <row r="123" spans="2:14">
      <c r="B123" s="14">
        <v>118</v>
      </c>
      <c r="C123" s="2" t="s">
        <v>178</v>
      </c>
      <c r="D123" s="15">
        <v>200000</v>
      </c>
      <c r="E123" s="15">
        <v>26660</v>
      </c>
      <c r="F123" s="15">
        <f t="shared" si="16"/>
        <v>226660</v>
      </c>
      <c r="G123" s="31">
        <v>40</v>
      </c>
      <c r="H123" s="15">
        <v>5666.5</v>
      </c>
      <c r="I123" s="8">
        <v>37</v>
      </c>
      <c r="J123" s="8">
        <f t="shared" si="14"/>
        <v>3</v>
      </c>
      <c r="K123" s="12">
        <f>(37*5666.5)</f>
        <v>209660.5</v>
      </c>
      <c r="L123" s="15">
        <f t="shared" si="13"/>
        <v>16999.5</v>
      </c>
      <c r="M123" s="8"/>
      <c r="N123" s="39" t="e">
        <f>#REF!-H123</f>
        <v>#REF!</v>
      </c>
    </row>
    <row r="124" spans="2:14">
      <c r="B124" s="14">
        <v>119</v>
      </c>
      <c r="C124" s="2" t="s">
        <v>129</v>
      </c>
      <c r="D124" s="15">
        <v>200000</v>
      </c>
      <c r="E124" s="15">
        <v>26660</v>
      </c>
      <c r="F124" s="15">
        <f t="shared" si="16"/>
        <v>226660</v>
      </c>
      <c r="G124" s="31">
        <v>40</v>
      </c>
      <c r="H124" s="15">
        <v>5666.5</v>
      </c>
      <c r="I124" s="8">
        <v>34</v>
      </c>
      <c r="J124" s="8">
        <f t="shared" si="14"/>
        <v>6</v>
      </c>
      <c r="K124" s="12">
        <f t="shared" ref="K124:K133" si="17">(34*5666.5)</f>
        <v>192661</v>
      </c>
      <c r="L124" s="15">
        <f t="shared" si="13"/>
        <v>33999</v>
      </c>
      <c r="M124" s="8"/>
      <c r="N124" s="39" t="e">
        <f>#REF!-H124</f>
        <v>#REF!</v>
      </c>
    </row>
    <row r="125" spans="2:14">
      <c r="B125" s="14">
        <v>120</v>
      </c>
      <c r="C125" s="2" t="s">
        <v>144</v>
      </c>
      <c r="D125" s="15">
        <v>200000</v>
      </c>
      <c r="E125" s="15">
        <v>26660</v>
      </c>
      <c r="F125" s="15">
        <f t="shared" si="16"/>
        <v>226660</v>
      </c>
      <c r="G125" s="31">
        <v>40</v>
      </c>
      <c r="H125" s="15">
        <v>5666.5</v>
      </c>
      <c r="I125" s="8">
        <v>34</v>
      </c>
      <c r="J125" s="8">
        <f t="shared" si="14"/>
        <v>6</v>
      </c>
      <c r="K125" s="12">
        <f t="shared" si="17"/>
        <v>192661</v>
      </c>
      <c r="L125" s="15">
        <f t="shared" si="13"/>
        <v>33999</v>
      </c>
      <c r="M125" s="8"/>
      <c r="N125" s="39" t="e">
        <f>#REF!-H125</f>
        <v>#REF!</v>
      </c>
    </row>
    <row r="126" spans="2:14">
      <c r="B126" s="14">
        <v>121</v>
      </c>
      <c r="C126" s="2" t="s">
        <v>150</v>
      </c>
      <c r="D126" s="15">
        <v>200000</v>
      </c>
      <c r="E126" s="15">
        <v>26660</v>
      </c>
      <c r="F126" s="15">
        <f t="shared" si="16"/>
        <v>226660</v>
      </c>
      <c r="G126" s="31">
        <v>40</v>
      </c>
      <c r="H126" s="15">
        <v>5666.5</v>
      </c>
      <c r="I126" s="8">
        <v>34</v>
      </c>
      <c r="J126" s="8">
        <f t="shared" si="14"/>
        <v>6</v>
      </c>
      <c r="K126" s="12">
        <f t="shared" si="17"/>
        <v>192661</v>
      </c>
      <c r="L126" s="15">
        <f t="shared" si="13"/>
        <v>33999</v>
      </c>
      <c r="M126" s="8"/>
      <c r="N126" s="39" t="e">
        <f>#REF!-H126</f>
        <v>#REF!</v>
      </c>
    </row>
    <row r="127" spans="2:14">
      <c r="B127" s="14">
        <v>122</v>
      </c>
      <c r="C127" s="2" t="s">
        <v>156</v>
      </c>
      <c r="D127" s="15">
        <v>200000</v>
      </c>
      <c r="E127" s="15">
        <v>26660</v>
      </c>
      <c r="F127" s="15">
        <f t="shared" si="16"/>
        <v>226660</v>
      </c>
      <c r="G127" s="31">
        <v>40</v>
      </c>
      <c r="H127" s="15">
        <v>5666.5</v>
      </c>
      <c r="I127" s="8">
        <v>34</v>
      </c>
      <c r="J127" s="8">
        <f t="shared" si="14"/>
        <v>6</v>
      </c>
      <c r="K127" s="12">
        <f t="shared" si="17"/>
        <v>192661</v>
      </c>
      <c r="L127" s="15">
        <f t="shared" si="13"/>
        <v>33999</v>
      </c>
      <c r="M127" s="8"/>
      <c r="N127" s="39" t="e">
        <f>#REF!-H127</f>
        <v>#REF!</v>
      </c>
    </row>
    <row r="128" spans="2:14">
      <c r="B128" s="14">
        <v>123</v>
      </c>
      <c r="C128" s="2" t="s">
        <v>157</v>
      </c>
      <c r="D128" s="15">
        <v>200000</v>
      </c>
      <c r="E128" s="15">
        <v>26660</v>
      </c>
      <c r="F128" s="15">
        <f t="shared" si="16"/>
        <v>226660</v>
      </c>
      <c r="G128" s="31">
        <v>40</v>
      </c>
      <c r="H128" s="15">
        <v>5666.5</v>
      </c>
      <c r="I128" s="8">
        <v>34</v>
      </c>
      <c r="J128" s="8">
        <f t="shared" si="14"/>
        <v>6</v>
      </c>
      <c r="K128" s="12">
        <f t="shared" si="17"/>
        <v>192661</v>
      </c>
      <c r="L128" s="15">
        <f t="shared" si="13"/>
        <v>33999</v>
      </c>
      <c r="M128" s="8"/>
      <c r="N128" s="39" t="e">
        <f>#REF!-H128</f>
        <v>#REF!</v>
      </c>
    </row>
    <row r="129" spans="2:14">
      <c r="B129" s="14">
        <v>124</v>
      </c>
      <c r="C129" s="2" t="s">
        <v>158</v>
      </c>
      <c r="D129" s="15">
        <v>200000</v>
      </c>
      <c r="E129" s="15">
        <v>26660</v>
      </c>
      <c r="F129" s="15">
        <f t="shared" si="16"/>
        <v>226660</v>
      </c>
      <c r="G129" s="31">
        <v>40</v>
      </c>
      <c r="H129" s="15">
        <v>5666.5</v>
      </c>
      <c r="I129" s="8">
        <v>34</v>
      </c>
      <c r="J129" s="8">
        <f t="shared" si="14"/>
        <v>6</v>
      </c>
      <c r="K129" s="12">
        <f t="shared" si="17"/>
        <v>192661</v>
      </c>
      <c r="L129" s="15">
        <f t="shared" si="13"/>
        <v>33999</v>
      </c>
      <c r="M129" s="8"/>
      <c r="N129" s="39" t="e">
        <f>#REF!-H129</f>
        <v>#REF!</v>
      </c>
    </row>
    <row r="130" spans="2:14">
      <c r="B130" s="14">
        <v>125</v>
      </c>
      <c r="C130" s="2" t="s">
        <v>160</v>
      </c>
      <c r="D130" s="15">
        <v>200000</v>
      </c>
      <c r="E130" s="15">
        <v>26660</v>
      </c>
      <c r="F130" s="15">
        <f t="shared" si="16"/>
        <v>226660</v>
      </c>
      <c r="G130" s="31">
        <v>40</v>
      </c>
      <c r="H130" s="15">
        <v>5666.5</v>
      </c>
      <c r="I130" s="8">
        <v>34</v>
      </c>
      <c r="J130" s="8">
        <f t="shared" si="14"/>
        <v>6</v>
      </c>
      <c r="K130" s="12">
        <f t="shared" si="17"/>
        <v>192661</v>
      </c>
      <c r="L130" s="15">
        <f t="shared" si="13"/>
        <v>33999</v>
      </c>
      <c r="M130" s="8"/>
      <c r="N130" s="39" t="e">
        <f>#REF!-H130</f>
        <v>#REF!</v>
      </c>
    </row>
    <row r="131" spans="2:14">
      <c r="B131" s="14">
        <v>126</v>
      </c>
      <c r="C131" s="2" t="s">
        <v>173</v>
      </c>
      <c r="D131" s="15">
        <v>200000</v>
      </c>
      <c r="E131" s="15">
        <v>26660</v>
      </c>
      <c r="F131" s="15">
        <f t="shared" si="16"/>
        <v>226660</v>
      </c>
      <c r="G131" s="31">
        <v>40</v>
      </c>
      <c r="H131" s="15">
        <v>5666.5</v>
      </c>
      <c r="I131" s="8">
        <v>34</v>
      </c>
      <c r="J131" s="8">
        <f t="shared" si="14"/>
        <v>6</v>
      </c>
      <c r="K131" s="12">
        <f t="shared" si="17"/>
        <v>192661</v>
      </c>
      <c r="L131" s="15">
        <f t="shared" si="13"/>
        <v>33999</v>
      </c>
      <c r="M131" s="8"/>
      <c r="N131" s="39" t="e">
        <f>#REF!-H131</f>
        <v>#REF!</v>
      </c>
    </row>
    <row r="132" spans="2:14">
      <c r="B132" s="14">
        <v>128</v>
      </c>
      <c r="C132" s="2" t="s">
        <v>181</v>
      </c>
      <c r="D132" s="15">
        <v>200000</v>
      </c>
      <c r="E132" s="15">
        <v>26660</v>
      </c>
      <c r="F132" s="15">
        <f t="shared" si="16"/>
        <v>226660</v>
      </c>
      <c r="G132" s="31">
        <v>40</v>
      </c>
      <c r="H132" s="15">
        <v>5666.5</v>
      </c>
      <c r="I132" s="8">
        <v>34</v>
      </c>
      <c r="J132" s="8">
        <f t="shared" si="14"/>
        <v>6</v>
      </c>
      <c r="K132" s="12">
        <f t="shared" si="17"/>
        <v>192661</v>
      </c>
      <c r="L132" s="15">
        <f t="shared" si="13"/>
        <v>33999</v>
      </c>
      <c r="M132" s="8"/>
      <c r="N132" s="39" t="e">
        <f>#REF!-H132</f>
        <v>#REF!</v>
      </c>
    </row>
    <row r="133" spans="2:14">
      <c r="B133" s="14">
        <v>129</v>
      </c>
      <c r="C133" s="2" t="s">
        <v>184</v>
      </c>
      <c r="D133" s="15">
        <v>200000</v>
      </c>
      <c r="E133" s="15">
        <v>26660</v>
      </c>
      <c r="F133" s="15">
        <f t="shared" si="16"/>
        <v>226660</v>
      </c>
      <c r="G133" s="31">
        <v>40</v>
      </c>
      <c r="H133" s="15">
        <v>5666.5</v>
      </c>
      <c r="I133" s="8">
        <v>34</v>
      </c>
      <c r="J133" s="8">
        <f t="shared" si="14"/>
        <v>6</v>
      </c>
      <c r="K133" s="12">
        <f t="shared" si="17"/>
        <v>192661</v>
      </c>
      <c r="L133" s="15">
        <f t="shared" si="13"/>
        <v>33999</v>
      </c>
      <c r="M133" s="8"/>
      <c r="N133" s="39" t="e">
        <f>#REF!-H133</f>
        <v>#REF!</v>
      </c>
    </row>
    <row r="134" spans="2:14">
      <c r="B134" s="14">
        <v>130</v>
      </c>
      <c r="C134" s="2" t="s">
        <v>162</v>
      </c>
      <c r="D134" s="15">
        <v>200000</v>
      </c>
      <c r="E134" s="15">
        <v>26660</v>
      </c>
      <c r="F134" s="15">
        <f t="shared" si="16"/>
        <v>226660</v>
      </c>
      <c r="G134" s="31">
        <v>40</v>
      </c>
      <c r="H134" s="15">
        <v>5666.5</v>
      </c>
      <c r="I134" s="8">
        <v>33</v>
      </c>
      <c r="J134" s="8">
        <f t="shared" si="14"/>
        <v>7</v>
      </c>
      <c r="K134" s="12">
        <f>(33*5666.5)</f>
        <v>186994.5</v>
      </c>
      <c r="L134" s="15">
        <f t="shared" ref="L134:L165" si="18">F134-K134</f>
        <v>39665.5</v>
      </c>
      <c r="M134" s="8"/>
      <c r="N134" s="39" t="e">
        <f>#REF!-H134</f>
        <v>#REF!</v>
      </c>
    </row>
    <row r="135" spans="2:14">
      <c r="B135" s="14">
        <v>131</v>
      </c>
      <c r="C135" s="2" t="s">
        <v>151</v>
      </c>
      <c r="D135" s="15">
        <v>200000</v>
      </c>
      <c r="E135" s="15">
        <v>26660</v>
      </c>
      <c r="F135" s="15">
        <f t="shared" si="16"/>
        <v>226660</v>
      </c>
      <c r="G135" s="31">
        <v>40</v>
      </c>
      <c r="H135" s="15">
        <v>5666.5</v>
      </c>
      <c r="I135" s="8">
        <v>32</v>
      </c>
      <c r="J135" s="8">
        <f t="shared" si="14"/>
        <v>8</v>
      </c>
      <c r="K135" s="12">
        <f>(32*5666.5)</f>
        <v>181328</v>
      </c>
      <c r="L135" s="15">
        <f t="shared" si="18"/>
        <v>45332</v>
      </c>
      <c r="M135" s="8"/>
      <c r="N135" s="39" t="e">
        <f>#REF!-H135</f>
        <v>#REF!</v>
      </c>
    </row>
    <row r="136" spans="2:14">
      <c r="B136" s="14">
        <v>132</v>
      </c>
      <c r="C136" s="2" t="s">
        <v>130</v>
      </c>
      <c r="D136" s="15">
        <v>200000</v>
      </c>
      <c r="E136" s="15">
        <v>26660</v>
      </c>
      <c r="F136" s="15">
        <f t="shared" si="16"/>
        <v>226660</v>
      </c>
      <c r="G136" s="31">
        <v>40</v>
      </c>
      <c r="H136" s="15">
        <v>5666.5</v>
      </c>
      <c r="I136" s="8">
        <v>31</v>
      </c>
      <c r="J136" s="8">
        <f t="shared" si="14"/>
        <v>9</v>
      </c>
      <c r="K136" s="12">
        <f t="shared" ref="K136:K145" si="19">(31*5666.5)</f>
        <v>175661.5</v>
      </c>
      <c r="L136" s="15">
        <f t="shared" si="18"/>
        <v>50998.5</v>
      </c>
      <c r="M136" s="8"/>
      <c r="N136" s="39" t="e">
        <f>#REF!-H136</f>
        <v>#REF!</v>
      </c>
    </row>
    <row r="137" spans="2:14">
      <c r="B137" s="14">
        <v>133</v>
      </c>
      <c r="C137" s="2" t="s">
        <v>134</v>
      </c>
      <c r="D137" s="15">
        <v>200000</v>
      </c>
      <c r="E137" s="15">
        <v>26660</v>
      </c>
      <c r="F137" s="15">
        <f t="shared" si="16"/>
        <v>226660</v>
      </c>
      <c r="G137" s="31">
        <v>40</v>
      </c>
      <c r="H137" s="15">
        <v>5666.5</v>
      </c>
      <c r="I137" s="8">
        <v>31</v>
      </c>
      <c r="J137" s="8">
        <f t="shared" si="14"/>
        <v>9</v>
      </c>
      <c r="K137" s="12">
        <f t="shared" si="19"/>
        <v>175661.5</v>
      </c>
      <c r="L137" s="15">
        <f t="shared" si="18"/>
        <v>50998.5</v>
      </c>
      <c r="M137" s="8"/>
      <c r="N137" s="39" t="e">
        <f>#REF!-H137</f>
        <v>#REF!</v>
      </c>
    </row>
    <row r="138" spans="2:14">
      <c r="B138" s="14">
        <v>134</v>
      </c>
      <c r="C138" s="2" t="s">
        <v>135</v>
      </c>
      <c r="D138" s="15">
        <v>200000</v>
      </c>
      <c r="E138" s="15">
        <v>26660</v>
      </c>
      <c r="F138" s="15">
        <f t="shared" si="16"/>
        <v>226660</v>
      </c>
      <c r="G138" s="31">
        <v>40</v>
      </c>
      <c r="H138" s="47">
        <v>5666.5</v>
      </c>
      <c r="I138" s="8">
        <v>31</v>
      </c>
      <c r="J138" s="8">
        <f t="shared" ref="J138:J163" si="20">G138-I138</f>
        <v>9</v>
      </c>
      <c r="K138" s="12">
        <f t="shared" si="19"/>
        <v>175661.5</v>
      </c>
      <c r="L138" s="15">
        <f t="shared" si="18"/>
        <v>50998.5</v>
      </c>
      <c r="M138" s="8"/>
      <c r="N138" s="39" t="e">
        <f>#REF!-H138</f>
        <v>#REF!</v>
      </c>
    </row>
    <row r="139" spans="2:14">
      <c r="B139" s="14">
        <v>135</v>
      </c>
      <c r="C139" s="2" t="s">
        <v>137</v>
      </c>
      <c r="D139" s="15">
        <v>200000</v>
      </c>
      <c r="E139" s="15">
        <v>26660</v>
      </c>
      <c r="F139" s="15">
        <f t="shared" si="16"/>
        <v>226660</v>
      </c>
      <c r="G139" s="31">
        <v>40</v>
      </c>
      <c r="H139" s="15">
        <v>5666.5</v>
      </c>
      <c r="I139" s="8">
        <v>31</v>
      </c>
      <c r="J139" s="8">
        <f t="shared" si="20"/>
        <v>9</v>
      </c>
      <c r="K139" s="12">
        <f t="shared" si="19"/>
        <v>175661.5</v>
      </c>
      <c r="L139" s="15">
        <f t="shared" si="18"/>
        <v>50998.5</v>
      </c>
      <c r="M139" s="8"/>
      <c r="N139" s="39" t="e">
        <f>#REF!-H139</f>
        <v>#REF!</v>
      </c>
    </row>
    <row r="140" spans="2:14">
      <c r="B140" s="14">
        <v>136</v>
      </c>
      <c r="C140" s="2" t="s">
        <v>138</v>
      </c>
      <c r="D140" s="15">
        <v>200000</v>
      </c>
      <c r="E140" s="15">
        <v>26660</v>
      </c>
      <c r="F140" s="15">
        <f t="shared" si="16"/>
        <v>226660</v>
      </c>
      <c r="G140" s="31">
        <v>40</v>
      </c>
      <c r="H140" s="15">
        <v>5666.5</v>
      </c>
      <c r="I140" s="8">
        <v>31</v>
      </c>
      <c r="J140" s="8">
        <f t="shared" si="20"/>
        <v>9</v>
      </c>
      <c r="K140" s="12">
        <f t="shared" si="19"/>
        <v>175661.5</v>
      </c>
      <c r="L140" s="15">
        <f t="shared" si="18"/>
        <v>50998.5</v>
      </c>
      <c r="M140" s="8"/>
      <c r="N140" s="39" t="e">
        <f>#REF!-H140</f>
        <v>#REF!</v>
      </c>
    </row>
    <row r="141" spans="2:14">
      <c r="B141" s="14">
        <v>137</v>
      </c>
      <c r="C141" s="2" t="s">
        <v>139</v>
      </c>
      <c r="D141" s="15">
        <v>200000</v>
      </c>
      <c r="E141" s="15">
        <v>26660</v>
      </c>
      <c r="F141" s="15">
        <f t="shared" si="16"/>
        <v>226660</v>
      </c>
      <c r="G141" s="31">
        <v>40</v>
      </c>
      <c r="H141" s="15">
        <v>5666.5</v>
      </c>
      <c r="I141" s="8">
        <v>31</v>
      </c>
      <c r="J141" s="8">
        <f t="shared" si="20"/>
        <v>9</v>
      </c>
      <c r="K141" s="12">
        <f t="shared" si="19"/>
        <v>175661.5</v>
      </c>
      <c r="L141" s="15">
        <f t="shared" si="18"/>
        <v>50998.5</v>
      </c>
      <c r="M141" s="8"/>
      <c r="N141" s="39" t="e">
        <f>#REF!-H141</f>
        <v>#REF!</v>
      </c>
    </row>
    <row r="142" spans="2:14">
      <c r="B142" s="14">
        <v>138</v>
      </c>
      <c r="C142" s="2" t="s">
        <v>141</v>
      </c>
      <c r="D142" s="15">
        <v>200000</v>
      </c>
      <c r="E142" s="15">
        <v>26660</v>
      </c>
      <c r="F142" s="15">
        <f t="shared" si="16"/>
        <v>226660</v>
      </c>
      <c r="G142" s="31">
        <v>40</v>
      </c>
      <c r="H142" s="15">
        <v>5666.5</v>
      </c>
      <c r="I142" s="8">
        <v>31</v>
      </c>
      <c r="J142" s="8">
        <f t="shared" si="20"/>
        <v>9</v>
      </c>
      <c r="K142" s="12">
        <f t="shared" si="19"/>
        <v>175661.5</v>
      </c>
      <c r="L142" s="15">
        <f t="shared" si="18"/>
        <v>50998.5</v>
      </c>
      <c r="M142" s="8"/>
      <c r="N142" s="39" t="e">
        <f>#REF!-H142</f>
        <v>#REF!</v>
      </c>
    </row>
    <row r="143" spans="2:14">
      <c r="B143" s="14">
        <v>139</v>
      </c>
      <c r="C143" s="2" t="s">
        <v>142</v>
      </c>
      <c r="D143" s="15">
        <v>200000</v>
      </c>
      <c r="E143" s="15">
        <v>26660</v>
      </c>
      <c r="F143" s="15">
        <f t="shared" si="16"/>
        <v>226660</v>
      </c>
      <c r="G143" s="31">
        <v>40</v>
      </c>
      <c r="H143" s="15">
        <v>5666.5</v>
      </c>
      <c r="I143" s="8">
        <v>31</v>
      </c>
      <c r="J143" s="8">
        <f t="shared" si="20"/>
        <v>9</v>
      </c>
      <c r="K143" s="12">
        <f t="shared" si="19"/>
        <v>175661.5</v>
      </c>
      <c r="L143" s="15">
        <f t="shared" si="18"/>
        <v>50998.5</v>
      </c>
      <c r="M143" s="8"/>
      <c r="N143" s="39" t="e">
        <f>#REF!-H143</f>
        <v>#REF!</v>
      </c>
    </row>
    <row r="144" spans="2:14">
      <c r="B144" s="14">
        <v>140</v>
      </c>
      <c r="C144" s="2" t="s">
        <v>149</v>
      </c>
      <c r="D144" s="15">
        <v>200000</v>
      </c>
      <c r="E144" s="15">
        <v>26660</v>
      </c>
      <c r="F144" s="15">
        <f t="shared" si="16"/>
        <v>226660</v>
      </c>
      <c r="G144" s="31">
        <v>40</v>
      </c>
      <c r="H144" s="15">
        <v>5666.5</v>
      </c>
      <c r="I144" s="8">
        <v>31</v>
      </c>
      <c r="J144" s="8">
        <f t="shared" si="20"/>
        <v>9</v>
      </c>
      <c r="K144" s="12">
        <f t="shared" si="19"/>
        <v>175661.5</v>
      </c>
      <c r="L144" s="15">
        <f t="shared" si="18"/>
        <v>50998.5</v>
      </c>
      <c r="M144" s="8"/>
      <c r="N144" s="39" t="e">
        <f>#REF!-H144</f>
        <v>#REF!</v>
      </c>
    </row>
    <row r="145" spans="2:14">
      <c r="B145" s="14">
        <v>141</v>
      </c>
      <c r="C145" s="2" t="s">
        <v>153</v>
      </c>
      <c r="D145" s="15">
        <v>200000</v>
      </c>
      <c r="E145" s="15">
        <v>26660</v>
      </c>
      <c r="F145" s="15">
        <f t="shared" ref="F145:F176" si="21">SUM(D145:E145)</f>
        <v>226660</v>
      </c>
      <c r="G145" s="31">
        <v>40</v>
      </c>
      <c r="H145" s="15">
        <v>5666.5</v>
      </c>
      <c r="I145" s="8">
        <v>31</v>
      </c>
      <c r="J145" s="8">
        <f t="shared" si="20"/>
        <v>9</v>
      </c>
      <c r="K145" s="12">
        <f t="shared" si="19"/>
        <v>175661.5</v>
      </c>
      <c r="L145" s="15">
        <f t="shared" si="18"/>
        <v>50998.5</v>
      </c>
      <c r="M145" s="8"/>
      <c r="N145" s="39" t="e">
        <f>#REF!-H145</f>
        <v>#REF!</v>
      </c>
    </row>
    <row r="146" spans="2:14">
      <c r="B146" s="14">
        <v>142</v>
      </c>
      <c r="C146" s="2" t="s">
        <v>155</v>
      </c>
      <c r="D146" s="15">
        <v>200000</v>
      </c>
      <c r="E146" s="15">
        <v>26660</v>
      </c>
      <c r="F146" s="15">
        <f t="shared" si="21"/>
        <v>226660</v>
      </c>
      <c r="G146" s="31">
        <v>40</v>
      </c>
      <c r="H146" s="15">
        <v>5666.5</v>
      </c>
      <c r="I146" s="8">
        <v>31</v>
      </c>
      <c r="J146" s="8">
        <f t="shared" si="20"/>
        <v>9</v>
      </c>
      <c r="K146" s="15">
        <f>(30*5666.5)</f>
        <v>169995</v>
      </c>
      <c r="L146" s="15">
        <f t="shared" si="18"/>
        <v>56665</v>
      </c>
      <c r="M146" s="8"/>
      <c r="N146" s="39" t="e">
        <f>#REF!-H146</f>
        <v>#REF!</v>
      </c>
    </row>
    <row r="147" spans="2:14">
      <c r="B147" s="14">
        <v>143</v>
      </c>
      <c r="C147" s="2" t="s">
        <v>164</v>
      </c>
      <c r="D147" s="15">
        <v>200000</v>
      </c>
      <c r="E147" s="15">
        <v>26660</v>
      </c>
      <c r="F147" s="15">
        <f t="shared" si="21"/>
        <v>226660</v>
      </c>
      <c r="G147" s="31">
        <v>40</v>
      </c>
      <c r="H147" s="15">
        <v>5666.5</v>
      </c>
      <c r="I147" s="8">
        <v>31</v>
      </c>
      <c r="J147" s="8">
        <f t="shared" si="20"/>
        <v>9</v>
      </c>
      <c r="K147" s="12">
        <f t="shared" ref="K147:K155" si="22">(31*5666.5)</f>
        <v>175661.5</v>
      </c>
      <c r="L147" s="15">
        <f t="shared" si="18"/>
        <v>50998.5</v>
      </c>
      <c r="M147" s="8"/>
      <c r="N147" s="39" t="e">
        <f>#REF!-H147</f>
        <v>#REF!</v>
      </c>
    </row>
    <row r="148" spans="2:14">
      <c r="B148" s="14">
        <v>144</v>
      </c>
      <c r="C148" s="2" t="s">
        <v>165</v>
      </c>
      <c r="D148" s="15">
        <v>200000</v>
      </c>
      <c r="E148" s="15">
        <v>26660</v>
      </c>
      <c r="F148" s="15">
        <f t="shared" si="21"/>
        <v>226660</v>
      </c>
      <c r="G148" s="31">
        <v>40</v>
      </c>
      <c r="H148" s="15">
        <v>5666.5</v>
      </c>
      <c r="I148" s="8">
        <v>31</v>
      </c>
      <c r="J148" s="8">
        <f t="shared" si="20"/>
        <v>9</v>
      </c>
      <c r="K148" s="12">
        <f t="shared" si="22"/>
        <v>175661.5</v>
      </c>
      <c r="L148" s="15">
        <f t="shared" si="18"/>
        <v>50998.5</v>
      </c>
      <c r="M148" s="8"/>
      <c r="N148" s="39" t="e">
        <f>#REF!-H148</f>
        <v>#REF!</v>
      </c>
    </row>
    <row r="149" spans="2:14">
      <c r="B149" s="14">
        <v>145</v>
      </c>
      <c r="C149" s="2" t="s">
        <v>167</v>
      </c>
      <c r="D149" s="15">
        <v>200000</v>
      </c>
      <c r="E149" s="15">
        <v>26660</v>
      </c>
      <c r="F149" s="15">
        <f t="shared" si="21"/>
        <v>226660</v>
      </c>
      <c r="G149" s="31">
        <v>40</v>
      </c>
      <c r="H149" s="15">
        <v>5666.5</v>
      </c>
      <c r="I149" s="8">
        <v>31</v>
      </c>
      <c r="J149" s="8">
        <f t="shared" si="20"/>
        <v>9</v>
      </c>
      <c r="K149" s="12">
        <f t="shared" si="22"/>
        <v>175661.5</v>
      </c>
      <c r="L149" s="15">
        <f t="shared" si="18"/>
        <v>50998.5</v>
      </c>
      <c r="M149" s="8"/>
      <c r="N149" s="39" t="e">
        <f>#REF!-H149</f>
        <v>#REF!</v>
      </c>
    </row>
    <row r="150" spans="2:14">
      <c r="B150" s="14">
        <v>146</v>
      </c>
      <c r="C150" s="2" t="s">
        <v>168</v>
      </c>
      <c r="D150" s="15">
        <v>200000</v>
      </c>
      <c r="E150" s="15">
        <v>26660</v>
      </c>
      <c r="F150" s="15">
        <f t="shared" si="21"/>
        <v>226660</v>
      </c>
      <c r="G150" s="31">
        <v>40</v>
      </c>
      <c r="H150" s="15">
        <v>5666.5</v>
      </c>
      <c r="I150" s="8">
        <v>31</v>
      </c>
      <c r="J150" s="8">
        <f t="shared" si="20"/>
        <v>9</v>
      </c>
      <c r="K150" s="12">
        <f t="shared" si="22"/>
        <v>175661.5</v>
      </c>
      <c r="L150" s="15">
        <f t="shared" si="18"/>
        <v>50998.5</v>
      </c>
      <c r="M150" s="8"/>
      <c r="N150" s="39" t="e">
        <f>#REF!-H150</f>
        <v>#REF!</v>
      </c>
    </row>
    <row r="151" spans="2:14">
      <c r="B151" s="14">
        <v>147</v>
      </c>
      <c r="C151" s="2" t="s">
        <v>170</v>
      </c>
      <c r="D151" s="15">
        <v>200000</v>
      </c>
      <c r="E151" s="15">
        <v>26660</v>
      </c>
      <c r="F151" s="15">
        <f t="shared" si="21"/>
        <v>226660</v>
      </c>
      <c r="G151" s="31">
        <v>40</v>
      </c>
      <c r="H151" s="15">
        <v>5666.5</v>
      </c>
      <c r="I151" s="8">
        <v>31</v>
      </c>
      <c r="J151" s="8">
        <f t="shared" si="20"/>
        <v>9</v>
      </c>
      <c r="K151" s="12">
        <f t="shared" si="22"/>
        <v>175661.5</v>
      </c>
      <c r="L151" s="15">
        <f t="shared" si="18"/>
        <v>50998.5</v>
      </c>
      <c r="M151" s="8"/>
      <c r="N151" s="39" t="e">
        <f>#REF!-H151</f>
        <v>#REF!</v>
      </c>
    </row>
    <row r="152" spans="2:14">
      <c r="B152" s="14">
        <v>148</v>
      </c>
      <c r="C152" s="2" t="s">
        <v>171</v>
      </c>
      <c r="D152" s="15">
        <v>200000</v>
      </c>
      <c r="E152" s="15">
        <v>26660</v>
      </c>
      <c r="F152" s="15">
        <f t="shared" si="21"/>
        <v>226660</v>
      </c>
      <c r="G152" s="31">
        <v>40</v>
      </c>
      <c r="H152" s="15">
        <v>5666.5</v>
      </c>
      <c r="I152" s="8">
        <v>31</v>
      </c>
      <c r="J152" s="8">
        <f t="shared" si="20"/>
        <v>9</v>
      </c>
      <c r="K152" s="12">
        <f t="shared" si="22"/>
        <v>175661.5</v>
      </c>
      <c r="L152" s="15">
        <f t="shared" si="18"/>
        <v>50998.5</v>
      </c>
      <c r="M152" s="8"/>
      <c r="N152" s="39" t="e">
        <f>#REF!-H152</f>
        <v>#REF!</v>
      </c>
    </row>
    <row r="153" spans="2:14">
      <c r="B153" s="14">
        <v>149</v>
      </c>
      <c r="C153" s="2" t="s">
        <v>176</v>
      </c>
      <c r="D153" s="15">
        <v>200000</v>
      </c>
      <c r="E153" s="15">
        <v>26660</v>
      </c>
      <c r="F153" s="15">
        <f t="shared" si="21"/>
        <v>226660</v>
      </c>
      <c r="G153" s="31">
        <v>40</v>
      </c>
      <c r="H153" s="15">
        <v>5666.5</v>
      </c>
      <c r="I153" s="8">
        <v>31</v>
      </c>
      <c r="J153" s="8">
        <f t="shared" si="20"/>
        <v>9</v>
      </c>
      <c r="K153" s="12">
        <f t="shared" si="22"/>
        <v>175661.5</v>
      </c>
      <c r="L153" s="15">
        <f t="shared" si="18"/>
        <v>50998.5</v>
      </c>
      <c r="M153" s="8"/>
      <c r="N153" s="39" t="e">
        <f>#REF!-H153</f>
        <v>#REF!</v>
      </c>
    </row>
    <row r="154" spans="2:14">
      <c r="B154" s="14">
        <v>150</v>
      </c>
      <c r="C154" s="2" t="s">
        <v>185</v>
      </c>
      <c r="D154" s="15">
        <v>200000</v>
      </c>
      <c r="E154" s="15">
        <v>26660</v>
      </c>
      <c r="F154" s="15">
        <f t="shared" si="21"/>
        <v>226660</v>
      </c>
      <c r="G154" s="31">
        <v>40</v>
      </c>
      <c r="H154" s="15">
        <v>5666.5</v>
      </c>
      <c r="I154" s="8">
        <v>31</v>
      </c>
      <c r="J154" s="8">
        <f t="shared" si="20"/>
        <v>9</v>
      </c>
      <c r="K154" s="12">
        <f t="shared" si="22"/>
        <v>175661.5</v>
      </c>
      <c r="L154" s="15">
        <f t="shared" si="18"/>
        <v>50998.5</v>
      </c>
      <c r="M154" s="8"/>
      <c r="N154" s="39" t="e">
        <f>#REF!-H154</f>
        <v>#REF!</v>
      </c>
    </row>
    <row r="155" spans="2:14">
      <c r="B155" s="14">
        <v>151</v>
      </c>
      <c r="C155" s="2" t="s">
        <v>186</v>
      </c>
      <c r="D155" s="15">
        <v>200000</v>
      </c>
      <c r="E155" s="15">
        <v>26660</v>
      </c>
      <c r="F155" s="15">
        <f t="shared" si="21"/>
        <v>226660</v>
      </c>
      <c r="G155" s="31">
        <v>40</v>
      </c>
      <c r="H155" s="15">
        <v>5666.5</v>
      </c>
      <c r="I155" s="8">
        <v>31</v>
      </c>
      <c r="J155" s="8">
        <f t="shared" si="20"/>
        <v>9</v>
      </c>
      <c r="K155" s="12">
        <f t="shared" si="22"/>
        <v>175661.5</v>
      </c>
      <c r="L155" s="15">
        <f t="shared" si="18"/>
        <v>50998.5</v>
      </c>
      <c r="M155" s="8"/>
      <c r="N155" s="39" t="e">
        <f>#REF!-H155</f>
        <v>#REF!</v>
      </c>
    </row>
    <row r="156" spans="2:14">
      <c r="B156" s="14">
        <v>152</v>
      </c>
      <c r="C156" s="2" t="s">
        <v>169</v>
      </c>
      <c r="D156" s="15">
        <v>200000</v>
      </c>
      <c r="E156" s="15">
        <v>26660</v>
      </c>
      <c r="F156" s="15">
        <f t="shared" si="21"/>
        <v>226660</v>
      </c>
      <c r="G156" s="31">
        <v>40</v>
      </c>
      <c r="H156" s="15">
        <v>5666.5</v>
      </c>
      <c r="I156" s="8">
        <v>30</v>
      </c>
      <c r="J156" s="8">
        <f t="shared" si="20"/>
        <v>10</v>
      </c>
      <c r="K156" s="12">
        <f>(30*5666.5)</f>
        <v>169995</v>
      </c>
      <c r="L156" s="15">
        <f t="shared" si="18"/>
        <v>56665</v>
      </c>
      <c r="M156" s="8"/>
      <c r="N156" s="39" t="e">
        <f>#REF!-H156</f>
        <v>#REF!</v>
      </c>
    </row>
    <row r="157" spans="2:14">
      <c r="B157" s="14">
        <v>153</v>
      </c>
      <c r="C157" s="2" t="s">
        <v>177</v>
      </c>
      <c r="D157" s="15">
        <v>200000</v>
      </c>
      <c r="E157" s="15">
        <v>26660</v>
      </c>
      <c r="F157" s="15">
        <f t="shared" si="21"/>
        <v>226660</v>
      </c>
      <c r="G157" s="31">
        <v>40</v>
      </c>
      <c r="H157" s="15">
        <v>5666.5</v>
      </c>
      <c r="I157" s="8">
        <v>30</v>
      </c>
      <c r="J157" s="8">
        <f t="shared" si="20"/>
        <v>10</v>
      </c>
      <c r="K157" s="12">
        <f>(30*5666.5)</f>
        <v>169995</v>
      </c>
      <c r="L157" s="15">
        <f t="shared" si="18"/>
        <v>56665</v>
      </c>
      <c r="M157" s="8"/>
      <c r="N157" s="39" t="e">
        <f>#REF!-H157</f>
        <v>#REF!</v>
      </c>
    </row>
    <row r="158" spans="2:14">
      <c r="B158" s="14">
        <v>154</v>
      </c>
      <c r="C158" s="2" t="s">
        <v>179</v>
      </c>
      <c r="D158" s="15">
        <v>200000</v>
      </c>
      <c r="E158" s="15">
        <v>26660</v>
      </c>
      <c r="F158" s="15">
        <f t="shared" si="21"/>
        <v>226660</v>
      </c>
      <c r="G158" s="31">
        <v>40</v>
      </c>
      <c r="H158" s="15">
        <v>5666.5</v>
      </c>
      <c r="I158" s="8">
        <v>30</v>
      </c>
      <c r="J158" s="8">
        <f t="shared" si="20"/>
        <v>10</v>
      </c>
      <c r="K158" s="12">
        <f>(30*5666.5)</f>
        <v>169995</v>
      </c>
      <c r="L158" s="15">
        <f t="shared" si="18"/>
        <v>56665</v>
      </c>
      <c r="M158" s="8"/>
      <c r="N158" s="39" t="e">
        <f>#REF!-H158</f>
        <v>#REF!</v>
      </c>
    </row>
    <row r="159" spans="2:14">
      <c r="B159" s="14">
        <v>155</v>
      </c>
      <c r="C159" s="2" t="s">
        <v>127</v>
      </c>
      <c r="D159" s="15">
        <v>200000</v>
      </c>
      <c r="E159" s="15">
        <v>26660</v>
      </c>
      <c r="F159" s="15">
        <f t="shared" si="21"/>
        <v>226660</v>
      </c>
      <c r="G159" s="31">
        <v>40</v>
      </c>
      <c r="H159" s="15">
        <v>5666.5</v>
      </c>
      <c r="I159" s="8">
        <v>28</v>
      </c>
      <c r="J159" s="8">
        <f t="shared" si="20"/>
        <v>12</v>
      </c>
      <c r="K159" s="12">
        <f>(28*5666.5)</f>
        <v>158662</v>
      </c>
      <c r="L159" s="15">
        <f t="shared" si="18"/>
        <v>67998</v>
      </c>
      <c r="M159" s="8"/>
      <c r="N159" s="39" t="e">
        <f>#REF!-H159</f>
        <v>#REF!</v>
      </c>
    </row>
    <row r="160" spans="2:14">
      <c r="B160" s="14">
        <v>156</v>
      </c>
      <c r="C160" s="23" t="s">
        <v>148</v>
      </c>
      <c r="D160" s="15">
        <v>200000</v>
      </c>
      <c r="E160" s="15">
        <v>26660</v>
      </c>
      <c r="F160" s="15">
        <f t="shared" si="21"/>
        <v>226660</v>
      </c>
      <c r="G160" s="31">
        <v>40</v>
      </c>
      <c r="H160" s="15">
        <v>5666.5</v>
      </c>
      <c r="I160" s="8">
        <v>28</v>
      </c>
      <c r="J160" s="8">
        <f t="shared" si="20"/>
        <v>12</v>
      </c>
      <c r="K160" s="48">
        <f>(28*5666.5)</f>
        <v>158662</v>
      </c>
      <c r="L160" s="15">
        <f t="shared" si="18"/>
        <v>67998</v>
      </c>
      <c r="M160" s="8"/>
      <c r="N160" s="39" t="e">
        <f>#REF!-H160</f>
        <v>#REF!</v>
      </c>
    </row>
    <row r="161" spans="2:14">
      <c r="B161" s="14">
        <v>157</v>
      </c>
      <c r="C161" s="25" t="s">
        <v>166</v>
      </c>
      <c r="D161" s="15">
        <v>200000</v>
      </c>
      <c r="E161" s="15">
        <v>26660</v>
      </c>
      <c r="F161" s="15">
        <f t="shared" si="21"/>
        <v>226660</v>
      </c>
      <c r="G161" s="31">
        <v>40</v>
      </c>
      <c r="H161" s="15">
        <v>5666.5</v>
      </c>
      <c r="I161" s="8">
        <v>28</v>
      </c>
      <c r="J161" s="8">
        <f t="shared" si="20"/>
        <v>12</v>
      </c>
      <c r="K161" s="12">
        <f>(28*5666.5)</f>
        <v>158662</v>
      </c>
      <c r="L161" s="15">
        <f t="shared" si="18"/>
        <v>67998</v>
      </c>
      <c r="M161" s="8"/>
      <c r="N161" s="39" t="e">
        <f>#REF!-H161</f>
        <v>#REF!</v>
      </c>
    </row>
    <row r="162" spans="2:14">
      <c r="B162" s="14">
        <v>158</v>
      </c>
      <c r="C162" s="2" t="s">
        <v>140</v>
      </c>
      <c r="D162" s="15">
        <v>200000</v>
      </c>
      <c r="E162" s="15">
        <v>26660</v>
      </c>
      <c r="F162" s="15">
        <f t="shared" si="21"/>
        <v>226660</v>
      </c>
      <c r="G162" s="31">
        <v>40</v>
      </c>
      <c r="H162" s="15">
        <v>5666.5</v>
      </c>
      <c r="I162" s="8">
        <v>27</v>
      </c>
      <c r="J162" s="8">
        <f t="shared" si="20"/>
        <v>13</v>
      </c>
      <c r="K162" s="12">
        <f>(27*5666.5)</f>
        <v>152995.5</v>
      </c>
      <c r="L162" s="15">
        <f t="shared" si="18"/>
        <v>73664.5</v>
      </c>
      <c r="M162" s="8"/>
      <c r="N162" s="39" t="e">
        <f>#REF!-H162</f>
        <v>#REF!</v>
      </c>
    </row>
    <row r="163" spans="2:14">
      <c r="B163" s="14">
        <v>159</v>
      </c>
      <c r="C163" s="2" t="s">
        <v>159</v>
      </c>
      <c r="D163" s="15">
        <v>200000</v>
      </c>
      <c r="E163" s="15">
        <v>26660</v>
      </c>
      <c r="F163" s="15">
        <f t="shared" si="21"/>
        <v>226660</v>
      </c>
      <c r="G163" s="31">
        <v>40</v>
      </c>
      <c r="H163" s="15">
        <v>5666.5</v>
      </c>
      <c r="I163" s="8">
        <v>25</v>
      </c>
      <c r="J163" s="8">
        <f t="shared" si="20"/>
        <v>15</v>
      </c>
      <c r="K163" s="12">
        <f>(25*5666.5)</f>
        <v>141662.5</v>
      </c>
      <c r="L163" s="15">
        <f t="shared" si="18"/>
        <v>84997.5</v>
      </c>
      <c r="M163" s="8"/>
      <c r="N163" s="39" t="e">
        <f>#REF!-H163</f>
        <v>#REF!</v>
      </c>
    </row>
    <row r="164" spans="2:14">
      <c r="B164" s="14">
        <v>160</v>
      </c>
      <c r="C164" s="2" t="s">
        <v>188</v>
      </c>
      <c r="D164" s="12">
        <v>180000</v>
      </c>
      <c r="E164" s="12">
        <v>23994</v>
      </c>
      <c r="F164" s="15">
        <f t="shared" si="21"/>
        <v>203994</v>
      </c>
      <c r="G164" s="31">
        <v>40</v>
      </c>
      <c r="H164" s="12">
        <v>5099.8500000000004</v>
      </c>
      <c r="I164" s="8">
        <v>31</v>
      </c>
      <c r="J164" s="8">
        <v>9</v>
      </c>
      <c r="K164" s="12">
        <f>(31*5099.85)</f>
        <v>158095.35</v>
      </c>
      <c r="L164" s="15">
        <f t="shared" si="18"/>
        <v>45898.649999999994</v>
      </c>
      <c r="M164" s="8"/>
      <c r="N164" s="39" t="e">
        <f>#REF!-H164</f>
        <v>#REF!</v>
      </c>
    </row>
    <row r="165" spans="2:14">
      <c r="B165" s="14">
        <v>161</v>
      </c>
      <c r="C165" s="2" t="s">
        <v>189</v>
      </c>
      <c r="D165" s="12">
        <v>180000</v>
      </c>
      <c r="E165" s="12">
        <v>23994</v>
      </c>
      <c r="F165" s="15">
        <f t="shared" si="21"/>
        <v>203994</v>
      </c>
      <c r="G165" s="31">
        <v>40</v>
      </c>
      <c r="H165" s="12">
        <v>5099.8500000000004</v>
      </c>
      <c r="I165" s="8">
        <v>28</v>
      </c>
      <c r="J165" s="8">
        <v>12</v>
      </c>
      <c r="K165" s="12">
        <f>(28*5099.85)</f>
        <v>142795.80000000002</v>
      </c>
      <c r="L165" s="15">
        <f t="shared" si="18"/>
        <v>61198.199999999983</v>
      </c>
      <c r="M165" s="8"/>
      <c r="N165" s="39" t="e">
        <f>#REF!-H165</f>
        <v>#REF!</v>
      </c>
    </row>
    <row r="166" spans="2:14">
      <c r="B166" s="14">
        <v>162</v>
      </c>
      <c r="C166" s="2" t="s">
        <v>190</v>
      </c>
      <c r="D166" s="12">
        <v>180000</v>
      </c>
      <c r="E166" s="12">
        <v>23994</v>
      </c>
      <c r="F166" s="15">
        <f t="shared" si="21"/>
        <v>203994</v>
      </c>
      <c r="G166" s="30">
        <v>40</v>
      </c>
      <c r="H166" s="12">
        <v>5099.8500000000004</v>
      </c>
      <c r="I166" s="22">
        <v>40</v>
      </c>
      <c r="J166" s="22">
        <v>0</v>
      </c>
      <c r="K166" s="12">
        <f>(40*5099.85)</f>
        <v>203994</v>
      </c>
      <c r="L166" s="15">
        <f t="shared" ref="L166:L197" si="23">F166-K166</f>
        <v>0</v>
      </c>
      <c r="M166" s="10"/>
      <c r="N166" s="39" t="e">
        <f>#REF!-H166</f>
        <v>#REF!</v>
      </c>
    </row>
    <row r="167" spans="2:14">
      <c r="B167" s="14">
        <v>163</v>
      </c>
      <c r="C167" s="2" t="s">
        <v>191</v>
      </c>
      <c r="D167" s="12">
        <v>180000</v>
      </c>
      <c r="E167" s="12">
        <v>23994</v>
      </c>
      <c r="F167" s="15">
        <f t="shared" si="21"/>
        <v>203994</v>
      </c>
      <c r="G167" s="30">
        <v>40</v>
      </c>
      <c r="H167" s="12">
        <v>5099.8500000000004</v>
      </c>
      <c r="I167" s="22">
        <v>40</v>
      </c>
      <c r="J167" s="8">
        <f t="shared" ref="J167:J179" si="24">G167-I167</f>
        <v>0</v>
      </c>
      <c r="K167" s="12">
        <f>(40*5099.85)</f>
        <v>203994</v>
      </c>
      <c r="L167" s="15">
        <f t="shared" si="23"/>
        <v>0</v>
      </c>
      <c r="M167" s="10"/>
      <c r="N167" s="39" t="e">
        <f>#REF!-H167</f>
        <v>#REF!</v>
      </c>
    </row>
    <row r="168" spans="2:14">
      <c r="B168" s="14">
        <v>164</v>
      </c>
      <c r="C168" s="2" t="s">
        <v>194</v>
      </c>
      <c r="D168" s="12">
        <v>180000</v>
      </c>
      <c r="E168" s="12">
        <v>23994</v>
      </c>
      <c r="F168" s="15">
        <f t="shared" si="21"/>
        <v>203994</v>
      </c>
      <c r="G168" s="30">
        <v>40</v>
      </c>
      <c r="H168" s="12">
        <v>5099.8500000000004</v>
      </c>
      <c r="I168" s="22">
        <v>40</v>
      </c>
      <c r="J168" s="8">
        <f t="shared" si="24"/>
        <v>0</v>
      </c>
      <c r="K168" s="12">
        <f>(40*5099.85)</f>
        <v>203994</v>
      </c>
      <c r="L168" s="15">
        <f t="shared" si="23"/>
        <v>0</v>
      </c>
      <c r="M168" s="10"/>
      <c r="N168" s="39" t="e">
        <f>#REF!-H168</f>
        <v>#REF!</v>
      </c>
    </row>
    <row r="169" spans="2:14">
      <c r="B169" s="14">
        <v>165</v>
      </c>
      <c r="C169" s="2" t="s">
        <v>198</v>
      </c>
      <c r="D169" s="12">
        <v>180000</v>
      </c>
      <c r="E169" s="12">
        <v>23994</v>
      </c>
      <c r="F169" s="15">
        <f t="shared" si="21"/>
        <v>203994</v>
      </c>
      <c r="G169" s="30">
        <v>40</v>
      </c>
      <c r="H169" s="12">
        <v>5099.8500000000004</v>
      </c>
      <c r="I169" s="22">
        <v>40</v>
      </c>
      <c r="J169" s="8">
        <f t="shared" si="24"/>
        <v>0</v>
      </c>
      <c r="K169" s="12">
        <f>(40*5099.85)</f>
        <v>203994</v>
      </c>
      <c r="L169" s="15">
        <f t="shared" si="23"/>
        <v>0</v>
      </c>
      <c r="M169" s="10"/>
      <c r="N169" s="39" t="e">
        <f>#REF!-H169</f>
        <v>#REF!</v>
      </c>
    </row>
    <row r="170" spans="2:14">
      <c r="B170" s="14">
        <v>166</v>
      </c>
      <c r="C170" s="2" t="s">
        <v>197</v>
      </c>
      <c r="D170" s="12">
        <v>180000</v>
      </c>
      <c r="E170" s="12">
        <v>23994</v>
      </c>
      <c r="F170" s="15">
        <f t="shared" si="21"/>
        <v>203994</v>
      </c>
      <c r="G170" s="31">
        <v>40</v>
      </c>
      <c r="H170" s="12">
        <v>5099.8500000000004</v>
      </c>
      <c r="I170" s="8">
        <v>38</v>
      </c>
      <c r="J170" s="8">
        <f t="shared" si="24"/>
        <v>2</v>
      </c>
      <c r="K170" s="12">
        <f>(38*5099.85)</f>
        <v>193794.30000000002</v>
      </c>
      <c r="L170" s="15">
        <f t="shared" si="23"/>
        <v>10199.699999999983</v>
      </c>
      <c r="M170" s="8"/>
      <c r="N170" s="39" t="e">
        <f>#REF!-H170</f>
        <v>#REF!</v>
      </c>
    </row>
    <row r="171" spans="2:14">
      <c r="B171" s="14">
        <v>167</v>
      </c>
      <c r="C171" s="2" t="s">
        <v>195</v>
      </c>
      <c r="D171" s="12">
        <v>180000</v>
      </c>
      <c r="E171" s="12">
        <v>23994</v>
      </c>
      <c r="F171" s="15">
        <f t="shared" si="21"/>
        <v>203994</v>
      </c>
      <c r="G171" s="31">
        <v>40</v>
      </c>
      <c r="H171" s="12">
        <v>5099.8500000000004</v>
      </c>
      <c r="I171" s="8">
        <v>37</v>
      </c>
      <c r="J171" s="8">
        <f t="shared" si="24"/>
        <v>3</v>
      </c>
      <c r="K171" s="12">
        <f>(37*5099.85)</f>
        <v>188694.45</v>
      </c>
      <c r="L171" s="15">
        <f t="shared" si="23"/>
        <v>15299.549999999988</v>
      </c>
      <c r="M171" s="8"/>
      <c r="N171" s="39" t="e">
        <f>#REF!-H171</f>
        <v>#REF!</v>
      </c>
    </row>
    <row r="172" spans="2:14">
      <c r="B172" s="14">
        <v>168</v>
      </c>
      <c r="C172" s="2" t="s">
        <v>193</v>
      </c>
      <c r="D172" s="12">
        <v>180000</v>
      </c>
      <c r="E172" s="12">
        <v>23994</v>
      </c>
      <c r="F172" s="15">
        <f t="shared" si="21"/>
        <v>203994</v>
      </c>
      <c r="G172" s="31">
        <v>40</v>
      </c>
      <c r="H172" s="12">
        <v>5099.8500000000004</v>
      </c>
      <c r="I172" s="8">
        <v>31</v>
      </c>
      <c r="J172" s="8">
        <f t="shared" si="24"/>
        <v>9</v>
      </c>
      <c r="K172" s="12">
        <f>(31*5099.85)</f>
        <v>158095.35</v>
      </c>
      <c r="L172" s="15">
        <f t="shared" si="23"/>
        <v>45898.649999999994</v>
      </c>
      <c r="M172" s="8"/>
      <c r="N172" s="39" t="e">
        <f>#REF!-H172</f>
        <v>#REF!</v>
      </c>
    </row>
    <row r="173" spans="2:14">
      <c r="B173" s="14">
        <v>169</v>
      </c>
      <c r="C173" s="2" t="s">
        <v>192</v>
      </c>
      <c r="D173" s="12">
        <v>180000</v>
      </c>
      <c r="E173" s="12">
        <v>23994</v>
      </c>
      <c r="F173" s="15">
        <f t="shared" si="21"/>
        <v>203994</v>
      </c>
      <c r="G173" s="31">
        <v>40</v>
      </c>
      <c r="H173" s="12">
        <v>5099.8500000000004</v>
      </c>
      <c r="I173" s="8">
        <v>28</v>
      </c>
      <c r="J173" s="8">
        <f t="shared" si="24"/>
        <v>12</v>
      </c>
      <c r="K173" s="12">
        <f>(28*5099.85)</f>
        <v>142795.80000000002</v>
      </c>
      <c r="L173" s="15">
        <f t="shared" si="23"/>
        <v>61198.199999999983</v>
      </c>
      <c r="M173" s="8"/>
      <c r="N173" s="39" t="e">
        <f>#REF!-H173</f>
        <v>#REF!</v>
      </c>
    </row>
    <row r="174" spans="2:14">
      <c r="B174" s="14">
        <v>170</v>
      </c>
      <c r="C174" s="2" t="s">
        <v>212</v>
      </c>
      <c r="D174" s="12">
        <v>150000</v>
      </c>
      <c r="E174" s="12">
        <v>19995</v>
      </c>
      <c r="F174" s="15">
        <f t="shared" si="21"/>
        <v>169995</v>
      </c>
      <c r="G174" s="31">
        <v>50</v>
      </c>
      <c r="H174" s="12">
        <v>3399.9</v>
      </c>
      <c r="I174" s="8">
        <v>26</v>
      </c>
      <c r="J174" s="8">
        <f t="shared" si="24"/>
        <v>24</v>
      </c>
      <c r="K174" s="12">
        <f>(26*3399.9)</f>
        <v>88397.400000000009</v>
      </c>
      <c r="L174" s="15">
        <f t="shared" si="23"/>
        <v>81597.599999999991</v>
      </c>
      <c r="M174" s="8"/>
      <c r="N174" s="39" t="e">
        <f>#REF!-H174</f>
        <v>#REF!</v>
      </c>
    </row>
    <row r="175" spans="2:14">
      <c r="B175" s="14">
        <v>171</v>
      </c>
      <c r="C175" s="25" t="s">
        <v>213</v>
      </c>
      <c r="D175" s="12">
        <v>150000</v>
      </c>
      <c r="E175" s="12">
        <v>19995</v>
      </c>
      <c r="F175" s="15">
        <f t="shared" si="21"/>
        <v>169995</v>
      </c>
      <c r="G175" s="31">
        <v>50</v>
      </c>
      <c r="H175" s="12">
        <v>3399.9</v>
      </c>
      <c r="I175" s="8">
        <v>26</v>
      </c>
      <c r="J175" s="8">
        <f t="shared" si="24"/>
        <v>24</v>
      </c>
      <c r="K175" s="12">
        <f>(26*3399.9)</f>
        <v>88397.400000000009</v>
      </c>
      <c r="L175" s="15">
        <f t="shared" si="23"/>
        <v>81597.599999999991</v>
      </c>
      <c r="M175" s="8"/>
      <c r="N175" s="39" t="e">
        <f>#REF!-H175</f>
        <v>#REF!</v>
      </c>
    </row>
    <row r="176" spans="2:14">
      <c r="B176" s="14">
        <v>172</v>
      </c>
      <c r="C176" s="25" t="s">
        <v>187</v>
      </c>
      <c r="D176" s="41">
        <v>150000</v>
      </c>
      <c r="E176" s="41">
        <v>11997</v>
      </c>
      <c r="F176" s="41">
        <f t="shared" si="21"/>
        <v>161997</v>
      </c>
      <c r="G176" s="33">
        <v>30</v>
      </c>
      <c r="H176" s="41">
        <v>5399.9</v>
      </c>
      <c r="I176" s="11">
        <v>25</v>
      </c>
      <c r="J176" s="8">
        <f t="shared" si="24"/>
        <v>5</v>
      </c>
      <c r="K176" s="16">
        <f>(25*5399.9)</f>
        <v>134997.5</v>
      </c>
      <c r="L176" s="41">
        <f t="shared" si="23"/>
        <v>26999.5</v>
      </c>
      <c r="M176" s="8"/>
      <c r="N176" s="39" t="e">
        <f>#REF!-H176</f>
        <v>#REF!</v>
      </c>
    </row>
    <row r="177" spans="2:14">
      <c r="B177" s="14">
        <v>173</v>
      </c>
      <c r="C177" s="2" t="s">
        <v>211</v>
      </c>
      <c r="D177" s="12">
        <v>150000</v>
      </c>
      <c r="E177" s="12">
        <v>19995</v>
      </c>
      <c r="F177" s="15">
        <f t="shared" ref="F177:F198" si="25">SUM(D177:E177)</f>
        <v>169995</v>
      </c>
      <c r="G177" s="31">
        <v>50</v>
      </c>
      <c r="H177" s="12">
        <v>3399.9</v>
      </c>
      <c r="I177" s="8">
        <v>24</v>
      </c>
      <c r="J177" s="8">
        <f t="shared" si="24"/>
        <v>26</v>
      </c>
      <c r="K177" s="12">
        <f>(24*3399.9)</f>
        <v>81597.600000000006</v>
      </c>
      <c r="L177" s="15">
        <f t="shared" si="23"/>
        <v>88397.4</v>
      </c>
      <c r="M177" s="8"/>
      <c r="N177" s="39" t="e">
        <f>#REF!-H177</f>
        <v>#REF!</v>
      </c>
    </row>
    <row r="178" spans="2:14">
      <c r="B178" s="14">
        <v>174</v>
      </c>
      <c r="C178" s="4" t="s">
        <v>33</v>
      </c>
      <c r="D178" s="20">
        <v>150000</v>
      </c>
      <c r="E178" s="20">
        <v>19995</v>
      </c>
      <c r="F178" s="20">
        <f t="shared" si="25"/>
        <v>169995</v>
      </c>
      <c r="G178" s="33">
        <v>50</v>
      </c>
      <c r="H178" s="3">
        <v>3399.9</v>
      </c>
      <c r="I178" s="8">
        <v>3</v>
      </c>
      <c r="J178" s="8">
        <f t="shared" si="24"/>
        <v>47</v>
      </c>
      <c r="K178" s="3">
        <f>(3*3399.9)</f>
        <v>10199.700000000001</v>
      </c>
      <c r="L178" s="12">
        <f t="shared" si="23"/>
        <v>159795.29999999999</v>
      </c>
      <c r="M178" s="1"/>
      <c r="N178" s="39" t="e">
        <f>#REF!-H178</f>
        <v>#REF!</v>
      </c>
    </row>
    <row r="179" spans="2:14">
      <c r="B179" s="14">
        <v>175</v>
      </c>
      <c r="C179" s="4" t="s">
        <v>35</v>
      </c>
      <c r="D179" s="20">
        <v>150000</v>
      </c>
      <c r="E179" s="20">
        <v>19995</v>
      </c>
      <c r="F179" s="20">
        <f t="shared" si="25"/>
        <v>169995</v>
      </c>
      <c r="G179" s="33">
        <v>50</v>
      </c>
      <c r="H179" s="3">
        <v>3399.9</v>
      </c>
      <c r="I179" s="8">
        <v>3</v>
      </c>
      <c r="J179" s="8">
        <f t="shared" si="24"/>
        <v>47</v>
      </c>
      <c r="K179" s="3">
        <f>(3*3399.9)</f>
        <v>10199.700000000001</v>
      </c>
      <c r="L179" s="12">
        <f t="shared" si="23"/>
        <v>159795.29999999999</v>
      </c>
      <c r="M179" s="1"/>
      <c r="N179" s="39" t="e">
        <f>#REF!-H179</f>
        <v>#REF!</v>
      </c>
    </row>
    <row r="180" spans="2:14">
      <c r="B180" s="14">
        <v>176</v>
      </c>
      <c r="C180" s="4" t="s">
        <v>199</v>
      </c>
      <c r="D180" s="12">
        <v>132000</v>
      </c>
      <c r="E180" s="12">
        <v>17595.599999999999</v>
      </c>
      <c r="F180" s="15">
        <f t="shared" si="25"/>
        <v>149595.6</v>
      </c>
      <c r="G180" s="31">
        <v>40</v>
      </c>
      <c r="H180" s="12">
        <v>3739.89</v>
      </c>
      <c r="I180" s="8">
        <v>23</v>
      </c>
      <c r="J180" s="8">
        <v>17</v>
      </c>
      <c r="K180" s="12">
        <f>(23*3739.89)</f>
        <v>86017.47</v>
      </c>
      <c r="L180" s="15">
        <f t="shared" si="23"/>
        <v>63578.130000000005</v>
      </c>
      <c r="M180" s="8"/>
      <c r="N180" s="39" t="e">
        <f>#REF!-H180</f>
        <v>#REF!</v>
      </c>
    </row>
    <row r="181" spans="2:14">
      <c r="B181" s="14">
        <v>177</v>
      </c>
      <c r="C181" s="2" t="s">
        <v>200</v>
      </c>
      <c r="D181" s="12">
        <v>132000</v>
      </c>
      <c r="E181" s="12">
        <v>17595.599999999999</v>
      </c>
      <c r="F181" s="15">
        <f t="shared" si="25"/>
        <v>149595.6</v>
      </c>
      <c r="G181" s="31">
        <v>40</v>
      </c>
      <c r="H181" s="12">
        <v>3739.89</v>
      </c>
      <c r="I181" s="8">
        <v>38</v>
      </c>
      <c r="J181" s="8">
        <v>2</v>
      </c>
      <c r="K181" s="12">
        <f>(38*3739.89)</f>
        <v>142115.82</v>
      </c>
      <c r="L181" s="15">
        <f t="shared" si="23"/>
        <v>7479.7799999999988</v>
      </c>
      <c r="M181" s="8"/>
      <c r="N181" s="39" t="e">
        <f>#REF!-H181</f>
        <v>#REF!</v>
      </c>
    </row>
    <row r="182" spans="2:14">
      <c r="B182" s="14">
        <v>178</v>
      </c>
      <c r="C182" s="4" t="s">
        <v>201</v>
      </c>
      <c r="D182" s="12">
        <v>132000</v>
      </c>
      <c r="E182" s="12">
        <v>17595.599999999999</v>
      </c>
      <c r="F182" s="15">
        <f t="shared" si="25"/>
        <v>149595.6</v>
      </c>
      <c r="G182" s="31">
        <v>40</v>
      </c>
      <c r="H182" s="12">
        <v>3739.89</v>
      </c>
      <c r="I182" s="8">
        <v>31</v>
      </c>
      <c r="J182" s="8">
        <f t="shared" ref="J182:J216" si="26">G182-I182</f>
        <v>9</v>
      </c>
      <c r="K182" s="12">
        <f>(31*3739.89)</f>
        <v>115936.59</v>
      </c>
      <c r="L182" s="15">
        <f t="shared" si="23"/>
        <v>33659.010000000009</v>
      </c>
      <c r="M182" s="8"/>
      <c r="N182" s="39" t="e">
        <f>#REF!-H182</f>
        <v>#REF!</v>
      </c>
    </row>
    <row r="183" spans="2:14">
      <c r="B183" s="14">
        <v>179</v>
      </c>
      <c r="C183" s="4" t="s">
        <v>208</v>
      </c>
      <c r="D183" s="12">
        <v>132000</v>
      </c>
      <c r="E183" s="12">
        <v>17595.599999999999</v>
      </c>
      <c r="F183" s="15">
        <f t="shared" si="25"/>
        <v>149595.6</v>
      </c>
      <c r="G183" s="30">
        <v>40</v>
      </c>
      <c r="H183" s="12">
        <v>3739.89</v>
      </c>
      <c r="I183" s="22">
        <v>40</v>
      </c>
      <c r="J183" s="8">
        <f t="shared" si="26"/>
        <v>0</v>
      </c>
      <c r="K183" s="12">
        <f>(40*3739.89)</f>
        <v>149595.6</v>
      </c>
      <c r="L183" s="15">
        <f t="shared" si="23"/>
        <v>0</v>
      </c>
      <c r="M183" s="8"/>
      <c r="N183" s="39" t="e">
        <f>#REF!-H183</f>
        <v>#REF!</v>
      </c>
    </row>
    <row r="184" spans="2:14">
      <c r="B184" s="14">
        <v>180</v>
      </c>
      <c r="C184" s="4" t="s">
        <v>209</v>
      </c>
      <c r="D184" s="12">
        <v>132000</v>
      </c>
      <c r="E184" s="12">
        <v>17595.599999999999</v>
      </c>
      <c r="F184" s="15">
        <f t="shared" si="25"/>
        <v>149595.6</v>
      </c>
      <c r="G184" s="30">
        <v>40</v>
      </c>
      <c r="H184" s="12">
        <v>3739.89</v>
      </c>
      <c r="I184" s="22">
        <v>40</v>
      </c>
      <c r="J184" s="8">
        <f t="shared" si="26"/>
        <v>0</v>
      </c>
      <c r="K184" s="12">
        <f>(40*3739.89)</f>
        <v>149595.6</v>
      </c>
      <c r="L184" s="15">
        <f t="shared" si="23"/>
        <v>0</v>
      </c>
      <c r="M184" s="8"/>
      <c r="N184" s="39" t="e">
        <f>#REF!-H184</f>
        <v>#REF!</v>
      </c>
    </row>
    <row r="185" spans="2:14">
      <c r="B185" s="14">
        <v>181</v>
      </c>
      <c r="C185" s="4" t="s">
        <v>210</v>
      </c>
      <c r="D185" s="12">
        <v>132000</v>
      </c>
      <c r="E185" s="12">
        <v>17595.599999999999</v>
      </c>
      <c r="F185" s="15">
        <f t="shared" si="25"/>
        <v>149595.6</v>
      </c>
      <c r="G185" s="30">
        <v>40</v>
      </c>
      <c r="H185" s="12">
        <v>3739.89</v>
      </c>
      <c r="I185" s="22">
        <v>40</v>
      </c>
      <c r="J185" s="8">
        <f t="shared" si="26"/>
        <v>0</v>
      </c>
      <c r="K185" s="12">
        <f>(40*3739.89)</f>
        <v>149595.6</v>
      </c>
      <c r="L185" s="15">
        <f t="shared" si="23"/>
        <v>0</v>
      </c>
      <c r="M185" s="8"/>
      <c r="N185" s="39" t="e">
        <f>#REF!-H185</f>
        <v>#REF!</v>
      </c>
    </row>
    <row r="186" spans="2:14">
      <c r="B186" s="14">
        <v>182</v>
      </c>
      <c r="C186" s="4" t="s">
        <v>205</v>
      </c>
      <c r="D186" s="12">
        <v>132000</v>
      </c>
      <c r="E186" s="12">
        <v>17595.599999999999</v>
      </c>
      <c r="F186" s="15">
        <f t="shared" si="25"/>
        <v>149595.6</v>
      </c>
      <c r="G186" s="31">
        <v>40</v>
      </c>
      <c r="H186" s="12">
        <v>3739.89</v>
      </c>
      <c r="I186" s="8">
        <v>34</v>
      </c>
      <c r="J186" s="8">
        <f t="shared" si="26"/>
        <v>6</v>
      </c>
      <c r="K186" s="12">
        <f>(34*3739.89)</f>
        <v>127156.26</v>
      </c>
      <c r="L186" s="15">
        <f t="shared" si="23"/>
        <v>22439.340000000011</v>
      </c>
      <c r="M186" s="8"/>
      <c r="N186" s="39" t="e">
        <f>#REF!-H186</f>
        <v>#REF!</v>
      </c>
    </row>
    <row r="187" spans="2:14">
      <c r="B187" s="14">
        <v>183</v>
      </c>
      <c r="C187" s="2" t="s">
        <v>207</v>
      </c>
      <c r="D187" s="12">
        <v>132000</v>
      </c>
      <c r="E187" s="12">
        <v>17595.599999999999</v>
      </c>
      <c r="F187" s="15">
        <f t="shared" si="25"/>
        <v>149595.6</v>
      </c>
      <c r="G187" s="31">
        <v>40</v>
      </c>
      <c r="H187" s="12">
        <v>3739.89</v>
      </c>
      <c r="I187" s="8">
        <v>32</v>
      </c>
      <c r="J187" s="8">
        <f t="shared" si="26"/>
        <v>8</v>
      </c>
      <c r="K187" s="12">
        <f>(32*3739.89)</f>
        <v>119676.48</v>
      </c>
      <c r="L187" s="15">
        <f t="shared" si="23"/>
        <v>29919.12000000001</v>
      </c>
      <c r="M187" s="8"/>
      <c r="N187" s="39" t="e">
        <f>#REF!-H187</f>
        <v>#REF!</v>
      </c>
    </row>
    <row r="188" spans="2:14">
      <c r="B188" s="14">
        <v>184</v>
      </c>
      <c r="C188" s="2" t="s">
        <v>203</v>
      </c>
      <c r="D188" s="12">
        <v>132000</v>
      </c>
      <c r="E188" s="12">
        <v>17595.599999999999</v>
      </c>
      <c r="F188" s="15">
        <f t="shared" si="25"/>
        <v>149595.6</v>
      </c>
      <c r="G188" s="31">
        <v>40</v>
      </c>
      <c r="H188" s="12">
        <v>3739.89</v>
      </c>
      <c r="I188" s="8">
        <v>31</v>
      </c>
      <c r="J188" s="8">
        <f t="shared" si="26"/>
        <v>9</v>
      </c>
      <c r="K188" s="12">
        <f>(31*3739.89)</f>
        <v>115936.59</v>
      </c>
      <c r="L188" s="15">
        <f t="shared" si="23"/>
        <v>33659.010000000009</v>
      </c>
      <c r="M188" s="8"/>
      <c r="N188" s="39" t="e">
        <f>#REF!-H188</f>
        <v>#REF!</v>
      </c>
    </row>
    <row r="189" spans="2:14">
      <c r="B189" s="14">
        <v>185</v>
      </c>
      <c r="C189" s="2" t="s">
        <v>204</v>
      </c>
      <c r="D189" s="12">
        <v>132000</v>
      </c>
      <c r="E189" s="12">
        <v>17595.599999999999</v>
      </c>
      <c r="F189" s="15">
        <f t="shared" si="25"/>
        <v>149595.6</v>
      </c>
      <c r="G189" s="31">
        <v>40</v>
      </c>
      <c r="H189" s="12">
        <v>3739.89</v>
      </c>
      <c r="I189" s="8">
        <v>31</v>
      </c>
      <c r="J189" s="8">
        <f t="shared" si="26"/>
        <v>9</v>
      </c>
      <c r="K189" s="12">
        <f>(31*3739.89)</f>
        <v>115936.59</v>
      </c>
      <c r="L189" s="15">
        <f t="shared" si="23"/>
        <v>33659.010000000009</v>
      </c>
      <c r="M189" s="8"/>
      <c r="N189" s="39" t="e">
        <f>#REF!-H189</f>
        <v>#REF!</v>
      </c>
    </row>
    <row r="190" spans="2:14">
      <c r="B190" s="14">
        <v>186</v>
      </c>
      <c r="C190" s="2" t="s">
        <v>206</v>
      </c>
      <c r="D190" s="12">
        <v>132000</v>
      </c>
      <c r="E190" s="12">
        <v>17595.599999999999</v>
      </c>
      <c r="F190" s="15">
        <f t="shared" si="25"/>
        <v>149595.6</v>
      </c>
      <c r="G190" s="31">
        <v>40</v>
      </c>
      <c r="H190" s="12">
        <v>3739.89</v>
      </c>
      <c r="I190" s="8">
        <v>30</v>
      </c>
      <c r="J190" s="8">
        <f t="shared" si="26"/>
        <v>10</v>
      </c>
      <c r="K190" s="16">
        <f>(30*3739.89)</f>
        <v>112196.7</v>
      </c>
      <c r="L190" s="15">
        <f t="shared" si="23"/>
        <v>37398.900000000009</v>
      </c>
      <c r="M190" s="8"/>
      <c r="N190" s="39" t="e">
        <f>#REF!-H190</f>
        <v>#REF!</v>
      </c>
    </row>
    <row r="191" spans="2:14">
      <c r="B191" s="14">
        <v>187</v>
      </c>
      <c r="C191" s="4" t="s">
        <v>202</v>
      </c>
      <c r="D191" s="12">
        <v>132000</v>
      </c>
      <c r="E191" s="12">
        <v>17595.599999999999</v>
      </c>
      <c r="F191" s="15">
        <f t="shared" si="25"/>
        <v>149595.6</v>
      </c>
      <c r="G191" s="31">
        <v>40</v>
      </c>
      <c r="H191" s="12">
        <v>3739.89</v>
      </c>
      <c r="I191" s="8">
        <v>28</v>
      </c>
      <c r="J191" s="8">
        <f t="shared" si="26"/>
        <v>12</v>
      </c>
      <c r="K191" s="12">
        <f>(28*3739.89)</f>
        <v>104716.92</v>
      </c>
      <c r="L191" s="15">
        <f t="shared" si="23"/>
        <v>44878.680000000008</v>
      </c>
      <c r="M191" s="8"/>
      <c r="N191" s="39" t="e">
        <f>#REF!-H191</f>
        <v>#REF!</v>
      </c>
    </row>
    <row r="192" spans="2:14">
      <c r="B192" s="14">
        <v>188</v>
      </c>
      <c r="C192" s="4" t="s">
        <v>217</v>
      </c>
      <c r="D192" s="12">
        <v>60000</v>
      </c>
      <c r="E192" s="12">
        <v>7998</v>
      </c>
      <c r="F192" s="15">
        <f t="shared" si="25"/>
        <v>67998</v>
      </c>
      <c r="G192" s="31">
        <v>40</v>
      </c>
      <c r="H192" s="12">
        <v>1699.95</v>
      </c>
      <c r="I192" s="8">
        <v>41</v>
      </c>
      <c r="J192" s="8">
        <f t="shared" si="26"/>
        <v>-1</v>
      </c>
      <c r="K192" s="12">
        <f>(41*1699.95)</f>
        <v>69697.95</v>
      </c>
      <c r="L192" s="15">
        <f t="shared" si="23"/>
        <v>-1699.9499999999971</v>
      </c>
      <c r="M192" s="8"/>
      <c r="N192" s="39" t="e">
        <f>#REF!-H192</f>
        <v>#REF!</v>
      </c>
    </row>
    <row r="193" spans="2:14">
      <c r="B193" s="14">
        <v>189</v>
      </c>
      <c r="C193" s="4" t="s">
        <v>214</v>
      </c>
      <c r="D193" s="12">
        <v>60000</v>
      </c>
      <c r="E193" s="12">
        <v>7998</v>
      </c>
      <c r="F193" s="15">
        <f t="shared" si="25"/>
        <v>67998</v>
      </c>
      <c r="G193" s="31">
        <v>40</v>
      </c>
      <c r="H193" s="12">
        <v>1699.95</v>
      </c>
      <c r="I193" s="8">
        <v>40</v>
      </c>
      <c r="J193" s="8">
        <f t="shared" si="26"/>
        <v>0</v>
      </c>
      <c r="K193" s="12">
        <f>(40*1699.95)</f>
        <v>67998</v>
      </c>
      <c r="L193" s="15">
        <f t="shared" si="23"/>
        <v>0</v>
      </c>
      <c r="M193" s="8"/>
      <c r="N193" s="39" t="e">
        <f>#REF!-H193</f>
        <v>#REF!</v>
      </c>
    </row>
    <row r="194" spans="2:14">
      <c r="B194" s="14">
        <v>190</v>
      </c>
      <c r="C194" s="4" t="s">
        <v>215</v>
      </c>
      <c r="D194" s="12">
        <v>60000</v>
      </c>
      <c r="E194" s="12">
        <v>7998</v>
      </c>
      <c r="F194" s="15">
        <f t="shared" si="25"/>
        <v>67998</v>
      </c>
      <c r="G194" s="31">
        <v>40</v>
      </c>
      <c r="H194" s="12">
        <v>1699.95</v>
      </c>
      <c r="I194" s="8">
        <v>40</v>
      </c>
      <c r="J194" s="8">
        <f t="shared" si="26"/>
        <v>0</v>
      </c>
      <c r="K194" s="12">
        <f>(40*1699.95)</f>
        <v>67998</v>
      </c>
      <c r="L194" s="15">
        <f t="shared" si="23"/>
        <v>0</v>
      </c>
      <c r="M194" s="8"/>
      <c r="N194" s="39" t="e">
        <f>#REF!-H194</f>
        <v>#REF!</v>
      </c>
    </row>
    <row r="195" spans="2:14">
      <c r="B195" s="14">
        <v>191</v>
      </c>
      <c r="C195" s="4" t="s">
        <v>220</v>
      </c>
      <c r="D195" s="12">
        <v>60000</v>
      </c>
      <c r="E195" s="12">
        <v>7998</v>
      </c>
      <c r="F195" s="15">
        <f t="shared" si="25"/>
        <v>67998</v>
      </c>
      <c r="G195" s="31">
        <v>40</v>
      </c>
      <c r="H195" s="12">
        <v>1699.95</v>
      </c>
      <c r="I195" s="8">
        <v>38</v>
      </c>
      <c r="J195" s="8">
        <f t="shared" si="26"/>
        <v>2</v>
      </c>
      <c r="K195" s="12">
        <f>(38*1699.89)</f>
        <v>64595.820000000007</v>
      </c>
      <c r="L195" s="15">
        <f t="shared" si="23"/>
        <v>3402.179999999993</v>
      </c>
      <c r="M195" s="8"/>
      <c r="N195" s="39" t="e">
        <f>#REF!-H195</f>
        <v>#REF!</v>
      </c>
    </row>
    <row r="196" spans="2:14">
      <c r="B196" s="14">
        <v>192</v>
      </c>
      <c r="C196" s="4" t="s">
        <v>218</v>
      </c>
      <c r="D196" s="12">
        <v>60000</v>
      </c>
      <c r="E196" s="12">
        <v>7998</v>
      </c>
      <c r="F196" s="15">
        <f t="shared" si="25"/>
        <v>67998</v>
      </c>
      <c r="G196" s="31">
        <v>40</v>
      </c>
      <c r="H196" s="12">
        <v>1699.95</v>
      </c>
      <c r="I196" s="8">
        <v>31</v>
      </c>
      <c r="J196" s="8">
        <f t="shared" si="26"/>
        <v>9</v>
      </c>
      <c r="K196" s="12">
        <f>(31*1699.95)</f>
        <v>52698.450000000004</v>
      </c>
      <c r="L196" s="15">
        <f t="shared" si="23"/>
        <v>15299.549999999996</v>
      </c>
      <c r="M196" s="8"/>
      <c r="N196" s="39" t="e">
        <f>#REF!-H196</f>
        <v>#REF!</v>
      </c>
    </row>
    <row r="197" spans="2:14">
      <c r="B197" s="14">
        <v>193</v>
      </c>
      <c r="C197" s="4" t="s">
        <v>219</v>
      </c>
      <c r="D197" s="12">
        <v>60000</v>
      </c>
      <c r="E197" s="12">
        <v>7998</v>
      </c>
      <c r="F197" s="15">
        <f t="shared" si="25"/>
        <v>67998</v>
      </c>
      <c r="G197" s="31">
        <v>40</v>
      </c>
      <c r="H197" s="12">
        <v>1699.95</v>
      </c>
      <c r="I197" s="8">
        <v>31</v>
      </c>
      <c r="J197" s="8">
        <f t="shared" si="26"/>
        <v>9</v>
      </c>
      <c r="K197" s="12">
        <f>(31*1699.95)</f>
        <v>52698.450000000004</v>
      </c>
      <c r="L197" s="15">
        <f t="shared" si="23"/>
        <v>15299.549999999996</v>
      </c>
      <c r="M197" s="8"/>
      <c r="N197" s="39" t="e">
        <f>#REF!-H197</f>
        <v>#REF!</v>
      </c>
    </row>
    <row r="198" spans="2:14">
      <c r="B198" s="14">
        <v>194</v>
      </c>
      <c r="C198" s="46" t="s">
        <v>216</v>
      </c>
      <c r="D198" s="12">
        <v>60000</v>
      </c>
      <c r="E198" s="12">
        <v>7998</v>
      </c>
      <c r="F198" s="15">
        <f t="shared" si="25"/>
        <v>67998</v>
      </c>
      <c r="G198" s="31">
        <v>40</v>
      </c>
      <c r="H198" s="24">
        <v>1699.95</v>
      </c>
      <c r="I198" s="8"/>
      <c r="J198" s="8">
        <f t="shared" si="26"/>
        <v>40</v>
      </c>
      <c r="K198" s="12"/>
      <c r="L198" s="15">
        <f t="shared" ref="L198:L218" si="27">F198-K198</f>
        <v>67998</v>
      </c>
      <c r="M198" s="8"/>
      <c r="N198" s="39" t="e">
        <f>#REF!-H198</f>
        <v>#REF!</v>
      </c>
    </row>
    <row r="199" spans="2:14">
      <c r="B199" s="14">
        <v>195</v>
      </c>
      <c r="C199" s="2" t="s">
        <v>224</v>
      </c>
      <c r="D199" s="12">
        <v>450000</v>
      </c>
      <c r="E199" s="12">
        <v>59985</v>
      </c>
      <c r="F199" s="12">
        <v>509985</v>
      </c>
      <c r="G199" s="31">
        <v>50</v>
      </c>
      <c r="H199" s="18">
        <v>20399.400000000001</v>
      </c>
      <c r="I199" s="33">
        <v>18</v>
      </c>
      <c r="J199" s="11">
        <f t="shared" si="26"/>
        <v>32</v>
      </c>
      <c r="K199" s="12">
        <f>(18*10199.7)</f>
        <v>183594.6</v>
      </c>
      <c r="L199" s="15">
        <f t="shared" si="27"/>
        <v>326390.40000000002</v>
      </c>
      <c r="M199" s="8" t="s">
        <v>253</v>
      </c>
    </row>
    <row r="200" spans="2:14">
      <c r="B200" s="14">
        <v>196</v>
      </c>
      <c r="C200" s="2" t="s">
        <v>241</v>
      </c>
      <c r="D200" s="12">
        <v>60000</v>
      </c>
      <c r="E200" s="12">
        <v>7998</v>
      </c>
      <c r="F200" s="15">
        <f>SUM(D200:E200)</f>
        <v>67998</v>
      </c>
      <c r="G200" s="31">
        <v>40</v>
      </c>
      <c r="H200" s="12">
        <v>3399.9</v>
      </c>
      <c r="I200" s="33">
        <v>31</v>
      </c>
      <c r="J200" s="11">
        <f t="shared" si="26"/>
        <v>9</v>
      </c>
      <c r="K200" s="12">
        <f>(31*1699.95)</f>
        <v>52698.450000000004</v>
      </c>
      <c r="L200" s="15">
        <f t="shared" si="27"/>
        <v>15299.549999999996</v>
      </c>
      <c r="M200" s="8" t="s">
        <v>253</v>
      </c>
      <c r="N200" s="39" t="e">
        <f>#REF!-H200</f>
        <v>#REF!</v>
      </c>
    </row>
    <row r="201" spans="2:14">
      <c r="B201" s="14">
        <v>197</v>
      </c>
      <c r="C201" s="2" t="s">
        <v>243</v>
      </c>
      <c r="D201" s="12">
        <v>60000</v>
      </c>
      <c r="E201" s="12">
        <v>7998</v>
      </c>
      <c r="F201" s="12">
        <v>67998</v>
      </c>
      <c r="G201" s="31">
        <v>40</v>
      </c>
      <c r="H201" s="12">
        <v>3399.9</v>
      </c>
      <c r="I201" s="31">
        <v>41</v>
      </c>
      <c r="J201" s="11">
        <f t="shared" si="26"/>
        <v>-1</v>
      </c>
      <c r="K201" s="12">
        <f>(41*1699.95)</f>
        <v>69697.95</v>
      </c>
      <c r="L201" s="15">
        <f t="shared" si="27"/>
        <v>-1699.9499999999971</v>
      </c>
      <c r="M201" s="8" t="s">
        <v>253</v>
      </c>
    </row>
    <row r="202" spans="2:14">
      <c r="B202" s="14">
        <v>198</v>
      </c>
      <c r="C202" s="2" t="s">
        <v>228</v>
      </c>
      <c r="D202" s="15">
        <v>200000</v>
      </c>
      <c r="E202" s="15">
        <v>26660</v>
      </c>
      <c r="F202" s="15">
        <v>226660</v>
      </c>
      <c r="G202" s="31">
        <v>40</v>
      </c>
      <c r="H202" s="18">
        <v>11333</v>
      </c>
      <c r="I202" s="31">
        <v>32</v>
      </c>
      <c r="J202" s="11">
        <f t="shared" si="26"/>
        <v>8</v>
      </c>
      <c r="K202" s="12">
        <f>(32*5666.5)</f>
        <v>181328</v>
      </c>
      <c r="L202" s="15">
        <f t="shared" si="27"/>
        <v>45332</v>
      </c>
      <c r="M202" s="8" t="s">
        <v>253</v>
      </c>
    </row>
    <row r="203" spans="2:14">
      <c r="B203" s="14">
        <v>199</v>
      </c>
      <c r="C203" s="2" t="s">
        <v>221</v>
      </c>
      <c r="D203" s="12">
        <v>330000</v>
      </c>
      <c r="E203" s="12">
        <v>21975</v>
      </c>
      <c r="F203" s="12">
        <v>351975</v>
      </c>
      <c r="G203" s="31">
        <v>25</v>
      </c>
      <c r="H203" s="18">
        <v>28158</v>
      </c>
      <c r="I203" s="33">
        <v>27</v>
      </c>
      <c r="J203" s="11">
        <f t="shared" si="26"/>
        <v>-2</v>
      </c>
      <c r="K203" s="16">
        <f>(27*14079)</f>
        <v>380133</v>
      </c>
      <c r="L203" s="15">
        <f t="shared" si="27"/>
        <v>-28158</v>
      </c>
      <c r="M203" s="8" t="s">
        <v>253</v>
      </c>
    </row>
    <row r="204" spans="2:14">
      <c r="B204" s="14">
        <v>200</v>
      </c>
      <c r="C204" s="2" t="s">
        <v>239</v>
      </c>
      <c r="D204" s="12">
        <v>132000</v>
      </c>
      <c r="E204" s="12">
        <v>17595.599999999999</v>
      </c>
      <c r="F204" s="12">
        <v>149595.6</v>
      </c>
      <c r="G204" s="30">
        <v>40</v>
      </c>
      <c r="H204" s="18">
        <v>14959.56</v>
      </c>
      <c r="I204" s="33">
        <v>41</v>
      </c>
      <c r="J204" s="11">
        <f t="shared" si="26"/>
        <v>-1</v>
      </c>
      <c r="K204" s="16">
        <f t="shared" ref="K204:K218" si="28">(27*14079)</f>
        <v>380133</v>
      </c>
      <c r="L204" s="15">
        <f t="shared" si="27"/>
        <v>-230537.4</v>
      </c>
      <c r="M204" s="8"/>
    </row>
    <row r="205" spans="2:14">
      <c r="B205" s="14">
        <v>201</v>
      </c>
      <c r="C205" s="2" t="s">
        <v>234</v>
      </c>
      <c r="D205" s="15">
        <v>200000</v>
      </c>
      <c r="E205" s="15">
        <v>26660</v>
      </c>
      <c r="F205" s="15">
        <v>226660</v>
      </c>
      <c r="G205" s="31">
        <v>40</v>
      </c>
      <c r="H205" s="18">
        <v>22666</v>
      </c>
      <c r="I205" s="31">
        <v>34</v>
      </c>
      <c r="J205" s="11">
        <f t="shared" si="26"/>
        <v>6</v>
      </c>
      <c r="K205" s="16">
        <f t="shared" si="28"/>
        <v>380133</v>
      </c>
      <c r="L205" s="15">
        <f t="shared" si="27"/>
        <v>-153473</v>
      </c>
      <c r="M205" s="8"/>
    </row>
    <row r="206" spans="2:14">
      <c r="B206" s="14">
        <v>202</v>
      </c>
      <c r="C206" s="2" t="s">
        <v>227</v>
      </c>
      <c r="D206" s="15">
        <v>200000</v>
      </c>
      <c r="E206" s="15">
        <v>26660</v>
      </c>
      <c r="F206" s="15">
        <v>226660</v>
      </c>
      <c r="G206" s="31">
        <v>40</v>
      </c>
      <c r="H206" s="18">
        <v>22666</v>
      </c>
      <c r="I206" s="31">
        <v>30</v>
      </c>
      <c r="J206" s="11">
        <f t="shared" si="26"/>
        <v>10</v>
      </c>
      <c r="K206" s="16">
        <f t="shared" si="28"/>
        <v>380133</v>
      </c>
      <c r="L206" s="15">
        <f t="shared" si="27"/>
        <v>-153473</v>
      </c>
      <c r="M206" s="8"/>
    </row>
    <row r="207" spans="2:14">
      <c r="B207" s="14">
        <v>203</v>
      </c>
      <c r="C207" s="2" t="s">
        <v>237</v>
      </c>
      <c r="D207" s="12">
        <v>132000</v>
      </c>
      <c r="E207" s="12">
        <v>17595.599999999999</v>
      </c>
      <c r="F207" s="12">
        <v>149595.6</v>
      </c>
      <c r="G207" s="30">
        <v>40</v>
      </c>
      <c r="H207" s="18">
        <v>14959.56</v>
      </c>
      <c r="I207" s="33">
        <v>28</v>
      </c>
      <c r="J207" s="11">
        <f t="shared" si="26"/>
        <v>12</v>
      </c>
      <c r="K207" s="16">
        <f t="shared" si="28"/>
        <v>380133</v>
      </c>
      <c r="L207" s="15">
        <f t="shared" si="27"/>
        <v>-230537.4</v>
      </c>
      <c r="M207" s="8"/>
    </row>
    <row r="208" spans="2:14">
      <c r="B208" s="14">
        <v>204</v>
      </c>
      <c r="C208" s="2" t="s">
        <v>233</v>
      </c>
      <c r="D208" s="15">
        <v>200000</v>
      </c>
      <c r="E208" s="15">
        <v>26660</v>
      </c>
      <c r="F208" s="15">
        <v>226660</v>
      </c>
      <c r="G208" s="31">
        <v>40</v>
      </c>
      <c r="H208" s="18">
        <v>22666</v>
      </c>
      <c r="I208" s="31">
        <v>34</v>
      </c>
      <c r="J208" s="11">
        <f t="shared" si="26"/>
        <v>6</v>
      </c>
      <c r="K208" s="16">
        <f t="shared" si="28"/>
        <v>380133</v>
      </c>
      <c r="L208" s="15">
        <f t="shared" si="27"/>
        <v>-153473</v>
      </c>
      <c r="M208" s="8"/>
    </row>
    <row r="209" spans="2:13">
      <c r="B209" s="14">
        <v>205</v>
      </c>
      <c r="C209" s="2" t="s">
        <v>232</v>
      </c>
      <c r="D209" s="15">
        <v>200000</v>
      </c>
      <c r="E209" s="15">
        <v>26660</v>
      </c>
      <c r="F209" s="15">
        <v>226660</v>
      </c>
      <c r="G209" s="31">
        <v>40</v>
      </c>
      <c r="H209" s="18">
        <v>22666</v>
      </c>
      <c r="I209" s="31">
        <v>31</v>
      </c>
      <c r="J209" s="11">
        <f t="shared" si="26"/>
        <v>9</v>
      </c>
      <c r="K209" s="16">
        <f t="shared" si="28"/>
        <v>380133</v>
      </c>
      <c r="L209" s="15">
        <f t="shared" si="27"/>
        <v>-153473</v>
      </c>
      <c r="M209" s="8"/>
    </row>
    <row r="210" spans="2:13">
      <c r="B210" s="14">
        <v>206</v>
      </c>
      <c r="C210" s="2" t="s">
        <v>16</v>
      </c>
      <c r="D210" s="12">
        <v>450000</v>
      </c>
      <c r="E210" s="12">
        <v>59985</v>
      </c>
      <c r="F210" s="12">
        <v>509985</v>
      </c>
      <c r="G210" s="33">
        <v>50</v>
      </c>
      <c r="H210" s="18">
        <v>45332</v>
      </c>
      <c r="I210" s="31">
        <v>6</v>
      </c>
      <c r="J210" s="11">
        <f t="shared" si="26"/>
        <v>44</v>
      </c>
      <c r="K210" s="16">
        <f t="shared" si="28"/>
        <v>380133</v>
      </c>
      <c r="L210" s="15">
        <f t="shared" si="27"/>
        <v>129852</v>
      </c>
      <c r="M210" s="8"/>
    </row>
    <row r="211" spans="2:13">
      <c r="B211" s="14">
        <v>207</v>
      </c>
      <c r="C211" s="2" t="s">
        <v>229</v>
      </c>
      <c r="D211" s="15">
        <v>200000</v>
      </c>
      <c r="E211" s="15">
        <v>26660</v>
      </c>
      <c r="F211" s="15">
        <v>226660</v>
      </c>
      <c r="G211" s="31">
        <v>40</v>
      </c>
      <c r="H211" s="18">
        <v>22666</v>
      </c>
      <c r="I211" s="31">
        <v>30</v>
      </c>
      <c r="J211" s="11">
        <f t="shared" si="26"/>
        <v>10</v>
      </c>
      <c r="K211" s="16">
        <f t="shared" si="28"/>
        <v>380133</v>
      </c>
      <c r="L211" s="15">
        <f t="shared" si="27"/>
        <v>-153473</v>
      </c>
      <c r="M211" s="8"/>
    </row>
    <row r="212" spans="2:13">
      <c r="B212" s="14">
        <v>208</v>
      </c>
      <c r="C212" s="2" t="s">
        <v>230</v>
      </c>
      <c r="D212" s="15">
        <v>200000</v>
      </c>
      <c r="E212" s="15">
        <v>26660</v>
      </c>
      <c r="F212" s="15">
        <v>226660</v>
      </c>
      <c r="G212" s="31">
        <v>40</v>
      </c>
      <c r="H212" s="18">
        <v>22666</v>
      </c>
      <c r="I212" s="31">
        <v>30</v>
      </c>
      <c r="J212" s="11">
        <f t="shared" si="26"/>
        <v>10</v>
      </c>
      <c r="K212" s="16">
        <f t="shared" si="28"/>
        <v>380133</v>
      </c>
      <c r="L212" s="15">
        <f t="shared" si="27"/>
        <v>-153473</v>
      </c>
      <c r="M212" s="8"/>
    </row>
    <row r="213" spans="2:13">
      <c r="B213" s="14">
        <v>209</v>
      </c>
      <c r="C213" s="2" t="s">
        <v>41</v>
      </c>
      <c r="D213" s="12">
        <v>450000</v>
      </c>
      <c r="E213" s="16">
        <v>59985</v>
      </c>
      <c r="F213" s="16">
        <v>509985</v>
      </c>
      <c r="G213" s="33">
        <v>50</v>
      </c>
      <c r="H213" s="18">
        <v>20399.400000000001</v>
      </c>
      <c r="I213" s="8">
        <v>2</v>
      </c>
      <c r="J213" s="11">
        <f t="shared" si="26"/>
        <v>48</v>
      </c>
      <c r="K213" s="16">
        <f t="shared" si="28"/>
        <v>380133</v>
      </c>
      <c r="L213" s="15">
        <f t="shared" si="27"/>
        <v>129852</v>
      </c>
      <c r="M213" s="8"/>
    </row>
    <row r="214" spans="2:13">
      <c r="B214" s="14">
        <v>210</v>
      </c>
      <c r="C214" s="23" t="s">
        <v>238</v>
      </c>
      <c r="D214" s="12">
        <v>132000</v>
      </c>
      <c r="E214" s="12">
        <v>17595.599999999999</v>
      </c>
      <c r="F214" s="12">
        <v>149595.6</v>
      </c>
      <c r="G214" s="30">
        <v>40</v>
      </c>
      <c r="H214" s="18">
        <v>14959.56</v>
      </c>
      <c r="I214" s="30">
        <v>40</v>
      </c>
      <c r="J214" s="11">
        <f t="shared" si="26"/>
        <v>0</v>
      </c>
      <c r="K214" s="16">
        <f t="shared" si="28"/>
        <v>380133</v>
      </c>
      <c r="L214" s="15">
        <f t="shared" si="27"/>
        <v>-230537.4</v>
      </c>
      <c r="M214" s="8"/>
    </row>
    <row r="215" spans="2:13">
      <c r="B215" s="14">
        <v>211</v>
      </c>
      <c r="C215" s="2" t="s">
        <v>236</v>
      </c>
      <c r="D215" s="12">
        <v>180000</v>
      </c>
      <c r="E215" s="12">
        <v>23994</v>
      </c>
      <c r="F215" s="12">
        <v>203994</v>
      </c>
      <c r="G215" s="30">
        <v>40</v>
      </c>
      <c r="H215" s="18">
        <v>20399.400000000001</v>
      </c>
      <c r="I215" s="30">
        <v>40</v>
      </c>
      <c r="J215" s="11">
        <f t="shared" si="26"/>
        <v>0</v>
      </c>
      <c r="K215" s="16">
        <f t="shared" si="28"/>
        <v>380133</v>
      </c>
      <c r="L215" s="15">
        <f t="shared" si="27"/>
        <v>-176139</v>
      </c>
      <c r="M215" s="8"/>
    </row>
    <row r="216" spans="2:13">
      <c r="B216" s="14">
        <v>212</v>
      </c>
      <c r="C216" s="2" t="s">
        <v>231</v>
      </c>
      <c r="D216" s="15">
        <v>200000</v>
      </c>
      <c r="E216" s="15">
        <v>26660</v>
      </c>
      <c r="F216" s="15">
        <v>226660</v>
      </c>
      <c r="G216" s="31">
        <v>40</v>
      </c>
      <c r="H216" s="18">
        <v>22666</v>
      </c>
      <c r="I216" s="31">
        <v>31</v>
      </c>
      <c r="J216" s="11">
        <f t="shared" si="26"/>
        <v>9</v>
      </c>
      <c r="K216" s="16">
        <f t="shared" si="28"/>
        <v>380133</v>
      </c>
      <c r="L216" s="15">
        <f t="shared" si="27"/>
        <v>-153473</v>
      </c>
      <c r="M216" s="8"/>
    </row>
    <row r="217" spans="2:13">
      <c r="B217" s="14">
        <v>213</v>
      </c>
      <c r="C217" s="2" t="s">
        <v>1110</v>
      </c>
      <c r="D217" s="12">
        <v>450000</v>
      </c>
      <c r="E217" s="12">
        <v>59985</v>
      </c>
      <c r="F217" s="15">
        <f>SUM(D217:E217)</f>
        <v>509985</v>
      </c>
      <c r="G217" s="31">
        <v>50</v>
      </c>
      <c r="H217" s="18">
        <v>10199.700000000001</v>
      </c>
      <c r="I217" s="33"/>
      <c r="J217" s="11"/>
      <c r="K217" s="16">
        <f t="shared" si="28"/>
        <v>380133</v>
      </c>
      <c r="L217" s="15">
        <f t="shared" si="27"/>
        <v>129852</v>
      </c>
      <c r="M217" s="8"/>
    </row>
    <row r="218" spans="2:13">
      <c r="B218" s="14">
        <v>214</v>
      </c>
      <c r="C218" s="2" t="s">
        <v>456</v>
      </c>
      <c r="D218" s="12">
        <v>60000</v>
      </c>
      <c r="E218" s="12">
        <v>7998</v>
      </c>
      <c r="F218" s="15">
        <f>SUM(D218:E218)</f>
        <v>67998</v>
      </c>
      <c r="G218" s="31">
        <v>40</v>
      </c>
      <c r="H218" s="18">
        <v>1699.95</v>
      </c>
      <c r="I218" s="33"/>
      <c r="J218" s="11"/>
      <c r="K218" s="16">
        <f t="shared" si="28"/>
        <v>380133</v>
      </c>
      <c r="L218" s="15">
        <f t="shared" si="27"/>
        <v>-312135</v>
      </c>
      <c r="M218" s="8"/>
    </row>
    <row r="219" spans="2:13">
      <c r="B219" s="14"/>
      <c r="C219" s="23"/>
      <c r="D219" s="34">
        <f>SUM(D6:D218)</f>
        <v>65140000</v>
      </c>
      <c r="E219" s="34">
        <f>SUM(E6:E218)</f>
        <v>8465578.2399999946</v>
      </c>
      <c r="F219" s="34">
        <f>SUM(F6:F218)</f>
        <v>73605578.23999995</v>
      </c>
      <c r="G219" s="31"/>
      <c r="H219" s="34">
        <f>SUM(H6:H218)</f>
        <v>1895212.4799999984</v>
      </c>
      <c r="I219" s="13"/>
      <c r="J219" s="13"/>
      <c r="K219" s="34">
        <f>SUM(K6:K176)</f>
        <v>35021854.110000007</v>
      </c>
      <c r="L219" s="34">
        <f>SUM(L6:L176)</f>
        <v>30740636.130000003</v>
      </c>
      <c r="M219" s="8"/>
    </row>
    <row r="220" spans="2:13" ht="20.25">
      <c r="B220" s="419" t="s">
        <v>245</v>
      </c>
      <c r="C220" s="419"/>
      <c r="D220" s="419"/>
      <c r="E220" s="419"/>
      <c r="F220" s="419"/>
      <c r="G220" s="419"/>
      <c r="H220" s="419"/>
      <c r="I220" s="419"/>
      <c r="J220" s="419"/>
      <c r="K220" s="419"/>
      <c r="L220" s="419"/>
      <c r="M220" s="419"/>
    </row>
    <row r="221" spans="2:13" ht="18">
      <c r="B221" s="418" t="s">
        <v>248</v>
      </c>
      <c r="C221" s="418"/>
      <c r="D221" s="418"/>
      <c r="E221" s="418"/>
      <c r="F221" s="418"/>
      <c r="G221" s="418"/>
      <c r="H221" s="418"/>
      <c r="I221" s="418"/>
      <c r="J221" s="418"/>
      <c r="K221" s="418"/>
      <c r="L221" s="418"/>
      <c r="M221" s="418"/>
    </row>
    <row r="222" spans="2:13" ht="18">
      <c r="B222" s="420" t="s">
        <v>252</v>
      </c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2"/>
    </row>
    <row r="223" spans="2:13" s="44" customFormat="1" ht="35.25" customHeight="1">
      <c r="B223" s="49" t="s">
        <v>0</v>
      </c>
      <c r="C223" s="49" t="s">
        <v>1</v>
      </c>
      <c r="D223" s="50" t="s">
        <v>2</v>
      </c>
      <c r="E223" s="50" t="s">
        <v>3</v>
      </c>
      <c r="F223" s="49" t="s">
        <v>4</v>
      </c>
      <c r="G223" s="50" t="s">
        <v>5</v>
      </c>
      <c r="H223" s="51" t="s">
        <v>6</v>
      </c>
      <c r="I223" s="50" t="s">
        <v>7</v>
      </c>
      <c r="J223" s="51" t="s">
        <v>8</v>
      </c>
      <c r="K223" s="50" t="s">
        <v>9</v>
      </c>
      <c r="L223" s="51" t="s">
        <v>10</v>
      </c>
      <c r="M223" s="51" t="s">
        <v>11</v>
      </c>
    </row>
    <row r="224" spans="2:13">
      <c r="B224" s="14">
        <v>1</v>
      </c>
      <c r="C224" s="2" t="s">
        <v>40</v>
      </c>
      <c r="D224" s="12">
        <v>450000</v>
      </c>
      <c r="E224" s="16">
        <v>59985</v>
      </c>
      <c r="F224" s="16">
        <v>509985</v>
      </c>
      <c r="G224" s="33">
        <v>50</v>
      </c>
      <c r="H224" s="16">
        <v>10199.700000000001</v>
      </c>
      <c r="I224" s="8">
        <v>3</v>
      </c>
      <c r="J224" s="8">
        <f>G224-I224</f>
        <v>47</v>
      </c>
      <c r="K224" s="12">
        <f>(3*10199)</f>
        <v>30597</v>
      </c>
      <c r="L224" s="12">
        <f>F224-K224</f>
        <v>479388</v>
      </c>
      <c r="M224" s="1"/>
    </row>
    <row r="225" spans="2:13">
      <c r="B225" s="14">
        <v>3</v>
      </c>
      <c r="C225" s="2" t="s">
        <v>235</v>
      </c>
      <c r="D225" s="12">
        <v>180000</v>
      </c>
      <c r="E225" s="12">
        <v>23994</v>
      </c>
      <c r="F225" s="12">
        <v>203994</v>
      </c>
      <c r="G225" s="30">
        <v>40</v>
      </c>
      <c r="H225" s="18">
        <v>5099.8500000000004</v>
      </c>
      <c r="I225" s="30">
        <v>40</v>
      </c>
      <c r="J225" s="8">
        <f t="shared" ref="J225:J234" si="29">G225-I225</f>
        <v>0</v>
      </c>
      <c r="K225" s="12">
        <f>(40*5099.85)</f>
        <v>203994</v>
      </c>
      <c r="L225" s="15">
        <f t="shared" ref="L225:L234" si="30">F225-K225</f>
        <v>0</v>
      </c>
      <c r="M225" s="8"/>
    </row>
    <row r="226" spans="2:13">
      <c r="B226" s="14">
        <v>4</v>
      </c>
      <c r="C226" s="2" t="s">
        <v>22</v>
      </c>
      <c r="D226" s="18">
        <v>500000</v>
      </c>
      <c r="E226" s="18">
        <v>66650</v>
      </c>
      <c r="F226" s="18">
        <v>566650</v>
      </c>
      <c r="G226" s="33">
        <v>50</v>
      </c>
      <c r="H226" s="16">
        <v>11333</v>
      </c>
      <c r="I226" s="8">
        <v>2</v>
      </c>
      <c r="J226" s="8">
        <f t="shared" si="29"/>
        <v>48</v>
      </c>
      <c r="K226" s="12">
        <f>(2*11333)</f>
        <v>22666</v>
      </c>
      <c r="L226" s="12">
        <f t="shared" si="30"/>
        <v>543984</v>
      </c>
      <c r="M226" s="8"/>
    </row>
    <row r="227" spans="2:13">
      <c r="B227" s="14">
        <v>5</v>
      </c>
      <c r="C227" s="2" t="s">
        <v>223</v>
      </c>
      <c r="D227" s="12">
        <v>500000</v>
      </c>
      <c r="E227" s="12">
        <v>66650</v>
      </c>
      <c r="F227" s="12">
        <v>566650</v>
      </c>
      <c r="G227" s="31">
        <v>50</v>
      </c>
      <c r="H227" s="18">
        <v>11333</v>
      </c>
      <c r="I227" s="33">
        <v>17</v>
      </c>
      <c r="J227" s="8">
        <f t="shared" si="29"/>
        <v>33</v>
      </c>
      <c r="K227" s="12">
        <f>(17*11333)</f>
        <v>192661</v>
      </c>
      <c r="L227" s="15">
        <f t="shared" si="30"/>
        <v>373989</v>
      </c>
      <c r="M227" s="8"/>
    </row>
    <row r="228" spans="2:13">
      <c r="B228" s="14">
        <v>6</v>
      </c>
      <c r="C228" s="2" t="s">
        <v>42</v>
      </c>
      <c r="D228" s="12">
        <v>450000</v>
      </c>
      <c r="E228" s="16">
        <v>59985</v>
      </c>
      <c r="F228" s="16">
        <v>509985</v>
      </c>
      <c r="G228" s="33">
        <v>50</v>
      </c>
      <c r="H228" s="16">
        <v>10199.700000000001</v>
      </c>
      <c r="I228" s="8">
        <v>2</v>
      </c>
      <c r="J228" s="8">
        <f t="shared" si="29"/>
        <v>48</v>
      </c>
      <c r="K228" s="12">
        <f>(2*10199)</f>
        <v>20398</v>
      </c>
      <c r="L228" s="12">
        <f t="shared" si="30"/>
        <v>489587</v>
      </c>
      <c r="M228" s="8"/>
    </row>
    <row r="229" spans="2:13">
      <c r="B229" s="14">
        <v>8</v>
      </c>
      <c r="C229" s="2" t="s">
        <v>242</v>
      </c>
      <c r="D229" s="12">
        <v>60000</v>
      </c>
      <c r="E229" s="12">
        <v>7998</v>
      </c>
      <c r="F229" s="15">
        <f>SUM(D229:E229)</f>
        <v>67998</v>
      </c>
      <c r="G229" s="31">
        <v>40</v>
      </c>
      <c r="H229" s="12">
        <v>1699.95</v>
      </c>
      <c r="I229" s="33">
        <v>38</v>
      </c>
      <c r="J229" s="8">
        <f t="shared" si="29"/>
        <v>2</v>
      </c>
      <c r="K229" s="12">
        <f>(38*1699.95)</f>
        <v>64598.1</v>
      </c>
      <c r="L229" s="15">
        <f t="shared" si="30"/>
        <v>3399.9000000000015</v>
      </c>
      <c r="M229" s="10"/>
    </row>
    <row r="230" spans="2:13">
      <c r="B230" s="14">
        <v>9</v>
      </c>
      <c r="C230" s="2" t="s">
        <v>240</v>
      </c>
      <c r="D230" s="16">
        <v>132000</v>
      </c>
      <c r="E230" s="16">
        <v>17595.599999999999</v>
      </c>
      <c r="F230" s="16">
        <v>149595.6</v>
      </c>
      <c r="G230" s="45">
        <v>40</v>
      </c>
      <c r="H230" s="19">
        <v>3739.89</v>
      </c>
      <c r="I230" s="33"/>
      <c r="J230" s="8">
        <f t="shared" si="29"/>
        <v>40</v>
      </c>
      <c r="K230" s="12"/>
      <c r="L230" s="15">
        <f t="shared" si="30"/>
        <v>149595.6</v>
      </c>
      <c r="M230" s="8"/>
    </row>
    <row r="231" spans="2:13">
      <c r="B231" s="14">
        <v>10</v>
      </c>
      <c r="C231" s="2" t="s">
        <v>222</v>
      </c>
      <c r="D231" s="12">
        <v>500000</v>
      </c>
      <c r="E231" s="12">
        <v>66650</v>
      </c>
      <c r="F231" s="12">
        <v>566650</v>
      </c>
      <c r="G231" s="31">
        <v>50</v>
      </c>
      <c r="H231" s="18">
        <v>11333</v>
      </c>
      <c r="I231" s="33">
        <v>16</v>
      </c>
      <c r="J231" s="8">
        <f t="shared" si="29"/>
        <v>34</v>
      </c>
      <c r="K231" s="12">
        <f>(16*11333)</f>
        <v>181328</v>
      </c>
      <c r="L231" s="15">
        <f t="shared" si="30"/>
        <v>385322</v>
      </c>
      <c r="M231" s="8"/>
    </row>
    <row r="232" spans="2:13">
      <c r="B232" s="14">
        <v>11</v>
      </c>
      <c r="C232" s="2" t="s">
        <v>225</v>
      </c>
      <c r="D232" s="15">
        <v>200000</v>
      </c>
      <c r="E232" s="15">
        <v>26660</v>
      </c>
      <c r="F232" s="15">
        <v>226660</v>
      </c>
      <c r="G232" s="32">
        <v>40</v>
      </c>
      <c r="H232" s="18">
        <v>5666.5</v>
      </c>
      <c r="I232" s="30">
        <v>40</v>
      </c>
      <c r="J232" s="8">
        <f t="shared" si="29"/>
        <v>0</v>
      </c>
      <c r="K232" s="15">
        <f>(40*5666.5)</f>
        <v>226660</v>
      </c>
      <c r="L232" s="15">
        <f t="shared" si="30"/>
        <v>0</v>
      </c>
      <c r="M232" s="8"/>
    </row>
    <row r="233" spans="2:13">
      <c r="B233" s="14">
        <v>12</v>
      </c>
      <c r="C233" s="2" t="s">
        <v>34</v>
      </c>
      <c r="D233" s="20">
        <v>150000</v>
      </c>
      <c r="E233" s="20">
        <v>19995</v>
      </c>
      <c r="F233" s="20">
        <f>SUM(D233:E233)</f>
        <v>169995</v>
      </c>
      <c r="G233" s="33">
        <v>50</v>
      </c>
      <c r="H233" s="3">
        <v>3399.9</v>
      </c>
      <c r="I233" s="8">
        <v>3</v>
      </c>
      <c r="J233" s="8">
        <f t="shared" si="29"/>
        <v>47</v>
      </c>
      <c r="K233" s="3">
        <f>(3*3399.9)</f>
        <v>10199.700000000001</v>
      </c>
      <c r="L233" s="12">
        <f t="shared" si="30"/>
        <v>159795.29999999999</v>
      </c>
      <c r="M233" s="8"/>
    </row>
    <row r="234" spans="2:13">
      <c r="B234" s="14">
        <v>13</v>
      </c>
      <c r="C234" s="2" t="s">
        <v>226</v>
      </c>
      <c r="D234" s="15">
        <v>200000</v>
      </c>
      <c r="E234" s="15">
        <v>26660</v>
      </c>
      <c r="F234" s="15">
        <v>226660</v>
      </c>
      <c r="G234" s="31">
        <v>40</v>
      </c>
      <c r="H234" s="18">
        <v>5666.5</v>
      </c>
      <c r="I234" s="31">
        <v>34</v>
      </c>
      <c r="J234" s="8">
        <f t="shared" si="29"/>
        <v>6</v>
      </c>
      <c r="K234" s="12">
        <f>(34*5666.5)</f>
        <v>192661</v>
      </c>
      <c r="L234" s="15">
        <f t="shared" si="30"/>
        <v>33999</v>
      </c>
      <c r="M234" s="1"/>
    </row>
    <row r="235" spans="2:13">
      <c r="B235" s="14"/>
      <c r="C235" s="2"/>
      <c r="D235" s="15"/>
      <c r="E235" s="15"/>
      <c r="F235" s="15"/>
      <c r="G235" s="31"/>
      <c r="H235" s="18"/>
      <c r="I235" s="31"/>
      <c r="J235" s="8"/>
      <c r="K235" s="12"/>
      <c r="L235" s="15"/>
      <c r="M235" s="1"/>
    </row>
    <row r="236" spans="2:13">
      <c r="B236" s="14">
        <v>15</v>
      </c>
      <c r="C236" s="2" t="s">
        <v>239</v>
      </c>
      <c r="D236" s="12">
        <v>132000</v>
      </c>
      <c r="E236" s="12">
        <v>17595.599999999999</v>
      </c>
      <c r="F236" s="12">
        <v>149595.6</v>
      </c>
      <c r="G236" s="30">
        <v>40</v>
      </c>
      <c r="H236" s="18">
        <v>3739.89</v>
      </c>
      <c r="I236" s="33">
        <v>41</v>
      </c>
      <c r="J236" s="8">
        <f t="shared" ref="J236:J248" si="31">G236-I236</f>
        <v>-1</v>
      </c>
      <c r="K236" s="12">
        <f>(41*3739.89)</f>
        <v>153335.49</v>
      </c>
      <c r="L236" s="15">
        <f t="shared" ref="L236:L248" si="32">F236-K236</f>
        <v>-3739.8899999999849</v>
      </c>
      <c r="M236" s="8"/>
    </row>
    <row r="237" spans="2:13">
      <c r="B237" s="14">
        <v>16</v>
      </c>
      <c r="C237" s="2" t="s">
        <v>234</v>
      </c>
      <c r="D237" s="15">
        <v>200000</v>
      </c>
      <c r="E237" s="15">
        <v>26660</v>
      </c>
      <c r="F237" s="15">
        <v>226660</v>
      </c>
      <c r="G237" s="31">
        <v>40</v>
      </c>
      <c r="H237" s="18">
        <v>5666.5</v>
      </c>
      <c r="I237" s="31">
        <v>34</v>
      </c>
      <c r="J237" s="8">
        <f t="shared" si="31"/>
        <v>6</v>
      </c>
      <c r="K237" s="12">
        <f>(34*5666.5)</f>
        <v>192661</v>
      </c>
      <c r="L237" s="15">
        <f t="shared" si="32"/>
        <v>33999</v>
      </c>
      <c r="M237" s="8"/>
    </row>
    <row r="238" spans="2:13">
      <c r="B238" s="14">
        <v>17</v>
      </c>
      <c r="C238" s="2" t="s">
        <v>227</v>
      </c>
      <c r="D238" s="15">
        <v>200000</v>
      </c>
      <c r="E238" s="15">
        <v>26660</v>
      </c>
      <c r="F238" s="15">
        <v>226660</v>
      </c>
      <c r="G238" s="31">
        <v>40</v>
      </c>
      <c r="H238" s="18">
        <v>5666.5</v>
      </c>
      <c r="I238" s="31">
        <v>30</v>
      </c>
      <c r="J238" s="8">
        <f t="shared" si="31"/>
        <v>10</v>
      </c>
      <c r="K238" s="12">
        <f>(30*5666.5)</f>
        <v>169995</v>
      </c>
      <c r="L238" s="15">
        <f t="shared" si="32"/>
        <v>56665</v>
      </c>
      <c r="M238" s="8"/>
    </row>
    <row r="239" spans="2:13">
      <c r="B239" s="14">
        <v>18</v>
      </c>
      <c r="C239" s="2" t="s">
        <v>237</v>
      </c>
      <c r="D239" s="12">
        <v>132000</v>
      </c>
      <c r="E239" s="12">
        <v>17595.599999999999</v>
      </c>
      <c r="F239" s="12">
        <v>149595.6</v>
      </c>
      <c r="G239" s="30">
        <v>40</v>
      </c>
      <c r="H239" s="18">
        <v>3739.89</v>
      </c>
      <c r="I239" s="33">
        <v>28</v>
      </c>
      <c r="J239" s="8">
        <f t="shared" si="31"/>
        <v>12</v>
      </c>
      <c r="K239" s="12">
        <f>(28*3739.89)</f>
        <v>104716.92</v>
      </c>
      <c r="L239" s="15">
        <f t="shared" si="32"/>
        <v>44878.680000000008</v>
      </c>
      <c r="M239" s="8"/>
    </row>
    <row r="240" spans="2:13">
      <c r="B240" s="14">
        <v>19</v>
      </c>
      <c r="C240" s="2" t="s">
        <v>233</v>
      </c>
      <c r="D240" s="15">
        <v>200000</v>
      </c>
      <c r="E240" s="15">
        <v>26660</v>
      </c>
      <c r="F240" s="15">
        <v>226660</v>
      </c>
      <c r="G240" s="31">
        <v>40</v>
      </c>
      <c r="H240" s="18">
        <v>5666.5</v>
      </c>
      <c r="I240" s="31">
        <v>34</v>
      </c>
      <c r="J240" s="8">
        <f t="shared" si="31"/>
        <v>6</v>
      </c>
      <c r="K240" s="12">
        <f>(34*5666.5)</f>
        <v>192661</v>
      </c>
      <c r="L240" s="15">
        <f t="shared" si="32"/>
        <v>33999</v>
      </c>
      <c r="M240" s="8"/>
    </row>
    <row r="241" spans="2:14">
      <c r="B241" s="14">
        <v>20</v>
      </c>
      <c r="C241" s="2" t="s">
        <v>232</v>
      </c>
      <c r="D241" s="15">
        <v>200000</v>
      </c>
      <c r="E241" s="15">
        <v>26660</v>
      </c>
      <c r="F241" s="15">
        <v>226660</v>
      </c>
      <c r="G241" s="31">
        <v>40</v>
      </c>
      <c r="H241" s="18">
        <v>5666.5</v>
      </c>
      <c r="I241" s="31">
        <v>31</v>
      </c>
      <c r="J241" s="8">
        <f t="shared" si="31"/>
        <v>9</v>
      </c>
      <c r="K241" s="12">
        <f>(31*5666.5)</f>
        <v>175661.5</v>
      </c>
      <c r="L241" s="15">
        <f t="shared" si="32"/>
        <v>50998.5</v>
      </c>
      <c r="M241" s="10"/>
    </row>
    <row r="242" spans="2:14">
      <c r="B242" s="14">
        <v>21</v>
      </c>
      <c r="C242" s="2" t="s">
        <v>16</v>
      </c>
      <c r="D242" s="12">
        <v>450000</v>
      </c>
      <c r="E242" s="12">
        <v>59985</v>
      </c>
      <c r="F242" s="12">
        <v>509985</v>
      </c>
      <c r="G242" s="33">
        <v>50</v>
      </c>
      <c r="H242" s="19">
        <v>11333</v>
      </c>
      <c r="I242" s="31">
        <v>6</v>
      </c>
      <c r="J242" s="8">
        <f t="shared" si="31"/>
        <v>44</v>
      </c>
      <c r="K242" s="12">
        <f>(6*11333)</f>
        <v>67998</v>
      </c>
      <c r="L242" s="15">
        <f t="shared" si="32"/>
        <v>441987</v>
      </c>
      <c r="M242" s="8"/>
    </row>
    <row r="243" spans="2:14">
      <c r="B243" s="14">
        <v>22</v>
      </c>
      <c r="C243" s="2" t="s">
        <v>229</v>
      </c>
      <c r="D243" s="15">
        <v>200000</v>
      </c>
      <c r="E243" s="15">
        <v>26660</v>
      </c>
      <c r="F243" s="15">
        <v>226660</v>
      </c>
      <c r="G243" s="31">
        <v>40</v>
      </c>
      <c r="H243" s="18">
        <v>5666.5</v>
      </c>
      <c r="I243" s="31">
        <v>30</v>
      </c>
      <c r="J243" s="8">
        <f t="shared" si="31"/>
        <v>10</v>
      </c>
      <c r="K243" s="12">
        <f>(30*5666.5)</f>
        <v>169995</v>
      </c>
      <c r="L243" s="15">
        <f t="shared" si="32"/>
        <v>56665</v>
      </c>
      <c r="M243" s="1"/>
    </row>
    <row r="244" spans="2:14">
      <c r="B244" s="14">
        <v>23</v>
      </c>
      <c r="C244" s="2" t="s">
        <v>230</v>
      </c>
      <c r="D244" s="15">
        <v>200000</v>
      </c>
      <c r="E244" s="15">
        <v>26660</v>
      </c>
      <c r="F244" s="15">
        <v>226660</v>
      </c>
      <c r="G244" s="31">
        <v>40</v>
      </c>
      <c r="H244" s="18">
        <v>5666.5</v>
      </c>
      <c r="I244" s="31">
        <v>30</v>
      </c>
      <c r="J244" s="8">
        <f t="shared" si="31"/>
        <v>10</v>
      </c>
      <c r="K244" s="12">
        <f>(30*5666.5)</f>
        <v>169995</v>
      </c>
      <c r="L244" s="15">
        <f t="shared" si="32"/>
        <v>56665</v>
      </c>
      <c r="M244" s="10"/>
    </row>
    <row r="245" spans="2:14">
      <c r="B245" s="14">
        <v>24</v>
      </c>
      <c r="C245" s="2" t="s">
        <v>41</v>
      </c>
      <c r="D245" s="12">
        <v>450000</v>
      </c>
      <c r="E245" s="16">
        <v>59985</v>
      </c>
      <c r="F245" s="16">
        <v>509985</v>
      </c>
      <c r="G245" s="33">
        <v>50</v>
      </c>
      <c r="H245" s="16">
        <v>10199.700000000001</v>
      </c>
      <c r="I245" s="8">
        <v>2</v>
      </c>
      <c r="J245" s="8">
        <f t="shared" si="31"/>
        <v>48</v>
      </c>
      <c r="K245" s="12">
        <f>(2*10199)</f>
        <v>20398</v>
      </c>
      <c r="L245" s="12">
        <f t="shared" si="32"/>
        <v>489587</v>
      </c>
      <c r="M245" s="10"/>
    </row>
    <row r="246" spans="2:14">
      <c r="B246" s="14">
        <v>25</v>
      </c>
      <c r="C246" s="23" t="s">
        <v>238</v>
      </c>
      <c r="D246" s="12">
        <v>132000</v>
      </c>
      <c r="E246" s="12">
        <v>17595.599999999999</v>
      </c>
      <c r="F246" s="12">
        <v>149595.6</v>
      </c>
      <c r="G246" s="30">
        <v>40</v>
      </c>
      <c r="H246" s="18">
        <v>3739.89</v>
      </c>
      <c r="I246" s="30">
        <v>40</v>
      </c>
      <c r="J246" s="8">
        <f t="shared" si="31"/>
        <v>0</v>
      </c>
      <c r="K246" s="12">
        <f>(40*3739.89)</f>
        <v>149595.6</v>
      </c>
      <c r="L246" s="15">
        <f t="shared" si="32"/>
        <v>0</v>
      </c>
      <c r="M246" s="1"/>
    </row>
    <row r="247" spans="2:14">
      <c r="B247" s="14">
        <v>26</v>
      </c>
      <c r="C247" s="2" t="s">
        <v>236</v>
      </c>
      <c r="D247" s="12">
        <v>180000</v>
      </c>
      <c r="E247" s="12">
        <v>23994</v>
      </c>
      <c r="F247" s="12">
        <v>203994</v>
      </c>
      <c r="G247" s="30">
        <v>40</v>
      </c>
      <c r="H247" s="18">
        <v>5099.8500000000004</v>
      </c>
      <c r="I247" s="30">
        <v>40</v>
      </c>
      <c r="J247" s="8">
        <f t="shared" si="31"/>
        <v>0</v>
      </c>
      <c r="K247" s="12">
        <f>(40*5099.85)</f>
        <v>203994</v>
      </c>
      <c r="L247" s="15">
        <f t="shared" si="32"/>
        <v>0</v>
      </c>
      <c r="M247" s="8"/>
      <c r="N247" s="39" t="e">
        <f>#REF!-H247</f>
        <v>#REF!</v>
      </c>
    </row>
    <row r="248" spans="2:14">
      <c r="B248" s="14">
        <v>28</v>
      </c>
      <c r="C248" s="2" t="s">
        <v>231</v>
      </c>
      <c r="D248" s="15">
        <v>200000</v>
      </c>
      <c r="E248" s="15">
        <v>26660</v>
      </c>
      <c r="F248" s="15">
        <v>226660</v>
      </c>
      <c r="G248" s="31">
        <v>40</v>
      </c>
      <c r="H248" s="18">
        <v>5666.5</v>
      </c>
      <c r="I248" s="31">
        <v>31</v>
      </c>
      <c r="J248" s="8">
        <f t="shared" si="31"/>
        <v>9</v>
      </c>
      <c r="K248" s="12">
        <f>(31*5666.5)</f>
        <v>175661.5</v>
      </c>
      <c r="L248" s="15">
        <f t="shared" si="32"/>
        <v>50998.5</v>
      </c>
      <c r="M248" s="8"/>
      <c r="N248" s="39" t="e">
        <f>#REF!-H248</f>
        <v>#REF!</v>
      </c>
    </row>
    <row r="249" spans="2:14">
      <c r="B249" s="14"/>
      <c r="C249" s="2"/>
      <c r="D249" s="15"/>
      <c r="E249" s="15"/>
      <c r="F249" s="15"/>
      <c r="G249" s="31"/>
      <c r="H249" s="18">
        <f>SUM(H236:H248)</f>
        <v>77517.72</v>
      </c>
      <c r="I249" s="31"/>
      <c r="J249" s="8"/>
      <c r="K249" s="12"/>
      <c r="L249" s="15"/>
      <c r="M249" s="8"/>
      <c r="N249" s="39"/>
    </row>
    <row r="250" spans="2:14">
      <c r="B250" s="14"/>
      <c r="C250" s="29"/>
      <c r="D250" s="34">
        <f>SUM(D224:D248)</f>
        <v>6198000</v>
      </c>
      <c r="E250" s="34">
        <f>SUM(E224:E246)</f>
        <v>775539.39999999991</v>
      </c>
      <c r="F250" s="34">
        <f>SUM(F224:F246)</f>
        <v>6593539.3999999994</v>
      </c>
      <c r="G250" s="42"/>
      <c r="H250" s="34">
        <f>SUM(H224:H248)</f>
        <v>157188.71000000002</v>
      </c>
      <c r="I250" s="40"/>
      <c r="J250" s="35"/>
      <c r="K250" s="34">
        <f>SUM(K224:K246)</f>
        <v>2712775.31</v>
      </c>
      <c r="L250" s="36">
        <f>SUM(L224:L246)</f>
        <v>3880764.09</v>
      </c>
      <c r="M250" s="8"/>
    </row>
    <row r="251" spans="2:14">
      <c r="B251" s="14"/>
      <c r="C251" s="29"/>
      <c r="D251" s="34">
        <f>D219+D250</f>
        <v>71338000</v>
      </c>
      <c r="E251" s="34">
        <f>E219+E250</f>
        <v>9241117.639999995</v>
      </c>
      <c r="F251" s="34">
        <f>F219+F250</f>
        <v>80199117.639999956</v>
      </c>
      <c r="G251" s="42"/>
      <c r="H251" s="34">
        <f>H219+H250</f>
        <v>2052401.1899999983</v>
      </c>
      <c r="I251" s="33"/>
      <c r="J251" s="33"/>
      <c r="K251" s="34">
        <f>K219+K250</f>
        <v>37734629.420000009</v>
      </c>
      <c r="L251" s="34">
        <f>L219+L250</f>
        <v>34621400.219999999</v>
      </c>
      <c r="M251" s="8"/>
    </row>
    <row r="252" spans="2:14">
      <c r="B252" s="8"/>
      <c r="C252" s="8"/>
      <c r="D252" s="8"/>
      <c r="E252" s="8"/>
      <c r="F252" s="8"/>
      <c r="G252" s="31"/>
      <c r="H252" s="8"/>
      <c r="I252" s="8"/>
      <c r="J252" s="8"/>
      <c r="K252" s="8"/>
      <c r="L252" s="13">
        <f>F252-K252</f>
        <v>0</v>
      </c>
      <c r="M252" s="8"/>
    </row>
    <row r="253" spans="2:14">
      <c r="B253" s="8"/>
      <c r="C253" s="8"/>
      <c r="D253" s="8"/>
      <c r="E253" s="8"/>
      <c r="F253" s="8"/>
      <c r="G253" s="31"/>
      <c r="H253" s="8"/>
      <c r="I253" s="8"/>
      <c r="J253" s="8"/>
      <c r="K253" s="8"/>
      <c r="L253" s="8"/>
      <c r="M253" s="8"/>
    </row>
    <row r="254" spans="2:14">
      <c r="B254" s="14">
        <v>173</v>
      </c>
      <c r="C254" s="23" t="s">
        <v>244</v>
      </c>
      <c r="D254" s="12">
        <v>330000</v>
      </c>
      <c r="E254" s="12">
        <v>43989</v>
      </c>
      <c r="F254" s="12">
        <v>373989</v>
      </c>
      <c r="G254" s="31">
        <v>50</v>
      </c>
      <c r="H254" s="12">
        <v>7479.78</v>
      </c>
      <c r="I254" s="11">
        <v>15</v>
      </c>
      <c r="J254" s="11">
        <v>35</v>
      </c>
      <c r="K254" s="16">
        <f>(15*7479.78)</f>
        <v>112196.7</v>
      </c>
      <c r="L254" s="16">
        <v>261792.3</v>
      </c>
      <c r="M254" s="8"/>
    </row>
    <row r="256" spans="2:14">
      <c r="B256" s="14">
        <v>29</v>
      </c>
      <c r="C256" s="2" t="s">
        <v>133</v>
      </c>
      <c r="D256" s="15">
        <v>200000</v>
      </c>
      <c r="E256" s="15">
        <v>26660</v>
      </c>
      <c r="F256" s="15">
        <f>SUM(D256:E256)</f>
        <v>226660</v>
      </c>
      <c r="G256" s="31">
        <v>40</v>
      </c>
      <c r="H256" s="15">
        <v>5666.5</v>
      </c>
      <c r="I256" s="8">
        <v>37</v>
      </c>
      <c r="J256" s="8">
        <v>3</v>
      </c>
      <c r="K256" s="12">
        <f>(37*5666.5)</f>
        <v>209660.5</v>
      </c>
      <c r="L256" s="15">
        <f>F256-K256</f>
        <v>16999.5</v>
      </c>
      <c r="M256" s="8"/>
      <c r="N256" s="39" t="e">
        <f>#REF!-H256</f>
        <v>#REF!</v>
      </c>
    </row>
    <row r="257" spans="2:14">
      <c r="B257" s="14">
        <v>85</v>
      </c>
      <c r="C257" s="25" t="s">
        <v>67</v>
      </c>
      <c r="D257" s="12">
        <v>500000</v>
      </c>
      <c r="E257" s="12">
        <v>66650</v>
      </c>
      <c r="F257" s="15">
        <f>SUM(D257:E257)</f>
        <v>566650</v>
      </c>
      <c r="G257" s="31">
        <v>50</v>
      </c>
      <c r="H257" s="18">
        <v>11333</v>
      </c>
      <c r="I257" s="8">
        <v>20</v>
      </c>
      <c r="J257" s="8">
        <v>30</v>
      </c>
      <c r="K257" s="12">
        <f>(20*11333)</f>
        <v>226660</v>
      </c>
      <c r="L257" s="15">
        <f>F257-K257</f>
        <v>339990</v>
      </c>
      <c r="M257" s="8"/>
      <c r="N257" s="39" t="e">
        <f>#REF!-H257</f>
        <v>#REF!</v>
      </c>
    </row>
    <row r="258" spans="2:14">
      <c r="B258" s="14">
        <v>104</v>
      </c>
      <c r="C258" s="2" t="s">
        <v>161</v>
      </c>
      <c r="D258" s="15">
        <v>200000</v>
      </c>
      <c r="E258" s="15">
        <v>26660</v>
      </c>
      <c r="F258" s="15">
        <f>SUM(D258:E258)</f>
        <v>226660</v>
      </c>
      <c r="G258" s="32">
        <v>40</v>
      </c>
      <c r="H258" s="15">
        <v>5666.5</v>
      </c>
      <c r="I258" s="22">
        <v>38</v>
      </c>
      <c r="J258" s="21">
        <v>2</v>
      </c>
      <c r="K258" s="15">
        <f>(38*5666.5)</f>
        <v>215327</v>
      </c>
      <c r="L258" s="15">
        <f>F258-K258</f>
        <v>11333</v>
      </c>
      <c r="M258" s="10"/>
      <c r="N258" s="39" t="e">
        <f>#REF!-H258</f>
        <v>#REF!</v>
      </c>
    </row>
    <row r="259" spans="2:14">
      <c r="B259" s="14">
        <v>127</v>
      </c>
      <c r="C259" s="2" t="s">
        <v>196</v>
      </c>
      <c r="D259" s="12">
        <v>180000</v>
      </c>
      <c r="E259" s="12">
        <v>23994</v>
      </c>
      <c r="F259" s="15">
        <f>SUM(D259:E259)</f>
        <v>203994</v>
      </c>
      <c r="G259" s="31">
        <v>40</v>
      </c>
      <c r="H259" s="12">
        <v>5099.8500000000004</v>
      </c>
      <c r="I259" s="8">
        <v>33</v>
      </c>
      <c r="J259" s="8">
        <v>8</v>
      </c>
      <c r="K259" s="12">
        <f>(33*5099.85)</f>
        <v>168295.05000000002</v>
      </c>
      <c r="L259" s="15">
        <f>F259-K259</f>
        <v>35698.949999999983</v>
      </c>
      <c r="M259" s="8"/>
      <c r="N259" s="39" t="e">
        <f>#REF!-H259</f>
        <v>#REF!</v>
      </c>
    </row>
  </sheetData>
  <sortState ref="C204:H216">
    <sortCondition ref="C204:C216"/>
  </sortState>
  <mergeCells count="5">
    <mergeCell ref="B3:M3"/>
    <mergeCell ref="B4:M4"/>
    <mergeCell ref="B220:M220"/>
    <mergeCell ref="B221:M221"/>
    <mergeCell ref="B222:M222"/>
  </mergeCells>
  <conditionalFormatting sqref="C259">
    <cfRule type="duplicateValues" dxfId="6263" priority="471" stopIfTrue="1"/>
    <cfRule type="duplicateValues" dxfId="6262" priority="472" stopIfTrue="1"/>
  </conditionalFormatting>
  <conditionalFormatting sqref="C259">
    <cfRule type="duplicateValues" dxfId="6261" priority="470" stopIfTrue="1"/>
  </conditionalFormatting>
  <conditionalFormatting sqref="C11">
    <cfRule type="duplicateValues" dxfId="6260" priority="468" stopIfTrue="1"/>
    <cfRule type="duplicateValues" dxfId="6259" priority="469" stopIfTrue="1"/>
  </conditionalFormatting>
  <conditionalFormatting sqref="C11">
    <cfRule type="duplicateValues" dxfId="6258" priority="467" stopIfTrue="1"/>
  </conditionalFormatting>
  <conditionalFormatting sqref="C13">
    <cfRule type="duplicateValues" dxfId="6257" priority="465" stopIfTrue="1"/>
    <cfRule type="duplicateValues" dxfId="6256" priority="466" stopIfTrue="1"/>
  </conditionalFormatting>
  <conditionalFormatting sqref="C13">
    <cfRule type="duplicateValues" dxfId="6255" priority="464" stopIfTrue="1"/>
  </conditionalFormatting>
  <conditionalFormatting sqref="C14">
    <cfRule type="duplicateValues" dxfId="6254" priority="462" stopIfTrue="1"/>
    <cfRule type="duplicateValues" dxfId="6253" priority="463" stopIfTrue="1"/>
  </conditionalFormatting>
  <conditionalFormatting sqref="C14">
    <cfRule type="duplicateValues" dxfId="6252" priority="461" stopIfTrue="1"/>
  </conditionalFormatting>
  <conditionalFormatting sqref="C16">
    <cfRule type="duplicateValues" dxfId="6251" priority="459" stopIfTrue="1"/>
    <cfRule type="duplicateValues" dxfId="6250" priority="460" stopIfTrue="1"/>
  </conditionalFormatting>
  <conditionalFormatting sqref="C16">
    <cfRule type="duplicateValues" dxfId="6249" priority="458" stopIfTrue="1"/>
  </conditionalFormatting>
  <conditionalFormatting sqref="C17">
    <cfRule type="duplicateValues" dxfId="6248" priority="456" stopIfTrue="1"/>
    <cfRule type="duplicateValues" dxfId="6247" priority="457" stopIfTrue="1"/>
  </conditionalFormatting>
  <conditionalFormatting sqref="C17">
    <cfRule type="duplicateValues" dxfId="6246" priority="455" stopIfTrue="1"/>
  </conditionalFormatting>
  <conditionalFormatting sqref="C18">
    <cfRule type="duplicateValues" dxfId="6245" priority="453" stopIfTrue="1"/>
    <cfRule type="duplicateValues" dxfId="6244" priority="454" stopIfTrue="1"/>
  </conditionalFormatting>
  <conditionalFormatting sqref="C18">
    <cfRule type="duplicateValues" dxfId="6243" priority="452" stopIfTrue="1"/>
  </conditionalFormatting>
  <conditionalFormatting sqref="C19">
    <cfRule type="duplicateValues" dxfId="6242" priority="450" stopIfTrue="1"/>
    <cfRule type="duplicateValues" dxfId="6241" priority="451" stopIfTrue="1"/>
  </conditionalFormatting>
  <conditionalFormatting sqref="C19">
    <cfRule type="duplicateValues" dxfId="6240" priority="449" stopIfTrue="1"/>
  </conditionalFormatting>
  <conditionalFormatting sqref="C20">
    <cfRule type="duplicateValues" dxfId="6239" priority="447" stopIfTrue="1"/>
    <cfRule type="duplicateValues" dxfId="6238" priority="448" stopIfTrue="1"/>
  </conditionalFormatting>
  <conditionalFormatting sqref="C20">
    <cfRule type="duplicateValues" dxfId="6237" priority="446" stopIfTrue="1"/>
  </conditionalFormatting>
  <conditionalFormatting sqref="C21">
    <cfRule type="duplicateValues" dxfId="6236" priority="444" stopIfTrue="1"/>
    <cfRule type="duplicateValues" dxfId="6235" priority="445" stopIfTrue="1"/>
  </conditionalFormatting>
  <conditionalFormatting sqref="C21">
    <cfRule type="duplicateValues" dxfId="6234" priority="443" stopIfTrue="1"/>
  </conditionalFormatting>
  <conditionalFormatting sqref="C22">
    <cfRule type="duplicateValues" dxfId="6233" priority="441" stopIfTrue="1"/>
    <cfRule type="duplicateValues" dxfId="6232" priority="442" stopIfTrue="1"/>
  </conditionalFormatting>
  <conditionalFormatting sqref="C22">
    <cfRule type="duplicateValues" dxfId="6231" priority="440" stopIfTrue="1"/>
  </conditionalFormatting>
  <conditionalFormatting sqref="C23">
    <cfRule type="duplicateValues" dxfId="6230" priority="438" stopIfTrue="1"/>
    <cfRule type="duplicateValues" dxfId="6229" priority="439" stopIfTrue="1"/>
  </conditionalFormatting>
  <conditionalFormatting sqref="C23">
    <cfRule type="duplicateValues" dxfId="6228" priority="437" stopIfTrue="1"/>
  </conditionalFormatting>
  <conditionalFormatting sqref="C24">
    <cfRule type="duplicateValues" dxfId="6227" priority="435" stopIfTrue="1"/>
    <cfRule type="duplicateValues" dxfId="6226" priority="436" stopIfTrue="1"/>
  </conditionalFormatting>
  <conditionalFormatting sqref="C24">
    <cfRule type="duplicateValues" dxfId="6225" priority="434" stopIfTrue="1"/>
  </conditionalFormatting>
  <conditionalFormatting sqref="C25">
    <cfRule type="duplicateValues" dxfId="6224" priority="432" stopIfTrue="1"/>
    <cfRule type="duplicateValues" dxfId="6223" priority="433" stopIfTrue="1"/>
  </conditionalFormatting>
  <conditionalFormatting sqref="C25">
    <cfRule type="duplicateValues" dxfId="6222" priority="431" stopIfTrue="1"/>
  </conditionalFormatting>
  <conditionalFormatting sqref="C26">
    <cfRule type="duplicateValues" dxfId="6221" priority="429" stopIfTrue="1"/>
    <cfRule type="duplicateValues" dxfId="6220" priority="430" stopIfTrue="1"/>
  </conditionalFormatting>
  <conditionalFormatting sqref="C26">
    <cfRule type="duplicateValues" dxfId="6219" priority="428" stopIfTrue="1"/>
  </conditionalFormatting>
  <conditionalFormatting sqref="C28">
    <cfRule type="duplicateValues" dxfId="6218" priority="426" stopIfTrue="1"/>
    <cfRule type="duplicateValues" dxfId="6217" priority="427" stopIfTrue="1"/>
  </conditionalFormatting>
  <conditionalFormatting sqref="C28">
    <cfRule type="duplicateValues" dxfId="6216" priority="425" stopIfTrue="1"/>
  </conditionalFormatting>
  <conditionalFormatting sqref="C29">
    <cfRule type="duplicateValues" dxfId="6215" priority="423" stopIfTrue="1"/>
    <cfRule type="duplicateValues" dxfId="6214" priority="424" stopIfTrue="1"/>
  </conditionalFormatting>
  <conditionalFormatting sqref="C29">
    <cfRule type="duplicateValues" dxfId="6213" priority="422" stopIfTrue="1"/>
  </conditionalFormatting>
  <conditionalFormatting sqref="C30">
    <cfRule type="duplicateValues" dxfId="6212" priority="420" stopIfTrue="1"/>
    <cfRule type="duplicateValues" dxfId="6211" priority="421" stopIfTrue="1"/>
  </conditionalFormatting>
  <conditionalFormatting sqref="C30">
    <cfRule type="duplicateValues" dxfId="6210" priority="419" stopIfTrue="1"/>
  </conditionalFormatting>
  <conditionalFormatting sqref="C32">
    <cfRule type="duplicateValues" dxfId="6209" priority="417" stopIfTrue="1"/>
    <cfRule type="duplicateValues" dxfId="6208" priority="418" stopIfTrue="1"/>
  </conditionalFormatting>
  <conditionalFormatting sqref="C32">
    <cfRule type="duplicateValues" dxfId="6207" priority="416" stopIfTrue="1"/>
  </conditionalFormatting>
  <conditionalFormatting sqref="C33">
    <cfRule type="duplicateValues" dxfId="6206" priority="414" stopIfTrue="1"/>
    <cfRule type="duplicateValues" dxfId="6205" priority="415" stopIfTrue="1"/>
  </conditionalFormatting>
  <conditionalFormatting sqref="C33">
    <cfRule type="duplicateValues" dxfId="6204" priority="413" stopIfTrue="1"/>
  </conditionalFormatting>
  <conditionalFormatting sqref="C256">
    <cfRule type="duplicateValues" dxfId="6203" priority="411" stopIfTrue="1"/>
    <cfRule type="duplicateValues" dxfId="6202" priority="412" stopIfTrue="1"/>
  </conditionalFormatting>
  <conditionalFormatting sqref="C256">
    <cfRule type="duplicateValues" dxfId="6201" priority="410" stopIfTrue="1"/>
  </conditionalFormatting>
  <conditionalFormatting sqref="C35">
    <cfRule type="duplicateValues" dxfId="6200" priority="408" stopIfTrue="1"/>
    <cfRule type="duplicateValues" dxfId="6199" priority="409" stopIfTrue="1"/>
  </conditionalFormatting>
  <conditionalFormatting sqref="C35">
    <cfRule type="duplicateValues" dxfId="6198" priority="407" stopIfTrue="1"/>
  </conditionalFormatting>
  <conditionalFormatting sqref="C36">
    <cfRule type="duplicateValues" dxfId="6197" priority="405" stopIfTrue="1"/>
    <cfRule type="duplicateValues" dxfId="6196" priority="406" stopIfTrue="1"/>
  </conditionalFormatting>
  <conditionalFormatting sqref="C36">
    <cfRule type="duplicateValues" dxfId="6195" priority="404" stopIfTrue="1"/>
  </conditionalFormatting>
  <conditionalFormatting sqref="C39">
    <cfRule type="duplicateValues" dxfId="6194" priority="402" stopIfTrue="1"/>
    <cfRule type="duplicateValues" dxfId="6193" priority="403" stopIfTrue="1"/>
  </conditionalFormatting>
  <conditionalFormatting sqref="C39">
    <cfRule type="duplicateValues" dxfId="6192" priority="401" stopIfTrue="1"/>
  </conditionalFormatting>
  <conditionalFormatting sqref="C40">
    <cfRule type="duplicateValues" dxfId="6191" priority="399" stopIfTrue="1"/>
    <cfRule type="duplicateValues" dxfId="6190" priority="400" stopIfTrue="1"/>
  </conditionalFormatting>
  <conditionalFormatting sqref="C40">
    <cfRule type="duplicateValues" dxfId="6189" priority="398" stopIfTrue="1"/>
  </conditionalFormatting>
  <conditionalFormatting sqref="C41">
    <cfRule type="duplicateValues" dxfId="6188" priority="396" stopIfTrue="1"/>
    <cfRule type="duplicateValues" dxfId="6187" priority="397" stopIfTrue="1"/>
  </conditionalFormatting>
  <conditionalFormatting sqref="C41">
    <cfRule type="duplicateValues" dxfId="6186" priority="395" stopIfTrue="1"/>
  </conditionalFormatting>
  <conditionalFormatting sqref="C45">
    <cfRule type="duplicateValues" dxfId="6185" priority="393" stopIfTrue="1"/>
    <cfRule type="duplicateValues" dxfId="6184" priority="394" stopIfTrue="1"/>
  </conditionalFormatting>
  <conditionalFormatting sqref="C45">
    <cfRule type="duplicateValues" dxfId="6183" priority="392" stopIfTrue="1"/>
  </conditionalFormatting>
  <conditionalFormatting sqref="C46">
    <cfRule type="duplicateValues" dxfId="6182" priority="390" stopIfTrue="1"/>
    <cfRule type="duplicateValues" dxfId="6181" priority="391" stopIfTrue="1"/>
  </conditionalFormatting>
  <conditionalFormatting sqref="C46">
    <cfRule type="duplicateValues" dxfId="6180" priority="389" stopIfTrue="1"/>
  </conditionalFormatting>
  <conditionalFormatting sqref="C47">
    <cfRule type="duplicateValues" dxfId="6179" priority="387" stopIfTrue="1"/>
    <cfRule type="duplicateValues" dxfId="6178" priority="388" stopIfTrue="1"/>
  </conditionalFormatting>
  <conditionalFormatting sqref="C47">
    <cfRule type="duplicateValues" dxfId="6177" priority="386" stopIfTrue="1"/>
  </conditionalFormatting>
  <conditionalFormatting sqref="C48">
    <cfRule type="duplicateValues" dxfId="6176" priority="384" stopIfTrue="1"/>
    <cfRule type="duplicateValues" dxfId="6175" priority="385" stopIfTrue="1"/>
  </conditionalFormatting>
  <conditionalFormatting sqref="C48">
    <cfRule type="duplicateValues" dxfId="6174" priority="383" stopIfTrue="1"/>
  </conditionalFormatting>
  <conditionalFormatting sqref="C49">
    <cfRule type="duplicateValues" dxfId="6173" priority="381" stopIfTrue="1"/>
    <cfRule type="duplicateValues" dxfId="6172" priority="382" stopIfTrue="1"/>
  </conditionalFormatting>
  <conditionalFormatting sqref="C49">
    <cfRule type="duplicateValues" dxfId="6171" priority="380" stopIfTrue="1"/>
  </conditionalFormatting>
  <conditionalFormatting sqref="C50">
    <cfRule type="duplicateValues" dxfId="6170" priority="378" stopIfTrue="1"/>
    <cfRule type="duplicateValues" dxfId="6169" priority="379" stopIfTrue="1"/>
  </conditionalFormatting>
  <conditionalFormatting sqref="C50">
    <cfRule type="duplicateValues" dxfId="6168" priority="377" stopIfTrue="1"/>
  </conditionalFormatting>
  <conditionalFormatting sqref="C51">
    <cfRule type="duplicateValues" dxfId="6167" priority="375" stopIfTrue="1"/>
    <cfRule type="duplicateValues" dxfId="6166" priority="376" stopIfTrue="1"/>
  </conditionalFormatting>
  <conditionalFormatting sqref="C51">
    <cfRule type="duplicateValues" dxfId="6165" priority="374" stopIfTrue="1"/>
  </conditionalFormatting>
  <conditionalFormatting sqref="C52">
    <cfRule type="duplicateValues" dxfId="6164" priority="372" stopIfTrue="1"/>
    <cfRule type="duplicateValues" dxfId="6163" priority="373" stopIfTrue="1"/>
  </conditionalFormatting>
  <conditionalFormatting sqref="C52">
    <cfRule type="duplicateValues" dxfId="6162" priority="371" stopIfTrue="1"/>
  </conditionalFormatting>
  <conditionalFormatting sqref="C53">
    <cfRule type="duplicateValues" dxfId="6161" priority="369" stopIfTrue="1"/>
    <cfRule type="duplicateValues" dxfId="6160" priority="370" stopIfTrue="1"/>
  </conditionalFormatting>
  <conditionalFormatting sqref="C53">
    <cfRule type="duplicateValues" dxfId="6159" priority="368" stopIfTrue="1"/>
  </conditionalFormatting>
  <conditionalFormatting sqref="C54">
    <cfRule type="duplicateValues" dxfId="6158" priority="366" stopIfTrue="1"/>
    <cfRule type="duplicateValues" dxfId="6157" priority="367" stopIfTrue="1"/>
  </conditionalFormatting>
  <conditionalFormatting sqref="C54">
    <cfRule type="duplicateValues" dxfId="6156" priority="365" stopIfTrue="1"/>
  </conditionalFormatting>
  <conditionalFormatting sqref="C55">
    <cfRule type="duplicateValues" dxfId="6155" priority="363" stopIfTrue="1"/>
    <cfRule type="duplicateValues" dxfId="6154" priority="364" stopIfTrue="1"/>
  </conditionalFormatting>
  <conditionalFormatting sqref="C55">
    <cfRule type="duplicateValues" dxfId="6153" priority="362" stopIfTrue="1"/>
  </conditionalFormatting>
  <conditionalFormatting sqref="C57">
    <cfRule type="duplicateValues" dxfId="6152" priority="360" stopIfTrue="1"/>
    <cfRule type="duplicateValues" dxfId="6151" priority="361" stopIfTrue="1"/>
  </conditionalFormatting>
  <conditionalFormatting sqref="C57">
    <cfRule type="duplicateValues" dxfId="6150" priority="359" stopIfTrue="1"/>
  </conditionalFormatting>
  <conditionalFormatting sqref="C58">
    <cfRule type="duplicateValues" dxfId="6149" priority="357" stopIfTrue="1"/>
    <cfRule type="duplicateValues" dxfId="6148" priority="358" stopIfTrue="1"/>
  </conditionalFormatting>
  <conditionalFormatting sqref="C58">
    <cfRule type="duplicateValues" dxfId="6147" priority="356" stopIfTrue="1"/>
  </conditionalFormatting>
  <conditionalFormatting sqref="C59">
    <cfRule type="duplicateValues" dxfId="6146" priority="354" stopIfTrue="1"/>
    <cfRule type="duplicateValues" dxfId="6145" priority="355" stopIfTrue="1"/>
  </conditionalFormatting>
  <conditionalFormatting sqref="C59">
    <cfRule type="duplicateValues" dxfId="6144" priority="353" stopIfTrue="1"/>
  </conditionalFormatting>
  <conditionalFormatting sqref="C60">
    <cfRule type="duplicateValues" dxfId="6143" priority="351" stopIfTrue="1"/>
    <cfRule type="duplicateValues" dxfId="6142" priority="352" stopIfTrue="1"/>
  </conditionalFormatting>
  <conditionalFormatting sqref="C60">
    <cfRule type="duplicateValues" dxfId="6141" priority="350" stopIfTrue="1"/>
  </conditionalFormatting>
  <conditionalFormatting sqref="C63">
    <cfRule type="duplicateValues" dxfId="6140" priority="348" stopIfTrue="1"/>
    <cfRule type="duplicateValues" dxfId="6139" priority="349" stopIfTrue="1"/>
  </conditionalFormatting>
  <conditionalFormatting sqref="C63">
    <cfRule type="duplicateValues" dxfId="6138" priority="347" stopIfTrue="1"/>
  </conditionalFormatting>
  <conditionalFormatting sqref="C64">
    <cfRule type="duplicateValues" dxfId="6137" priority="345" stopIfTrue="1"/>
    <cfRule type="duplicateValues" dxfId="6136" priority="346" stopIfTrue="1"/>
  </conditionalFormatting>
  <conditionalFormatting sqref="C64">
    <cfRule type="duplicateValues" dxfId="6135" priority="344" stopIfTrue="1"/>
  </conditionalFormatting>
  <conditionalFormatting sqref="C66">
    <cfRule type="duplicateValues" dxfId="6134" priority="342" stopIfTrue="1"/>
    <cfRule type="duplicateValues" dxfId="6133" priority="343" stopIfTrue="1"/>
  </conditionalFormatting>
  <conditionalFormatting sqref="C66">
    <cfRule type="duplicateValues" dxfId="6132" priority="341" stopIfTrue="1"/>
  </conditionalFormatting>
  <conditionalFormatting sqref="C67">
    <cfRule type="duplicateValues" dxfId="6131" priority="339" stopIfTrue="1"/>
    <cfRule type="duplicateValues" dxfId="6130" priority="340" stopIfTrue="1"/>
  </conditionalFormatting>
  <conditionalFormatting sqref="C67">
    <cfRule type="duplicateValues" dxfId="6129" priority="338" stopIfTrue="1"/>
  </conditionalFormatting>
  <conditionalFormatting sqref="C68">
    <cfRule type="duplicateValues" dxfId="6128" priority="336" stopIfTrue="1"/>
    <cfRule type="duplicateValues" dxfId="6127" priority="337" stopIfTrue="1"/>
  </conditionalFormatting>
  <conditionalFormatting sqref="C68">
    <cfRule type="duplicateValues" dxfId="6126" priority="335" stopIfTrue="1"/>
  </conditionalFormatting>
  <conditionalFormatting sqref="C70">
    <cfRule type="duplicateValues" dxfId="6125" priority="333" stopIfTrue="1"/>
    <cfRule type="duplicateValues" dxfId="6124" priority="334" stopIfTrue="1"/>
  </conditionalFormatting>
  <conditionalFormatting sqref="C70">
    <cfRule type="duplicateValues" dxfId="6123" priority="332" stopIfTrue="1"/>
  </conditionalFormatting>
  <conditionalFormatting sqref="C71">
    <cfRule type="duplicateValues" dxfId="6122" priority="330" stopIfTrue="1"/>
    <cfRule type="duplicateValues" dxfId="6121" priority="331" stopIfTrue="1"/>
  </conditionalFormatting>
  <conditionalFormatting sqref="C71">
    <cfRule type="duplicateValues" dxfId="6120" priority="329" stopIfTrue="1"/>
  </conditionalFormatting>
  <conditionalFormatting sqref="C73">
    <cfRule type="duplicateValues" dxfId="6119" priority="327" stopIfTrue="1"/>
    <cfRule type="duplicateValues" dxfId="6118" priority="328" stopIfTrue="1"/>
  </conditionalFormatting>
  <conditionalFormatting sqref="C73">
    <cfRule type="duplicateValues" dxfId="6117" priority="326" stopIfTrue="1"/>
  </conditionalFormatting>
  <conditionalFormatting sqref="C74">
    <cfRule type="duplicateValues" dxfId="6116" priority="324" stopIfTrue="1"/>
    <cfRule type="duplicateValues" dxfId="6115" priority="325" stopIfTrue="1"/>
  </conditionalFormatting>
  <conditionalFormatting sqref="C74">
    <cfRule type="duplicateValues" dxfId="6114" priority="323" stopIfTrue="1"/>
  </conditionalFormatting>
  <conditionalFormatting sqref="C75">
    <cfRule type="duplicateValues" dxfId="6113" priority="321" stopIfTrue="1"/>
    <cfRule type="duplicateValues" dxfId="6112" priority="322" stopIfTrue="1"/>
  </conditionalFormatting>
  <conditionalFormatting sqref="C75">
    <cfRule type="duplicateValues" dxfId="6111" priority="320" stopIfTrue="1"/>
  </conditionalFormatting>
  <conditionalFormatting sqref="C77">
    <cfRule type="duplicateValues" dxfId="6110" priority="318" stopIfTrue="1"/>
    <cfRule type="duplicateValues" dxfId="6109" priority="319" stopIfTrue="1"/>
  </conditionalFormatting>
  <conditionalFormatting sqref="C77">
    <cfRule type="duplicateValues" dxfId="6108" priority="317" stopIfTrue="1"/>
  </conditionalFormatting>
  <conditionalFormatting sqref="C78">
    <cfRule type="duplicateValues" dxfId="6107" priority="315" stopIfTrue="1"/>
    <cfRule type="duplicateValues" dxfId="6106" priority="316" stopIfTrue="1"/>
  </conditionalFormatting>
  <conditionalFormatting sqref="C78">
    <cfRule type="duplicateValues" dxfId="6105" priority="314" stopIfTrue="1"/>
  </conditionalFormatting>
  <conditionalFormatting sqref="C79">
    <cfRule type="duplicateValues" dxfId="6104" priority="312" stopIfTrue="1"/>
    <cfRule type="duplicateValues" dxfId="6103" priority="313" stopIfTrue="1"/>
  </conditionalFormatting>
  <conditionalFormatting sqref="C79">
    <cfRule type="duplicateValues" dxfId="6102" priority="311" stopIfTrue="1"/>
  </conditionalFormatting>
  <conditionalFormatting sqref="C80">
    <cfRule type="duplicateValues" dxfId="6101" priority="309" stopIfTrue="1"/>
    <cfRule type="duplicateValues" dxfId="6100" priority="310" stopIfTrue="1"/>
  </conditionalFormatting>
  <conditionalFormatting sqref="C80">
    <cfRule type="duplicateValues" dxfId="6099" priority="308" stopIfTrue="1"/>
  </conditionalFormatting>
  <conditionalFormatting sqref="C81">
    <cfRule type="duplicateValues" dxfId="6098" priority="306" stopIfTrue="1"/>
    <cfRule type="duplicateValues" dxfId="6097" priority="307" stopIfTrue="1"/>
  </conditionalFormatting>
  <conditionalFormatting sqref="C81">
    <cfRule type="duplicateValues" dxfId="6096" priority="305" stopIfTrue="1"/>
  </conditionalFormatting>
  <conditionalFormatting sqref="C82">
    <cfRule type="duplicateValues" dxfId="6095" priority="303" stopIfTrue="1"/>
    <cfRule type="duplicateValues" dxfId="6094" priority="304" stopIfTrue="1"/>
  </conditionalFormatting>
  <conditionalFormatting sqref="C82">
    <cfRule type="duplicateValues" dxfId="6093" priority="302" stopIfTrue="1"/>
  </conditionalFormatting>
  <conditionalFormatting sqref="C83">
    <cfRule type="duplicateValues" dxfId="6092" priority="300" stopIfTrue="1"/>
    <cfRule type="duplicateValues" dxfId="6091" priority="301" stopIfTrue="1"/>
  </conditionalFormatting>
  <conditionalFormatting sqref="C83">
    <cfRule type="duplicateValues" dxfId="6090" priority="299" stopIfTrue="1"/>
  </conditionalFormatting>
  <conditionalFormatting sqref="C84">
    <cfRule type="duplicateValues" dxfId="6089" priority="297" stopIfTrue="1"/>
    <cfRule type="duplicateValues" dxfId="6088" priority="298" stopIfTrue="1"/>
  </conditionalFormatting>
  <conditionalFormatting sqref="C84">
    <cfRule type="duplicateValues" dxfId="6087" priority="296" stopIfTrue="1"/>
  </conditionalFormatting>
  <conditionalFormatting sqref="C85">
    <cfRule type="duplicateValues" dxfId="6086" priority="294" stopIfTrue="1"/>
    <cfRule type="duplicateValues" dxfId="6085" priority="295" stopIfTrue="1"/>
  </conditionalFormatting>
  <conditionalFormatting sqref="C85">
    <cfRule type="duplicateValues" dxfId="6084" priority="293" stopIfTrue="1"/>
  </conditionalFormatting>
  <conditionalFormatting sqref="C86">
    <cfRule type="duplicateValues" dxfId="6083" priority="291" stopIfTrue="1"/>
    <cfRule type="duplicateValues" dxfId="6082" priority="292" stopIfTrue="1"/>
  </conditionalFormatting>
  <conditionalFormatting sqref="C86">
    <cfRule type="duplicateValues" dxfId="6081" priority="290" stopIfTrue="1"/>
  </conditionalFormatting>
  <conditionalFormatting sqref="C87">
    <cfRule type="duplicateValues" dxfId="6080" priority="288" stopIfTrue="1"/>
    <cfRule type="duplicateValues" dxfId="6079" priority="289" stopIfTrue="1"/>
  </conditionalFormatting>
  <conditionalFormatting sqref="C87">
    <cfRule type="duplicateValues" dxfId="6078" priority="287" stopIfTrue="1"/>
  </conditionalFormatting>
  <conditionalFormatting sqref="C88">
    <cfRule type="duplicateValues" dxfId="6077" priority="285" stopIfTrue="1"/>
    <cfRule type="duplicateValues" dxfId="6076" priority="286" stopIfTrue="1"/>
  </conditionalFormatting>
  <conditionalFormatting sqref="C88">
    <cfRule type="duplicateValues" dxfId="6075" priority="284" stopIfTrue="1"/>
  </conditionalFormatting>
  <conditionalFormatting sqref="C257">
    <cfRule type="duplicateValues" dxfId="6074" priority="282" stopIfTrue="1"/>
    <cfRule type="duplicateValues" dxfId="6073" priority="283" stopIfTrue="1"/>
  </conditionalFormatting>
  <conditionalFormatting sqref="C257">
    <cfRule type="duplicateValues" dxfId="6072" priority="281" stopIfTrue="1"/>
  </conditionalFormatting>
  <conditionalFormatting sqref="C89">
    <cfRule type="duplicateValues" dxfId="6071" priority="279" stopIfTrue="1"/>
    <cfRule type="duplicateValues" dxfId="6070" priority="280" stopIfTrue="1"/>
  </conditionalFormatting>
  <conditionalFormatting sqref="C89">
    <cfRule type="duplicateValues" dxfId="6069" priority="278" stopIfTrue="1"/>
  </conditionalFormatting>
  <conditionalFormatting sqref="C90">
    <cfRule type="duplicateValues" dxfId="6068" priority="276" stopIfTrue="1"/>
    <cfRule type="duplicateValues" dxfId="6067" priority="277" stopIfTrue="1"/>
  </conditionalFormatting>
  <conditionalFormatting sqref="C90">
    <cfRule type="duplicateValues" dxfId="6066" priority="275" stopIfTrue="1"/>
  </conditionalFormatting>
  <conditionalFormatting sqref="C92">
    <cfRule type="duplicateValues" dxfId="6065" priority="273" stopIfTrue="1"/>
    <cfRule type="duplicateValues" dxfId="6064" priority="274" stopIfTrue="1"/>
  </conditionalFormatting>
  <conditionalFormatting sqref="C92">
    <cfRule type="duplicateValues" dxfId="6063" priority="272" stopIfTrue="1"/>
  </conditionalFormatting>
  <conditionalFormatting sqref="C93">
    <cfRule type="duplicateValues" dxfId="6062" priority="270" stopIfTrue="1"/>
    <cfRule type="duplicateValues" dxfId="6061" priority="271" stopIfTrue="1"/>
  </conditionalFormatting>
  <conditionalFormatting sqref="C93">
    <cfRule type="duplicateValues" dxfId="6060" priority="269" stopIfTrue="1"/>
  </conditionalFormatting>
  <conditionalFormatting sqref="C94">
    <cfRule type="duplicateValues" dxfId="6059" priority="267" stopIfTrue="1"/>
    <cfRule type="duplicateValues" dxfId="6058" priority="268" stopIfTrue="1"/>
  </conditionalFormatting>
  <conditionalFormatting sqref="C94">
    <cfRule type="duplicateValues" dxfId="6057" priority="266" stopIfTrue="1"/>
  </conditionalFormatting>
  <conditionalFormatting sqref="C97">
    <cfRule type="duplicateValues" dxfId="6056" priority="264" stopIfTrue="1"/>
    <cfRule type="duplicateValues" dxfId="6055" priority="265" stopIfTrue="1"/>
  </conditionalFormatting>
  <conditionalFormatting sqref="C97">
    <cfRule type="duplicateValues" dxfId="6054" priority="263" stopIfTrue="1"/>
  </conditionalFormatting>
  <conditionalFormatting sqref="C98">
    <cfRule type="duplicateValues" dxfId="6053" priority="261" stopIfTrue="1"/>
    <cfRule type="duplicateValues" dxfId="6052" priority="262" stopIfTrue="1"/>
  </conditionalFormatting>
  <conditionalFormatting sqref="C98">
    <cfRule type="duplicateValues" dxfId="6051" priority="260" stopIfTrue="1"/>
  </conditionalFormatting>
  <conditionalFormatting sqref="C99">
    <cfRule type="duplicateValues" dxfId="6050" priority="258" stopIfTrue="1"/>
    <cfRule type="duplicateValues" dxfId="6049" priority="259" stopIfTrue="1"/>
  </conditionalFormatting>
  <conditionalFormatting sqref="C99">
    <cfRule type="duplicateValues" dxfId="6048" priority="257" stopIfTrue="1"/>
  </conditionalFormatting>
  <conditionalFormatting sqref="C100">
    <cfRule type="duplicateValues" dxfId="6047" priority="252" stopIfTrue="1"/>
    <cfRule type="duplicateValues" dxfId="6046" priority="253" stopIfTrue="1"/>
  </conditionalFormatting>
  <conditionalFormatting sqref="C100">
    <cfRule type="duplicateValues" dxfId="6045" priority="251" stopIfTrue="1"/>
  </conditionalFormatting>
  <conditionalFormatting sqref="C101">
    <cfRule type="duplicateValues" dxfId="6044" priority="249" stopIfTrue="1"/>
    <cfRule type="duplicateValues" dxfId="6043" priority="250" stopIfTrue="1"/>
  </conditionalFormatting>
  <conditionalFormatting sqref="C101">
    <cfRule type="duplicateValues" dxfId="6042" priority="248" stopIfTrue="1"/>
  </conditionalFormatting>
  <conditionalFormatting sqref="C102">
    <cfRule type="duplicateValues" dxfId="6041" priority="246" stopIfTrue="1"/>
    <cfRule type="duplicateValues" dxfId="6040" priority="247" stopIfTrue="1"/>
  </conditionalFormatting>
  <conditionalFormatting sqref="C102">
    <cfRule type="duplicateValues" dxfId="6039" priority="245" stopIfTrue="1"/>
  </conditionalFormatting>
  <conditionalFormatting sqref="C103">
    <cfRule type="duplicateValues" dxfId="6038" priority="243" stopIfTrue="1"/>
    <cfRule type="duplicateValues" dxfId="6037" priority="244" stopIfTrue="1"/>
  </conditionalFormatting>
  <conditionalFormatting sqref="C103">
    <cfRule type="duplicateValues" dxfId="6036" priority="242" stopIfTrue="1"/>
  </conditionalFormatting>
  <conditionalFormatting sqref="C104">
    <cfRule type="duplicateValues" dxfId="6035" priority="240" stopIfTrue="1"/>
    <cfRule type="duplicateValues" dxfId="6034" priority="241" stopIfTrue="1"/>
  </conditionalFormatting>
  <conditionalFormatting sqref="C104">
    <cfRule type="duplicateValues" dxfId="6033" priority="239" stopIfTrue="1"/>
  </conditionalFormatting>
  <conditionalFormatting sqref="C105">
    <cfRule type="duplicateValues" dxfId="6032" priority="237" stopIfTrue="1"/>
    <cfRule type="duplicateValues" dxfId="6031" priority="238" stopIfTrue="1"/>
  </conditionalFormatting>
  <conditionalFormatting sqref="C105">
    <cfRule type="duplicateValues" dxfId="6030" priority="236" stopIfTrue="1"/>
  </conditionalFormatting>
  <conditionalFormatting sqref="C258">
    <cfRule type="duplicateValues" dxfId="6029" priority="234" stopIfTrue="1"/>
    <cfRule type="duplicateValues" dxfId="6028" priority="235" stopIfTrue="1"/>
  </conditionalFormatting>
  <conditionalFormatting sqref="C258">
    <cfRule type="duplicateValues" dxfId="6027" priority="233" stopIfTrue="1"/>
  </conditionalFormatting>
  <conditionalFormatting sqref="C106">
    <cfRule type="duplicateValues" dxfId="6026" priority="231" stopIfTrue="1"/>
    <cfRule type="duplicateValues" dxfId="6025" priority="232" stopIfTrue="1"/>
  </conditionalFormatting>
  <conditionalFormatting sqref="C106">
    <cfRule type="duplicateValues" dxfId="6024" priority="230" stopIfTrue="1"/>
  </conditionalFormatting>
  <conditionalFormatting sqref="C107">
    <cfRule type="duplicateValues" dxfId="6023" priority="228" stopIfTrue="1"/>
    <cfRule type="duplicateValues" dxfId="6022" priority="229" stopIfTrue="1"/>
  </conditionalFormatting>
  <conditionalFormatting sqref="C107">
    <cfRule type="duplicateValues" dxfId="6021" priority="227" stopIfTrue="1"/>
  </conditionalFormatting>
  <conditionalFormatting sqref="C108">
    <cfRule type="duplicateValues" dxfId="6020" priority="225" stopIfTrue="1"/>
    <cfRule type="duplicateValues" dxfId="6019" priority="226" stopIfTrue="1"/>
  </conditionalFormatting>
  <conditionalFormatting sqref="C108">
    <cfRule type="duplicateValues" dxfId="6018" priority="224" stopIfTrue="1"/>
  </conditionalFormatting>
  <conditionalFormatting sqref="C109">
    <cfRule type="duplicateValues" dxfId="6017" priority="222" stopIfTrue="1"/>
    <cfRule type="duplicateValues" dxfId="6016" priority="223" stopIfTrue="1"/>
  </conditionalFormatting>
  <conditionalFormatting sqref="C109">
    <cfRule type="duplicateValues" dxfId="6015" priority="221" stopIfTrue="1"/>
  </conditionalFormatting>
  <conditionalFormatting sqref="C110">
    <cfRule type="duplicateValues" dxfId="6014" priority="219" stopIfTrue="1"/>
    <cfRule type="duplicateValues" dxfId="6013" priority="220" stopIfTrue="1"/>
  </conditionalFormatting>
  <conditionalFormatting sqref="C110">
    <cfRule type="duplicateValues" dxfId="6012" priority="218" stopIfTrue="1"/>
  </conditionalFormatting>
  <conditionalFormatting sqref="C111">
    <cfRule type="duplicateValues" dxfId="6011" priority="216" stopIfTrue="1"/>
    <cfRule type="duplicateValues" dxfId="6010" priority="217" stopIfTrue="1"/>
  </conditionalFormatting>
  <conditionalFormatting sqref="C111">
    <cfRule type="duplicateValues" dxfId="6009" priority="215" stopIfTrue="1"/>
  </conditionalFormatting>
  <conditionalFormatting sqref="C112">
    <cfRule type="duplicateValues" dxfId="6008" priority="213" stopIfTrue="1"/>
    <cfRule type="duplicateValues" dxfId="6007" priority="214" stopIfTrue="1"/>
  </conditionalFormatting>
  <conditionalFormatting sqref="C112">
    <cfRule type="duplicateValues" dxfId="6006" priority="212" stopIfTrue="1"/>
  </conditionalFormatting>
  <conditionalFormatting sqref="C113">
    <cfRule type="duplicateValues" dxfId="6005" priority="210" stopIfTrue="1"/>
    <cfRule type="duplicateValues" dxfId="6004" priority="211" stopIfTrue="1"/>
  </conditionalFormatting>
  <conditionalFormatting sqref="C113">
    <cfRule type="duplicateValues" dxfId="6003" priority="209" stopIfTrue="1"/>
  </conditionalFormatting>
  <conditionalFormatting sqref="C115">
    <cfRule type="duplicateValues" dxfId="6002" priority="207" stopIfTrue="1"/>
    <cfRule type="duplicateValues" dxfId="6001" priority="208" stopIfTrue="1"/>
  </conditionalFormatting>
  <conditionalFormatting sqref="C115">
    <cfRule type="duplicateValues" dxfId="6000" priority="206" stopIfTrue="1"/>
  </conditionalFormatting>
  <conditionalFormatting sqref="C116">
    <cfRule type="duplicateValues" dxfId="5999" priority="204" stopIfTrue="1"/>
    <cfRule type="duplicateValues" dxfId="5998" priority="205" stopIfTrue="1"/>
  </conditionalFormatting>
  <conditionalFormatting sqref="C116">
    <cfRule type="duplicateValues" dxfId="5997" priority="203" stopIfTrue="1"/>
  </conditionalFormatting>
  <conditionalFormatting sqref="C117">
    <cfRule type="duplicateValues" dxfId="5996" priority="201" stopIfTrue="1"/>
    <cfRule type="duplicateValues" dxfId="5995" priority="202" stopIfTrue="1"/>
  </conditionalFormatting>
  <conditionalFormatting sqref="C117">
    <cfRule type="duplicateValues" dxfId="5994" priority="200" stopIfTrue="1"/>
  </conditionalFormatting>
  <conditionalFormatting sqref="C119">
    <cfRule type="duplicateValues" dxfId="5993" priority="198" stopIfTrue="1"/>
    <cfRule type="duplicateValues" dxfId="5992" priority="199" stopIfTrue="1"/>
  </conditionalFormatting>
  <conditionalFormatting sqref="C119">
    <cfRule type="duplicateValues" dxfId="5991" priority="197" stopIfTrue="1"/>
  </conditionalFormatting>
  <conditionalFormatting sqref="C120">
    <cfRule type="duplicateValues" dxfId="5990" priority="195" stopIfTrue="1"/>
    <cfRule type="duplicateValues" dxfId="5989" priority="196" stopIfTrue="1"/>
  </conditionalFormatting>
  <conditionalFormatting sqref="C120">
    <cfRule type="duplicateValues" dxfId="5988" priority="194" stopIfTrue="1"/>
  </conditionalFormatting>
  <conditionalFormatting sqref="C122">
    <cfRule type="duplicateValues" dxfId="5987" priority="189" stopIfTrue="1"/>
    <cfRule type="duplicateValues" dxfId="5986" priority="190" stopIfTrue="1"/>
  </conditionalFormatting>
  <conditionalFormatting sqref="C122">
    <cfRule type="duplicateValues" dxfId="5985" priority="188" stopIfTrue="1"/>
  </conditionalFormatting>
  <conditionalFormatting sqref="C124">
    <cfRule type="duplicateValues" dxfId="5984" priority="186" stopIfTrue="1"/>
    <cfRule type="duplicateValues" dxfId="5983" priority="187" stopIfTrue="1"/>
  </conditionalFormatting>
  <conditionalFormatting sqref="C124">
    <cfRule type="duplicateValues" dxfId="5982" priority="185" stopIfTrue="1"/>
  </conditionalFormatting>
  <conditionalFormatting sqref="C125">
    <cfRule type="duplicateValues" dxfId="5981" priority="183" stopIfTrue="1"/>
    <cfRule type="duplicateValues" dxfId="5980" priority="184" stopIfTrue="1"/>
  </conditionalFormatting>
  <conditionalFormatting sqref="C125">
    <cfRule type="duplicateValues" dxfId="5979" priority="182" stopIfTrue="1"/>
  </conditionalFormatting>
  <conditionalFormatting sqref="C126">
    <cfRule type="duplicateValues" dxfId="5978" priority="180" stopIfTrue="1"/>
    <cfRule type="duplicateValues" dxfId="5977" priority="181" stopIfTrue="1"/>
  </conditionalFormatting>
  <conditionalFormatting sqref="C126">
    <cfRule type="duplicateValues" dxfId="5976" priority="179" stopIfTrue="1"/>
  </conditionalFormatting>
  <conditionalFormatting sqref="C127">
    <cfRule type="duplicateValues" dxfId="5975" priority="177" stopIfTrue="1"/>
    <cfRule type="duplicateValues" dxfId="5974" priority="178" stopIfTrue="1"/>
  </conditionalFormatting>
  <conditionalFormatting sqref="C127">
    <cfRule type="duplicateValues" dxfId="5973" priority="176" stopIfTrue="1"/>
  </conditionalFormatting>
  <conditionalFormatting sqref="C128">
    <cfRule type="duplicateValues" dxfId="5972" priority="174" stopIfTrue="1"/>
    <cfRule type="duplicateValues" dxfId="5971" priority="175" stopIfTrue="1"/>
  </conditionalFormatting>
  <conditionalFormatting sqref="C128">
    <cfRule type="duplicateValues" dxfId="5970" priority="173" stopIfTrue="1"/>
  </conditionalFormatting>
  <conditionalFormatting sqref="C129">
    <cfRule type="duplicateValues" dxfId="5969" priority="171" stopIfTrue="1"/>
    <cfRule type="duplicateValues" dxfId="5968" priority="172" stopIfTrue="1"/>
  </conditionalFormatting>
  <conditionalFormatting sqref="C129">
    <cfRule type="duplicateValues" dxfId="5967" priority="170" stopIfTrue="1"/>
  </conditionalFormatting>
  <conditionalFormatting sqref="C8">
    <cfRule type="duplicateValues" dxfId="5966" priority="168" stopIfTrue="1"/>
    <cfRule type="duplicateValues" dxfId="5965" priority="169" stopIfTrue="1"/>
  </conditionalFormatting>
  <conditionalFormatting sqref="C8">
    <cfRule type="duplicateValues" dxfId="5964" priority="167" stopIfTrue="1"/>
  </conditionalFormatting>
  <conditionalFormatting sqref="C225">
    <cfRule type="duplicateValues" dxfId="5963" priority="165" stopIfTrue="1"/>
    <cfRule type="duplicateValues" dxfId="5962" priority="166" stopIfTrue="1"/>
  </conditionalFormatting>
  <conditionalFormatting sqref="C225">
    <cfRule type="duplicateValues" dxfId="5961" priority="164" stopIfTrue="1"/>
  </conditionalFormatting>
  <conditionalFormatting sqref="C227">
    <cfRule type="duplicateValues" dxfId="5960" priority="162" stopIfTrue="1"/>
    <cfRule type="duplicateValues" dxfId="5959" priority="163" stopIfTrue="1"/>
  </conditionalFormatting>
  <conditionalFormatting sqref="C227">
    <cfRule type="duplicateValues" dxfId="5958" priority="161" stopIfTrue="1"/>
  </conditionalFormatting>
  <conditionalFormatting sqref="C228">
    <cfRule type="duplicateValues" dxfId="5957" priority="159" stopIfTrue="1"/>
    <cfRule type="duplicateValues" dxfId="5956" priority="160" stopIfTrue="1"/>
  </conditionalFormatting>
  <conditionalFormatting sqref="C228">
    <cfRule type="duplicateValues" dxfId="5955" priority="158" stopIfTrue="1"/>
  </conditionalFormatting>
  <conditionalFormatting sqref="C229">
    <cfRule type="duplicateValues" dxfId="5954" priority="153" stopIfTrue="1"/>
    <cfRule type="duplicateValues" dxfId="5953" priority="154" stopIfTrue="1"/>
  </conditionalFormatting>
  <conditionalFormatting sqref="C229">
    <cfRule type="duplicateValues" dxfId="5952" priority="152" stopIfTrue="1"/>
  </conditionalFormatting>
  <conditionalFormatting sqref="C230">
    <cfRule type="duplicateValues" dxfId="5951" priority="150" stopIfTrue="1"/>
    <cfRule type="duplicateValues" dxfId="5950" priority="151" stopIfTrue="1"/>
  </conditionalFormatting>
  <conditionalFormatting sqref="C230">
    <cfRule type="duplicateValues" dxfId="5949" priority="149" stopIfTrue="1"/>
  </conditionalFormatting>
  <conditionalFormatting sqref="C231">
    <cfRule type="duplicateValues" dxfId="5948" priority="147" stopIfTrue="1"/>
    <cfRule type="duplicateValues" dxfId="5947" priority="148" stopIfTrue="1"/>
  </conditionalFormatting>
  <conditionalFormatting sqref="C231">
    <cfRule type="duplicateValues" dxfId="5946" priority="146" stopIfTrue="1"/>
  </conditionalFormatting>
  <conditionalFormatting sqref="C232">
    <cfRule type="duplicateValues" dxfId="5945" priority="144" stopIfTrue="1"/>
    <cfRule type="duplicateValues" dxfId="5944" priority="145" stopIfTrue="1"/>
  </conditionalFormatting>
  <conditionalFormatting sqref="C232">
    <cfRule type="duplicateValues" dxfId="5943" priority="143" stopIfTrue="1"/>
  </conditionalFormatting>
  <conditionalFormatting sqref="C233">
    <cfRule type="duplicateValues" dxfId="5942" priority="141" stopIfTrue="1"/>
    <cfRule type="duplicateValues" dxfId="5941" priority="142" stopIfTrue="1"/>
  </conditionalFormatting>
  <conditionalFormatting sqref="C233">
    <cfRule type="duplicateValues" dxfId="5940" priority="140" stopIfTrue="1"/>
  </conditionalFormatting>
  <conditionalFormatting sqref="C234:C235">
    <cfRule type="duplicateValues" dxfId="5939" priority="138" stopIfTrue="1"/>
    <cfRule type="duplicateValues" dxfId="5938" priority="139" stopIfTrue="1"/>
  </conditionalFormatting>
  <conditionalFormatting sqref="C234:C235">
    <cfRule type="duplicateValues" dxfId="5937" priority="137" stopIfTrue="1"/>
  </conditionalFormatting>
  <conditionalFormatting sqref="C236">
    <cfRule type="duplicateValues" dxfId="5936" priority="135" stopIfTrue="1"/>
    <cfRule type="duplicateValues" dxfId="5935" priority="136" stopIfTrue="1"/>
  </conditionalFormatting>
  <conditionalFormatting sqref="C236">
    <cfRule type="duplicateValues" dxfId="5934" priority="134" stopIfTrue="1"/>
  </conditionalFormatting>
  <conditionalFormatting sqref="C237">
    <cfRule type="duplicateValues" dxfId="5933" priority="132" stopIfTrue="1"/>
    <cfRule type="duplicateValues" dxfId="5932" priority="133" stopIfTrue="1"/>
  </conditionalFormatting>
  <conditionalFormatting sqref="C237">
    <cfRule type="duplicateValues" dxfId="5931" priority="131" stopIfTrue="1"/>
  </conditionalFormatting>
  <conditionalFormatting sqref="C254">
    <cfRule type="duplicateValues" dxfId="5930" priority="129" stopIfTrue="1"/>
    <cfRule type="duplicateValues" dxfId="5929" priority="130" stopIfTrue="1"/>
  </conditionalFormatting>
  <conditionalFormatting sqref="C254">
    <cfRule type="duplicateValues" dxfId="5928" priority="128" stopIfTrue="1"/>
  </conditionalFormatting>
  <conditionalFormatting sqref="C239">
    <cfRule type="duplicateValues" dxfId="5927" priority="126" stopIfTrue="1"/>
    <cfRule type="duplicateValues" dxfId="5926" priority="127" stopIfTrue="1"/>
  </conditionalFormatting>
  <conditionalFormatting sqref="C239">
    <cfRule type="duplicateValues" dxfId="5925" priority="125" stopIfTrue="1"/>
  </conditionalFormatting>
  <conditionalFormatting sqref="C132">
    <cfRule type="duplicateValues" dxfId="5924" priority="123" stopIfTrue="1"/>
    <cfRule type="duplicateValues" dxfId="5923" priority="124" stopIfTrue="1"/>
  </conditionalFormatting>
  <conditionalFormatting sqref="C132">
    <cfRule type="duplicateValues" dxfId="5922" priority="122" stopIfTrue="1"/>
  </conditionalFormatting>
  <conditionalFormatting sqref="C247:C249 C133:C176">
    <cfRule type="duplicateValues" dxfId="5921" priority="120" stopIfTrue="1"/>
    <cfRule type="duplicateValues" dxfId="5920" priority="121" stopIfTrue="1"/>
  </conditionalFormatting>
  <conditionalFormatting sqref="C247:C249 C133:C176">
    <cfRule type="duplicateValues" dxfId="5919" priority="119" stopIfTrue="1"/>
  </conditionalFormatting>
  <conditionalFormatting sqref="C247:C249 C219:C223 C131 C133:C176">
    <cfRule type="duplicateValues" dxfId="5918" priority="117" stopIfTrue="1"/>
    <cfRule type="duplicateValues" dxfId="5917" priority="118" stopIfTrue="1"/>
  </conditionalFormatting>
  <conditionalFormatting sqref="C247:C249 C219:C223 C131 C133:C176">
    <cfRule type="duplicateValues" dxfId="5916" priority="116" stopIfTrue="1"/>
  </conditionalFormatting>
  <conditionalFormatting sqref="C177">
    <cfRule type="duplicateValues" dxfId="5915" priority="114" stopIfTrue="1"/>
    <cfRule type="duplicateValues" dxfId="5914" priority="115" stopIfTrue="1"/>
  </conditionalFormatting>
  <conditionalFormatting sqref="C177">
    <cfRule type="duplicateValues" dxfId="5913" priority="113" stopIfTrue="1"/>
  </conditionalFormatting>
  <conditionalFormatting sqref="C178">
    <cfRule type="duplicateValues" dxfId="5912" priority="111" stopIfTrue="1"/>
    <cfRule type="duplicateValues" dxfId="5911" priority="112" stopIfTrue="1"/>
  </conditionalFormatting>
  <conditionalFormatting sqref="C178">
    <cfRule type="duplicateValues" dxfId="5910" priority="110" stopIfTrue="1"/>
  </conditionalFormatting>
  <conditionalFormatting sqref="C179">
    <cfRule type="duplicateValues" dxfId="5909" priority="108" stopIfTrue="1"/>
    <cfRule type="duplicateValues" dxfId="5908" priority="109" stopIfTrue="1"/>
  </conditionalFormatting>
  <conditionalFormatting sqref="C179">
    <cfRule type="duplicateValues" dxfId="5907" priority="107" stopIfTrue="1"/>
  </conditionalFormatting>
  <conditionalFormatting sqref="C180">
    <cfRule type="duplicateValues" dxfId="5906" priority="105" stopIfTrue="1"/>
    <cfRule type="duplicateValues" dxfId="5905" priority="106" stopIfTrue="1"/>
  </conditionalFormatting>
  <conditionalFormatting sqref="C180">
    <cfRule type="duplicateValues" dxfId="5904" priority="104" stopIfTrue="1"/>
  </conditionalFormatting>
  <conditionalFormatting sqref="C181">
    <cfRule type="duplicateValues" dxfId="5903" priority="102" stopIfTrue="1"/>
    <cfRule type="duplicateValues" dxfId="5902" priority="103" stopIfTrue="1"/>
  </conditionalFormatting>
  <conditionalFormatting sqref="C181">
    <cfRule type="duplicateValues" dxfId="5901" priority="101" stopIfTrue="1"/>
  </conditionalFormatting>
  <conditionalFormatting sqref="C182">
    <cfRule type="duplicateValues" dxfId="5900" priority="99" stopIfTrue="1"/>
    <cfRule type="duplicateValues" dxfId="5899" priority="100" stopIfTrue="1"/>
  </conditionalFormatting>
  <conditionalFormatting sqref="C182">
    <cfRule type="duplicateValues" dxfId="5898" priority="98" stopIfTrue="1"/>
  </conditionalFormatting>
  <conditionalFormatting sqref="C183">
    <cfRule type="duplicateValues" dxfId="5897" priority="96" stopIfTrue="1"/>
    <cfRule type="duplicateValues" dxfId="5896" priority="97" stopIfTrue="1"/>
  </conditionalFormatting>
  <conditionalFormatting sqref="C183">
    <cfRule type="duplicateValues" dxfId="5895" priority="95" stopIfTrue="1"/>
  </conditionalFormatting>
  <conditionalFormatting sqref="C184">
    <cfRule type="duplicateValues" dxfId="5894" priority="93" stopIfTrue="1"/>
    <cfRule type="duplicateValues" dxfId="5893" priority="94" stopIfTrue="1"/>
  </conditionalFormatting>
  <conditionalFormatting sqref="C184">
    <cfRule type="duplicateValues" dxfId="5892" priority="92" stopIfTrue="1"/>
  </conditionalFormatting>
  <conditionalFormatting sqref="C185">
    <cfRule type="duplicateValues" dxfId="5891" priority="90" stopIfTrue="1"/>
    <cfRule type="duplicateValues" dxfId="5890" priority="91" stopIfTrue="1"/>
  </conditionalFormatting>
  <conditionalFormatting sqref="C185">
    <cfRule type="duplicateValues" dxfId="5889" priority="89" stopIfTrue="1"/>
  </conditionalFormatting>
  <conditionalFormatting sqref="C186">
    <cfRule type="duplicateValues" dxfId="5888" priority="87" stopIfTrue="1"/>
    <cfRule type="duplicateValues" dxfId="5887" priority="88" stopIfTrue="1"/>
  </conditionalFormatting>
  <conditionalFormatting sqref="C186">
    <cfRule type="duplicateValues" dxfId="5886" priority="86" stopIfTrue="1"/>
  </conditionalFormatting>
  <conditionalFormatting sqref="C187">
    <cfRule type="duplicateValues" dxfId="5885" priority="84" stopIfTrue="1"/>
    <cfRule type="duplicateValues" dxfId="5884" priority="85" stopIfTrue="1"/>
  </conditionalFormatting>
  <conditionalFormatting sqref="C187">
    <cfRule type="duplicateValues" dxfId="5883" priority="83" stopIfTrue="1"/>
  </conditionalFormatting>
  <conditionalFormatting sqref="C188">
    <cfRule type="duplicateValues" dxfId="5882" priority="81" stopIfTrue="1"/>
    <cfRule type="duplicateValues" dxfId="5881" priority="82" stopIfTrue="1"/>
  </conditionalFormatting>
  <conditionalFormatting sqref="C188">
    <cfRule type="duplicateValues" dxfId="5880" priority="80" stopIfTrue="1"/>
  </conditionalFormatting>
  <conditionalFormatting sqref="C189">
    <cfRule type="duplicateValues" dxfId="5879" priority="78" stopIfTrue="1"/>
    <cfRule type="duplicateValues" dxfId="5878" priority="79" stopIfTrue="1"/>
  </conditionalFormatting>
  <conditionalFormatting sqref="C189">
    <cfRule type="duplicateValues" dxfId="5877" priority="77" stopIfTrue="1"/>
  </conditionalFormatting>
  <conditionalFormatting sqref="C190">
    <cfRule type="duplicateValues" dxfId="5876" priority="75" stopIfTrue="1"/>
    <cfRule type="duplicateValues" dxfId="5875" priority="76" stopIfTrue="1"/>
  </conditionalFormatting>
  <conditionalFormatting sqref="C190">
    <cfRule type="duplicateValues" dxfId="5874" priority="74" stopIfTrue="1"/>
  </conditionalFormatting>
  <conditionalFormatting sqref="C191">
    <cfRule type="duplicateValues" dxfId="5873" priority="72" stopIfTrue="1"/>
    <cfRule type="duplicateValues" dxfId="5872" priority="73" stopIfTrue="1"/>
  </conditionalFormatting>
  <conditionalFormatting sqref="C191">
    <cfRule type="duplicateValues" dxfId="5871" priority="71" stopIfTrue="1"/>
  </conditionalFormatting>
  <conditionalFormatting sqref="C192">
    <cfRule type="duplicateValues" dxfId="5870" priority="69" stopIfTrue="1"/>
    <cfRule type="duplicateValues" dxfId="5869" priority="70" stopIfTrue="1"/>
  </conditionalFormatting>
  <conditionalFormatting sqref="C192">
    <cfRule type="duplicateValues" dxfId="5868" priority="68" stopIfTrue="1"/>
  </conditionalFormatting>
  <conditionalFormatting sqref="C193">
    <cfRule type="duplicateValues" dxfId="5867" priority="66" stopIfTrue="1"/>
    <cfRule type="duplicateValues" dxfId="5866" priority="67" stopIfTrue="1"/>
  </conditionalFormatting>
  <conditionalFormatting sqref="C193">
    <cfRule type="duplicateValues" dxfId="5865" priority="65" stopIfTrue="1"/>
  </conditionalFormatting>
  <conditionalFormatting sqref="C194">
    <cfRule type="duplicateValues" dxfId="5864" priority="63" stopIfTrue="1"/>
    <cfRule type="duplicateValues" dxfId="5863" priority="64" stopIfTrue="1"/>
  </conditionalFormatting>
  <conditionalFormatting sqref="C194">
    <cfRule type="duplicateValues" dxfId="5862" priority="62" stopIfTrue="1"/>
  </conditionalFormatting>
  <conditionalFormatting sqref="C195">
    <cfRule type="duplicateValues" dxfId="5861" priority="60" stopIfTrue="1"/>
    <cfRule type="duplicateValues" dxfId="5860" priority="61" stopIfTrue="1"/>
  </conditionalFormatting>
  <conditionalFormatting sqref="C195">
    <cfRule type="duplicateValues" dxfId="5859" priority="59" stopIfTrue="1"/>
  </conditionalFormatting>
  <conditionalFormatting sqref="C196">
    <cfRule type="duplicateValues" dxfId="5858" priority="57" stopIfTrue="1"/>
    <cfRule type="duplicateValues" dxfId="5857" priority="58" stopIfTrue="1"/>
  </conditionalFormatting>
  <conditionalFormatting sqref="C196">
    <cfRule type="duplicateValues" dxfId="5856" priority="56" stopIfTrue="1"/>
  </conditionalFormatting>
  <conditionalFormatting sqref="C238">
    <cfRule type="duplicateValues" dxfId="5855" priority="54" stopIfTrue="1"/>
    <cfRule type="duplicateValues" dxfId="5854" priority="55" stopIfTrue="1"/>
  </conditionalFormatting>
  <conditionalFormatting sqref="C238">
    <cfRule type="duplicateValues" dxfId="5853" priority="53" stopIfTrue="1"/>
  </conditionalFormatting>
  <conditionalFormatting sqref="C197">
    <cfRule type="duplicateValues" dxfId="5852" priority="51" stopIfTrue="1"/>
    <cfRule type="duplicateValues" dxfId="5851" priority="52" stopIfTrue="1"/>
  </conditionalFormatting>
  <conditionalFormatting sqref="C197">
    <cfRule type="duplicateValues" dxfId="5850" priority="50" stopIfTrue="1"/>
  </conditionalFormatting>
  <conditionalFormatting sqref="C198:C218">
    <cfRule type="duplicateValues" dxfId="5849" priority="48" stopIfTrue="1"/>
    <cfRule type="duplicateValues" dxfId="5848" priority="49" stopIfTrue="1"/>
  </conditionalFormatting>
  <conditionalFormatting sqref="C198:C218">
    <cfRule type="duplicateValues" dxfId="5847" priority="47" stopIfTrue="1"/>
  </conditionalFormatting>
  <conditionalFormatting sqref="C263:C1048576 C1:C2 C4:C259">
    <cfRule type="duplicateValues" dxfId="5846" priority="46"/>
  </conditionalFormatting>
  <conditionalFormatting sqref="C250:C251 C238 C241:C246 C177:C218">
    <cfRule type="duplicateValues" dxfId="5845" priority="44" stopIfTrue="1"/>
    <cfRule type="duplicateValues" dxfId="5844" priority="45" stopIfTrue="1"/>
  </conditionalFormatting>
  <conditionalFormatting sqref="C250:C251 C238 C241:C246 C177:C218">
    <cfRule type="duplicateValues" dxfId="5843" priority="43" stopIfTrue="1"/>
  </conditionalFormatting>
  <conditionalFormatting sqref="C3">
    <cfRule type="duplicateValues" dxfId="5842" priority="39"/>
  </conditionalFormatting>
  <conditionalFormatting sqref="C220:C223">
    <cfRule type="duplicateValues" dxfId="5841" priority="36" stopIfTrue="1"/>
    <cfRule type="duplicateValues" dxfId="5840" priority="37" stopIfTrue="1"/>
  </conditionalFormatting>
  <conditionalFormatting sqref="C220:C223">
    <cfRule type="duplicateValues" dxfId="5839" priority="35" stopIfTrue="1"/>
  </conditionalFormatting>
  <conditionalFormatting sqref="C220:C221">
    <cfRule type="duplicateValues" dxfId="5838" priority="33"/>
  </conditionalFormatting>
  <conditionalFormatting sqref="C220:C221">
    <cfRule type="duplicateValues" dxfId="5837" priority="31" stopIfTrue="1"/>
    <cfRule type="duplicateValues" dxfId="5836" priority="32" stopIfTrue="1"/>
  </conditionalFormatting>
  <conditionalFormatting sqref="C223">
    <cfRule type="duplicateValues" dxfId="5835" priority="29"/>
  </conditionalFormatting>
  <conditionalFormatting sqref="C200">
    <cfRule type="duplicateValues" dxfId="5834" priority="27" stopIfTrue="1"/>
    <cfRule type="duplicateValues" dxfId="5833" priority="28" stopIfTrue="1"/>
  </conditionalFormatting>
  <conditionalFormatting sqref="C200">
    <cfRule type="duplicateValues" dxfId="5832" priority="26" stopIfTrue="1"/>
  </conditionalFormatting>
  <conditionalFormatting sqref="C201">
    <cfRule type="duplicateValues" dxfId="5831" priority="24" stopIfTrue="1"/>
    <cfRule type="duplicateValues" dxfId="5830" priority="25" stopIfTrue="1"/>
  </conditionalFormatting>
  <conditionalFormatting sqref="C201">
    <cfRule type="duplicateValues" dxfId="5829" priority="23" stopIfTrue="1"/>
  </conditionalFormatting>
  <conditionalFormatting sqref="C203:C218">
    <cfRule type="duplicateValues" dxfId="5828" priority="21" stopIfTrue="1"/>
    <cfRule type="duplicateValues" dxfId="5827" priority="22" stopIfTrue="1"/>
  </conditionalFormatting>
  <conditionalFormatting sqref="C203:C218">
    <cfRule type="duplicateValues" dxfId="5826" priority="20" stopIfTrue="1"/>
  </conditionalFormatting>
  <conditionalFormatting sqref="C199:C218">
    <cfRule type="duplicateValues" dxfId="5825" priority="19"/>
  </conditionalFormatting>
  <conditionalFormatting sqref="C204">
    <cfRule type="duplicateValues" dxfId="5824" priority="17" stopIfTrue="1"/>
    <cfRule type="duplicateValues" dxfId="5823" priority="18" stopIfTrue="1"/>
  </conditionalFormatting>
  <conditionalFormatting sqref="C204">
    <cfRule type="duplicateValues" dxfId="5822" priority="16" stopIfTrue="1"/>
  </conditionalFormatting>
  <conditionalFormatting sqref="C205">
    <cfRule type="duplicateValues" dxfId="5821" priority="14" stopIfTrue="1"/>
    <cfRule type="duplicateValues" dxfId="5820" priority="15" stopIfTrue="1"/>
  </conditionalFormatting>
  <conditionalFormatting sqref="C205">
    <cfRule type="duplicateValues" dxfId="5819" priority="13" stopIfTrue="1"/>
  </conditionalFormatting>
  <conditionalFormatting sqref="C207">
    <cfRule type="duplicateValues" dxfId="5818" priority="11" stopIfTrue="1"/>
    <cfRule type="duplicateValues" dxfId="5817" priority="12" stopIfTrue="1"/>
  </conditionalFormatting>
  <conditionalFormatting sqref="C207">
    <cfRule type="duplicateValues" dxfId="5816" priority="10" stopIfTrue="1"/>
  </conditionalFormatting>
  <conditionalFormatting sqref="C215:C216">
    <cfRule type="duplicateValues" dxfId="5815" priority="8" stopIfTrue="1"/>
    <cfRule type="duplicateValues" dxfId="5814" priority="9" stopIfTrue="1"/>
  </conditionalFormatting>
  <conditionalFormatting sqref="C215:C216">
    <cfRule type="duplicateValues" dxfId="5813" priority="7" stopIfTrue="1"/>
  </conditionalFormatting>
  <conditionalFormatting sqref="C215:C216">
    <cfRule type="duplicateValues" dxfId="5812" priority="5" stopIfTrue="1"/>
    <cfRule type="duplicateValues" dxfId="5811" priority="6" stopIfTrue="1"/>
  </conditionalFormatting>
  <conditionalFormatting sqref="C215:C216">
    <cfRule type="duplicateValues" dxfId="5810" priority="4" stopIfTrue="1"/>
  </conditionalFormatting>
  <conditionalFormatting sqref="C206">
    <cfRule type="duplicateValues" dxfId="5809" priority="2" stopIfTrue="1"/>
    <cfRule type="duplicateValues" dxfId="5808" priority="3" stopIfTrue="1"/>
  </conditionalFormatting>
  <conditionalFormatting sqref="C206">
    <cfRule type="duplicateValues" dxfId="5807" priority="1" stopIfTrue="1"/>
  </conditionalFormatting>
  <pageMargins left="0.45" right="0.45" top="0.25" bottom="0.2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dimension ref="B3:N245"/>
  <sheetViews>
    <sheetView topLeftCell="B48" workbookViewId="0">
      <selection activeCell="C48" sqref="C48"/>
    </sheetView>
  </sheetViews>
  <sheetFormatPr defaultRowHeight="15"/>
  <cols>
    <col min="1" max="1" width="26.28515625" customWidth="1"/>
    <col min="2" max="2" width="6.85546875" customWidth="1"/>
    <col min="3" max="3" width="33.5703125" customWidth="1"/>
    <col min="4" max="4" width="13.5703125" customWidth="1"/>
    <col min="5" max="5" width="12.85546875" customWidth="1"/>
    <col min="6" max="6" width="14" bestFit="1" customWidth="1"/>
    <col min="7" max="7" width="9.140625" style="43" customWidth="1"/>
    <col min="8" max="8" width="14" bestFit="1" customWidth="1"/>
    <col min="9" max="9" width="10.42578125" customWidth="1"/>
    <col min="10" max="10" width="10.28515625" customWidth="1"/>
    <col min="11" max="11" width="13.85546875" customWidth="1"/>
    <col min="12" max="12" width="14" bestFit="1" customWidth="1"/>
    <col min="13" max="13" width="10.140625" customWidth="1"/>
    <col min="14" max="14" width="11.28515625" bestFit="1" customWidth="1"/>
  </cols>
  <sheetData>
    <row r="3" spans="2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2:14" ht="18">
      <c r="B4" s="418" t="s">
        <v>254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2:14" s="44" customFormat="1" ht="63.75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2:14">
      <c r="B6" s="14">
        <v>1</v>
      </c>
      <c r="C6" s="2" t="s">
        <v>121</v>
      </c>
      <c r="D6" s="15">
        <v>200000</v>
      </c>
      <c r="E6" s="15">
        <v>26660</v>
      </c>
      <c r="F6" s="15">
        <f t="shared" ref="F6:F39" si="0">SUM(D6:E6)</f>
        <v>226660</v>
      </c>
      <c r="G6" s="31">
        <v>40</v>
      </c>
      <c r="H6" s="15">
        <v>5666.5</v>
      </c>
      <c r="I6" s="8">
        <v>31</v>
      </c>
      <c r="J6" s="11">
        <f t="shared" ref="J6:J37" si="1">G6-I6</f>
        <v>9</v>
      </c>
      <c r="K6" s="16">
        <f>(31*5666.5)</f>
        <v>175661.5</v>
      </c>
      <c r="L6" s="15">
        <f t="shared" ref="L6:L37" si="2">F6-K6</f>
        <v>50998.5</v>
      </c>
      <c r="M6" s="8"/>
      <c r="N6" s="39" t="e">
        <f>#REF!-H6</f>
        <v>#REF!</v>
      </c>
    </row>
    <row r="7" spans="2:14">
      <c r="B7" s="14">
        <v>2</v>
      </c>
      <c r="C7" s="2" t="s">
        <v>199</v>
      </c>
      <c r="D7" s="12">
        <v>132000</v>
      </c>
      <c r="E7" s="12">
        <v>17595.599999999999</v>
      </c>
      <c r="F7" s="15">
        <f t="shared" si="0"/>
        <v>149595.6</v>
      </c>
      <c r="G7" s="31">
        <v>40</v>
      </c>
      <c r="H7" s="12">
        <v>3739.89</v>
      </c>
      <c r="I7" s="8">
        <v>24</v>
      </c>
      <c r="J7" s="11">
        <f t="shared" si="1"/>
        <v>16</v>
      </c>
      <c r="K7" s="12">
        <f>(24*3739.89)</f>
        <v>89757.36</v>
      </c>
      <c r="L7" s="15">
        <f t="shared" si="2"/>
        <v>59838.240000000005</v>
      </c>
      <c r="M7" s="8"/>
      <c r="N7" s="39" t="e">
        <f>#REF!-H7</f>
        <v>#REF!</v>
      </c>
    </row>
    <row r="8" spans="2:14">
      <c r="B8" s="14">
        <v>3</v>
      </c>
      <c r="C8" s="2" t="s">
        <v>200</v>
      </c>
      <c r="D8" s="12">
        <v>132000</v>
      </c>
      <c r="E8" s="12">
        <v>17595.599999999999</v>
      </c>
      <c r="F8" s="15">
        <f t="shared" si="0"/>
        <v>149595.6</v>
      </c>
      <c r="G8" s="31">
        <v>40</v>
      </c>
      <c r="H8" s="12">
        <v>3739.89</v>
      </c>
      <c r="I8" s="8">
        <v>39</v>
      </c>
      <c r="J8" s="11">
        <f t="shared" si="1"/>
        <v>1</v>
      </c>
      <c r="K8" s="12">
        <f>(39*3739.89)</f>
        <v>145855.71</v>
      </c>
      <c r="L8" s="15">
        <f t="shared" si="2"/>
        <v>3739.890000000014</v>
      </c>
      <c r="M8" s="8"/>
      <c r="N8" s="39" t="e">
        <f>#REF!-H8</f>
        <v>#REF!</v>
      </c>
    </row>
    <row r="9" spans="2:14">
      <c r="B9" s="14">
        <v>4</v>
      </c>
      <c r="C9" s="2" t="s">
        <v>122</v>
      </c>
      <c r="D9" s="15">
        <v>200000</v>
      </c>
      <c r="E9" s="15">
        <v>26660</v>
      </c>
      <c r="F9" s="15">
        <f t="shared" si="0"/>
        <v>226660</v>
      </c>
      <c r="G9" s="31">
        <v>40</v>
      </c>
      <c r="H9" s="15">
        <v>5666.5</v>
      </c>
      <c r="I9" s="8">
        <v>32</v>
      </c>
      <c r="J9" s="11">
        <f t="shared" si="1"/>
        <v>8</v>
      </c>
      <c r="K9" s="12">
        <f>(32*5666.5)</f>
        <v>181328</v>
      </c>
      <c r="L9" s="15">
        <f t="shared" si="2"/>
        <v>45332</v>
      </c>
      <c r="M9" s="8"/>
      <c r="N9" s="39" t="e">
        <f>#REF!-H9</f>
        <v>#REF!</v>
      </c>
    </row>
    <row r="10" spans="2:14">
      <c r="B10" s="14">
        <v>5</v>
      </c>
      <c r="C10" s="2" t="s">
        <v>188</v>
      </c>
      <c r="D10" s="12">
        <v>180000</v>
      </c>
      <c r="E10" s="12">
        <v>23994</v>
      </c>
      <c r="F10" s="15">
        <f t="shared" si="0"/>
        <v>203994</v>
      </c>
      <c r="G10" s="31">
        <v>40</v>
      </c>
      <c r="H10" s="12">
        <v>5099.8500000000004</v>
      </c>
      <c r="I10" s="8">
        <v>32</v>
      </c>
      <c r="J10" s="11">
        <f t="shared" si="1"/>
        <v>8</v>
      </c>
      <c r="K10" s="12">
        <f>(32*5099.85)</f>
        <v>163195.20000000001</v>
      </c>
      <c r="L10" s="15">
        <f t="shared" si="2"/>
        <v>40798.799999999988</v>
      </c>
      <c r="M10" s="8"/>
      <c r="N10" s="39" t="e">
        <f>#REF!-H10</f>
        <v>#REF!</v>
      </c>
    </row>
    <row r="11" spans="2:14">
      <c r="B11" s="14">
        <v>6</v>
      </c>
      <c r="C11" s="4" t="s">
        <v>189</v>
      </c>
      <c r="D11" s="12">
        <v>180000</v>
      </c>
      <c r="E11" s="12">
        <v>23994</v>
      </c>
      <c r="F11" s="15">
        <f t="shared" si="0"/>
        <v>203994</v>
      </c>
      <c r="G11" s="31">
        <v>40</v>
      </c>
      <c r="H11" s="12">
        <v>5099.8500000000004</v>
      </c>
      <c r="I11" s="8">
        <v>29</v>
      </c>
      <c r="J11" s="11">
        <f t="shared" si="1"/>
        <v>11</v>
      </c>
      <c r="K11" s="12">
        <f>(29*5099.85)</f>
        <v>147895.65000000002</v>
      </c>
      <c r="L11" s="15">
        <f t="shared" si="2"/>
        <v>56098.349999999977</v>
      </c>
      <c r="M11" s="8"/>
      <c r="N11" s="39" t="e">
        <f>#REF!-H11</f>
        <v>#REF!</v>
      </c>
    </row>
    <row r="12" spans="2:14">
      <c r="B12" s="14">
        <v>7</v>
      </c>
      <c r="C12" s="2" t="s">
        <v>123</v>
      </c>
      <c r="D12" s="15">
        <v>200000</v>
      </c>
      <c r="E12" s="15">
        <v>26660</v>
      </c>
      <c r="F12" s="15">
        <f t="shared" si="0"/>
        <v>226660</v>
      </c>
      <c r="G12" s="31">
        <v>40</v>
      </c>
      <c r="H12" s="15">
        <v>5666.5</v>
      </c>
      <c r="I12" s="8">
        <v>32</v>
      </c>
      <c r="J12" s="11">
        <f t="shared" si="1"/>
        <v>8</v>
      </c>
      <c r="K12" s="12">
        <f>(32*5666.5)</f>
        <v>181328</v>
      </c>
      <c r="L12" s="15">
        <f t="shared" si="2"/>
        <v>45332</v>
      </c>
      <c r="M12" s="8"/>
      <c r="N12" s="39" t="e">
        <f>#REF!-H12</f>
        <v>#REF!</v>
      </c>
    </row>
    <row r="13" spans="2:14">
      <c r="B13" s="14">
        <v>8</v>
      </c>
      <c r="C13" s="25" t="s">
        <v>43</v>
      </c>
      <c r="D13" s="12">
        <v>330000</v>
      </c>
      <c r="E13" s="12">
        <v>21114.720000000001</v>
      </c>
      <c r="F13" s="15">
        <f t="shared" si="0"/>
        <v>351114.72</v>
      </c>
      <c r="G13" s="31">
        <v>24</v>
      </c>
      <c r="H13" s="12">
        <v>14629.78</v>
      </c>
      <c r="I13" s="11">
        <v>18</v>
      </c>
      <c r="J13" s="11">
        <f t="shared" si="1"/>
        <v>6</v>
      </c>
      <c r="K13" s="16">
        <f>(18*14629.78)</f>
        <v>263336.04000000004</v>
      </c>
      <c r="L13" s="15">
        <f t="shared" si="2"/>
        <v>87778.679999999935</v>
      </c>
      <c r="M13" s="8"/>
      <c r="N13" s="39" t="e">
        <f>#REF!-H13</f>
        <v>#REF!</v>
      </c>
    </row>
    <row r="14" spans="2:14">
      <c r="B14" s="14">
        <v>9</v>
      </c>
      <c r="C14" s="2" t="s">
        <v>124</v>
      </c>
      <c r="D14" s="15">
        <v>200000</v>
      </c>
      <c r="E14" s="15">
        <v>26660</v>
      </c>
      <c r="F14" s="15">
        <f t="shared" si="0"/>
        <v>226660</v>
      </c>
      <c r="G14" s="31">
        <v>40</v>
      </c>
      <c r="H14" s="15">
        <v>5666.5</v>
      </c>
      <c r="I14" s="8">
        <v>35</v>
      </c>
      <c r="J14" s="11">
        <f t="shared" si="1"/>
        <v>5</v>
      </c>
      <c r="K14" s="12">
        <f>(35*5666.5)</f>
        <v>198327.5</v>
      </c>
      <c r="L14" s="15">
        <f t="shared" si="2"/>
        <v>28332.5</v>
      </c>
      <c r="M14" s="8"/>
      <c r="N14" s="39" t="e">
        <f>#REF!-H14</f>
        <v>#REF!</v>
      </c>
    </row>
    <row r="15" spans="2:14">
      <c r="B15" s="14">
        <v>10</v>
      </c>
      <c r="C15" s="2" t="s">
        <v>125</v>
      </c>
      <c r="D15" s="15">
        <v>200000</v>
      </c>
      <c r="E15" s="15">
        <v>26660</v>
      </c>
      <c r="F15" s="15">
        <f t="shared" si="0"/>
        <v>226660</v>
      </c>
      <c r="G15" s="31">
        <v>40</v>
      </c>
      <c r="H15" s="15">
        <v>5666.5</v>
      </c>
      <c r="I15" s="8">
        <v>39</v>
      </c>
      <c r="J15" s="11">
        <f t="shared" si="1"/>
        <v>1</v>
      </c>
      <c r="K15" s="12">
        <f>(39*5666.5)</f>
        <v>220993.5</v>
      </c>
      <c r="L15" s="15">
        <f t="shared" si="2"/>
        <v>5666.5</v>
      </c>
      <c r="M15" s="8"/>
      <c r="N15" s="39" t="e">
        <f>#REF!-H15</f>
        <v>#REF!</v>
      </c>
    </row>
    <row r="16" spans="2:14">
      <c r="B16" s="14">
        <v>11</v>
      </c>
      <c r="C16" s="2" t="s">
        <v>120</v>
      </c>
      <c r="D16" s="12">
        <v>330000</v>
      </c>
      <c r="E16" s="16">
        <v>21114.720000000001</v>
      </c>
      <c r="F16" s="15">
        <f t="shared" si="0"/>
        <v>351114.72</v>
      </c>
      <c r="G16" s="31">
        <v>24</v>
      </c>
      <c r="H16" s="24">
        <v>6649.9</v>
      </c>
      <c r="I16" s="11">
        <v>18</v>
      </c>
      <c r="J16" s="11">
        <f t="shared" si="1"/>
        <v>6</v>
      </c>
      <c r="K16" s="16">
        <f>(18*6649.9)</f>
        <v>119698.2</v>
      </c>
      <c r="L16" s="15">
        <f t="shared" si="2"/>
        <v>231416.51999999996</v>
      </c>
      <c r="M16" s="8"/>
      <c r="N16" s="39" t="e">
        <f>#REF!-H16</f>
        <v>#REF!</v>
      </c>
    </row>
    <row r="17" spans="2:14">
      <c r="B17" s="14">
        <v>12</v>
      </c>
      <c r="C17" s="2" t="s">
        <v>190</v>
      </c>
      <c r="D17" s="12">
        <v>180000</v>
      </c>
      <c r="E17" s="12">
        <v>23994</v>
      </c>
      <c r="F17" s="15">
        <f t="shared" si="0"/>
        <v>203994</v>
      </c>
      <c r="G17" s="30">
        <v>40</v>
      </c>
      <c r="H17" s="12">
        <v>5099.8500000000004</v>
      </c>
      <c r="I17" s="22">
        <v>41</v>
      </c>
      <c r="J17" s="11">
        <f t="shared" si="1"/>
        <v>-1</v>
      </c>
      <c r="K17" s="12">
        <f>(41*5099.85)</f>
        <v>209093.85</v>
      </c>
      <c r="L17" s="15">
        <f t="shared" si="2"/>
        <v>-5099.8500000000058</v>
      </c>
      <c r="M17" s="10"/>
      <c r="N17" s="39" t="e">
        <f>#REF!-H17</f>
        <v>#REF!</v>
      </c>
    </row>
    <row r="18" spans="2:14">
      <c r="B18" s="14">
        <v>13</v>
      </c>
      <c r="C18" s="2" t="s">
        <v>201</v>
      </c>
      <c r="D18" s="12">
        <v>132000</v>
      </c>
      <c r="E18" s="12">
        <v>17595.599999999999</v>
      </c>
      <c r="F18" s="15">
        <f t="shared" si="0"/>
        <v>149595.6</v>
      </c>
      <c r="G18" s="31">
        <v>40</v>
      </c>
      <c r="H18" s="12">
        <v>3739.89</v>
      </c>
      <c r="I18" s="8">
        <v>32</v>
      </c>
      <c r="J18" s="11">
        <f t="shared" si="1"/>
        <v>8</v>
      </c>
      <c r="K18" s="12">
        <f>(32*3739.89)</f>
        <v>119676.48</v>
      </c>
      <c r="L18" s="15">
        <f t="shared" si="2"/>
        <v>29919.12000000001</v>
      </c>
      <c r="M18" s="8"/>
      <c r="N18" s="39" t="e">
        <f>#REF!-H18</f>
        <v>#REF!</v>
      </c>
    </row>
    <row r="19" spans="2:14">
      <c r="B19" s="14">
        <v>14</v>
      </c>
      <c r="C19" s="2" t="s">
        <v>191</v>
      </c>
      <c r="D19" s="12">
        <v>180000</v>
      </c>
      <c r="E19" s="12">
        <v>23994</v>
      </c>
      <c r="F19" s="15">
        <f t="shared" si="0"/>
        <v>203994</v>
      </c>
      <c r="G19" s="30">
        <v>40</v>
      </c>
      <c r="H19" s="12">
        <v>5099.8500000000004</v>
      </c>
      <c r="I19" s="22">
        <v>41</v>
      </c>
      <c r="J19" s="11">
        <f t="shared" si="1"/>
        <v>-1</v>
      </c>
      <c r="K19" s="12">
        <f>(41*5099.85)</f>
        <v>209093.85</v>
      </c>
      <c r="L19" s="15">
        <f t="shared" si="2"/>
        <v>-5099.8500000000058</v>
      </c>
      <c r="M19" s="10"/>
      <c r="N19" s="39" t="e">
        <f>#REF!-H19</f>
        <v>#REF!</v>
      </c>
    </row>
    <row r="20" spans="2:14">
      <c r="B20" s="14">
        <v>15</v>
      </c>
      <c r="C20" s="2" t="s">
        <v>52</v>
      </c>
      <c r="D20" s="12">
        <v>500000</v>
      </c>
      <c r="E20" s="12">
        <v>66650</v>
      </c>
      <c r="F20" s="15">
        <f t="shared" si="0"/>
        <v>566650</v>
      </c>
      <c r="G20" s="31">
        <v>50</v>
      </c>
      <c r="H20" s="18">
        <v>11333</v>
      </c>
      <c r="I20" s="31">
        <v>25</v>
      </c>
      <c r="J20" s="11">
        <f t="shared" si="1"/>
        <v>25</v>
      </c>
      <c r="K20" s="12">
        <f>(25*11333)</f>
        <v>283325</v>
      </c>
      <c r="L20" s="15">
        <f t="shared" si="2"/>
        <v>283325</v>
      </c>
      <c r="M20" s="8"/>
      <c r="N20" s="39" t="e">
        <f>#REF!-H20</f>
        <v>#REF!</v>
      </c>
    </row>
    <row r="21" spans="2:14">
      <c r="B21" s="14">
        <v>16</v>
      </c>
      <c r="C21" s="2" t="s">
        <v>49</v>
      </c>
      <c r="D21" s="12">
        <v>500000</v>
      </c>
      <c r="E21" s="12">
        <v>53320</v>
      </c>
      <c r="F21" s="15">
        <f t="shared" si="0"/>
        <v>553320</v>
      </c>
      <c r="G21" s="31">
        <v>40</v>
      </c>
      <c r="H21" s="12">
        <v>13833</v>
      </c>
      <c r="I21" s="8">
        <v>39</v>
      </c>
      <c r="J21" s="11">
        <f t="shared" si="1"/>
        <v>1</v>
      </c>
      <c r="K21" s="12">
        <f>(39*13833)</f>
        <v>539487</v>
      </c>
      <c r="L21" s="15">
        <f t="shared" si="2"/>
        <v>13833</v>
      </c>
      <c r="M21" s="8"/>
      <c r="N21" s="39" t="e">
        <f>#REF!-H21</f>
        <v>#REF!</v>
      </c>
    </row>
    <row r="22" spans="2:14">
      <c r="B22" s="14">
        <v>17</v>
      </c>
      <c r="C22" s="2" t="s">
        <v>126</v>
      </c>
      <c r="D22" s="15">
        <v>200000</v>
      </c>
      <c r="E22" s="15">
        <v>26660</v>
      </c>
      <c r="F22" s="15">
        <f t="shared" si="0"/>
        <v>226660</v>
      </c>
      <c r="G22" s="32">
        <v>40</v>
      </c>
      <c r="H22" s="15">
        <v>5666.5</v>
      </c>
      <c r="I22" s="22">
        <v>41</v>
      </c>
      <c r="J22" s="11">
        <f t="shared" si="1"/>
        <v>-1</v>
      </c>
      <c r="K22" s="15">
        <f>(41*5666.5)</f>
        <v>232326.5</v>
      </c>
      <c r="L22" s="15">
        <f t="shared" si="2"/>
        <v>-5666.5</v>
      </c>
      <c r="M22" s="10"/>
      <c r="N22" s="39" t="e">
        <f>#REF!-H22</f>
        <v>#REF!</v>
      </c>
    </row>
    <row r="23" spans="2:14">
      <c r="B23" s="14">
        <v>18</v>
      </c>
      <c r="C23" s="2" t="s">
        <v>46</v>
      </c>
      <c r="D23" s="12">
        <v>450000</v>
      </c>
      <c r="E23" s="16">
        <v>28792.799999999999</v>
      </c>
      <c r="F23" s="15">
        <f t="shared" si="0"/>
        <v>478792.8</v>
      </c>
      <c r="G23" s="31">
        <v>24</v>
      </c>
      <c r="H23" s="16">
        <v>19949.7</v>
      </c>
      <c r="I23" s="11">
        <v>18</v>
      </c>
      <c r="J23" s="11">
        <f t="shared" si="1"/>
        <v>6</v>
      </c>
      <c r="K23" s="12">
        <f>(18*19949.7)</f>
        <v>359094.60000000003</v>
      </c>
      <c r="L23" s="15">
        <f t="shared" si="2"/>
        <v>119698.19999999995</v>
      </c>
      <c r="M23" s="8"/>
      <c r="N23" s="39" t="e">
        <f>#REF!-H23</f>
        <v>#REF!</v>
      </c>
    </row>
    <row r="24" spans="2:14">
      <c r="B24" s="14">
        <v>19</v>
      </c>
      <c r="C24" s="2" t="s">
        <v>127</v>
      </c>
      <c r="D24" s="15">
        <v>200000</v>
      </c>
      <c r="E24" s="15">
        <v>26660</v>
      </c>
      <c r="F24" s="15">
        <f t="shared" si="0"/>
        <v>226660</v>
      </c>
      <c r="G24" s="31">
        <v>40</v>
      </c>
      <c r="H24" s="15">
        <v>5666.5</v>
      </c>
      <c r="I24" s="8">
        <v>29</v>
      </c>
      <c r="J24" s="11">
        <f t="shared" si="1"/>
        <v>11</v>
      </c>
      <c r="K24" s="12">
        <f>(29*5666.5)</f>
        <v>164328.5</v>
      </c>
      <c r="L24" s="15">
        <f t="shared" si="2"/>
        <v>62331.5</v>
      </c>
      <c r="M24" s="8"/>
      <c r="N24" s="39" t="e">
        <f>#REF!-H24</f>
        <v>#REF!</v>
      </c>
    </row>
    <row r="25" spans="2:14">
      <c r="B25" s="14">
        <v>20</v>
      </c>
      <c r="C25" s="2" t="s">
        <v>128</v>
      </c>
      <c r="D25" s="15">
        <v>200000</v>
      </c>
      <c r="E25" s="15">
        <v>26660</v>
      </c>
      <c r="F25" s="15">
        <f t="shared" si="0"/>
        <v>226660</v>
      </c>
      <c r="G25" s="32">
        <v>40</v>
      </c>
      <c r="H25" s="15">
        <v>5666.5</v>
      </c>
      <c r="I25" s="22">
        <v>41</v>
      </c>
      <c r="J25" s="11">
        <f t="shared" si="1"/>
        <v>-1</v>
      </c>
      <c r="K25" s="15">
        <f>(41*5666.5)</f>
        <v>232326.5</v>
      </c>
      <c r="L25" s="15">
        <f t="shared" si="2"/>
        <v>-5666.5</v>
      </c>
      <c r="M25" s="10"/>
      <c r="N25" s="39" t="e">
        <f>#REF!-H25</f>
        <v>#REF!</v>
      </c>
    </row>
    <row r="26" spans="2:14">
      <c r="B26" s="14">
        <v>21</v>
      </c>
      <c r="C26" s="2" t="s">
        <v>129</v>
      </c>
      <c r="D26" s="15">
        <v>200000</v>
      </c>
      <c r="E26" s="15">
        <v>26660</v>
      </c>
      <c r="F26" s="15">
        <f t="shared" si="0"/>
        <v>226660</v>
      </c>
      <c r="G26" s="31">
        <v>40</v>
      </c>
      <c r="H26" s="15">
        <v>5666.5</v>
      </c>
      <c r="I26" s="8">
        <v>35</v>
      </c>
      <c r="J26" s="11">
        <f t="shared" si="1"/>
        <v>5</v>
      </c>
      <c r="K26" s="12">
        <f>(35*5666.5)</f>
        <v>198327.5</v>
      </c>
      <c r="L26" s="15">
        <f t="shared" si="2"/>
        <v>28332.5</v>
      </c>
      <c r="M26" s="8"/>
      <c r="N26" s="39" t="e">
        <f>#REF!-H26</f>
        <v>#REF!</v>
      </c>
    </row>
    <row r="27" spans="2:14">
      <c r="B27" s="14">
        <v>22</v>
      </c>
      <c r="C27" s="25" t="s">
        <v>105</v>
      </c>
      <c r="D27" s="12">
        <v>330000</v>
      </c>
      <c r="E27" s="16">
        <v>43989</v>
      </c>
      <c r="F27" s="15">
        <f t="shared" si="0"/>
        <v>373989</v>
      </c>
      <c r="G27" s="33">
        <v>50</v>
      </c>
      <c r="H27" s="16">
        <v>7479.78</v>
      </c>
      <c r="I27" s="8">
        <v>27</v>
      </c>
      <c r="J27" s="11">
        <f t="shared" si="1"/>
        <v>23</v>
      </c>
      <c r="K27" s="12">
        <f>(27*7479.78)</f>
        <v>201954.06</v>
      </c>
      <c r="L27" s="15">
        <f t="shared" si="2"/>
        <v>172034.94</v>
      </c>
      <c r="M27" s="8"/>
      <c r="N27" s="39" t="e">
        <f>#REF!-H27</f>
        <v>#REF!</v>
      </c>
    </row>
    <row r="28" spans="2:14">
      <c r="B28" s="14">
        <v>23</v>
      </c>
      <c r="C28" s="2" t="s">
        <v>214</v>
      </c>
      <c r="D28" s="12">
        <v>60000</v>
      </c>
      <c r="E28" s="12">
        <v>7998</v>
      </c>
      <c r="F28" s="15">
        <f t="shared" si="0"/>
        <v>67998</v>
      </c>
      <c r="G28" s="31">
        <v>40</v>
      </c>
      <c r="H28" s="12">
        <v>1699.95</v>
      </c>
      <c r="I28" s="8">
        <v>41</v>
      </c>
      <c r="J28" s="11">
        <f t="shared" si="1"/>
        <v>-1</v>
      </c>
      <c r="K28" s="12">
        <f>(41*1699.95)</f>
        <v>69697.95</v>
      </c>
      <c r="L28" s="15">
        <f t="shared" si="2"/>
        <v>-1699.9499999999971</v>
      </c>
      <c r="M28" s="8"/>
      <c r="N28" s="39" t="e">
        <f>#REF!-H28</f>
        <v>#REF!</v>
      </c>
    </row>
    <row r="29" spans="2:14">
      <c r="B29" s="14">
        <v>24</v>
      </c>
      <c r="C29" s="2" t="s">
        <v>130</v>
      </c>
      <c r="D29" s="15">
        <v>200000</v>
      </c>
      <c r="E29" s="15">
        <v>26660</v>
      </c>
      <c r="F29" s="15">
        <f t="shared" si="0"/>
        <v>226660</v>
      </c>
      <c r="G29" s="31">
        <v>40</v>
      </c>
      <c r="H29" s="15">
        <v>5666.5</v>
      </c>
      <c r="I29" s="8">
        <v>32</v>
      </c>
      <c r="J29" s="11">
        <f t="shared" si="1"/>
        <v>8</v>
      </c>
      <c r="K29" s="12">
        <f>(32*5666.5)</f>
        <v>181328</v>
      </c>
      <c r="L29" s="15">
        <f t="shared" si="2"/>
        <v>45332</v>
      </c>
      <c r="M29" s="8"/>
      <c r="N29" s="39" t="e">
        <f>#REF!-H29</f>
        <v>#REF!</v>
      </c>
    </row>
    <row r="30" spans="2:14">
      <c r="B30" s="14">
        <v>25</v>
      </c>
      <c r="C30" s="2" t="s">
        <v>215</v>
      </c>
      <c r="D30" s="12">
        <v>60000</v>
      </c>
      <c r="E30" s="12">
        <v>7998</v>
      </c>
      <c r="F30" s="15">
        <f t="shared" si="0"/>
        <v>67998</v>
      </c>
      <c r="G30" s="31">
        <v>40</v>
      </c>
      <c r="H30" s="12">
        <v>1699.95</v>
      </c>
      <c r="I30" s="8">
        <v>41</v>
      </c>
      <c r="J30" s="11">
        <f t="shared" si="1"/>
        <v>-1</v>
      </c>
      <c r="K30" s="12">
        <f>(41*1699.95)</f>
        <v>69697.95</v>
      </c>
      <c r="L30" s="15">
        <f t="shared" si="2"/>
        <v>-1699.9499999999971</v>
      </c>
      <c r="M30" s="8"/>
      <c r="N30" s="39" t="e">
        <f>#REF!-H30</f>
        <v>#REF!</v>
      </c>
    </row>
    <row r="31" spans="2:14">
      <c r="B31" s="14">
        <v>26</v>
      </c>
      <c r="C31" s="2" t="s">
        <v>131</v>
      </c>
      <c r="D31" s="15">
        <v>200000</v>
      </c>
      <c r="E31" s="15">
        <v>26660</v>
      </c>
      <c r="F31" s="15">
        <f t="shared" si="0"/>
        <v>226660</v>
      </c>
      <c r="G31" s="32">
        <v>40</v>
      </c>
      <c r="H31" s="15">
        <v>5666.5</v>
      </c>
      <c r="I31" s="22">
        <v>41</v>
      </c>
      <c r="J31" s="11">
        <f t="shared" si="1"/>
        <v>-1</v>
      </c>
      <c r="K31" s="15">
        <f>(41*5666.5)</f>
        <v>232326.5</v>
      </c>
      <c r="L31" s="15">
        <f t="shared" si="2"/>
        <v>-5666.5</v>
      </c>
      <c r="M31" s="10"/>
      <c r="N31" s="39" t="e">
        <f>#REF!-H31</f>
        <v>#REF!</v>
      </c>
    </row>
    <row r="32" spans="2:14">
      <c r="B32" s="14">
        <v>27</v>
      </c>
      <c r="C32" s="2" t="s">
        <v>132</v>
      </c>
      <c r="D32" s="15">
        <v>200000</v>
      </c>
      <c r="E32" s="15">
        <v>26660</v>
      </c>
      <c r="F32" s="15">
        <f t="shared" si="0"/>
        <v>226660</v>
      </c>
      <c r="G32" s="31">
        <v>40</v>
      </c>
      <c r="H32" s="15">
        <v>5666.5</v>
      </c>
      <c r="I32" s="8">
        <v>39</v>
      </c>
      <c r="J32" s="11">
        <f t="shared" si="1"/>
        <v>1</v>
      </c>
      <c r="K32" s="12">
        <f>(39*5666.5)</f>
        <v>220993.5</v>
      </c>
      <c r="L32" s="15">
        <f t="shared" si="2"/>
        <v>5666.5</v>
      </c>
      <c r="M32" s="8"/>
      <c r="N32" s="39" t="e">
        <f>#REF!-H32</f>
        <v>#REF!</v>
      </c>
    </row>
    <row r="33" spans="2:14">
      <c r="B33" s="14">
        <v>28</v>
      </c>
      <c r="C33" s="2" t="s">
        <v>106</v>
      </c>
      <c r="D33" s="12">
        <v>330000</v>
      </c>
      <c r="E33" s="12">
        <v>43989</v>
      </c>
      <c r="F33" s="15">
        <f t="shared" si="0"/>
        <v>373989</v>
      </c>
      <c r="G33" s="31">
        <v>50</v>
      </c>
      <c r="H33" s="12">
        <v>7479.78</v>
      </c>
      <c r="I33" s="11">
        <v>18</v>
      </c>
      <c r="J33" s="11">
        <f t="shared" si="1"/>
        <v>32</v>
      </c>
      <c r="K33" s="16">
        <f>(18*7479.78)</f>
        <v>134636.04</v>
      </c>
      <c r="L33" s="15">
        <f t="shared" si="2"/>
        <v>239352.95999999999</v>
      </c>
      <c r="M33" s="8"/>
      <c r="N33" s="39" t="e">
        <f>#REF!-H33</f>
        <v>#REF!</v>
      </c>
    </row>
    <row r="34" spans="2:14">
      <c r="B34" s="14">
        <v>29</v>
      </c>
      <c r="C34" s="2" t="s">
        <v>134</v>
      </c>
      <c r="D34" s="15">
        <v>200000</v>
      </c>
      <c r="E34" s="15">
        <v>26660</v>
      </c>
      <c r="F34" s="15">
        <f t="shared" si="0"/>
        <v>226660</v>
      </c>
      <c r="G34" s="31">
        <v>40</v>
      </c>
      <c r="H34" s="15">
        <v>5666.5</v>
      </c>
      <c r="I34" s="8">
        <v>32</v>
      </c>
      <c r="J34" s="11">
        <f t="shared" si="1"/>
        <v>8</v>
      </c>
      <c r="K34" s="12">
        <f>(32*5666.5)</f>
        <v>181328</v>
      </c>
      <c r="L34" s="15">
        <f t="shared" si="2"/>
        <v>45332</v>
      </c>
      <c r="M34" s="8"/>
      <c r="N34" s="39" t="e">
        <f>#REF!-H34</f>
        <v>#REF!</v>
      </c>
    </row>
    <row r="35" spans="2:14">
      <c r="B35" s="14">
        <v>30</v>
      </c>
      <c r="C35" s="2" t="s">
        <v>135</v>
      </c>
      <c r="D35" s="15">
        <v>200000</v>
      </c>
      <c r="E35" s="15">
        <v>26660</v>
      </c>
      <c r="F35" s="15">
        <f t="shared" si="0"/>
        <v>226660</v>
      </c>
      <c r="G35" s="31">
        <v>40</v>
      </c>
      <c r="H35" s="15">
        <v>5666.5</v>
      </c>
      <c r="I35" s="8">
        <v>32</v>
      </c>
      <c r="J35" s="11">
        <f t="shared" si="1"/>
        <v>8</v>
      </c>
      <c r="K35" s="12">
        <f>(32*5666.5)</f>
        <v>181328</v>
      </c>
      <c r="L35" s="15">
        <f t="shared" si="2"/>
        <v>45332</v>
      </c>
      <c r="M35" s="8"/>
      <c r="N35" s="39" t="e">
        <f>#REF!-H35</f>
        <v>#REF!</v>
      </c>
    </row>
    <row r="36" spans="2:14">
      <c r="B36" s="14">
        <v>31</v>
      </c>
      <c r="C36" s="25" t="s">
        <v>53</v>
      </c>
      <c r="D36" s="12">
        <v>500000</v>
      </c>
      <c r="E36" s="12">
        <v>66650</v>
      </c>
      <c r="F36" s="15">
        <f t="shared" si="0"/>
        <v>566650</v>
      </c>
      <c r="G36" s="31">
        <v>50</v>
      </c>
      <c r="H36" s="12">
        <v>11333</v>
      </c>
      <c r="I36" s="11">
        <v>18</v>
      </c>
      <c r="J36" s="11">
        <f t="shared" si="1"/>
        <v>32</v>
      </c>
      <c r="K36" s="12">
        <f>(18*11333)</f>
        <v>203994</v>
      </c>
      <c r="L36" s="15">
        <f t="shared" si="2"/>
        <v>362656</v>
      </c>
      <c r="M36" s="8"/>
      <c r="N36" s="39" t="e">
        <f>#REF!-H36</f>
        <v>#REF!</v>
      </c>
    </row>
    <row r="37" spans="2:14">
      <c r="B37" s="14">
        <v>32</v>
      </c>
      <c r="C37" s="2" t="s">
        <v>202</v>
      </c>
      <c r="D37" s="12">
        <v>132000</v>
      </c>
      <c r="E37" s="12">
        <v>17595.599999999999</v>
      </c>
      <c r="F37" s="15">
        <f t="shared" si="0"/>
        <v>149595.6</v>
      </c>
      <c r="G37" s="31">
        <v>40</v>
      </c>
      <c r="H37" s="12">
        <v>3739.89</v>
      </c>
      <c r="I37" s="8">
        <v>29</v>
      </c>
      <c r="J37" s="11">
        <f t="shared" si="1"/>
        <v>11</v>
      </c>
      <c r="K37" s="12">
        <f>(29*3739.89)</f>
        <v>108456.81</v>
      </c>
      <c r="L37" s="15">
        <f t="shared" si="2"/>
        <v>41138.790000000008</v>
      </c>
      <c r="M37" s="8"/>
      <c r="N37" s="39" t="e">
        <f>#REF!-H37</f>
        <v>#REF!</v>
      </c>
    </row>
    <row r="38" spans="2:14">
      <c r="B38" s="14">
        <v>33</v>
      </c>
      <c r="C38" s="2" t="s">
        <v>136</v>
      </c>
      <c r="D38" s="15">
        <v>200000</v>
      </c>
      <c r="E38" s="15">
        <v>26660</v>
      </c>
      <c r="F38" s="15">
        <f t="shared" si="0"/>
        <v>226660</v>
      </c>
      <c r="G38" s="32">
        <v>40</v>
      </c>
      <c r="H38" s="15">
        <v>5666.5</v>
      </c>
      <c r="I38" s="30">
        <v>43</v>
      </c>
      <c r="J38" s="11">
        <f t="shared" ref="J38:J69" si="3">G38-I38</f>
        <v>-3</v>
      </c>
      <c r="K38" s="12">
        <f>(43*5666.5)</f>
        <v>243659.5</v>
      </c>
      <c r="L38" s="15">
        <f t="shared" ref="L38:L69" si="4">F38-K38</f>
        <v>-16999.5</v>
      </c>
      <c r="M38" s="10"/>
      <c r="N38" s="39" t="e">
        <f>#REF!-H38</f>
        <v>#REF!</v>
      </c>
    </row>
    <row r="39" spans="2:14">
      <c r="B39" s="14">
        <v>34</v>
      </c>
      <c r="C39" s="2" t="s">
        <v>54</v>
      </c>
      <c r="D39" s="12">
        <v>500000</v>
      </c>
      <c r="E39" s="12">
        <v>66650</v>
      </c>
      <c r="F39" s="15">
        <f t="shared" si="0"/>
        <v>566650</v>
      </c>
      <c r="G39" s="31">
        <v>50</v>
      </c>
      <c r="H39" s="12">
        <v>11333</v>
      </c>
      <c r="I39" s="11">
        <v>27</v>
      </c>
      <c r="J39" s="11">
        <f t="shared" si="3"/>
        <v>23</v>
      </c>
      <c r="K39" s="12">
        <f>(27*11333)</f>
        <v>305991</v>
      </c>
      <c r="L39" s="15">
        <f t="shared" si="4"/>
        <v>260659</v>
      </c>
      <c r="M39" s="8"/>
      <c r="N39" s="39" t="e">
        <f>#REF!-H39</f>
        <v>#REF!</v>
      </c>
    </row>
    <row r="40" spans="2:14">
      <c r="B40" s="14">
        <v>35</v>
      </c>
      <c r="C40" s="2" t="s">
        <v>36</v>
      </c>
      <c r="D40" s="18">
        <v>500000</v>
      </c>
      <c r="E40" s="18">
        <v>66650</v>
      </c>
      <c r="F40" s="18">
        <v>566650</v>
      </c>
      <c r="G40" s="33">
        <v>50</v>
      </c>
      <c r="H40" s="16">
        <v>11333</v>
      </c>
      <c r="I40" s="8">
        <v>4</v>
      </c>
      <c r="J40" s="11">
        <f t="shared" si="3"/>
        <v>46</v>
      </c>
      <c r="K40" s="12">
        <f>(4*11333)</f>
        <v>45332</v>
      </c>
      <c r="L40" s="12">
        <f t="shared" si="4"/>
        <v>521318</v>
      </c>
      <c r="M40" s="1"/>
      <c r="N40" s="39" t="e">
        <f>#REF!-H40</f>
        <v>#REF!</v>
      </c>
    </row>
    <row r="41" spans="2:14">
      <c r="B41" s="14">
        <v>36</v>
      </c>
      <c r="C41" s="2" t="s">
        <v>55</v>
      </c>
      <c r="D41" s="12">
        <v>500000</v>
      </c>
      <c r="E41" s="12">
        <v>66650</v>
      </c>
      <c r="F41" s="15">
        <f t="shared" ref="F41:F53" si="5">SUM(D41:E41)</f>
        <v>566650</v>
      </c>
      <c r="G41" s="31">
        <v>50</v>
      </c>
      <c r="H41" s="12">
        <v>11333</v>
      </c>
      <c r="I41" s="8">
        <v>39</v>
      </c>
      <c r="J41" s="11">
        <f t="shared" si="3"/>
        <v>11</v>
      </c>
      <c r="K41" s="12">
        <f>(39*11333)</f>
        <v>441987</v>
      </c>
      <c r="L41" s="15">
        <f t="shared" si="4"/>
        <v>124663</v>
      </c>
      <c r="M41" s="8"/>
      <c r="N41" s="39" t="e">
        <f>#REF!-H41</f>
        <v>#REF!</v>
      </c>
    </row>
    <row r="42" spans="2:14">
      <c r="B42" s="14">
        <v>37</v>
      </c>
      <c r="C42" s="2" t="s">
        <v>137</v>
      </c>
      <c r="D42" s="15">
        <v>200000</v>
      </c>
      <c r="E42" s="15">
        <v>26660</v>
      </c>
      <c r="F42" s="15">
        <f t="shared" si="5"/>
        <v>226660</v>
      </c>
      <c r="G42" s="31">
        <v>40</v>
      </c>
      <c r="H42" s="15">
        <v>5666.5</v>
      </c>
      <c r="I42" s="8">
        <v>32</v>
      </c>
      <c r="J42" s="11">
        <f t="shared" si="3"/>
        <v>8</v>
      </c>
      <c r="K42" s="12">
        <f>(32*5666.5)</f>
        <v>181328</v>
      </c>
      <c r="L42" s="15">
        <f t="shared" si="4"/>
        <v>45332</v>
      </c>
      <c r="M42" s="8"/>
      <c r="N42" s="39" t="e">
        <f>#REF!-H42</f>
        <v>#REF!</v>
      </c>
    </row>
    <row r="43" spans="2:14">
      <c r="B43" s="14">
        <v>38</v>
      </c>
      <c r="C43" s="2" t="s">
        <v>56</v>
      </c>
      <c r="D43" s="12">
        <v>500000</v>
      </c>
      <c r="E43" s="12">
        <v>66650</v>
      </c>
      <c r="F43" s="15">
        <f t="shared" si="5"/>
        <v>566650</v>
      </c>
      <c r="G43" s="31">
        <v>50</v>
      </c>
      <c r="H43" s="12">
        <v>11333</v>
      </c>
      <c r="I43" s="8">
        <v>39</v>
      </c>
      <c r="J43" s="11">
        <f t="shared" si="3"/>
        <v>11</v>
      </c>
      <c r="K43" s="12">
        <f>(39*11333)</f>
        <v>441987</v>
      </c>
      <c r="L43" s="15">
        <f t="shared" si="4"/>
        <v>124663</v>
      </c>
      <c r="M43" s="8"/>
      <c r="N43" s="39" t="e">
        <f>#REF!-H43</f>
        <v>#REF!</v>
      </c>
    </row>
    <row r="44" spans="2:14">
      <c r="B44" s="14">
        <v>39</v>
      </c>
      <c r="C44" s="2" t="s">
        <v>50</v>
      </c>
      <c r="D44" s="12">
        <v>500000</v>
      </c>
      <c r="E44" s="12">
        <v>53320</v>
      </c>
      <c r="F44" s="15">
        <f t="shared" si="5"/>
        <v>553320</v>
      </c>
      <c r="G44" s="31">
        <v>40</v>
      </c>
      <c r="H44" s="12">
        <v>13833</v>
      </c>
      <c r="I44" s="8">
        <v>39</v>
      </c>
      <c r="J44" s="11">
        <f t="shared" si="3"/>
        <v>1</v>
      </c>
      <c r="K44" s="12">
        <f>(39*13833)</f>
        <v>539487</v>
      </c>
      <c r="L44" s="15">
        <f t="shared" si="4"/>
        <v>13833</v>
      </c>
      <c r="M44" s="8"/>
      <c r="N44" s="39" t="e">
        <f>#REF!-H44</f>
        <v>#REF!</v>
      </c>
    </row>
    <row r="45" spans="2:14">
      <c r="B45" s="14">
        <v>40</v>
      </c>
      <c r="C45" s="2" t="s">
        <v>138</v>
      </c>
      <c r="D45" s="15">
        <v>200000</v>
      </c>
      <c r="E45" s="15">
        <v>26660</v>
      </c>
      <c r="F45" s="15">
        <f t="shared" si="5"/>
        <v>226660</v>
      </c>
      <c r="G45" s="31">
        <v>40</v>
      </c>
      <c r="H45" s="15">
        <v>5666.5</v>
      </c>
      <c r="I45" s="8">
        <v>32</v>
      </c>
      <c r="J45" s="11">
        <f t="shared" si="3"/>
        <v>8</v>
      </c>
      <c r="K45" s="12">
        <f>(32*5666.5)</f>
        <v>181328</v>
      </c>
      <c r="L45" s="15">
        <f t="shared" si="4"/>
        <v>45332</v>
      </c>
      <c r="M45" s="8"/>
      <c r="N45" s="39" t="e">
        <f>#REF!-H45</f>
        <v>#REF!</v>
      </c>
    </row>
    <row r="46" spans="2:14">
      <c r="B46" s="14">
        <v>41</v>
      </c>
      <c r="C46" s="2" t="s">
        <v>57</v>
      </c>
      <c r="D46" s="12">
        <v>500000</v>
      </c>
      <c r="E46" s="12">
        <v>66650</v>
      </c>
      <c r="F46" s="15">
        <f t="shared" si="5"/>
        <v>566650</v>
      </c>
      <c r="G46" s="31">
        <v>50</v>
      </c>
      <c r="H46" s="12">
        <v>11333</v>
      </c>
      <c r="I46" s="11">
        <v>18</v>
      </c>
      <c r="J46" s="11">
        <f t="shared" si="3"/>
        <v>32</v>
      </c>
      <c r="K46" s="12">
        <f>(18*11333)</f>
        <v>203994</v>
      </c>
      <c r="L46" s="15">
        <f t="shared" si="4"/>
        <v>362656</v>
      </c>
      <c r="M46" s="8"/>
      <c r="N46" s="39" t="e">
        <f>#REF!-H46</f>
        <v>#REF!</v>
      </c>
    </row>
    <row r="47" spans="2:14">
      <c r="B47" s="14">
        <v>42</v>
      </c>
      <c r="C47" s="2" t="s">
        <v>139</v>
      </c>
      <c r="D47" s="15">
        <v>200000</v>
      </c>
      <c r="E47" s="15">
        <v>26660</v>
      </c>
      <c r="F47" s="15">
        <f t="shared" si="5"/>
        <v>226660</v>
      </c>
      <c r="G47" s="31">
        <v>40</v>
      </c>
      <c r="H47" s="15">
        <v>5666.5</v>
      </c>
      <c r="I47" s="8">
        <v>32</v>
      </c>
      <c r="J47" s="11">
        <f t="shared" si="3"/>
        <v>8</v>
      </c>
      <c r="K47" s="12">
        <f>(32*5666.5)</f>
        <v>181328</v>
      </c>
      <c r="L47" s="15">
        <f t="shared" si="4"/>
        <v>45332</v>
      </c>
      <c r="M47" s="8"/>
      <c r="N47" s="39" t="e">
        <f>#REF!-H47</f>
        <v>#REF!</v>
      </c>
    </row>
    <row r="48" spans="2:14">
      <c r="B48" s="14">
        <v>43</v>
      </c>
      <c r="C48" s="2" t="s">
        <v>140</v>
      </c>
      <c r="D48" s="15">
        <v>200000</v>
      </c>
      <c r="E48" s="15">
        <v>26660</v>
      </c>
      <c r="F48" s="15">
        <f t="shared" si="5"/>
        <v>226660</v>
      </c>
      <c r="G48" s="31">
        <v>40</v>
      </c>
      <c r="H48" s="15">
        <v>5666.5</v>
      </c>
      <c r="I48" s="8">
        <v>28</v>
      </c>
      <c r="J48" s="11">
        <f t="shared" si="3"/>
        <v>12</v>
      </c>
      <c r="K48" s="12">
        <f>(28*5666.5)</f>
        <v>158662</v>
      </c>
      <c r="L48" s="15">
        <f t="shared" si="4"/>
        <v>67998</v>
      </c>
      <c r="M48" s="8"/>
      <c r="N48" s="39" t="e">
        <f>#REF!-H48</f>
        <v>#REF!</v>
      </c>
    </row>
    <row r="49" spans="2:14">
      <c r="B49" s="14">
        <v>44</v>
      </c>
      <c r="C49" s="2" t="s">
        <v>141</v>
      </c>
      <c r="D49" s="15">
        <v>200000</v>
      </c>
      <c r="E49" s="15">
        <v>26660</v>
      </c>
      <c r="F49" s="15">
        <f t="shared" si="5"/>
        <v>226660</v>
      </c>
      <c r="G49" s="31">
        <v>40</v>
      </c>
      <c r="H49" s="15">
        <v>5666.5</v>
      </c>
      <c r="I49" s="8">
        <v>32</v>
      </c>
      <c r="J49" s="11">
        <f t="shared" si="3"/>
        <v>8</v>
      </c>
      <c r="K49" s="12">
        <f>(32*5666.5)</f>
        <v>181328</v>
      </c>
      <c r="L49" s="15">
        <f t="shared" si="4"/>
        <v>45332</v>
      </c>
      <c r="M49" s="8"/>
      <c r="N49" s="39" t="e">
        <f>#REF!-H49</f>
        <v>#REF!</v>
      </c>
    </row>
    <row r="50" spans="2:14">
      <c r="B50" s="14">
        <v>45</v>
      </c>
      <c r="C50" s="2" t="s">
        <v>107</v>
      </c>
      <c r="D50" s="12">
        <v>330000</v>
      </c>
      <c r="E50" s="12">
        <v>43989</v>
      </c>
      <c r="F50" s="15">
        <f t="shared" si="5"/>
        <v>373989</v>
      </c>
      <c r="G50" s="31">
        <v>50</v>
      </c>
      <c r="H50" s="12">
        <v>7479.78</v>
      </c>
      <c r="I50" s="8">
        <v>39</v>
      </c>
      <c r="J50" s="11">
        <f t="shared" si="3"/>
        <v>11</v>
      </c>
      <c r="K50" s="12">
        <f>(39*11333)</f>
        <v>441987</v>
      </c>
      <c r="L50" s="15">
        <f t="shared" si="4"/>
        <v>-67998</v>
      </c>
      <c r="M50" s="8"/>
      <c r="N50" s="39" t="e">
        <f>#REF!-H50</f>
        <v>#REF!</v>
      </c>
    </row>
    <row r="51" spans="2:14">
      <c r="B51" s="14">
        <v>46</v>
      </c>
      <c r="C51" s="2" t="s">
        <v>108</v>
      </c>
      <c r="D51" s="12">
        <v>330000</v>
      </c>
      <c r="E51" s="12">
        <v>43989</v>
      </c>
      <c r="F51" s="15">
        <f t="shared" si="5"/>
        <v>373989</v>
      </c>
      <c r="G51" s="31">
        <v>50</v>
      </c>
      <c r="H51" s="12">
        <v>7479.78</v>
      </c>
      <c r="I51" s="8">
        <v>39</v>
      </c>
      <c r="J51" s="11">
        <f t="shared" si="3"/>
        <v>11</v>
      </c>
      <c r="K51" s="12">
        <f>(39*11333)</f>
        <v>441987</v>
      </c>
      <c r="L51" s="15">
        <f t="shared" si="4"/>
        <v>-67998</v>
      </c>
      <c r="M51" s="8"/>
      <c r="N51" s="39" t="e">
        <f>#REF!-H51</f>
        <v>#REF!</v>
      </c>
    </row>
    <row r="52" spans="2:14">
      <c r="B52" s="14">
        <v>47</v>
      </c>
      <c r="C52" s="2" t="s">
        <v>142</v>
      </c>
      <c r="D52" s="15">
        <v>200000</v>
      </c>
      <c r="E52" s="15">
        <v>26660</v>
      </c>
      <c r="F52" s="15">
        <f t="shared" si="5"/>
        <v>226660</v>
      </c>
      <c r="G52" s="31">
        <v>40</v>
      </c>
      <c r="H52" s="15">
        <v>5666.5</v>
      </c>
      <c r="I52" s="8">
        <v>32</v>
      </c>
      <c r="J52" s="11">
        <f t="shared" si="3"/>
        <v>8</v>
      </c>
      <c r="K52" s="12">
        <f>(38*5666.5)</f>
        <v>215327</v>
      </c>
      <c r="L52" s="15">
        <f t="shared" si="4"/>
        <v>11333</v>
      </c>
      <c r="M52" s="8"/>
      <c r="N52" s="39" t="e">
        <f>#REF!-H52</f>
        <v>#REF!</v>
      </c>
    </row>
    <row r="53" spans="2:14">
      <c r="B53" s="14">
        <v>48</v>
      </c>
      <c r="C53" s="2" t="s">
        <v>143</v>
      </c>
      <c r="D53" s="15">
        <v>200000</v>
      </c>
      <c r="E53" s="15">
        <v>26660</v>
      </c>
      <c r="F53" s="15">
        <f t="shared" si="5"/>
        <v>226660</v>
      </c>
      <c r="G53" s="31">
        <v>40</v>
      </c>
      <c r="H53" s="15">
        <v>5666.5</v>
      </c>
      <c r="I53" s="8">
        <v>39</v>
      </c>
      <c r="J53" s="11">
        <f t="shared" si="3"/>
        <v>1</v>
      </c>
      <c r="K53" s="12">
        <f>(39*5666.5)</f>
        <v>220993.5</v>
      </c>
      <c r="L53" s="15">
        <f t="shared" si="4"/>
        <v>5666.5</v>
      </c>
      <c r="M53" s="8"/>
      <c r="N53" s="39" t="e">
        <f>#REF!-H53</f>
        <v>#REF!</v>
      </c>
    </row>
    <row r="54" spans="2:14">
      <c r="B54" s="14">
        <v>49</v>
      </c>
      <c r="C54" s="2" t="s">
        <v>24</v>
      </c>
      <c r="D54" s="18">
        <v>500000</v>
      </c>
      <c r="E54" s="18">
        <v>66650</v>
      </c>
      <c r="F54" s="18">
        <v>566650</v>
      </c>
      <c r="G54" s="33">
        <v>50</v>
      </c>
      <c r="H54" s="16">
        <v>11333</v>
      </c>
      <c r="I54" s="8">
        <v>4</v>
      </c>
      <c r="J54" s="11">
        <f t="shared" si="3"/>
        <v>46</v>
      </c>
      <c r="K54" s="12">
        <f>(4*11333)</f>
        <v>45332</v>
      </c>
      <c r="L54" s="12">
        <f t="shared" si="4"/>
        <v>521318</v>
      </c>
      <c r="M54" s="1"/>
      <c r="N54" s="39" t="e">
        <f>#REF!-H54</f>
        <v>#REF!</v>
      </c>
    </row>
    <row r="55" spans="2:14">
      <c r="B55" s="14">
        <v>50</v>
      </c>
      <c r="C55" s="2" t="s">
        <v>192</v>
      </c>
      <c r="D55" s="12">
        <v>180000</v>
      </c>
      <c r="E55" s="12">
        <v>23994</v>
      </c>
      <c r="F55" s="15">
        <f>SUM(D55:E55)</f>
        <v>203994</v>
      </c>
      <c r="G55" s="31">
        <v>40</v>
      </c>
      <c r="H55" s="12">
        <v>5099.8500000000004</v>
      </c>
      <c r="I55" s="8">
        <v>29</v>
      </c>
      <c r="J55" s="11">
        <f t="shared" si="3"/>
        <v>11</v>
      </c>
      <c r="K55" s="12">
        <f>(29*5099.85)</f>
        <v>147895.65000000002</v>
      </c>
      <c r="L55" s="15">
        <f t="shared" si="4"/>
        <v>56098.349999999977</v>
      </c>
      <c r="M55" s="8"/>
      <c r="N55" s="39" t="e">
        <f>#REF!-H55</f>
        <v>#REF!</v>
      </c>
    </row>
    <row r="56" spans="2:14">
      <c r="B56" s="14">
        <v>51</v>
      </c>
      <c r="C56" s="25" t="s">
        <v>94</v>
      </c>
      <c r="D56" s="12">
        <v>450000</v>
      </c>
      <c r="E56" s="12">
        <v>59985</v>
      </c>
      <c r="F56" s="15">
        <f>SUM(D56:E56)</f>
        <v>509985</v>
      </c>
      <c r="G56" s="31">
        <v>50</v>
      </c>
      <c r="H56" s="12">
        <v>10199.700000000001</v>
      </c>
      <c r="I56" s="8">
        <v>23</v>
      </c>
      <c r="J56" s="11">
        <f t="shared" si="3"/>
        <v>27</v>
      </c>
      <c r="K56" s="12">
        <f>(23*10199.7)</f>
        <v>234593.1</v>
      </c>
      <c r="L56" s="15">
        <f t="shared" si="4"/>
        <v>275391.90000000002</v>
      </c>
      <c r="M56" s="8"/>
      <c r="N56" s="39" t="e">
        <f>#REF!-H56</f>
        <v>#REF!</v>
      </c>
    </row>
    <row r="57" spans="2:14">
      <c r="B57" s="14">
        <v>52</v>
      </c>
      <c r="C57" s="2" t="s">
        <v>25</v>
      </c>
      <c r="D57" s="18">
        <v>500000</v>
      </c>
      <c r="E57" s="18">
        <v>66650</v>
      </c>
      <c r="F57" s="18">
        <v>566650</v>
      </c>
      <c r="G57" s="33">
        <v>50</v>
      </c>
      <c r="H57" s="16">
        <v>11333</v>
      </c>
      <c r="I57" s="8">
        <v>4</v>
      </c>
      <c r="J57" s="11">
        <f t="shared" si="3"/>
        <v>46</v>
      </c>
      <c r="K57" s="12">
        <f>(4*11333)</f>
        <v>45332</v>
      </c>
      <c r="L57" s="12">
        <f t="shared" si="4"/>
        <v>521318</v>
      </c>
      <c r="M57" s="1"/>
      <c r="N57" s="39" t="e">
        <f>#REF!-H57</f>
        <v>#REF!</v>
      </c>
    </row>
    <row r="58" spans="2:14">
      <c r="B58" s="14">
        <v>53</v>
      </c>
      <c r="C58" s="25" t="s">
        <v>216</v>
      </c>
      <c r="D58" s="12">
        <v>60000</v>
      </c>
      <c r="E58" s="12">
        <v>7998</v>
      </c>
      <c r="F58" s="15">
        <f t="shared" ref="F58:F76" si="6">SUM(D58:E58)</f>
        <v>67998</v>
      </c>
      <c r="G58" s="31">
        <v>40</v>
      </c>
      <c r="H58" s="24">
        <v>1699.95</v>
      </c>
      <c r="I58" s="8"/>
      <c r="J58" s="11">
        <f t="shared" si="3"/>
        <v>40</v>
      </c>
      <c r="K58" s="12"/>
      <c r="L58" s="15">
        <f t="shared" si="4"/>
        <v>67998</v>
      </c>
      <c r="M58" s="8"/>
      <c r="N58" s="39" t="e">
        <f>#REF!-H58</f>
        <v>#REF!</v>
      </c>
    </row>
    <row r="59" spans="2:14">
      <c r="B59" s="14">
        <v>54</v>
      </c>
      <c r="C59" s="2" t="s">
        <v>109</v>
      </c>
      <c r="D59" s="12">
        <v>330000</v>
      </c>
      <c r="E59" s="16">
        <v>43989</v>
      </c>
      <c r="F59" s="15">
        <f t="shared" si="6"/>
        <v>373989</v>
      </c>
      <c r="G59" s="33">
        <v>50</v>
      </c>
      <c r="H59" s="16">
        <v>7479.78</v>
      </c>
      <c r="I59" s="11">
        <v>17</v>
      </c>
      <c r="J59" s="11">
        <f t="shared" si="3"/>
        <v>33</v>
      </c>
      <c r="K59" s="12">
        <f>(17*7479.78)</f>
        <v>127156.26</v>
      </c>
      <c r="L59" s="15">
        <f t="shared" si="4"/>
        <v>246832.74</v>
      </c>
      <c r="M59" s="8"/>
      <c r="N59" s="39" t="e">
        <f>#REF!-H59</f>
        <v>#REF!</v>
      </c>
    </row>
    <row r="60" spans="2:14">
      <c r="B60" s="14">
        <v>55</v>
      </c>
      <c r="C60" s="2" t="s">
        <v>144</v>
      </c>
      <c r="D60" s="15">
        <v>200000</v>
      </c>
      <c r="E60" s="15">
        <v>26660</v>
      </c>
      <c r="F60" s="15">
        <f t="shared" si="6"/>
        <v>226660</v>
      </c>
      <c r="G60" s="31">
        <v>40</v>
      </c>
      <c r="H60" s="15">
        <v>5666.5</v>
      </c>
      <c r="I60" s="8">
        <v>35</v>
      </c>
      <c r="J60" s="11">
        <f t="shared" si="3"/>
        <v>5</v>
      </c>
      <c r="K60" s="12">
        <f>(35*5666.5)</f>
        <v>198327.5</v>
      </c>
      <c r="L60" s="15">
        <f t="shared" si="4"/>
        <v>28332.5</v>
      </c>
      <c r="M60" s="8"/>
      <c r="N60" s="39" t="e">
        <f>#REF!-H60</f>
        <v>#REF!</v>
      </c>
    </row>
    <row r="61" spans="2:14">
      <c r="B61" s="14">
        <v>56</v>
      </c>
      <c r="C61" s="2" t="s">
        <v>193</v>
      </c>
      <c r="D61" s="12">
        <v>180000</v>
      </c>
      <c r="E61" s="12">
        <v>23994</v>
      </c>
      <c r="F61" s="15">
        <f t="shared" si="6"/>
        <v>203994</v>
      </c>
      <c r="G61" s="31">
        <v>40</v>
      </c>
      <c r="H61" s="12">
        <v>5099.8500000000004</v>
      </c>
      <c r="I61" s="8">
        <v>32</v>
      </c>
      <c r="J61" s="11">
        <f t="shared" si="3"/>
        <v>8</v>
      </c>
      <c r="K61" s="12">
        <f>(32*5099.85)</f>
        <v>163195.20000000001</v>
      </c>
      <c r="L61" s="15">
        <f t="shared" si="4"/>
        <v>40798.799999999988</v>
      </c>
      <c r="M61" s="8"/>
      <c r="N61" s="39" t="e">
        <f>#REF!-H61</f>
        <v>#REF!</v>
      </c>
    </row>
    <row r="62" spans="2:14">
      <c r="B62" s="14">
        <v>57</v>
      </c>
      <c r="C62" s="2" t="s">
        <v>58</v>
      </c>
      <c r="D62" s="12">
        <v>500000</v>
      </c>
      <c r="E62" s="12">
        <v>66650</v>
      </c>
      <c r="F62" s="15">
        <f t="shared" si="6"/>
        <v>566650</v>
      </c>
      <c r="G62" s="33">
        <v>50</v>
      </c>
      <c r="H62" s="12">
        <v>11333</v>
      </c>
      <c r="I62" s="11">
        <v>17</v>
      </c>
      <c r="J62" s="11">
        <f t="shared" si="3"/>
        <v>33</v>
      </c>
      <c r="K62" s="12">
        <f>(17*11333)</f>
        <v>192661</v>
      </c>
      <c r="L62" s="15">
        <f t="shared" si="4"/>
        <v>373989</v>
      </c>
      <c r="M62" s="8"/>
      <c r="N62" s="39" t="e">
        <f>#REF!-H62</f>
        <v>#REF!</v>
      </c>
    </row>
    <row r="63" spans="2:14">
      <c r="B63" s="14">
        <v>58</v>
      </c>
      <c r="C63" s="2" t="s">
        <v>59</v>
      </c>
      <c r="D63" s="12">
        <v>500000</v>
      </c>
      <c r="E63" s="12">
        <v>66650</v>
      </c>
      <c r="F63" s="15">
        <f t="shared" si="6"/>
        <v>566650</v>
      </c>
      <c r="G63" s="31">
        <v>50</v>
      </c>
      <c r="H63" s="12">
        <v>11333</v>
      </c>
      <c r="I63" s="11">
        <v>27</v>
      </c>
      <c r="J63" s="11">
        <f t="shared" si="3"/>
        <v>23</v>
      </c>
      <c r="K63" s="12">
        <f>(27*11333)</f>
        <v>305991</v>
      </c>
      <c r="L63" s="15">
        <f t="shared" si="4"/>
        <v>260659</v>
      </c>
      <c r="M63" s="8"/>
      <c r="N63" s="39" t="e">
        <f>#REF!-H63</f>
        <v>#REF!</v>
      </c>
    </row>
    <row r="64" spans="2:14">
      <c r="B64" s="14">
        <v>59</v>
      </c>
      <c r="C64" s="2" t="s">
        <v>60</v>
      </c>
      <c r="D64" s="12">
        <v>500000</v>
      </c>
      <c r="E64" s="12">
        <v>66650</v>
      </c>
      <c r="F64" s="15">
        <f t="shared" si="6"/>
        <v>566650</v>
      </c>
      <c r="G64" s="31">
        <v>50</v>
      </c>
      <c r="H64" s="12">
        <v>11333</v>
      </c>
      <c r="I64" s="11">
        <v>27</v>
      </c>
      <c r="J64" s="11">
        <f t="shared" si="3"/>
        <v>23</v>
      </c>
      <c r="K64" s="12">
        <f>(27*11333)</f>
        <v>305991</v>
      </c>
      <c r="L64" s="15">
        <f t="shared" si="4"/>
        <v>260659</v>
      </c>
      <c r="M64" s="8"/>
      <c r="N64" s="39" t="e">
        <f>#REF!-H64</f>
        <v>#REF!</v>
      </c>
    </row>
    <row r="65" spans="2:14">
      <c r="B65" s="14">
        <v>60</v>
      </c>
      <c r="C65" s="2" t="s">
        <v>145</v>
      </c>
      <c r="D65" s="15">
        <v>200000</v>
      </c>
      <c r="E65" s="15">
        <v>26660</v>
      </c>
      <c r="F65" s="15">
        <f t="shared" si="6"/>
        <v>226660</v>
      </c>
      <c r="G65" s="32">
        <v>40</v>
      </c>
      <c r="H65" s="15">
        <v>5666.5</v>
      </c>
      <c r="I65" s="22">
        <v>41</v>
      </c>
      <c r="J65" s="11">
        <f t="shared" si="3"/>
        <v>-1</v>
      </c>
      <c r="K65" s="15">
        <f>(41*5666.5)</f>
        <v>232326.5</v>
      </c>
      <c r="L65" s="15">
        <f t="shared" si="4"/>
        <v>-5666.5</v>
      </c>
      <c r="M65" s="10"/>
      <c r="N65" s="39" t="e">
        <f>#REF!-H65</f>
        <v>#REF!</v>
      </c>
    </row>
    <row r="66" spans="2:14">
      <c r="B66" s="14">
        <v>61</v>
      </c>
      <c r="C66" s="2" t="s">
        <v>146</v>
      </c>
      <c r="D66" s="15">
        <v>200000</v>
      </c>
      <c r="E66" s="15">
        <v>26660</v>
      </c>
      <c r="F66" s="15">
        <f t="shared" si="6"/>
        <v>226660</v>
      </c>
      <c r="G66" s="32">
        <v>40</v>
      </c>
      <c r="H66" s="15">
        <v>5666.5</v>
      </c>
      <c r="I66" s="22">
        <v>41</v>
      </c>
      <c r="J66" s="11">
        <f t="shared" si="3"/>
        <v>-1</v>
      </c>
      <c r="K66" s="15">
        <f>(41*5666.5)</f>
        <v>232326.5</v>
      </c>
      <c r="L66" s="15">
        <f t="shared" si="4"/>
        <v>-5666.5</v>
      </c>
      <c r="M66" s="10"/>
      <c r="N66" s="39" t="e">
        <f>#REF!-H66</f>
        <v>#REF!</v>
      </c>
    </row>
    <row r="67" spans="2:14">
      <c r="B67" s="14">
        <v>62</v>
      </c>
      <c r="C67" s="17" t="s">
        <v>31</v>
      </c>
      <c r="D67" s="20">
        <v>330000</v>
      </c>
      <c r="E67" s="20">
        <v>43989</v>
      </c>
      <c r="F67" s="20">
        <f t="shared" si="6"/>
        <v>373989</v>
      </c>
      <c r="G67" s="33">
        <v>50</v>
      </c>
      <c r="H67" s="3">
        <v>7479.78</v>
      </c>
      <c r="I67" s="8">
        <v>4</v>
      </c>
      <c r="J67" s="11">
        <f t="shared" si="3"/>
        <v>46</v>
      </c>
      <c r="K67" s="3">
        <f>(4*7479.78)</f>
        <v>29919.119999999999</v>
      </c>
      <c r="L67" s="12">
        <f t="shared" si="4"/>
        <v>344069.88</v>
      </c>
      <c r="M67" s="1"/>
      <c r="N67" s="39" t="e">
        <f>#REF!-H67</f>
        <v>#REF!</v>
      </c>
    </row>
    <row r="68" spans="2:14">
      <c r="B68" s="14">
        <v>63</v>
      </c>
      <c r="C68" s="2" t="s">
        <v>61</v>
      </c>
      <c r="D68" s="12">
        <v>500000</v>
      </c>
      <c r="E68" s="12">
        <v>66650</v>
      </c>
      <c r="F68" s="15">
        <f t="shared" si="6"/>
        <v>566650</v>
      </c>
      <c r="G68" s="31">
        <v>50</v>
      </c>
      <c r="H68" s="12">
        <v>11333</v>
      </c>
      <c r="I68" s="11">
        <v>27</v>
      </c>
      <c r="J68" s="11">
        <f t="shared" si="3"/>
        <v>23</v>
      </c>
      <c r="K68" s="12">
        <f>(27*11333)</f>
        <v>305991</v>
      </c>
      <c r="L68" s="15">
        <f t="shared" si="4"/>
        <v>260659</v>
      </c>
      <c r="M68" s="8"/>
      <c r="N68" s="39" t="e">
        <f>#REF!-H68</f>
        <v>#REF!</v>
      </c>
    </row>
    <row r="69" spans="2:14">
      <c r="B69" s="14">
        <v>64</v>
      </c>
      <c r="C69" s="25" t="s">
        <v>110</v>
      </c>
      <c r="D69" s="12">
        <v>330000</v>
      </c>
      <c r="E69" s="16">
        <v>43989</v>
      </c>
      <c r="F69" s="15">
        <f t="shared" si="6"/>
        <v>373989</v>
      </c>
      <c r="G69" s="33">
        <v>50</v>
      </c>
      <c r="H69" s="16">
        <v>7479.78</v>
      </c>
      <c r="I69" s="8">
        <v>27</v>
      </c>
      <c r="J69" s="11">
        <f t="shared" si="3"/>
        <v>23</v>
      </c>
      <c r="K69" s="12">
        <f>(27*7479.78)</f>
        <v>201954.06</v>
      </c>
      <c r="L69" s="15">
        <f t="shared" si="4"/>
        <v>172034.94</v>
      </c>
      <c r="M69" s="8"/>
      <c r="N69" s="39" t="e">
        <f>#REF!-H69</f>
        <v>#REF!</v>
      </c>
    </row>
    <row r="70" spans="2:14">
      <c r="B70" s="14">
        <v>65</v>
      </c>
      <c r="C70" s="2" t="s">
        <v>147</v>
      </c>
      <c r="D70" s="12">
        <v>500000</v>
      </c>
      <c r="E70" s="12">
        <v>66650</v>
      </c>
      <c r="F70" s="15">
        <f t="shared" si="6"/>
        <v>566650</v>
      </c>
      <c r="G70" s="31">
        <v>50</v>
      </c>
      <c r="H70" s="24">
        <v>5666.5</v>
      </c>
      <c r="I70" s="11">
        <v>27</v>
      </c>
      <c r="J70" s="11">
        <f t="shared" ref="J70:J101" si="7">G70-I70</f>
        <v>23</v>
      </c>
      <c r="K70" s="16">
        <f>(27*5666.5)</f>
        <v>152995.5</v>
      </c>
      <c r="L70" s="15">
        <f t="shared" ref="L70:L101" si="8">F70-K70</f>
        <v>413654.5</v>
      </c>
      <c r="M70" s="8"/>
      <c r="N70" s="39" t="e">
        <f>#REF!-H70</f>
        <v>#REF!</v>
      </c>
    </row>
    <row r="71" spans="2:14">
      <c r="B71" s="14">
        <v>66</v>
      </c>
      <c r="C71" s="25" t="s">
        <v>187</v>
      </c>
      <c r="D71" s="41">
        <v>150000</v>
      </c>
      <c r="E71" s="41">
        <v>11997</v>
      </c>
      <c r="F71" s="41">
        <f t="shared" si="6"/>
        <v>161997</v>
      </c>
      <c r="G71" s="33">
        <v>30</v>
      </c>
      <c r="H71" s="41">
        <v>5399.9</v>
      </c>
      <c r="I71" s="11">
        <v>26</v>
      </c>
      <c r="J71" s="11">
        <f t="shared" si="7"/>
        <v>4</v>
      </c>
      <c r="K71" s="16">
        <f>(26*5399.9)</f>
        <v>140397.4</v>
      </c>
      <c r="L71" s="41">
        <f t="shared" si="8"/>
        <v>21599.600000000006</v>
      </c>
      <c r="M71" s="8"/>
      <c r="N71" s="39" t="e">
        <f>#REF!-H71</f>
        <v>#REF!</v>
      </c>
    </row>
    <row r="72" spans="2:14">
      <c r="B72" s="14">
        <v>67</v>
      </c>
      <c r="C72" s="23" t="s">
        <v>148</v>
      </c>
      <c r="D72" s="15">
        <v>200000</v>
      </c>
      <c r="E72" s="15">
        <v>26660</v>
      </c>
      <c r="F72" s="15">
        <f t="shared" si="6"/>
        <v>226660</v>
      </c>
      <c r="G72" s="31">
        <v>40</v>
      </c>
      <c r="H72" s="15">
        <v>5666.5</v>
      </c>
      <c r="I72" s="8">
        <v>29</v>
      </c>
      <c r="J72" s="11">
        <f t="shared" si="7"/>
        <v>11</v>
      </c>
      <c r="K72" s="48">
        <f>(29*5666.5)</f>
        <v>164328.5</v>
      </c>
      <c r="L72" s="15">
        <f t="shared" si="8"/>
        <v>62331.5</v>
      </c>
      <c r="M72" s="8"/>
      <c r="N72" s="39" t="e">
        <f>#REF!-H72</f>
        <v>#REF!</v>
      </c>
    </row>
    <row r="73" spans="2:14">
      <c r="B73" s="14">
        <v>68</v>
      </c>
      <c r="C73" s="2" t="s">
        <v>149</v>
      </c>
      <c r="D73" s="15">
        <v>200000</v>
      </c>
      <c r="E73" s="15">
        <v>26660</v>
      </c>
      <c r="F73" s="15">
        <f t="shared" si="6"/>
        <v>226660</v>
      </c>
      <c r="G73" s="31">
        <v>40</v>
      </c>
      <c r="H73" s="15">
        <v>5666.5</v>
      </c>
      <c r="I73" s="8">
        <v>32</v>
      </c>
      <c r="J73" s="11">
        <f t="shared" si="7"/>
        <v>8</v>
      </c>
      <c r="K73" s="12">
        <f>(32*5666.5)</f>
        <v>181328</v>
      </c>
      <c r="L73" s="15">
        <f t="shared" si="8"/>
        <v>45332</v>
      </c>
      <c r="M73" s="8"/>
      <c r="N73" s="39" t="e">
        <f>#REF!-H73</f>
        <v>#REF!</v>
      </c>
    </row>
    <row r="74" spans="2:14">
      <c r="B74" s="14">
        <v>69</v>
      </c>
      <c r="C74" s="2" t="s">
        <v>150</v>
      </c>
      <c r="D74" s="15">
        <v>200000</v>
      </c>
      <c r="E74" s="15">
        <v>26660</v>
      </c>
      <c r="F74" s="15">
        <f t="shared" si="6"/>
        <v>226660</v>
      </c>
      <c r="G74" s="31">
        <v>40</v>
      </c>
      <c r="H74" s="15">
        <v>5666.5</v>
      </c>
      <c r="I74" s="8">
        <v>35</v>
      </c>
      <c r="J74" s="11">
        <f t="shared" si="7"/>
        <v>5</v>
      </c>
      <c r="K74" s="12">
        <f>(35*5666.5)</f>
        <v>198327.5</v>
      </c>
      <c r="L74" s="15">
        <f t="shared" si="8"/>
        <v>28332.5</v>
      </c>
      <c r="M74" s="8"/>
      <c r="N74" s="39" t="e">
        <f>#REF!-H74</f>
        <v>#REF!</v>
      </c>
    </row>
    <row r="75" spans="2:14">
      <c r="B75" s="14">
        <v>70</v>
      </c>
      <c r="C75" s="2" t="s">
        <v>12</v>
      </c>
      <c r="D75" s="12">
        <v>450000</v>
      </c>
      <c r="E75" s="12">
        <v>59985</v>
      </c>
      <c r="F75" s="15">
        <f t="shared" si="6"/>
        <v>509985</v>
      </c>
      <c r="G75" s="33">
        <v>50</v>
      </c>
      <c r="H75" s="16">
        <v>11333</v>
      </c>
      <c r="I75" s="31">
        <v>7</v>
      </c>
      <c r="J75" s="11">
        <f t="shared" si="7"/>
        <v>43</v>
      </c>
      <c r="K75" s="12">
        <f>(7*11333)</f>
        <v>79331</v>
      </c>
      <c r="L75" s="15">
        <f t="shared" si="8"/>
        <v>430654</v>
      </c>
      <c r="M75" s="8"/>
      <c r="N75" s="39" t="e">
        <f>#REF!-H75</f>
        <v>#REF!</v>
      </c>
    </row>
    <row r="76" spans="2:14">
      <c r="B76" s="14">
        <v>71</v>
      </c>
      <c r="C76" s="2" t="s">
        <v>194</v>
      </c>
      <c r="D76" s="12">
        <v>180000</v>
      </c>
      <c r="E76" s="12">
        <v>23994</v>
      </c>
      <c r="F76" s="15">
        <f t="shared" si="6"/>
        <v>203994</v>
      </c>
      <c r="G76" s="30">
        <v>40</v>
      </c>
      <c r="H76" s="12">
        <v>5099.8500000000004</v>
      </c>
      <c r="I76" s="22">
        <v>41</v>
      </c>
      <c r="J76" s="11">
        <f t="shared" si="7"/>
        <v>-1</v>
      </c>
      <c r="K76" s="12">
        <f>(41*5099.85)</f>
        <v>209093.85</v>
      </c>
      <c r="L76" s="15">
        <f t="shared" si="8"/>
        <v>-5099.8500000000058</v>
      </c>
      <c r="M76" s="10"/>
      <c r="N76" s="39" t="e">
        <f>#REF!-H76</f>
        <v>#REF!</v>
      </c>
    </row>
    <row r="77" spans="2:14">
      <c r="B77" s="14">
        <v>72</v>
      </c>
      <c r="C77" s="2" t="s">
        <v>250</v>
      </c>
      <c r="D77" s="15">
        <v>200000</v>
      </c>
      <c r="E77" s="15">
        <v>26660</v>
      </c>
      <c r="F77" s="15">
        <v>226660</v>
      </c>
      <c r="G77" s="31">
        <v>40</v>
      </c>
      <c r="H77" s="18">
        <v>5666.5</v>
      </c>
      <c r="I77" s="8">
        <v>30</v>
      </c>
      <c r="J77" s="11">
        <f t="shared" si="7"/>
        <v>10</v>
      </c>
      <c r="K77" s="12">
        <f>(30*5666.5)</f>
        <v>169995</v>
      </c>
      <c r="L77" s="15">
        <f t="shared" si="8"/>
        <v>56665</v>
      </c>
      <c r="M77" s="8" t="s">
        <v>251</v>
      </c>
      <c r="N77" s="39" t="e">
        <f>#REF!-H77</f>
        <v>#REF!</v>
      </c>
    </row>
    <row r="78" spans="2:14">
      <c r="B78" s="14">
        <v>73</v>
      </c>
      <c r="C78" s="2" t="s">
        <v>211</v>
      </c>
      <c r="D78" s="12">
        <v>150000</v>
      </c>
      <c r="E78" s="12">
        <v>19995</v>
      </c>
      <c r="F78" s="15">
        <f t="shared" ref="F78:F95" si="9">SUM(D78:E78)</f>
        <v>169995</v>
      </c>
      <c r="G78" s="31">
        <v>50</v>
      </c>
      <c r="H78" s="12">
        <v>3399.9</v>
      </c>
      <c r="I78" s="8">
        <v>25</v>
      </c>
      <c r="J78" s="11">
        <f t="shared" si="7"/>
        <v>25</v>
      </c>
      <c r="K78" s="12">
        <f>(25*3399.9)</f>
        <v>84997.5</v>
      </c>
      <c r="L78" s="15">
        <f t="shared" si="8"/>
        <v>84997.5</v>
      </c>
      <c r="M78" s="8"/>
      <c r="N78" s="39" t="e">
        <f>#REF!-H78</f>
        <v>#REF!</v>
      </c>
    </row>
    <row r="79" spans="2:14">
      <c r="B79" s="14">
        <v>74</v>
      </c>
      <c r="C79" s="2" t="s">
        <v>111</v>
      </c>
      <c r="D79" s="12">
        <v>330000</v>
      </c>
      <c r="E79" s="12">
        <v>43989</v>
      </c>
      <c r="F79" s="15">
        <f t="shared" si="9"/>
        <v>373989</v>
      </c>
      <c r="G79" s="31">
        <v>50</v>
      </c>
      <c r="H79" s="12">
        <v>7479.78</v>
      </c>
      <c r="I79" s="11">
        <v>18</v>
      </c>
      <c r="J79" s="11">
        <f t="shared" si="7"/>
        <v>32</v>
      </c>
      <c r="K79" s="16">
        <f>(18*7479.78)</f>
        <v>134636.04</v>
      </c>
      <c r="L79" s="15">
        <f t="shared" si="8"/>
        <v>239352.95999999999</v>
      </c>
      <c r="M79" s="8"/>
      <c r="N79" s="39" t="e">
        <f>#REF!-H79</f>
        <v>#REF!</v>
      </c>
    </row>
    <row r="80" spans="2:14">
      <c r="B80" s="14">
        <v>75</v>
      </c>
      <c r="C80" s="2" t="s">
        <v>151</v>
      </c>
      <c r="D80" s="15">
        <v>200000</v>
      </c>
      <c r="E80" s="15">
        <v>26660</v>
      </c>
      <c r="F80" s="15">
        <f t="shared" si="9"/>
        <v>226660</v>
      </c>
      <c r="G80" s="31">
        <v>40</v>
      </c>
      <c r="H80" s="15">
        <v>5666.5</v>
      </c>
      <c r="I80" s="8">
        <v>33</v>
      </c>
      <c r="J80" s="11">
        <f t="shared" si="7"/>
        <v>7</v>
      </c>
      <c r="K80" s="12">
        <f>(33*5666.5)</f>
        <v>186994.5</v>
      </c>
      <c r="L80" s="15">
        <f t="shared" si="8"/>
        <v>39665.5</v>
      </c>
      <c r="M80" s="8"/>
      <c r="N80" s="39" t="e">
        <f>#REF!-H80</f>
        <v>#REF!</v>
      </c>
    </row>
    <row r="81" spans="2:14">
      <c r="B81" s="14">
        <v>76</v>
      </c>
      <c r="C81" s="2" t="s">
        <v>152</v>
      </c>
      <c r="D81" s="15">
        <v>200000</v>
      </c>
      <c r="E81" s="15">
        <v>26660</v>
      </c>
      <c r="F81" s="15">
        <f t="shared" si="9"/>
        <v>226660</v>
      </c>
      <c r="G81" s="32">
        <v>40</v>
      </c>
      <c r="H81" s="15">
        <v>5666.5</v>
      </c>
      <c r="I81" s="22">
        <v>41</v>
      </c>
      <c r="J81" s="11">
        <f t="shared" si="7"/>
        <v>-1</v>
      </c>
      <c r="K81" s="15">
        <f>(41*5666.5)</f>
        <v>232326.5</v>
      </c>
      <c r="L81" s="15">
        <f t="shared" si="8"/>
        <v>-5666.5</v>
      </c>
      <c r="M81" s="10"/>
      <c r="N81" s="39" t="e">
        <f>#REF!-H81</f>
        <v>#REF!</v>
      </c>
    </row>
    <row r="82" spans="2:14">
      <c r="B82" s="14">
        <v>77</v>
      </c>
      <c r="C82" s="2" t="s">
        <v>153</v>
      </c>
      <c r="D82" s="15">
        <v>200000</v>
      </c>
      <c r="E82" s="15">
        <v>26660</v>
      </c>
      <c r="F82" s="15">
        <f t="shared" si="9"/>
        <v>226660</v>
      </c>
      <c r="G82" s="31">
        <v>40</v>
      </c>
      <c r="H82" s="15">
        <v>5666.5</v>
      </c>
      <c r="I82" s="8">
        <v>32</v>
      </c>
      <c r="J82" s="11">
        <f t="shared" si="7"/>
        <v>8</v>
      </c>
      <c r="K82" s="12">
        <f>(32*5666.5)</f>
        <v>181328</v>
      </c>
      <c r="L82" s="15">
        <f t="shared" si="8"/>
        <v>45332</v>
      </c>
      <c r="M82" s="8"/>
      <c r="N82" s="39" t="e">
        <f>#REF!-H82</f>
        <v>#REF!</v>
      </c>
    </row>
    <row r="83" spans="2:14">
      <c r="B83" s="14">
        <v>78</v>
      </c>
      <c r="C83" s="2" t="s">
        <v>112</v>
      </c>
      <c r="D83" s="12">
        <v>330000</v>
      </c>
      <c r="E83" s="12">
        <v>43989</v>
      </c>
      <c r="F83" s="15">
        <f t="shared" si="9"/>
        <v>373989</v>
      </c>
      <c r="G83" s="31">
        <v>50</v>
      </c>
      <c r="H83" s="12">
        <v>7479.78</v>
      </c>
      <c r="I83" s="11">
        <v>18</v>
      </c>
      <c r="J83" s="11">
        <f t="shared" si="7"/>
        <v>32</v>
      </c>
      <c r="K83" s="16">
        <f>(18*7479.78)</f>
        <v>134636.04</v>
      </c>
      <c r="L83" s="15">
        <f t="shared" si="8"/>
        <v>239352.95999999999</v>
      </c>
      <c r="M83" s="8"/>
      <c r="N83" s="39" t="e">
        <f>#REF!-H83</f>
        <v>#REF!</v>
      </c>
    </row>
    <row r="84" spans="2:14">
      <c r="B84" s="14">
        <v>79</v>
      </c>
      <c r="C84" s="2" t="s">
        <v>62</v>
      </c>
      <c r="D84" s="12">
        <v>500000</v>
      </c>
      <c r="E84" s="12">
        <v>66650</v>
      </c>
      <c r="F84" s="15">
        <f t="shared" si="9"/>
        <v>566650</v>
      </c>
      <c r="G84" s="33">
        <v>50</v>
      </c>
      <c r="H84" s="12">
        <v>11333</v>
      </c>
      <c r="I84" s="11">
        <v>17</v>
      </c>
      <c r="J84" s="11">
        <f t="shared" si="7"/>
        <v>33</v>
      </c>
      <c r="K84" s="12">
        <f>(17*11333)</f>
        <v>192661</v>
      </c>
      <c r="L84" s="15">
        <f t="shared" si="8"/>
        <v>373989</v>
      </c>
      <c r="M84" s="8"/>
      <c r="N84" s="39" t="e">
        <f>#REF!-H84</f>
        <v>#REF!</v>
      </c>
    </row>
    <row r="85" spans="2:14">
      <c r="B85" s="14">
        <v>80</v>
      </c>
      <c r="C85" s="2" t="s">
        <v>63</v>
      </c>
      <c r="D85" s="12">
        <v>500000</v>
      </c>
      <c r="E85" s="12">
        <v>66650</v>
      </c>
      <c r="F85" s="15">
        <f t="shared" si="9"/>
        <v>566650</v>
      </c>
      <c r="G85" s="31">
        <v>50</v>
      </c>
      <c r="H85" s="12">
        <v>11333</v>
      </c>
      <c r="I85" s="11">
        <v>18</v>
      </c>
      <c r="J85" s="11">
        <f t="shared" si="7"/>
        <v>32</v>
      </c>
      <c r="K85" s="12">
        <f>(18*11333)</f>
        <v>203994</v>
      </c>
      <c r="L85" s="15">
        <f t="shared" si="8"/>
        <v>362656</v>
      </c>
      <c r="M85" s="8"/>
      <c r="N85" s="39" t="e">
        <f>#REF!-H85</f>
        <v>#REF!</v>
      </c>
    </row>
    <row r="86" spans="2:14">
      <c r="B86" s="14">
        <v>81</v>
      </c>
      <c r="C86" s="2" t="s">
        <v>64</v>
      </c>
      <c r="D86" s="12">
        <v>500000</v>
      </c>
      <c r="E86" s="12">
        <v>66650</v>
      </c>
      <c r="F86" s="15">
        <f t="shared" si="9"/>
        <v>566650</v>
      </c>
      <c r="G86" s="33">
        <v>50</v>
      </c>
      <c r="H86" s="12">
        <v>11333</v>
      </c>
      <c r="I86" s="11">
        <v>17</v>
      </c>
      <c r="J86" s="11">
        <f t="shared" si="7"/>
        <v>33</v>
      </c>
      <c r="K86" s="12">
        <f>(17*11333)</f>
        <v>192661</v>
      </c>
      <c r="L86" s="15">
        <f t="shared" si="8"/>
        <v>373989</v>
      </c>
      <c r="M86" s="8"/>
      <c r="N86" s="39" t="e">
        <f>#REF!-H86</f>
        <v>#REF!</v>
      </c>
    </row>
    <row r="87" spans="2:14">
      <c r="B87" s="14">
        <v>82</v>
      </c>
      <c r="C87" s="2" t="s">
        <v>65</v>
      </c>
      <c r="D87" s="12">
        <v>500000</v>
      </c>
      <c r="E87" s="12">
        <v>66650</v>
      </c>
      <c r="F87" s="15">
        <f t="shared" si="9"/>
        <v>566650</v>
      </c>
      <c r="G87" s="31">
        <v>50</v>
      </c>
      <c r="H87" s="12">
        <v>11333</v>
      </c>
      <c r="I87" s="8">
        <v>25</v>
      </c>
      <c r="J87" s="11">
        <f t="shared" si="7"/>
        <v>25</v>
      </c>
      <c r="K87" s="12">
        <f>(25*11333)</f>
        <v>283325</v>
      </c>
      <c r="L87" s="15">
        <f t="shared" si="8"/>
        <v>283325</v>
      </c>
      <c r="M87" s="8"/>
      <c r="N87" s="39" t="e">
        <f>#REF!-H87</f>
        <v>#REF!</v>
      </c>
    </row>
    <row r="88" spans="2:14">
      <c r="B88" s="14">
        <v>83</v>
      </c>
      <c r="C88" s="2" t="s">
        <v>66</v>
      </c>
      <c r="D88" s="12">
        <v>500000</v>
      </c>
      <c r="E88" s="12">
        <v>66650</v>
      </c>
      <c r="F88" s="15">
        <f t="shared" si="9"/>
        <v>566650</v>
      </c>
      <c r="G88" s="31">
        <v>50</v>
      </c>
      <c r="H88" s="18">
        <v>11333</v>
      </c>
      <c r="I88" s="8">
        <v>7</v>
      </c>
      <c r="J88" s="11">
        <f t="shared" si="7"/>
        <v>43</v>
      </c>
      <c r="K88" s="12">
        <f>(7*11333)</f>
        <v>79331</v>
      </c>
      <c r="L88" s="15">
        <f t="shared" si="8"/>
        <v>487319</v>
      </c>
      <c r="M88" s="8"/>
      <c r="N88" s="39" t="e">
        <f>#REF!-H88</f>
        <v>#REF!</v>
      </c>
    </row>
    <row r="89" spans="2:14">
      <c r="B89" s="14">
        <v>84</v>
      </c>
      <c r="C89" s="2" t="s">
        <v>113</v>
      </c>
      <c r="D89" s="12">
        <v>330000</v>
      </c>
      <c r="E89" s="12">
        <v>43989</v>
      </c>
      <c r="F89" s="15">
        <f t="shared" si="9"/>
        <v>373989</v>
      </c>
      <c r="G89" s="31">
        <v>50</v>
      </c>
      <c r="H89" s="12">
        <v>7479.78</v>
      </c>
      <c r="I89" s="8">
        <v>39</v>
      </c>
      <c r="J89" s="11">
        <f t="shared" si="7"/>
        <v>11</v>
      </c>
      <c r="K89" s="12">
        <f>(39*11333)</f>
        <v>441987</v>
      </c>
      <c r="L89" s="15">
        <f t="shared" si="8"/>
        <v>-67998</v>
      </c>
      <c r="M89" s="8"/>
      <c r="N89" s="39" t="e">
        <f>#REF!-H89</f>
        <v>#REF!</v>
      </c>
    </row>
    <row r="90" spans="2:14">
      <c r="B90" s="14">
        <v>85</v>
      </c>
      <c r="C90" s="2" t="s">
        <v>203</v>
      </c>
      <c r="D90" s="12">
        <v>132000</v>
      </c>
      <c r="E90" s="12">
        <v>17595.599999999999</v>
      </c>
      <c r="F90" s="15">
        <f t="shared" si="9"/>
        <v>149595.6</v>
      </c>
      <c r="G90" s="31">
        <v>40</v>
      </c>
      <c r="H90" s="12">
        <v>3739.89</v>
      </c>
      <c r="I90" s="8">
        <v>32</v>
      </c>
      <c r="J90" s="11">
        <f t="shared" si="7"/>
        <v>8</v>
      </c>
      <c r="K90" s="12">
        <f>(32*3739.89)</f>
        <v>119676.48</v>
      </c>
      <c r="L90" s="15">
        <f t="shared" si="8"/>
        <v>29919.12000000001</v>
      </c>
      <c r="M90" s="8"/>
      <c r="N90" s="39" t="e">
        <f>#REF!-H90</f>
        <v>#REF!</v>
      </c>
    </row>
    <row r="91" spans="2:14">
      <c r="B91" s="14">
        <v>86</v>
      </c>
      <c r="C91" s="2" t="s">
        <v>195</v>
      </c>
      <c r="D91" s="12">
        <v>180000</v>
      </c>
      <c r="E91" s="12">
        <v>23994</v>
      </c>
      <c r="F91" s="15">
        <f t="shared" si="9"/>
        <v>203994</v>
      </c>
      <c r="G91" s="31">
        <v>40</v>
      </c>
      <c r="H91" s="12">
        <v>5099.8500000000004</v>
      </c>
      <c r="I91" s="8">
        <v>38</v>
      </c>
      <c r="J91" s="11">
        <f t="shared" si="7"/>
        <v>2</v>
      </c>
      <c r="K91" s="12">
        <f>(38*5099.85)</f>
        <v>193794.30000000002</v>
      </c>
      <c r="L91" s="15">
        <f t="shared" si="8"/>
        <v>10199.699999999983</v>
      </c>
      <c r="M91" s="8"/>
      <c r="N91" s="39" t="e">
        <f>#REF!-H91</f>
        <v>#REF!</v>
      </c>
    </row>
    <row r="92" spans="2:14">
      <c r="B92" s="14">
        <v>87</v>
      </c>
      <c r="C92" s="2" t="s">
        <v>154</v>
      </c>
      <c r="D92" s="15">
        <v>200000</v>
      </c>
      <c r="E92" s="15">
        <v>26660</v>
      </c>
      <c r="F92" s="15">
        <f t="shared" si="9"/>
        <v>226660</v>
      </c>
      <c r="G92" s="32">
        <v>40</v>
      </c>
      <c r="H92" s="15">
        <v>5666.5</v>
      </c>
      <c r="I92" s="22">
        <v>41</v>
      </c>
      <c r="J92" s="11">
        <f t="shared" si="7"/>
        <v>-1</v>
      </c>
      <c r="K92" s="15">
        <f>(41*5666.5)</f>
        <v>232326.5</v>
      </c>
      <c r="L92" s="15">
        <f t="shared" si="8"/>
        <v>-5666.5</v>
      </c>
      <c r="M92" s="10"/>
      <c r="N92" s="39" t="e">
        <f>#REF!-H92</f>
        <v>#REF!</v>
      </c>
    </row>
    <row r="93" spans="2:14">
      <c r="B93" s="14">
        <v>88</v>
      </c>
      <c r="C93" s="2" t="s">
        <v>155</v>
      </c>
      <c r="D93" s="15">
        <v>200000</v>
      </c>
      <c r="E93" s="15">
        <v>26660</v>
      </c>
      <c r="F93" s="15">
        <f t="shared" si="9"/>
        <v>226660</v>
      </c>
      <c r="G93" s="31">
        <v>40</v>
      </c>
      <c r="H93" s="15">
        <v>5666.5</v>
      </c>
      <c r="I93" s="8">
        <v>32</v>
      </c>
      <c r="J93" s="11">
        <f t="shared" si="7"/>
        <v>8</v>
      </c>
      <c r="K93" s="15">
        <f>(32*5666.5)</f>
        <v>181328</v>
      </c>
      <c r="L93" s="15">
        <f t="shared" si="8"/>
        <v>45332</v>
      </c>
      <c r="M93" s="8"/>
      <c r="N93" s="39" t="e">
        <f>#REF!-H93</f>
        <v>#REF!</v>
      </c>
    </row>
    <row r="94" spans="2:14">
      <c r="B94" s="14">
        <v>89</v>
      </c>
      <c r="C94" s="2" t="s">
        <v>44</v>
      </c>
      <c r="D94" s="12">
        <v>450000</v>
      </c>
      <c r="E94" s="16">
        <v>59985</v>
      </c>
      <c r="F94" s="15">
        <f t="shared" si="9"/>
        <v>509985</v>
      </c>
      <c r="G94" s="33">
        <v>50</v>
      </c>
      <c r="H94" s="24">
        <v>30599.1</v>
      </c>
      <c r="I94" s="8">
        <v>29</v>
      </c>
      <c r="J94" s="11">
        <f t="shared" si="7"/>
        <v>21</v>
      </c>
      <c r="K94" s="12">
        <f>(29*10199.7)</f>
        <v>295791.30000000005</v>
      </c>
      <c r="L94" s="15">
        <f t="shared" si="8"/>
        <v>214193.69999999995</v>
      </c>
      <c r="M94" s="8"/>
      <c r="N94" s="39" t="e">
        <f>#REF!-H94</f>
        <v>#REF!</v>
      </c>
    </row>
    <row r="95" spans="2:14">
      <c r="B95" s="14">
        <v>90</v>
      </c>
      <c r="C95" s="2" t="s">
        <v>68</v>
      </c>
      <c r="D95" s="12">
        <v>500000</v>
      </c>
      <c r="E95" s="12">
        <v>66650</v>
      </c>
      <c r="F95" s="15">
        <f t="shared" si="9"/>
        <v>566650</v>
      </c>
      <c r="G95" s="31">
        <v>50</v>
      </c>
      <c r="H95" s="12">
        <v>11333</v>
      </c>
      <c r="I95" s="8">
        <v>39</v>
      </c>
      <c r="J95" s="11">
        <f t="shared" si="7"/>
        <v>11</v>
      </c>
      <c r="K95" s="12">
        <f>(39*11333)</f>
        <v>441987</v>
      </c>
      <c r="L95" s="15">
        <f t="shared" si="8"/>
        <v>124663</v>
      </c>
      <c r="M95" s="8"/>
      <c r="N95" s="39" t="e">
        <f>#REF!-H95</f>
        <v>#REF!</v>
      </c>
    </row>
    <row r="96" spans="2:14">
      <c r="B96" s="14">
        <v>91</v>
      </c>
      <c r="C96" s="2" t="s">
        <v>28</v>
      </c>
      <c r="D96" s="18">
        <v>500000</v>
      </c>
      <c r="E96" s="18">
        <v>66650</v>
      </c>
      <c r="F96" s="18">
        <v>566650</v>
      </c>
      <c r="G96" s="33">
        <v>50</v>
      </c>
      <c r="H96" s="16">
        <v>11333</v>
      </c>
      <c r="I96" s="8">
        <v>4</v>
      </c>
      <c r="J96" s="11">
        <f t="shared" si="7"/>
        <v>46</v>
      </c>
      <c r="K96" s="12">
        <f>(4*11333)</f>
        <v>45332</v>
      </c>
      <c r="L96" s="12">
        <f t="shared" si="8"/>
        <v>521318</v>
      </c>
      <c r="M96" s="1"/>
      <c r="N96" s="39" t="e">
        <f>#REF!-H96</f>
        <v>#REF!</v>
      </c>
    </row>
    <row r="97" spans="2:14">
      <c r="B97" s="14">
        <v>92</v>
      </c>
      <c r="C97" s="2" t="s">
        <v>217</v>
      </c>
      <c r="D97" s="12">
        <v>60000</v>
      </c>
      <c r="E97" s="12">
        <v>7998</v>
      </c>
      <c r="F97" s="15">
        <f t="shared" ref="F97:F128" si="10">SUM(D97:E97)</f>
        <v>67998</v>
      </c>
      <c r="G97" s="31">
        <v>40</v>
      </c>
      <c r="H97" s="12">
        <v>1699.95</v>
      </c>
      <c r="I97" s="8">
        <v>42</v>
      </c>
      <c r="J97" s="11">
        <f t="shared" si="7"/>
        <v>-2</v>
      </c>
      <c r="K97" s="12">
        <f>(42*1699.95)</f>
        <v>71397.900000000009</v>
      </c>
      <c r="L97" s="15">
        <f t="shared" si="8"/>
        <v>-3399.9000000000087</v>
      </c>
      <c r="M97" s="8"/>
      <c r="N97" s="39" t="e">
        <f>#REF!-H97</f>
        <v>#REF!</v>
      </c>
    </row>
    <row r="98" spans="2:14">
      <c r="B98" s="14">
        <v>93</v>
      </c>
      <c r="C98" s="2" t="s">
        <v>212</v>
      </c>
      <c r="D98" s="12">
        <v>150000</v>
      </c>
      <c r="E98" s="12">
        <v>19995</v>
      </c>
      <c r="F98" s="15">
        <f t="shared" si="10"/>
        <v>169995</v>
      </c>
      <c r="G98" s="31">
        <v>50</v>
      </c>
      <c r="H98" s="12">
        <v>3399.9</v>
      </c>
      <c r="I98" s="8">
        <v>27</v>
      </c>
      <c r="J98" s="11">
        <f t="shared" si="7"/>
        <v>23</v>
      </c>
      <c r="K98" s="12">
        <f>(27*3399.9)</f>
        <v>91797.3</v>
      </c>
      <c r="L98" s="15">
        <f t="shared" si="8"/>
        <v>78197.7</v>
      </c>
      <c r="M98" s="8"/>
      <c r="N98" s="39" t="e">
        <f>#REF!-H98</f>
        <v>#REF!</v>
      </c>
    </row>
    <row r="99" spans="2:14">
      <c r="B99" s="14">
        <v>94</v>
      </c>
      <c r="C99" s="2" t="s">
        <v>156</v>
      </c>
      <c r="D99" s="15">
        <v>200000</v>
      </c>
      <c r="E99" s="15">
        <v>26660</v>
      </c>
      <c r="F99" s="15">
        <f t="shared" si="10"/>
        <v>226660</v>
      </c>
      <c r="G99" s="31">
        <v>40</v>
      </c>
      <c r="H99" s="15">
        <v>5666.5</v>
      </c>
      <c r="I99" s="8">
        <v>35</v>
      </c>
      <c r="J99" s="11">
        <f t="shared" si="7"/>
        <v>5</v>
      </c>
      <c r="K99" s="12">
        <f>(35*5666.5)</f>
        <v>198327.5</v>
      </c>
      <c r="L99" s="15">
        <f t="shared" si="8"/>
        <v>28332.5</v>
      </c>
      <c r="M99" s="8"/>
      <c r="N99" s="39" t="e">
        <f>#REF!-H99</f>
        <v>#REF!</v>
      </c>
    </row>
    <row r="100" spans="2:14">
      <c r="B100" s="14">
        <v>95</v>
      </c>
      <c r="C100" s="2" t="s">
        <v>157</v>
      </c>
      <c r="D100" s="15">
        <v>200000</v>
      </c>
      <c r="E100" s="15">
        <v>26660</v>
      </c>
      <c r="F100" s="15">
        <f t="shared" si="10"/>
        <v>226660</v>
      </c>
      <c r="G100" s="31">
        <v>40</v>
      </c>
      <c r="H100" s="15">
        <v>5666.5</v>
      </c>
      <c r="I100" s="8">
        <v>35</v>
      </c>
      <c r="J100" s="11">
        <f t="shared" si="7"/>
        <v>5</v>
      </c>
      <c r="K100" s="12">
        <f>(35*5666.5)</f>
        <v>198327.5</v>
      </c>
      <c r="L100" s="15">
        <f t="shared" si="8"/>
        <v>28332.5</v>
      </c>
      <c r="M100" s="8"/>
      <c r="N100" s="39" t="e">
        <f>#REF!-H100</f>
        <v>#REF!</v>
      </c>
    </row>
    <row r="101" spans="2:14">
      <c r="B101" s="14">
        <v>96</v>
      </c>
      <c r="C101" s="2" t="s">
        <v>158</v>
      </c>
      <c r="D101" s="15">
        <v>200000</v>
      </c>
      <c r="E101" s="15">
        <v>26660</v>
      </c>
      <c r="F101" s="15">
        <f t="shared" si="10"/>
        <v>226660</v>
      </c>
      <c r="G101" s="31">
        <v>40</v>
      </c>
      <c r="H101" s="15">
        <v>5666.5</v>
      </c>
      <c r="I101" s="8">
        <v>35</v>
      </c>
      <c r="J101" s="11">
        <f t="shared" si="7"/>
        <v>5</v>
      </c>
      <c r="K101" s="12">
        <f>(35*5666.5)</f>
        <v>198327.5</v>
      </c>
      <c r="L101" s="15">
        <f t="shared" si="8"/>
        <v>28332.5</v>
      </c>
      <c r="M101" s="8"/>
      <c r="N101" s="39" t="e">
        <f>#REF!-H101</f>
        <v>#REF!</v>
      </c>
    </row>
    <row r="102" spans="2:14">
      <c r="B102" s="14">
        <v>97</v>
      </c>
      <c r="C102" s="2" t="s">
        <v>51</v>
      </c>
      <c r="D102" s="12">
        <v>500000</v>
      </c>
      <c r="E102" s="12">
        <v>53320</v>
      </c>
      <c r="F102" s="15">
        <f t="shared" si="10"/>
        <v>553320</v>
      </c>
      <c r="G102" s="31">
        <v>40</v>
      </c>
      <c r="H102" s="12">
        <v>13833</v>
      </c>
      <c r="I102" s="8">
        <v>39</v>
      </c>
      <c r="J102" s="11">
        <f t="shared" ref="J102:J133" si="11">G102-I102</f>
        <v>1</v>
      </c>
      <c r="K102" s="12">
        <f>(39*13833)</f>
        <v>539487</v>
      </c>
      <c r="L102" s="15">
        <f t="shared" ref="L102:L133" si="12">F102-K102</f>
        <v>13833</v>
      </c>
      <c r="M102" s="8"/>
      <c r="N102" s="39" t="e">
        <f>#REF!-H102</f>
        <v>#REF!</v>
      </c>
    </row>
    <row r="103" spans="2:14">
      <c r="B103" s="14">
        <v>98</v>
      </c>
      <c r="C103" s="2" t="s">
        <v>163</v>
      </c>
      <c r="D103" s="15">
        <v>200000</v>
      </c>
      <c r="E103" s="15">
        <v>26660</v>
      </c>
      <c r="F103" s="15">
        <f t="shared" si="10"/>
        <v>226660</v>
      </c>
      <c r="G103" s="32">
        <v>40</v>
      </c>
      <c r="H103" s="15">
        <v>5666.5</v>
      </c>
      <c r="I103" s="22">
        <v>41</v>
      </c>
      <c r="J103" s="11">
        <f t="shared" si="11"/>
        <v>-1</v>
      </c>
      <c r="K103" s="15">
        <f>(41*5666.5)</f>
        <v>232326.5</v>
      </c>
      <c r="L103" s="15">
        <f t="shared" si="12"/>
        <v>-5666.5</v>
      </c>
      <c r="M103" s="10"/>
      <c r="N103" s="39" t="e">
        <f>#REF!-H103</f>
        <v>#REF!</v>
      </c>
    </row>
    <row r="104" spans="2:14">
      <c r="B104" s="14">
        <v>99</v>
      </c>
      <c r="C104" s="2" t="s">
        <v>175</v>
      </c>
      <c r="D104" s="15">
        <v>200000</v>
      </c>
      <c r="E104" s="15">
        <v>26660</v>
      </c>
      <c r="F104" s="15">
        <f t="shared" si="10"/>
        <v>226660</v>
      </c>
      <c r="G104" s="32">
        <v>40</v>
      </c>
      <c r="H104" s="15">
        <v>5666.5</v>
      </c>
      <c r="I104" s="22">
        <v>41</v>
      </c>
      <c r="J104" s="11">
        <f t="shared" si="11"/>
        <v>-1</v>
      </c>
      <c r="K104" s="15">
        <f>(41*5666.5)</f>
        <v>232326.5</v>
      </c>
      <c r="L104" s="15">
        <f t="shared" si="12"/>
        <v>-5666.5</v>
      </c>
      <c r="M104" s="10"/>
      <c r="N104" s="39" t="e">
        <f>#REF!-H104</f>
        <v>#REF!</v>
      </c>
    </row>
    <row r="105" spans="2:14">
      <c r="B105" s="14">
        <v>100</v>
      </c>
      <c r="C105" s="2" t="s">
        <v>198</v>
      </c>
      <c r="D105" s="12">
        <v>180000</v>
      </c>
      <c r="E105" s="12">
        <v>23994</v>
      </c>
      <c r="F105" s="15">
        <f t="shared" si="10"/>
        <v>203994</v>
      </c>
      <c r="G105" s="30">
        <v>40</v>
      </c>
      <c r="H105" s="12">
        <v>5099.8500000000004</v>
      </c>
      <c r="I105" s="22">
        <v>41</v>
      </c>
      <c r="J105" s="11">
        <f t="shared" si="11"/>
        <v>-1</v>
      </c>
      <c r="K105" s="12">
        <f>(41*5099.85)</f>
        <v>209093.85</v>
      </c>
      <c r="L105" s="15">
        <f t="shared" si="12"/>
        <v>-5099.8500000000058</v>
      </c>
      <c r="M105" s="10"/>
      <c r="N105" s="39" t="e">
        <f>#REF!-H105</f>
        <v>#REF!</v>
      </c>
    </row>
    <row r="106" spans="2:14">
      <c r="B106" s="14">
        <v>101</v>
      </c>
      <c r="C106" s="2" t="s">
        <v>180</v>
      </c>
      <c r="D106" s="15">
        <v>200000</v>
      </c>
      <c r="E106" s="15">
        <v>26660</v>
      </c>
      <c r="F106" s="15">
        <f t="shared" si="10"/>
        <v>226660</v>
      </c>
      <c r="G106" s="32">
        <v>40</v>
      </c>
      <c r="H106" s="15">
        <v>5666.5</v>
      </c>
      <c r="I106" s="22">
        <v>41</v>
      </c>
      <c r="J106" s="11">
        <f t="shared" si="11"/>
        <v>-1</v>
      </c>
      <c r="K106" s="15">
        <f>(41*5666.5)</f>
        <v>232326.5</v>
      </c>
      <c r="L106" s="15">
        <f t="shared" si="12"/>
        <v>-5666.5</v>
      </c>
      <c r="M106" s="10"/>
      <c r="N106" s="39" t="e">
        <f>#REF!-H106</f>
        <v>#REF!</v>
      </c>
    </row>
    <row r="107" spans="2:14">
      <c r="B107" s="14">
        <v>102</v>
      </c>
      <c r="C107" s="2" t="s">
        <v>208</v>
      </c>
      <c r="D107" s="12">
        <v>132000</v>
      </c>
      <c r="E107" s="12">
        <v>17595.599999999999</v>
      </c>
      <c r="F107" s="15">
        <f t="shared" si="10"/>
        <v>149595.6</v>
      </c>
      <c r="G107" s="30">
        <v>40</v>
      </c>
      <c r="H107" s="12">
        <v>3739.89</v>
      </c>
      <c r="I107" s="22">
        <v>41</v>
      </c>
      <c r="J107" s="11">
        <f t="shared" si="11"/>
        <v>-1</v>
      </c>
      <c r="K107" s="12">
        <f>(41*3739.89)</f>
        <v>153335.49</v>
      </c>
      <c r="L107" s="15">
        <f t="shared" si="12"/>
        <v>-3739.8899999999849</v>
      </c>
      <c r="M107" s="8"/>
      <c r="N107" s="39" t="e">
        <f>#REF!-H107</f>
        <v>#REF!</v>
      </c>
    </row>
    <row r="108" spans="2:14">
      <c r="B108" s="14">
        <v>103</v>
      </c>
      <c r="C108" s="2" t="s">
        <v>209</v>
      </c>
      <c r="D108" s="12">
        <v>132000</v>
      </c>
      <c r="E108" s="12">
        <v>17595.599999999999</v>
      </c>
      <c r="F108" s="15">
        <f t="shared" si="10"/>
        <v>149595.6</v>
      </c>
      <c r="G108" s="30">
        <v>40</v>
      </c>
      <c r="H108" s="12">
        <v>3739.89</v>
      </c>
      <c r="I108" s="22">
        <v>41</v>
      </c>
      <c r="J108" s="11">
        <f t="shared" si="11"/>
        <v>-1</v>
      </c>
      <c r="K108" s="12">
        <f>(41*3739.89)</f>
        <v>153335.49</v>
      </c>
      <c r="L108" s="15">
        <f t="shared" si="12"/>
        <v>-3739.8899999999849</v>
      </c>
      <c r="M108" s="8"/>
      <c r="N108" s="39" t="e">
        <f>#REF!-H108</f>
        <v>#REF!</v>
      </c>
    </row>
    <row r="109" spans="2:14">
      <c r="B109" s="14">
        <v>104</v>
      </c>
      <c r="C109" s="2" t="s">
        <v>183</v>
      </c>
      <c r="D109" s="15">
        <v>200000</v>
      </c>
      <c r="E109" s="15">
        <v>26660</v>
      </c>
      <c r="F109" s="15">
        <f t="shared" si="10"/>
        <v>226660</v>
      </c>
      <c r="G109" s="32">
        <v>40</v>
      </c>
      <c r="H109" s="15">
        <v>5666.5</v>
      </c>
      <c r="I109" s="22">
        <v>41</v>
      </c>
      <c r="J109" s="11">
        <f t="shared" si="11"/>
        <v>-1</v>
      </c>
      <c r="K109" s="15">
        <f>(41*5666.5)</f>
        <v>232326.5</v>
      </c>
      <c r="L109" s="15">
        <f t="shared" si="12"/>
        <v>-5666.5</v>
      </c>
      <c r="M109" s="10"/>
      <c r="N109" s="39" t="e">
        <f>#REF!-H109</f>
        <v>#REF!</v>
      </c>
    </row>
    <row r="110" spans="2:14">
      <c r="B110" s="14">
        <v>105</v>
      </c>
      <c r="C110" s="2" t="s">
        <v>210</v>
      </c>
      <c r="D110" s="12">
        <v>132000</v>
      </c>
      <c r="E110" s="12">
        <v>17595.599999999999</v>
      </c>
      <c r="F110" s="15">
        <f t="shared" si="10"/>
        <v>149595.6</v>
      </c>
      <c r="G110" s="30">
        <v>40</v>
      </c>
      <c r="H110" s="12">
        <v>3739.89</v>
      </c>
      <c r="I110" s="22">
        <v>41</v>
      </c>
      <c r="J110" s="11">
        <f t="shared" si="11"/>
        <v>-1</v>
      </c>
      <c r="K110" s="12">
        <f>(41*3739.89)</f>
        <v>153335.49</v>
      </c>
      <c r="L110" s="15">
        <f t="shared" si="12"/>
        <v>-3739.8899999999849</v>
      </c>
      <c r="M110" s="8"/>
      <c r="N110" s="39" t="e">
        <f>#REF!-H110</f>
        <v>#REF!</v>
      </c>
    </row>
    <row r="111" spans="2:14">
      <c r="B111" s="14">
        <v>106</v>
      </c>
      <c r="C111" s="2" t="s">
        <v>249</v>
      </c>
      <c r="D111" s="12">
        <v>180000</v>
      </c>
      <c r="E111" s="12">
        <v>23994</v>
      </c>
      <c r="F111" s="15">
        <f t="shared" si="10"/>
        <v>203994</v>
      </c>
      <c r="G111" s="31">
        <v>40</v>
      </c>
      <c r="H111" s="12">
        <v>5099.8500000000004</v>
      </c>
      <c r="I111" s="8">
        <v>40</v>
      </c>
      <c r="J111" s="11">
        <f t="shared" si="11"/>
        <v>0</v>
      </c>
      <c r="K111" s="12">
        <f>(40*5099.85)</f>
        <v>203994</v>
      </c>
      <c r="L111" s="15">
        <f t="shared" si="12"/>
        <v>0</v>
      </c>
      <c r="M111" s="8" t="s">
        <v>251</v>
      </c>
      <c r="N111" s="39" t="e">
        <f>#REF!-H111</f>
        <v>#REF!</v>
      </c>
    </row>
    <row r="112" spans="2:14">
      <c r="B112" s="14">
        <v>107</v>
      </c>
      <c r="C112" s="2" t="s">
        <v>71</v>
      </c>
      <c r="D112" s="12">
        <v>500000</v>
      </c>
      <c r="E112" s="12">
        <v>66650</v>
      </c>
      <c r="F112" s="15">
        <f t="shared" si="10"/>
        <v>566650</v>
      </c>
      <c r="G112" s="31">
        <v>50</v>
      </c>
      <c r="H112" s="12">
        <v>11333</v>
      </c>
      <c r="I112" s="8">
        <v>39</v>
      </c>
      <c r="J112" s="11">
        <f t="shared" si="11"/>
        <v>11</v>
      </c>
      <c r="K112" s="12">
        <f>(39*11333)</f>
        <v>441987</v>
      </c>
      <c r="L112" s="15">
        <f t="shared" si="12"/>
        <v>124663</v>
      </c>
      <c r="M112" s="8"/>
      <c r="N112" s="39" t="e">
        <f>#REF!-H112</f>
        <v>#REF!</v>
      </c>
    </row>
    <row r="113" spans="2:14">
      <c r="B113" s="14">
        <v>108</v>
      </c>
      <c r="C113" s="23" t="s">
        <v>72</v>
      </c>
      <c r="D113" s="12">
        <v>500000</v>
      </c>
      <c r="E113" s="12">
        <v>66650</v>
      </c>
      <c r="F113" s="15">
        <f t="shared" si="10"/>
        <v>566650</v>
      </c>
      <c r="G113" s="31">
        <v>50</v>
      </c>
      <c r="H113" s="12">
        <v>11333</v>
      </c>
      <c r="I113" s="8">
        <v>39</v>
      </c>
      <c r="J113" s="11">
        <f t="shared" si="11"/>
        <v>11</v>
      </c>
      <c r="K113" s="12">
        <f>(39*11333)</f>
        <v>441987</v>
      </c>
      <c r="L113" s="15">
        <f t="shared" si="12"/>
        <v>124663</v>
      </c>
      <c r="M113" s="8"/>
      <c r="N113" s="39" t="e">
        <f>#REF!-H113</f>
        <v>#REF!</v>
      </c>
    </row>
    <row r="114" spans="2:14">
      <c r="B114" s="14">
        <v>109</v>
      </c>
      <c r="C114" s="2" t="s">
        <v>172</v>
      </c>
      <c r="D114" s="15">
        <v>200000</v>
      </c>
      <c r="E114" s="15">
        <v>26660</v>
      </c>
      <c r="F114" s="15">
        <f t="shared" si="10"/>
        <v>226660</v>
      </c>
      <c r="G114" s="31">
        <v>40</v>
      </c>
      <c r="H114" s="15">
        <v>5666.5</v>
      </c>
      <c r="I114" s="8">
        <v>39</v>
      </c>
      <c r="J114" s="11">
        <f t="shared" si="11"/>
        <v>1</v>
      </c>
      <c r="K114" s="12">
        <f>(39*5666.5)</f>
        <v>220993.5</v>
      </c>
      <c r="L114" s="15">
        <f t="shared" si="12"/>
        <v>5666.5</v>
      </c>
      <c r="M114" s="8"/>
      <c r="N114" s="39" t="e">
        <f>#REF!-H114</f>
        <v>#REF!</v>
      </c>
    </row>
    <row r="115" spans="2:14">
      <c r="B115" s="14">
        <v>110</v>
      </c>
      <c r="C115" s="2" t="s">
        <v>74</v>
      </c>
      <c r="D115" s="12">
        <v>500000</v>
      </c>
      <c r="E115" s="12">
        <v>66650</v>
      </c>
      <c r="F115" s="15">
        <f t="shared" si="10"/>
        <v>566650</v>
      </c>
      <c r="G115" s="31">
        <v>50</v>
      </c>
      <c r="H115" s="12">
        <v>11333</v>
      </c>
      <c r="I115" s="8">
        <v>39</v>
      </c>
      <c r="J115" s="11">
        <f t="shared" si="11"/>
        <v>11</v>
      </c>
      <c r="K115" s="12">
        <f>(39*11333)</f>
        <v>441987</v>
      </c>
      <c r="L115" s="15">
        <f t="shared" si="12"/>
        <v>124663</v>
      </c>
      <c r="M115" s="8"/>
      <c r="N115" s="39" t="e">
        <f>#REF!-H115</f>
        <v>#REF!</v>
      </c>
    </row>
    <row r="116" spans="2:14">
      <c r="B116" s="14">
        <v>111</v>
      </c>
      <c r="C116" s="2" t="s">
        <v>197</v>
      </c>
      <c r="D116" s="12">
        <v>180000</v>
      </c>
      <c r="E116" s="12">
        <v>23994</v>
      </c>
      <c r="F116" s="15">
        <f t="shared" si="10"/>
        <v>203994</v>
      </c>
      <c r="G116" s="31">
        <v>40</v>
      </c>
      <c r="H116" s="12">
        <v>5099.8500000000004</v>
      </c>
      <c r="I116" s="8">
        <v>39</v>
      </c>
      <c r="J116" s="11">
        <f t="shared" si="11"/>
        <v>1</v>
      </c>
      <c r="K116" s="12">
        <f>(39*5099.85)</f>
        <v>198894.15000000002</v>
      </c>
      <c r="L116" s="15">
        <f t="shared" si="12"/>
        <v>5099.8499999999767</v>
      </c>
      <c r="M116" s="8"/>
      <c r="N116" s="39" t="e">
        <f>#REF!-H116</f>
        <v>#REF!</v>
      </c>
    </row>
    <row r="117" spans="2:14">
      <c r="B117" s="14">
        <v>112</v>
      </c>
      <c r="C117" s="2" t="s">
        <v>78</v>
      </c>
      <c r="D117" s="12">
        <v>500000</v>
      </c>
      <c r="E117" s="12">
        <v>66650</v>
      </c>
      <c r="F117" s="15">
        <f t="shared" si="10"/>
        <v>566650</v>
      </c>
      <c r="G117" s="31">
        <v>50</v>
      </c>
      <c r="H117" s="12">
        <v>11333</v>
      </c>
      <c r="I117" s="8">
        <v>39</v>
      </c>
      <c r="J117" s="11">
        <f t="shared" si="11"/>
        <v>11</v>
      </c>
      <c r="K117" s="12">
        <f>(39*11333)</f>
        <v>441987</v>
      </c>
      <c r="L117" s="15">
        <f t="shared" si="12"/>
        <v>124663</v>
      </c>
      <c r="M117" s="8"/>
      <c r="N117" s="39" t="e">
        <f>#REF!-H117</f>
        <v>#REF!</v>
      </c>
    </row>
    <row r="118" spans="2:14">
      <c r="B118" s="14">
        <v>113</v>
      </c>
      <c r="C118" s="2" t="s">
        <v>174</v>
      </c>
      <c r="D118" s="15">
        <v>200000</v>
      </c>
      <c r="E118" s="15">
        <v>26660</v>
      </c>
      <c r="F118" s="15">
        <f t="shared" si="10"/>
        <v>226660</v>
      </c>
      <c r="G118" s="31">
        <v>40</v>
      </c>
      <c r="H118" s="15">
        <v>5666.5</v>
      </c>
      <c r="I118" s="8">
        <v>39</v>
      </c>
      <c r="J118" s="11">
        <f t="shared" si="11"/>
        <v>1</v>
      </c>
      <c r="K118" s="12">
        <f>(39*5666.5)</f>
        <v>220993.5</v>
      </c>
      <c r="L118" s="15">
        <f t="shared" si="12"/>
        <v>5666.5</v>
      </c>
      <c r="M118" s="8"/>
      <c r="N118" s="39" t="e">
        <f>#REF!-H118</f>
        <v>#REF!</v>
      </c>
    </row>
    <row r="119" spans="2:14">
      <c r="B119" s="14">
        <v>114</v>
      </c>
      <c r="C119" s="2" t="s">
        <v>80</v>
      </c>
      <c r="D119" s="12">
        <v>500000</v>
      </c>
      <c r="E119" s="12">
        <v>66650</v>
      </c>
      <c r="F119" s="15">
        <f t="shared" si="10"/>
        <v>566650</v>
      </c>
      <c r="G119" s="31">
        <v>50</v>
      </c>
      <c r="H119" s="12">
        <v>11333</v>
      </c>
      <c r="I119" s="8">
        <v>39</v>
      </c>
      <c r="J119" s="11">
        <f t="shared" si="11"/>
        <v>11</v>
      </c>
      <c r="K119" s="12">
        <f>(39*11333)</f>
        <v>441987</v>
      </c>
      <c r="L119" s="15">
        <f t="shared" si="12"/>
        <v>124663</v>
      </c>
      <c r="M119" s="8"/>
      <c r="N119" s="39" t="e">
        <f>#REF!-H119</f>
        <v>#REF!</v>
      </c>
    </row>
    <row r="120" spans="2:14">
      <c r="B120" s="14">
        <v>115</v>
      </c>
      <c r="C120" s="23" t="s">
        <v>82</v>
      </c>
      <c r="D120" s="12">
        <v>500000</v>
      </c>
      <c r="E120" s="12">
        <v>66650</v>
      </c>
      <c r="F120" s="15">
        <f t="shared" si="10"/>
        <v>566650</v>
      </c>
      <c r="G120" s="31">
        <v>50</v>
      </c>
      <c r="H120" s="12">
        <v>11333</v>
      </c>
      <c r="I120" s="8">
        <v>39</v>
      </c>
      <c r="J120" s="11">
        <f t="shared" si="11"/>
        <v>11</v>
      </c>
      <c r="K120" s="12">
        <f>(39*11333)</f>
        <v>441987</v>
      </c>
      <c r="L120" s="15">
        <f t="shared" si="12"/>
        <v>124663</v>
      </c>
      <c r="M120" s="8"/>
      <c r="N120" s="39" t="e">
        <f>#REF!-H120</f>
        <v>#REF!</v>
      </c>
    </row>
    <row r="121" spans="2:14">
      <c r="B121" s="14">
        <v>116</v>
      </c>
      <c r="C121" s="2" t="s">
        <v>220</v>
      </c>
      <c r="D121" s="12">
        <v>60000</v>
      </c>
      <c r="E121" s="12">
        <v>7998</v>
      </c>
      <c r="F121" s="15">
        <f t="shared" si="10"/>
        <v>67998</v>
      </c>
      <c r="G121" s="31">
        <v>40</v>
      </c>
      <c r="H121" s="12">
        <v>1699.95</v>
      </c>
      <c r="I121" s="8">
        <v>39</v>
      </c>
      <c r="J121" s="11">
        <f t="shared" si="11"/>
        <v>1</v>
      </c>
      <c r="K121" s="12">
        <f>(39*1699.89)</f>
        <v>66295.710000000006</v>
      </c>
      <c r="L121" s="15">
        <f t="shared" si="12"/>
        <v>1702.2899999999936</v>
      </c>
      <c r="M121" s="8"/>
      <c r="N121" s="39" t="e">
        <f>#REF!-H121</f>
        <v>#REF!</v>
      </c>
    </row>
    <row r="122" spans="2:14">
      <c r="B122" s="14">
        <v>117</v>
      </c>
      <c r="C122" s="2" t="s">
        <v>182</v>
      </c>
      <c r="D122" s="15">
        <v>200000</v>
      </c>
      <c r="E122" s="15">
        <v>26660</v>
      </c>
      <c r="F122" s="15">
        <f t="shared" si="10"/>
        <v>226660</v>
      </c>
      <c r="G122" s="31">
        <v>40</v>
      </c>
      <c r="H122" s="15">
        <v>5666.5</v>
      </c>
      <c r="I122" s="8">
        <v>39</v>
      </c>
      <c r="J122" s="11">
        <f t="shared" si="11"/>
        <v>1</v>
      </c>
      <c r="K122" s="12">
        <f>(39*5666.5)</f>
        <v>220993.5</v>
      </c>
      <c r="L122" s="15">
        <f t="shared" si="12"/>
        <v>5666.5</v>
      </c>
      <c r="M122" s="8"/>
      <c r="N122" s="39" t="e">
        <f>#REF!-H122</f>
        <v>#REF!</v>
      </c>
    </row>
    <row r="123" spans="2:14">
      <c r="B123" s="14">
        <v>118</v>
      </c>
      <c r="C123" s="2" t="s">
        <v>87</v>
      </c>
      <c r="D123" s="12">
        <v>500000</v>
      </c>
      <c r="E123" s="12">
        <v>66650</v>
      </c>
      <c r="F123" s="15">
        <f t="shared" si="10"/>
        <v>566650</v>
      </c>
      <c r="G123" s="31">
        <v>50</v>
      </c>
      <c r="H123" s="12">
        <v>11333</v>
      </c>
      <c r="I123" s="8">
        <v>39</v>
      </c>
      <c r="J123" s="11">
        <f t="shared" si="11"/>
        <v>11</v>
      </c>
      <c r="K123" s="12">
        <f>(39*11333)</f>
        <v>441987</v>
      </c>
      <c r="L123" s="15">
        <f t="shared" si="12"/>
        <v>124663</v>
      </c>
      <c r="M123" s="8"/>
      <c r="N123" s="39" t="e">
        <f>#REF!-H123</f>
        <v>#REF!</v>
      </c>
    </row>
    <row r="124" spans="2:14">
      <c r="B124" s="14">
        <v>119</v>
      </c>
      <c r="C124" s="2" t="s">
        <v>93</v>
      </c>
      <c r="D124" s="12">
        <v>500000</v>
      </c>
      <c r="E124" s="12">
        <v>66650</v>
      </c>
      <c r="F124" s="15">
        <f t="shared" si="10"/>
        <v>566650</v>
      </c>
      <c r="G124" s="31">
        <v>50</v>
      </c>
      <c r="H124" s="12">
        <v>11333</v>
      </c>
      <c r="I124" s="8">
        <v>39</v>
      </c>
      <c r="J124" s="11">
        <f t="shared" si="11"/>
        <v>11</v>
      </c>
      <c r="K124" s="12">
        <f>(39*11333)</f>
        <v>441987</v>
      </c>
      <c r="L124" s="15">
        <f t="shared" si="12"/>
        <v>124663</v>
      </c>
      <c r="M124" s="8"/>
      <c r="N124" s="39" t="e">
        <f>#REF!-H124</f>
        <v>#REF!</v>
      </c>
    </row>
    <row r="125" spans="2:14">
      <c r="B125" s="14">
        <v>120</v>
      </c>
      <c r="C125" s="2" t="s">
        <v>178</v>
      </c>
      <c r="D125" s="15">
        <v>200000</v>
      </c>
      <c r="E125" s="15">
        <v>26660</v>
      </c>
      <c r="F125" s="15">
        <f t="shared" si="10"/>
        <v>226660</v>
      </c>
      <c r="G125" s="31">
        <v>40</v>
      </c>
      <c r="H125" s="15">
        <v>5666.5</v>
      </c>
      <c r="I125" s="8">
        <v>38</v>
      </c>
      <c r="J125" s="11">
        <f t="shared" si="11"/>
        <v>2</v>
      </c>
      <c r="K125" s="12">
        <f>(38*5666.5)</f>
        <v>215327</v>
      </c>
      <c r="L125" s="15">
        <f t="shared" si="12"/>
        <v>11333</v>
      </c>
      <c r="M125" s="8"/>
      <c r="N125" s="39" t="e">
        <f>#REF!-H125</f>
        <v>#REF!</v>
      </c>
    </row>
    <row r="126" spans="2:14">
      <c r="B126" s="14">
        <v>121</v>
      </c>
      <c r="C126" s="2" t="s">
        <v>90</v>
      </c>
      <c r="D126" s="12">
        <v>500000</v>
      </c>
      <c r="E126" s="12">
        <v>66650</v>
      </c>
      <c r="F126" s="15">
        <f t="shared" si="10"/>
        <v>566650</v>
      </c>
      <c r="G126" s="31">
        <v>50</v>
      </c>
      <c r="H126" s="12">
        <v>11333</v>
      </c>
      <c r="I126" s="8">
        <v>38</v>
      </c>
      <c r="J126" s="11">
        <f t="shared" si="11"/>
        <v>12</v>
      </c>
      <c r="K126" s="12">
        <f>(38*11333)</f>
        <v>430654</v>
      </c>
      <c r="L126" s="15">
        <f t="shared" si="12"/>
        <v>135996</v>
      </c>
      <c r="M126" s="8"/>
      <c r="N126" s="39" t="e">
        <f>#REF!-H126</f>
        <v>#REF!</v>
      </c>
    </row>
    <row r="127" spans="2:14">
      <c r="B127" s="14">
        <v>122</v>
      </c>
      <c r="C127" s="2" t="s">
        <v>160</v>
      </c>
      <c r="D127" s="15">
        <v>200000</v>
      </c>
      <c r="E127" s="15">
        <v>26660</v>
      </c>
      <c r="F127" s="15">
        <f t="shared" si="10"/>
        <v>226660</v>
      </c>
      <c r="G127" s="31">
        <v>40</v>
      </c>
      <c r="H127" s="15">
        <v>5666.5</v>
      </c>
      <c r="I127" s="8">
        <v>35</v>
      </c>
      <c r="J127" s="11">
        <f t="shared" si="11"/>
        <v>5</v>
      </c>
      <c r="K127" s="12">
        <f>(35*5666.5)</f>
        <v>198327.5</v>
      </c>
      <c r="L127" s="15">
        <f t="shared" si="12"/>
        <v>28332.5</v>
      </c>
      <c r="M127" s="8"/>
      <c r="N127" s="39" t="e">
        <f>#REF!-H127</f>
        <v>#REF!</v>
      </c>
    </row>
    <row r="128" spans="2:14">
      <c r="B128" s="14">
        <v>123</v>
      </c>
      <c r="C128" s="2" t="s">
        <v>205</v>
      </c>
      <c r="D128" s="12">
        <v>132000</v>
      </c>
      <c r="E128" s="12">
        <v>17595.599999999999</v>
      </c>
      <c r="F128" s="15">
        <f t="shared" si="10"/>
        <v>149595.6</v>
      </c>
      <c r="G128" s="31">
        <v>40</v>
      </c>
      <c r="H128" s="12">
        <v>3739.89</v>
      </c>
      <c r="I128" s="8">
        <v>35</v>
      </c>
      <c r="J128" s="11">
        <f t="shared" si="11"/>
        <v>5</v>
      </c>
      <c r="K128" s="12">
        <f>(35*3739.89)</f>
        <v>130896.15</v>
      </c>
      <c r="L128" s="15">
        <f t="shared" si="12"/>
        <v>18699.450000000012</v>
      </c>
      <c r="M128" s="8"/>
      <c r="N128" s="39" t="e">
        <f>#REF!-H128</f>
        <v>#REF!</v>
      </c>
    </row>
    <row r="129" spans="2:14">
      <c r="B129" s="14">
        <v>124</v>
      </c>
      <c r="C129" s="2" t="s">
        <v>173</v>
      </c>
      <c r="D129" s="15">
        <v>200000</v>
      </c>
      <c r="E129" s="15">
        <v>26660</v>
      </c>
      <c r="F129" s="15">
        <f t="shared" ref="F129:F160" si="13">SUM(D129:E129)</f>
        <v>226660</v>
      </c>
      <c r="G129" s="31">
        <v>40</v>
      </c>
      <c r="H129" s="15">
        <v>5666.5</v>
      </c>
      <c r="I129" s="8">
        <v>35</v>
      </c>
      <c r="J129" s="11">
        <f t="shared" si="11"/>
        <v>5</v>
      </c>
      <c r="K129" s="12">
        <f>(35*5666.5)</f>
        <v>198327.5</v>
      </c>
      <c r="L129" s="15">
        <f t="shared" si="12"/>
        <v>28332.5</v>
      </c>
      <c r="M129" s="8"/>
      <c r="N129" s="39" t="e">
        <f>#REF!-H129</f>
        <v>#REF!</v>
      </c>
    </row>
    <row r="130" spans="2:14">
      <c r="B130" s="14">
        <v>125</v>
      </c>
      <c r="C130" s="2" t="s">
        <v>181</v>
      </c>
      <c r="D130" s="15">
        <v>200000</v>
      </c>
      <c r="E130" s="15">
        <v>26660</v>
      </c>
      <c r="F130" s="15">
        <f t="shared" si="13"/>
        <v>226660</v>
      </c>
      <c r="G130" s="31">
        <v>40</v>
      </c>
      <c r="H130" s="15">
        <v>5666.5</v>
      </c>
      <c r="I130" s="8">
        <v>35</v>
      </c>
      <c r="J130" s="11">
        <f t="shared" si="11"/>
        <v>5</v>
      </c>
      <c r="K130" s="12">
        <f>(35*5666.5)</f>
        <v>198327.5</v>
      </c>
      <c r="L130" s="15">
        <f t="shared" si="12"/>
        <v>28332.5</v>
      </c>
      <c r="M130" s="8"/>
      <c r="N130" s="39" t="e">
        <f>#REF!-H130</f>
        <v>#REF!</v>
      </c>
    </row>
    <row r="131" spans="2:14">
      <c r="B131" s="14">
        <v>126</v>
      </c>
      <c r="C131" s="2" t="s">
        <v>184</v>
      </c>
      <c r="D131" s="15">
        <v>200000</v>
      </c>
      <c r="E131" s="15">
        <v>26660</v>
      </c>
      <c r="F131" s="15">
        <f t="shared" si="13"/>
        <v>226660</v>
      </c>
      <c r="G131" s="31">
        <v>40</v>
      </c>
      <c r="H131" s="15">
        <v>5666.5</v>
      </c>
      <c r="I131" s="8">
        <v>35</v>
      </c>
      <c r="J131" s="11">
        <f t="shared" si="11"/>
        <v>5</v>
      </c>
      <c r="K131" s="12">
        <f>(35*5666.5)</f>
        <v>198327.5</v>
      </c>
      <c r="L131" s="15">
        <f t="shared" si="12"/>
        <v>28332.5</v>
      </c>
      <c r="M131" s="8"/>
      <c r="N131" s="39" t="e">
        <f>#REF!-H131</f>
        <v>#REF!</v>
      </c>
    </row>
    <row r="132" spans="2:14">
      <c r="B132" s="14">
        <v>127</v>
      </c>
      <c r="C132" s="2" t="s">
        <v>162</v>
      </c>
      <c r="D132" s="15">
        <v>200000</v>
      </c>
      <c r="E132" s="15">
        <v>26660</v>
      </c>
      <c r="F132" s="15">
        <f t="shared" si="13"/>
        <v>226660</v>
      </c>
      <c r="G132" s="31">
        <v>40</v>
      </c>
      <c r="H132" s="15">
        <v>5666.5</v>
      </c>
      <c r="I132" s="8">
        <v>34</v>
      </c>
      <c r="J132" s="11">
        <f t="shared" si="11"/>
        <v>6</v>
      </c>
      <c r="K132" s="12">
        <f>(34*5666.5)</f>
        <v>192661</v>
      </c>
      <c r="L132" s="15">
        <f t="shared" si="12"/>
        <v>33999</v>
      </c>
      <c r="M132" s="8"/>
      <c r="N132" s="39" t="e">
        <f>#REF!-H132</f>
        <v>#REF!</v>
      </c>
    </row>
    <row r="133" spans="2:14">
      <c r="B133" s="14">
        <v>128</v>
      </c>
      <c r="C133" s="2" t="s">
        <v>207</v>
      </c>
      <c r="D133" s="12">
        <v>132000</v>
      </c>
      <c r="E133" s="12">
        <v>17595.599999999999</v>
      </c>
      <c r="F133" s="15">
        <f t="shared" si="13"/>
        <v>149595.6</v>
      </c>
      <c r="G133" s="31">
        <v>40</v>
      </c>
      <c r="H133" s="12">
        <v>3739.89</v>
      </c>
      <c r="I133" s="8">
        <v>33</v>
      </c>
      <c r="J133" s="11">
        <f t="shared" si="11"/>
        <v>7</v>
      </c>
      <c r="K133" s="12">
        <f>(33*3739.89)</f>
        <v>123416.37</v>
      </c>
      <c r="L133" s="15">
        <f t="shared" si="12"/>
        <v>26179.23000000001</v>
      </c>
      <c r="M133" s="8"/>
      <c r="N133" s="39" t="e">
        <f>#REF!-H133</f>
        <v>#REF!</v>
      </c>
    </row>
    <row r="134" spans="2:14">
      <c r="B134" s="14">
        <v>129</v>
      </c>
      <c r="C134" s="2" t="s">
        <v>204</v>
      </c>
      <c r="D134" s="12">
        <v>132000</v>
      </c>
      <c r="E134" s="12">
        <v>17595.599999999999</v>
      </c>
      <c r="F134" s="15">
        <f t="shared" si="13"/>
        <v>149595.6</v>
      </c>
      <c r="G134" s="31">
        <v>40</v>
      </c>
      <c r="H134" s="12">
        <v>3739.89</v>
      </c>
      <c r="I134" s="8">
        <v>32</v>
      </c>
      <c r="J134" s="11">
        <f t="shared" ref="J134:J165" si="14">G134-I134</f>
        <v>8</v>
      </c>
      <c r="K134" s="12">
        <f>(32*3739.89)</f>
        <v>119676.48</v>
      </c>
      <c r="L134" s="15">
        <f t="shared" ref="L134:L165" si="15">F134-K134</f>
        <v>29919.12000000001</v>
      </c>
      <c r="M134" s="8"/>
      <c r="N134" s="39" t="e">
        <f>#REF!-H134</f>
        <v>#REF!</v>
      </c>
    </row>
    <row r="135" spans="2:14">
      <c r="B135" s="14">
        <v>130</v>
      </c>
      <c r="C135" s="2" t="s">
        <v>164</v>
      </c>
      <c r="D135" s="15">
        <v>200000</v>
      </c>
      <c r="E135" s="15">
        <v>26660</v>
      </c>
      <c r="F135" s="15">
        <f t="shared" si="13"/>
        <v>226660</v>
      </c>
      <c r="G135" s="31">
        <v>40</v>
      </c>
      <c r="H135" s="15">
        <v>5666.5</v>
      </c>
      <c r="I135" s="8">
        <v>32</v>
      </c>
      <c r="J135" s="11">
        <f t="shared" si="14"/>
        <v>8</v>
      </c>
      <c r="K135" s="12">
        <f>(32*5666.5)</f>
        <v>181328</v>
      </c>
      <c r="L135" s="15">
        <f t="shared" si="15"/>
        <v>45332</v>
      </c>
      <c r="M135" s="8"/>
      <c r="N135" s="39" t="e">
        <f>#REF!-H135</f>
        <v>#REF!</v>
      </c>
    </row>
    <row r="136" spans="2:14">
      <c r="B136" s="14">
        <v>131</v>
      </c>
      <c r="C136" s="2" t="s">
        <v>165</v>
      </c>
      <c r="D136" s="15">
        <v>200000</v>
      </c>
      <c r="E136" s="15">
        <v>26660</v>
      </c>
      <c r="F136" s="15">
        <f t="shared" si="13"/>
        <v>226660</v>
      </c>
      <c r="G136" s="31">
        <v>40</v>
      </c>
      <c r="H136" s="15">
        <v>5666.5</v>
      </c>
      <c r="I136" s="8">
        <v>32</v>
      </c>
      <c r="J136" s="11">
        <f t="shared" si="14"/>
        <v>8</v>
      </c>
      <c r="K136" s="12">
        <f>(32*5666.5)</f>
        <v>181328</v>
      </c>
      <c r="L136" s="15">
        <f t="shared" si="15"/>
        <v>45332</v>
      </c>
      <c r="M136" s="8"/>
      <c r="N136" s="39" t="e">
        <f>#REF!-H136</f>
        <v>#REF!</v>
      </c>
    </row>
    <row r="137" spans="2:14">
      <c r="B137" s="14">
        <v>132</v>
      </c>
      <c r="C137" s="2" t="s">
        <v>218</v>
      </c>
      <c r="D137" s="12">
        <v>60000</v>
      </c>
      <c r="E137" s="12">
        <v>7998</v>
      </c>
      <c r="F137" s="15">
        <f t="shared" si="13"/>
        <v>67998</v>
      </c>
      <c r="G137" s="31">
        <v>40</v>
      </c>
      <c r="H137" s="12">
        <v>1699.95</v>
      </c>
      <c r="I137" s="8">
        <v>32</v>
      </c>
      <c r="J137" s="11">
        <f t="shared" si="14"/>
        <v>8</v>
      </c>
      <c r="K137" s="12">
        <f>(32*1699.95)</f>
        <v>54398.400000000001</v>
      </c>
      <c r="L137" s="15">
        <f t="shared" si="15"/>
        <v>13599.599999999999</v>
      </c>
      <c r="M137" s="8"/>
      <c r="N137" s="39" t="e">
        <f>#REF!-H137</f>
        <v>#REF!</v>
      </c>
    </row>
    <row r="138" spans="2:14">
      <c r="B138" s="14">
        <v>133</v>
      </c>
      <c r="C138" s="2" t="s">
        <v>167</v>
      </c>
      <c r="D138" s="15">
        <v>200000</v>
      </c>
      <c r="E138" s="15">
        <v>26660</v>
      </c>
      <c r="F138" s="15">
        <f t="shared" si="13"/>
        <v>226660</v>
      </c>
      <c r="G138" s="31">
        <v>40</v>
      </c>
      <c r="H138" s="52">
        <v>5666.5</v>
      </c>
      <c r="I138" s="8">
        <v>32</v>
      </c>
      <c r="J138" s="11">
        <f t="shared" si="14"/>
        <v>8</v>
      </c>
      <c r="K138" s="12">
        <f t="shared" ref="K138:K145" si="16">(32*5666.5)</f>
        <v>181328</v>
      </c>
      <c r="L138" s="15">
        <f t="shared" si="15"/>
        <v>45332</v>
      </c>
      <c r="M138" s="8"/>
      <c r="N138" s="39" t="e">
        <f>#REF!-H138</f>
        <v>#REF!</v>
      </c>
    </row>
    <row r="139" spans="2:14">
      <c r="B139" s="14">
        <v>134</v>
      </c>
      <c r="C139" s="2" t="s">
        <v>168</v>
      </c>
      <c r="D139" s="15">
        <v>200000</v>
      </c>
      <c r="E139" s="15">
        <v>26660</v>
      </c>
      <c r="F139" s="15">
        <f t="shared" si="13"/>
        <v>226660</v>
      </c>
      <c r="G139" s="31">
        <v>40</v>
      </c>
      <c r="H139" s="15">
        <v>5666.5</v>
      </c>
      <c r="I139" s="8">
        <v>32</v>
      </c>
      <c r="J139" s="11">
        <f t="shared" si="14"/>
        <v>8</v>
      </c>
      <c r="K139" s="12">
        <f t="shared" si="16"/>
        <v>181328</v>
      </c>
      <c r="L139" s="15">
        <f t="shared" si="15"/>
        <v>45332</v>
      </c>
      <c r="M139" s="8"/>
      <c r="N139" s="39" t="e">
        <f>#REF!-H139</f>
        <v>#REF!</v>
      </c>
    </row>
    <row r="140" spans="2:14">
      <c r="B140" s="14">
        <v>135</v>
      </c>
      <c r="C140" s="2" t="s">
        <v>170</v>
      </c>
      <c r="D140" s="15">
        <v>200000</v>
      </c>
      <c r="E140" s="15">
        <v>26660</v>
      </c>
      <c r="F140" s="15">
        <f t="shared" si="13"/>
        <v>226660</v>
      </c>
      <c r="G140" s="31">
        <v>40</v>
      </c>
      <c r="H140" s="15">
        <v>5666.5</v>
      </c>
      <c r="I140" s="8">
        <v>32</v>
      </c>
      <c r="J140" s="11">
        <f t="shared" si="14"/>
        <v>8</v>
      </c>
      <c r="K140" s="12">
        <f t="shared" si="16"/>
        <v>181328</v>
      </c>
      <c r="L140" s="15">
        <f t="shared" si="15"/>
        <v>45332</v>
      </c>
      <c r="M140" s="8"/>
      <c r="N140" s="39" t="e">
        <f>#REF!-H140</f>
        <v>#REF!</v>
      </c>
    </row>
    <row r="141" spans="2:14">
      <c r="B141" s="14">
        <v>136</v>
      </c>
      <c r="C141" s="2" t="s">
        <v>171</v>
      </c>
      <c r="D141" s="15">
        <v>200000</v>
      </c>
      <c r="E141" s="15">
        <v>26660</v>
      </c>
      <c r="F141" s="15">
        <f t="shared" si="13"/>
        <v>226660</v>
      </c>
      <c r="G141" s="31">
        <v>40</v>
      </c>
      <c r="H141" s="15">
        <v>5666.5</v>
      </c>
      <c r="I141" s="8">
        <v>32</v>
      </c>
      <c r="J141" s="11">
        <f t="shared" si="14"/>
        <v>8</v>
      </c>
      <c r="K141" s="12">
        <f t="shared" si="16"/>
        <v>181328</v>
      </c>
      <c r="L141" s="15">
        <f t="shared" si="15"/>
        <v>45332</v>
      </c>
      <c r="M141" s="8"/>
      <c r="N141" s="39" t="e">
        <f>#REF!-H141</f>
        <v>#REF!</v>
      </c>
    </row>
    <row r="142" spans="2:14">
      <c r="B142" s="14">
        <v>137</v>
      </c>
      <c r="C142" s="2" t="s">
        <v>176</v>
      </c>
      <c r="D142" s="15">
        <v>200000</v>
      </c>
      <c r="E142" s="15">
        <v>26660</v>
      </c>
      <c r="F142" s="15">
        <f t="shared" si="13"/>
        <v>226660</v>
      </c>
      <c r="G142" s="31">
        <v>40</v>
      </c>
      <c r="H142" s="15">
        <v>5666.5</v>
      </c>
      <c r="I142" s="8">
        <v>32</v>
      </c>
      <c r="J142" s="11">
        <f t="shared" si="14"/>
        <v>8</v>
      </c>
      <c r="K142" s="12">
        <f t="shared" si="16"/>
        <v>181328</v>
      </c>
      <c r="L142" s="15">
        <f t="shared" si="15"/>
        <v>45332</v>
      </c>
      <c r="M142" s="8"/>
      <c r="N142" s="39" t="e">
        <f>#REF!-H142</f>
        <v>#REF!</v>
      </c>
    </row>
    <row r="143" spans="2:14">
      <c r="B143" s="14">
        <v>138</v>
      </c>
      <c r="C143" s="2" t="s">
        <v>219</v>
      </c>
      <c r="D143" s="12">
        <v>60000</v>
      </c>
      <c r="E143" s="12">
        <v>7998</v>
      </c>
      <c r="F143" s="15">
        <f t="shared" si="13"/>
        <v>67998</v>
      </c>
      <c r="G143" s="31">
        <v>40</v>
      </c>
      <c r="H143" s="12">
        <v>1699.95</v>
      </c>
      <c r="I143" s="8">
        <v>32</v>
      </c>
      <c r="J143" s="11">
        <f t="shared" si="14"/>
        <v>8</v>
      </c>
      <c r="K143" s="12">
        <f>(32*1699.95)</f>
        <v>54398.400000000001</v>
      </c>
      <c r="L143" s="15">
        <f t="shared" si="15"/>
        <v>13599.599999999999</v>
      </c>
      <c r="M143" s="8"/>
      <c r="N143" s="39" t="e">
        <f>#REF!-H143</f>
        <v>#REF!</v>
      </c>
    </row>
    <row r="144" spans="2:14">
      <c r="B144" s="14">
        <v>139</v>
      </c>
      <c r="C144" s="2" t="s">
        <v>185</v>
      </c>
      <c r="D144" s="15">
        <v>200000</v>
      </c>
      <c r="E144" s="15">
        <v>26660</v>
      </c>
      <c r="F144" s="15">
        <f t="shared" si="13"/>
        <v>226660</v>
      </c>
      <c r="G144" s="31">
        <v>40</v>
      </c>
      <c r="H144" s="15">
        <v>5666.5</v>
      </c>
      <c r="I144" s="8">
        <v>32</v>
      </c>
      <c r="J144" s="11">
        <f t="shared" si="14"/>
        <v>8</v>
      </c>
      <c r="K144" s="12">
        <f t="shared" si="16"/>
        <v>181328</v>
      </c>
      <c r="L144" s="15">
        <f t="shared" si="15"/>
        <v>45332</v>
      </c>
      <c r="M144" s="8"/>
      <c r="N144" s="39" t="e">
        <f>#REF!-H144</f>
        <v>#REF!</v>
      </c>
    </row>
    <row r="145" spans="2:14">
      <c r="B145" s="14">
        <v>140</v>
      </c>
      <c r="C145" s="2" t="s">
        <v>186</v>
      </c>
      <c r="D145" s="15">
        <v>200000</v>
      </c>
      <c r="E145" s="15">
        <v>26660</v>
      </c>
      <c r="F145" s="15">
        <f t="shared" si="13"/>
        <v>226660</v>
      </c>
      <c r="G145" s="31">
        <v>40</v>
      </c>
      <c r="H145" s="15">
        <v>5666.5</v>
      </c>
      <c r="I145" s="8">
        <v>32</v>
      </c>
      <c r="J145" s="11">
        <f t="shared" si="14"/>
        <v>8</v>
      </c>
      <c r="K145" s="12">
        <f t="shared" si="16"/>
        <v>181328</v>
      </c>
      <c r="L145" s="15">
        <f t="shared" si="15"/>
        <v>45332</v>
      </c>
      <c r="M145" s="8"/>
      <c r="N145" s="39" t="e">
        <f>#REF!-H145</f>
        <v>#REF!</v>
      </c>
    </row>
    <row r="146" spans="2:14">
      <c r="B146" s="14">
        <v>141</v>
      </c>
      <c r="C146" s="2" t="s">
        <v>169</v>
      </c>
      <c r="D146" s="15">
        <v>200000</v>
      </c>
      <c r="E146" s="15">
        <v>26660</v>
      </c>
      <c r="F146" s="15">
        <f t="shared" si="13"/>
        <v>226660</v>
      </c>
      <c r="G146" s="31">
        <v>40</v>
      </c>
      <c r="H146" s="15">
        <v>5666.5</v>
      </c>
      <c r="I146" s="8">
        <v>31</v>
      </c>
      <c r="J146" s="11">
        <f t="shared" si="14"/>
        <v>9</v>
      </c>
      <c r="K146" s="12">
        <f>(31*5666.5)</f>
        <v>175661.5</v>
      </c>
      <c r="L146" s="15">
        <f t="shared" si="15"/>
        <v>50998.5</v>
      </c>
      <c r="M146" s="8"/>
      <c r="N146" s="39" t="e">
        <f>#REF!-H146</f>
        <v>#REF!</v>
      </c>
    </row>
    <row r="147" spans="2:14">
      <c r="B147" s="14">
        <v>142</v>
      </c>
      <c r="C147" s="2" t="s">
        <v>206</v>
      </c>
      <c r="D147" s="12">
        <v>132000</v>
      </c>
      <c r="E147" s="12">
        <v>17595.599999999999</v>
      </c>
      <c r="F147" s="15">
        <f t="shared" si="13"/>
        <v>149595.6</v>
      </c>
      <c r="G147" s="31">
        <v>40</v>
      </c>
      <c r="H147" s="12">
        <v>3739.89</v>
      </c>
      <c r="I147" s="8">
        <v>31</v>
      </c>
      <c r="J147" s="11">
        <f t="shared" si="14"/>
        <v>9</v>
      </c>
      <c r="K147" s="16">
        <f>(31*3739.89)</f>
        <v>115936.59</v>
      </c>
      <c r="L147" s="15">
        <f t="shared" si="15"/>
        <v>33659.010000000009</v>
      </c>
      <c r="M147" s="8"/>
      <c r="N147" s="39" t="e">
        <f>#REF!-H147</f>
        <v>#REF!</v>
      </c>
    </row>
    <row r="148" spans="2:14">
      <c r="B148" s="14">
        <v>143</v>
      </c>
      <c r="C148" s="2" t="s">
        <v>177</v>
      </c>
      <c r="D148" s="15">
        <v>200000</v>
      </c>
      <c r="E148" s="15">
        <v>26660</v>
      </c>
      <c r="F148" s="15">
        <f t="shared" si="13"/>
        <v>226660</v>
      </c>
      <c r="G148" s="31">
        <v>40</v>
      </c>
      <c r="H148" s="15">
        <v>5666.5</v>
      </c>
      <c r="I148" s="8">
        <v>31</v>
      </c>
      <c r="J148" s="11">
        <f t="shared" si="14"/>
        <v>9</v>
      </c>
      <c r="K148" s="12">
        <f>(31*5666.5)</f>
        <v>175661.5</v>
      </c>
      <c r="L148" s="15">
        <f t="shared" si="15"/>
        <v>50998.5</v>
      </c>
      <c r="M148" s="8"/>
      <c r="N148" s="39" t="e">
        <f>#REF!-H148</f>
        <v>#REF!</v>
      </c>
    </row>
    <row r="149" spans="2:14">
      <c r="B149" s="14">
        <v>144</v>
      </c>
      <c r="C149" s="2" t="s">
        <v>179</v>
      </c>
      <c r="D149" s="15">
        <v>200000</v>
      </c>
      <c r="E149" s="15">
        <v>26660</v>
      </c>
      <c r="F149" s="15">
        <f t="shared" si="13"/>
        <v>226660</v>
      </c>
      <c r="G149" s="31">
        <v>40</v>
      </c>
      <c r="H149" s="15">
        <v>5666.5</v>
      </c>
      <c r="I149" s="8">
        <v>31</v>
      </c>
      <c r="J149" s="11">
        <f t="shared" si="14"/>
        <v>9</v>
      </c>
      <c r="K149" s="12">
        <f>(31*5666.5)</f>
        <v>175661.5</v>
      </c>
      <c r="L149" s="15">
        <f t="shared" si="15"/>
        <v>50998.5</v>
      </c>
      <c r="M149" s="8"/>
      <c r="N149" s="39" t="e">
        <f>#REF!-H149</f>
        <v>#REF!</v>
      </c>
    </row>
    <row r="150" spans="2:14">
      <c r="B150" s="14">
        <v>145</v>
      </c>
      <c r="C150" s="25" t="s">
        <v>166</v>
      </c>
      <c r="D150" s="15">
        <v>200000</v>
      </c>
      <c r="E150" s="15">
        <v>26660</v>
      </c>
      <c r="F150" s="15">
        <f t="shared" si="13"/>
        <v>226660</v>
      </c>
      <c r="G150" s="31">
        <v>40</v>
      </c>
      <c r="H150" s="15">
        <v>5666.5</v>
      </c>
      <c r="I150" s="8">
        <v>29</v>
      </c>
      <c r="J150" s="11">
        <f t="shared" si="14"/>
        <v>11</v>
      </c>
      <c r="K150" s="12">
        <f>(29*5666.5)</f>
        <v>164328.5</v>
      </c>
      <c r="L150" s="15">
        <f t="shared" si="15"/>
        <v>62331.5</v>
      </c>
      <c r="M150" s="8"/>
      <c r="N150" s="39" t="e">
        <f>#REF!-H150</f>
        <v>#REF!</v>
      </c>
    </row>
    <row r="151" spans="2:14">
      <c r="B151" s="14">
        <v>146</v>
      </c>
      <c r="C151" s="2" t="s">
        <v>73</v>
      </c>
      <c r="D151" s="12">
        <v>500000</v>
      </c>
      <c r="E151" s="12">
        <v>66650</v>
      </c>
      <c r="F151" s="15">
        <f t="shared" si="13"/>
        <v>566650</v>
      </c>
      <c r="G151" s="31">
        <v>50</v>
      </c>
      <c r="H151" s="12">
        <v>11333</v>
      </c>
      <c r="I151" s="11">
        <v>27</v>
      </c>
      <c r="J151" s="11">
        <f t="shared" si="14"/>
        <v>23</v>
      </c>
      <c r="K151" s="16">
        <f>(27*11333)</f>
        <v>305991</v>
      </c>
      <c r="L151" s="15">
        <f t="shared" si="15"/>
        <v>260659</v>
      </c>
      <c r="M151" s="8"/>
      <c r="N151" s="39" t="e">
        <f>#REF!-H151</f>
        <v>#REF!</v>
      </c>
    </row>
    <row r="152" spans="2:14">
      <c r="B152" s="14">
        <v>147</v>
      </c>
      <c r="C152" s="25" t="s">
        <v>213</v>
      </c>
      <c r="D152" s="12">
        <v>150000</v>
      </c>
      <c r="E152" s="12">
        <v>19995</v>
      </c>
      <c r="F152" s="15">
        <f t="shared" si="13"/>
        <v>169995</v>
      </c>
      <c r="G152" s="31">
        <v>50</v>
      </c>
      <c r="H152" s="12">
        <v>3399.9</v>
      </c>
      <c r="I152" s="8">
        <v>27</v>
      </c>
      <c r="J152" s="11">
        <f t="shared" si="14"/>
        <v>23</v>
      </c>
      <c r="K152" s="12">
        <f>(27*3399.9)</f>
        <v>91797.3</v>
      </c>
      <c r="L152" s="15">
        <f t="shared" si="15"/>
        <v>78197.7</v>
      </c>
      <c r="M152" s="8"/>
      <c r="N152" s="39" t="e">
        <f>#REF!-H152</f>
        <v>#REF!</v>
      </c>
    </row>
    <row r="153" spans="2:14">
      <c r="B153" s="14">
        <v>148</v>
      </c>
      <c r="C153" s="2" t="s">
        <v>99</v>
      </c>
      <c r="D153" s="12">
        <v>450000</v>
      </c>
      <c r="E153" s="16">
        <v>59985</v>
      </c>
      <c r="F153" s="15">
        <f t="shared" si="13"/>
        <v>509985</v>
      </c>
      <c r="G153" s="33">
        <v>50</v>
      </c>
      <c r="H153" s="16">
        <v>10199.700000000001</v>
      </c>
      <c r="I153" s="8">
        <v>27</v>
      </c>
      <c r="J153" s="11">
        <f t="shared" si="14"/>
        <v>23</v>
      </c>
      <c r="K153" s="12">
        <f>(27*10199.7)</f>
        <v>275391.90000000002</v>
      </c>
      <c r="L153" s="15">
        <f t="shared" si="15"/>
        <v>234593.09999999998</v>
      </c>
      <c r="M153" s="8"/>
      <c r="N153" s="39" t="e">
        <f>#REF!-H153</f>
        <v>#REF!</v>
      </c>
    </row>
    <row r="154" spans="2:14">
      <c r="B154" s="14">
        <v>149</v>
      </c>
      <c r="C154" s="2" t="s">
        <v>117</v>
      </c>
      <c r="D154" s="12">
        <v>330000</v>
      </c>
      <c r="E154" s="12">
        <v>43989</v>
      </c>
      <c r="F154" s="15">
        <f t="shared" si="13"/>
        <v>373989</v>
      </c>
      <c r="G154" s="31">
        <v>50</v>
      </c>
      <c r="H154" s="12">
        <v>7479.78</v>
      </c>
      <c r="I154" s="11">
        <v>27</v>
      </c>
      <c r="J154" s="11">
        <f t="shared" si="14"/>
        <v>23</v>
      </c>
      <c r="K154" s="16">
        <f>(27*7479.78)</f>
        <v>201954.06</v>
      </c>
      <c r="L154" s="15">
        <f t="shared" si="15"/>
        <v>172034.94</v>
      </c>
      <c r="M154" s="8"/>
      <c r="N154" s="39" t="e">
        <f>#REF!-H154</f>
        <v>#REF!</v>
      </c>
    </row>
    <row r="155" spans="2:14">
      <c r="B155" s="14">
        <v>150</v>
      </c>
      <c r="C155" s="2" t="s">
        <v>159</v>
      </c>
      <c r="D155" s="15">
        <v>200000</v>
      </c>
      <c r="E155" s="15">
        <v>26660</v>
      </c>
      <c r="F155" s="15">
        <f t="shared" si="13"/>
        <v>226660</v>
      </c>
      <c r="G155" s="31">
        <v>40</v>
      </c>
      <c r="H155" s="15">
        <v>5666.5</v>
      </c>
      <c r="I155" s="8">
        <v>26</v>
      </c>
      <c r="J155" s="11">
        <f t="shared" si="14"/>
        <v>14</v>
      </c>
      <c r="K155" s="12">
        <f>(26*5666.5)</f>
        <v>147329</v>
      </c>
      <c r="L155" s="15">
        <f t="shared" si="15"/>
        <v>79331</v>
      </c>
      <c r="M155" s="8"/>
      <c r="N155" s="39" t="e">
        <f>#REF!-H155</f>
        <v>#REF!</v>
      </c>
    </row>
    <row r="156" spans="2:14">
      <c r="B156" s="14">
        <v>151</v>
      </c>
      <c r="C156" s="2" t="s">
        <v>95</v>
      </c>
      <c r="D156" s="12">
        <v>450000</v>
      </c>
      <c r="E156" s="12">
        <v>59985</v>
      </c>
      <c r="F156" s="15">
        <f t="shared" si="13"/>
        <v>509985</v>
      </c>
      <c r="G156" s="31">
        <v>50</v>
      </c>
      <c r="H156" s="12">
        <v>10199.700000000001</v>
      </c>
      <c r="I156" s="8">
        <v>25</v>
      </c>
      <c r="J156" s="11">
        <f t="shared" si="14"/>
        <v>25</v>
      </c>
      <c r="K156" s="12">
        <f>(25*10199.7)</f>
        <v>254992.50000000003</v>
      </c>
      <c r="L156" s="15">
        <f t="shared" si="15"/>
        <v>254992.49999999997</v>
      </c>
      <c r="M156" s="8"/>
      <c r="N156" s="39" t="e">
        <f>#REF!-H156</f>
        <v>#REF!</v>
      </c>
    </row>
    <row r="157" spans="2:14">
      <c r="B157" s="14">
        <v>152</v>
      </c>
      <c r="C157" s="2" t="s">
        <v>81</v>
      </c>
      <c r="D157" s="12">
        <v>500000</v>
      </c>
      <c r="E157" s="12">
        <v>66650</v>
      </c>
      <c r="F157" s="15">
        <f t="shared" si="13"/>
        <v>566650</v>
      </c>
      <c r="G157" s="31">
        <v>50</v>
      </c>
      <c r="H157" s="12">
        <v>11333</v>
      </c>
      <c r="I157" s="8">
        <v>25</v>
      </c>
      <c r="J157" s="11">
        <f t="shared" si="14"/>
        <v>25</v>
      </c>
      <c r="K157" s="12">
        <f>(25*11333)</f>
        <v>283325</v>
      </c>
      <c r="L157" s="15">
        <f t="shared" si="15"/>
        <v>283325</v>
      </c>
      <c r="M157" s="8"/>
      <c r="N157" s="39" t="e">
        <f>#REF!-H157</f>
        <v>#REF!</v>
      </c>
    </row>
    <row r="158" spans="2:14">
      <c r="B158" s="14">
        <v>153</v>
      </c>
      <c r="C158" s="2" t="s">
        <v>114</v>
      </c>
      <c r="D158" s="12">
        <v>330000</v>
      </c>
      <c r="E158" s="12">
        <v>43989</v>
      </c>
      <c r="F158" s="15">
        <f t="shared" si="13"/>
        <v>373989</v>
      </c>
      <c r="G158" s="31">
        <v>50</v>
      </c>
      <c r="H158" s="12">
        <v>7479.78</v>
      </c>
      <c r="I158" s="8">
        <v>25</v>
      </c>
      <c r="J158" s="11">
        <f t="shared" si="14"/>
        <v>25</v>
      </c>
      <c r="K158" s="12">
        <f>(25*7479.78)</f>
        <v>186994.5</v>
      </c>
      <c r="L158" s="15">
        <f t="shared" si="15"/>
        <v>186994.5</v>
      </c>
      <c r="M158" s="8"/>
      <c r="N158" s="39" t="e">
        <f>#REF!-H158</f>
        <v>#REF!</v>
      </c>
    </row>
    <row r="159" spans="2:14">
      <c r="B159" s="14">
        <v>154</v>
      </c>
      <c r="C159" s="2" t="s">
        <v>115</v>
      </c>
      <c r="D159" s="12">
        <v>330000</v>
      </c>
      <c r="E159" s="12">
        <v>43989</v>
      </c>
      <c r="F159" s="15">
        <f t="shared" si="13"/>
        <v>373989</v>
      </c>
      <c r="G159" s="31">
        <v>50</v>
      </c>
      <c r="H159" s="12">
        <v>7479.78</v>
      </c>
      <c r="I159" s="8">
        <v>25</v>
      </c>
      <c r="J159" s="11">
        <f t="shared" si="14"/>
        <v>25</v>
      </c>
      <c r="K159" s="12">
        <f>(25*7479.78)</f>
        <v>186994.5</v>
      </c>
      <c r="L159" s="15">
        <f t="shared" si="15"/>
        <v>186994.5</v>
      </c>
      <c r="M159" s="8"/>
      <c r="N159" s="39" t="e">
        <f>#REF!-H159</f>
        <v>#REF!</v>
      </c>
    </row>
    <row r="160" spans="2:14">
      <c r="B160" s="14">
        <v>155</v>
      </c>
      <c r="C160" s="2" t="s">
        <v>116</v>
      </c>
      <c r="D160" s="12">
        <v>330000</v>
      </c>
      <c r="E160" s="12">
        <v>43989</v>
      </c>
      <c r="F160" s="15">
        <f t="shared" si="13"/>
        <v>373989</v>
      </c>
      <c r="G160" s="31">
        <v>50</v>
      </c>
      <c r="H160" s="12">
        <v>7479.78</v>
      </c>
      <c r="I160" s="8">
        <v>25</v>
      </c>
      <c r="J160" s="11">
        <f t="shared" si="14"/>
        <v>25</v>
      </c>
      <c r="K160" s="12">
        <f>(25*7479.78)</f>
        <v>186994.5</v>
      </c>
      <c r="L160" s="15">
        <f t="shared" si="15"/>
        <v>186994.5</v>
      </c>
      <c r="M160" s="8"/>
      <c r="N160" s="39" t="e">
        <f>#REF!-H160</f>
        <v>#REF!</v>
      </c>
    </row>
    <row r="161" spans="2:14">
      <c r="B161" s="14">
        <v>156</v>
      </c>
      <c r="C161" s="2" t="s">
        <v>89</v>
      </c>
      <c r="D161" s="12">
        <v>500000</v>
      </c>
      <c r="E161" s="12">
        <v>66650</v>
      </c>
      <c r="F161" s="15">
        <f t="shared" ref="F161:F186" si="17">SUM(D161:E161)</f>
        <v>566650</v>
      </c>
      <c r="G161" s="31">
        <v>50</v>
      </c>
      <c r="H161" s="12">
        <v>11333</v>
      </c>
      <c r="I161" s="8">
        <v>25</v>
      </c>
      <c r="J161" s="11">
        <f t="shared" si="14"/>
        <v>25</v>
      </c>
      <c r="K161" s="12">
        <f>(25*11333)</f>
        <v>283325</v>
      </c>
      <c r="L161" s="15">
        <f t="shared" si="15"/>
        <v>283325</v>
      </c>
      <c r="M161" s="8"/>
      <c r="N161" s="39" t="e">
        <f>#REF!-H161</f>
        <v>#REF!</v>
      </c>
    </row>
    <row r="162" spans="2:14">
      <c r="B162" s="14">
        <v>157</v>
      </c>
      <c r="C162" s="2" t="s">
        <v>92</v>
      </c>
      <c r="D162" s="12">
        <v>500000</v>
      </c>
      <c r="E162" s="12">
        <v>66650</v>
      </c>
      <c r="F162" s="15">
        <f t="shared" si="17"/>
        <v>566650</v>
      </c>
      <c r="G162" s="31">
        <v>50</v>
      </c>
      <c r="H162" s="12">
        <v>11333</v>
      </c>
      <c r="I162" s="8">
        <v>25</v>
      </c>
      <c r="J162" s="11">
        <f t="shared" si="14"/>
        <v>25</v>
      </c>
      <c r="K162" s="12">
        <f>(25*11333)</f>
        <v>283325</v>
      </c>
      <c r="L162" s="15">
        <f t="shared" si="15"/>
        <v>283325</v>
      </c>
      <c r="M162" s="8"/>
      <c r="N162" s="39" t="e">
        <f>#REF!-H162</f>
        <v>#REF!</v>
      </c>
    </row>
    <row r="163" spans="2:14">
      <c r="B163" s="14">
        <v>158</v>
      </c>
      <c r="C163" s="26" t="s">
        <v>118</v>
      </c>
      <c r="D163" s="12">
        <v>330000</v>
      </c>
      <c r="E163" s="12">
        <v>43989</v>
      </c>
      <c r="F163" s="15">
        <f t="shared" si="17"/>
        <v>373989</v>
      </c>
      <c r="G163" s="31">
        <v>50</v>
      </c>
      <c r="H163" s="12">
        <v>7479.78</v>
      </c>
      <c r="I163" s="8">
        <v>24</v>
      </c>
      <c r="J163" s="11">
        <f t="shared" si="14"/>
        <v>26</v>
      </c>
      <c r="K163" s="12">
        <f>(24*7479.78)</f>
        <v>179514.72</v>
      </c>
      <c r="L163" s="15">
        <f t="shared" si="15"/>
        <v>194474.28</v>
      </c>
      <c r="M163" s="8"/>
      <c r="N163" s="39" t="e">
        <f>#REF!-H163</f>
        <v>#REF!</v>
      </c>
    </row>
    <row r="164" spans="2:14">
      <c r="B164" s="14">
        <v>159</v>
      </c>
      <c r="C164" s="2" t="s">
        <v>70</v>
      </c>
      <c r="D164" s="12">
        <v>500000</v>
      </c>
      <c r="E164" s="12">
        <v>66650</v>
      </c>
      <c r="F164" s="15">
        <f t="shared" si="17"/>
        <v>566650</v>
      </c>
      <c r="G164" s="31">
        <v>50</v>
      </c>
      <c r="H164" s="18">
        <v>11333</v>
      </c>
      <c r="I164" s="8">
        <v>23</v>
      </c>
      <c r="J164" s="11">
        <f t="shared" si="14"/>
        <v>27</v>
      </c>
      <c r="K164" s="12">
        <f>(23*11333)</f>
        <v>260659</v>
      </c>
      <c r="L164" s="15">
        <f t="shared" si="15"/>
        <v>305991</v>
      </c>
      <c r="M164" s="8"/>
      <c r="N164" s="39" t="e">
        <f>#REF!-H164</f>
        <v>#REF!</v>
      </c>
    </row>
    <row r="165" spans="2:14">
      <c r="B165" s="14">
        <v>160</v>
      </c>
      <c r="C165" s="2" t="s">
        <v>96</v>
      </c>
      <c r="D165" s="12">
        <v>450000</v>
      </c>
      <c r="E165" s="16">
        <v>59985</v>
      </c>
      <c r="F165" s="15">
        <f t="shared" si="17"/>
        <v>509985</v>
      </c>
      <c r="G165" s="33">
        <v>50</v>
      </c>
      <c r="H165" s="16">
        <v>10199.700000000001</v>
      </c>
      <c r="I165" s="8">
        <v>23</v>
      </c>
      <c r="J165" s="11">
        <f t="shared" si="14"/>
        <v>27</v>
      </c>
      <c r="K165" s="12">
        <f>(23*10199.7)</f>
        <v>234593.1</v>
      </c>
      <c r="L165" s="15">
        <f t="shared" si="15"/>
        <v>275391.90000000002</v>
      </c>
      <c r="M165" s="8"/>
      <c r="N165" s="39" t="e">
        <f>#REF!-H165</f>
        <v>#REF!</v>
      </c>
    </row>
    <row r="166" spans="2:14">
      <c r="B166" s="14">
        <v>161</v>
      </c>
      <c r="C166" s="2" t="s">
        <v>83</v>
      </c>
      <c r="D166" s="12">
        <v>500000</v>
      </c>
      <c r="E166" s="12">
        <v>66650</v>
      </c>
      <c r="F166" s="15">
        <f t="shared" si="17"/>
        <v>566650</v>
      </c>
      <c r="G166" s="31">
        <v>50</v>
      </c>
      <c r="H166" s="12">
        <v>11333</v>
      </c>
      <c r="I166" s="8">
        <v>23</v>
      </c>
      <c r="J166" s="11">
        <f t="shared" ref="J166:J197" si="18">G166-I166</f>
        <v>27</v>
      </c>
      <c r="K166" s="12">
        <f>(23*11333)</f>
        <v>260659</v>
      </c>
      <c r="L166" s="15">
        <f t="shared" ref="L166:L197" si="19">F166-K166</f>
        <v>305991</v>
      </c>
      <c r="M166" s="8"/>
      <c r="N166" s="39" t="e">
        <f>#REF!-H166</f>
        <v>#REF!</v>
      </c>
    </row>
    <row r="167" spans="2:14">
      <c r="B167" s="14">
        <v>162</v>
      </c>
      <c r="C167" s="2" t="s">
        <v>69</v>
      </c>
      <c r="D167" s="12">
        <v>500000</v>
      </c>
      <c r="E167" s="12">
        <v>66650</v>
      </c>
      <c r="F167" s="15">
        <f t="shared" si="17"/>
        <v>566650</v>
      </c>
      <c r="G167" s="31">
        <v>50</v>
      </c>
      <c r="H167" s="12">
        <v>11333</v>
      </c>
      <c r="I167" s="11">
        <v>18</v>
      </c>
      <c r="J167" s="11">
        <f t="shared" si="18"/>
        <v>32</v>
      </c>
      <c r="K167" s="12">
        <f>(18*11333)</f>
        <v>203994</v>
      </c>
      <c r="L167" s="15">
        <f t="shared" si="19"/>
        <v>362656</v>
      </c>
      <c r="M167" s="8"/>
      <c r="N167" s="39" t="e">
        <f>#REF!-H167</f>
        <v>#REF!</v>
      </c>
    </row>
    <row r="168" spans="2:14">
      <c r="B168" s="14">
        <v>163</v>
      </c>
      <c r="C168" s="2" t="s">
        <v>77</v>
      </c>
      <c r="D168" s="12">
        <v>500000</v>
      </c>
      <c r="E168" s="12">
        <v>66650</v>
      </c>
      <c r="F168" s="15">
        <f t="shared" si="17"/>
        <v>566650</v>
      </c>
      <c r="G168" s="31">
        <v>50</v>
      </c>
      <c r="H168" s="12">
        <v>11333</v>
      </c>
      <c r="I168" s="11">
        <v>18</v>
      </c>
      <c r="J168" s="11">
        <f t="shared" si="18"/>
        <v>32</v>
      </c>
      <c r="K168" s="12">
        <f>(18*11333)</f>
        <v>203994</v>
      </c>
      <c r="L168" s="15">
        <f t="shared" si="19"/>
        <v>362656</v>
      </c>
      <c r="M168" s="8"/>
      <c r="N168" s="39" t="e">
        <f>#REF!-H168</f>
        <v>#REF!</v>
      </c>
    </row>
    <row r="169" spans="2:14">
      <c r="B169" s="14">
        <v>164</v>
      </c>
      <c r="C169" s="2" t="s">
        <v>79</v>
      </c>
      <c r="D169" s="12">
        <v>500000</v>
      </c>
      <c r="E169" s="12">
        <v>66650</v>
      </c>
      <c r="F169" s="15">
        <f t="shared" si="17"/>
        <v>566650</v>
      </c>
      <c r="G169" s="31">
        <v>50</v>
      </c>
      <c r="H169" s="12">
        <v>11333</v>
      </c>
      <c r="I169" s="11">
        <v>18</v>
      </c>
      <c r="J169" s="11">
        <f t="shared" si="18"/>
        <v>32</v>
      </c>
      <c r="K169" s="12">
        <f>(18*11333)</f>
        <v>203994</v>
      </c>
      <c r="L169" s="15">
        <f t="shared" si="19"/>
        <v>362656</v>
      </c>
      <c r="M169" s="8"/>
      <c r="N169" s="39" t="e">
        <f>#REF!-H169</f>
        <v>#REF!</v>
      </c>
    </row>
    <row r="170" spans="2:14">
      <c r="B170" s="14">
        <v>165</v>
      </c>
      <c r="C170" s="2" t="s">
        <v>97</v>
      </c>
      <c r="D170" s="12">
        <v>450000</v>
      </c>
      <c r="E170" s="12">
        <v>59985</v>
      </c>
      <c r="F170" s="15">
        <f t="shared" si="17"/>
        <v>509985</v>
      </c>
      <c r="G170" s="31">
        <v>50</v>
      </c>
      <c r="H170" s="12">
        <v>10199.700000000001</v>
      </c>
      <c r="I170" s="11">
        <v>18</v>
      </c>
      <c r="J170" s="11">
        <f t="shared" si="18"/>
        <v>32</v>
      </c>
      <c r="K170" s="12">
        <f>(18*10199.7)</f>
        <v>183594.6</v>
      </c>
      <c r="L170" s="15">
        <f t="shared" si="19"/>
        <v>326390.40000000002</v>
      </c>
      <c r="M170" s="8"/>
      <c r="N170" s="39" t="e">
        <f>#REF!-H170</f>
        <v>#REF!</v>
      </c>
    </row>
    <row r="171" spans="2:14">
      <c r="B171" s="14">
        <v>166</v>
      </c>
      <c r="C171" s="2" t="s">
        <v>84</v>
      </c>
      <c r="D171" s="12">
        <v>500000</v>
      </c>
      <c r="E171" s="12">
        <v>66650</v>
      </c>
      <c r="F171" s="15">
        <f t="shared" si="17"/>
        <v>566650</v>
      </c>
      <c r="G171" s="31">
        <v>50</v>
      </c>
      <c r="H171" s="12">
        <v>11333</v>
      </c>
      <c r="I171" s="11">
        <v>18</v>
      </c>
      <c r="J171" s="11">
        <f t="shared" si="18"/>
        <v>32</v>
      </c>
      <c r="K171" s="12">
        <f>(18*11333)</f>
        <v>203994</v>
      </c>
      <c r="L171" s="15">
        <f t="shared" si="19"/>
        <v>362656</v>
      </c>
      <c r="M171" s="8"/>
      <c r="N171" s="39" t="e">
        <f>#REF!-H171</f>
        <v>#REF!</v>
      </c>
    </row>
    <row r="172" spans="2:14">
      <c r="B172" s="14">
        <v>167</v>
      </c>
      <c r="C172" s="2" t="s">
        <v>85</v>
      </c>
      <c r="D172" s="12">
        <v>500000</v>
      </c>
      <c r="E172" s="12">
        <v>66650</v>
      </c>
      <c r="F172" s="15">
        <f t="shared" si="17"/>
        <v>566650</v>
      </c>
      <c r="G172" s="31">
        <v>50</v>
      </c>
      <c r="H172" s="12">
        <v>11333</v>
      </c>
      <c r="I172" s="11">
        <v>18</v>
      </c>
      <c r="J172" s="11">
        <f t="shared" si="18"/>
        <v>32</v>
      </c>
      <c r="K172" s="12">
        <f>(18*11333)</f>
        <v>203994</v>
      </c>
      <c r="L172" s="15">
        <f t="shared" si="19"/>
        <v>362656</v>
      </c>
      <c r="M172" s="8"/>
      <c r="N172" s="39" t="e">
        <f>#REF!-H172</f>
        <v>#REF!</v>
      </c>
    </row>
    <row r="173" spans="2:14">
      <c r="B173" s="14">
        <v>168</v>
      </c>
      <c r="C173" s="2" t="s">
        <v>102</v>
      </c>
      <c r="D173" s="12">
        <v>450000</v>
      </c>
      <c r="E173" s="12">
        <v>59985</v>
      </c>
      <c r="F173" s="15">
        <f t="shared" si="17"/>
        <v>509985</v>
      </c>
      <c r="G173" s="31">
        <v>50</v>
      </c>
      <c r="H173" s="12">
        <v>10199.700000000001</v>
      </c>
      <c r="I173" s="11">
        <v>18</v>
      </c>
      <c r="J173" s="11">
        <f t="shared" si="18"/>
        <v>32</v>
      </c>
      <c r="K173" s="12">
        <f>(18*10199.7)</f>
        <v>183594.6</v>
      </c>
      <c r="L173" s="15">
        <f t="shared" si="19"/>
        <v>326390.40000000002</v>
      </c>
      <c r="M173" s="8"/>
      <c r="N173" s="39" t="e">
        <f>#REF!-H173</f>
        <v>#REF!</v>
      </c>
    </row>
    <row r="174" spans="2:14">
      <c r="B174" s="14">
        <v>169</v>
      </c>
      <c r="C174" s="2" t="s">
        <v>103</v>
      </c>
      <c r="D174" s="12">
        <v>450000</v>
      </c>
      <c r="E174" s="16">
        <v>59985</v>
      </c>
      <c r="F174" s="15">
        <f t="shared" si="17"/>
        <v>509985</v>
      </c>
      <c r="G174" s="33">
        <v>50</v>
      </c>
      <c r="H174" s="16">
        <v>10199.700000000001</v>
      </c>
      <c r="I174" s="8">
        <v>18</v>
      </c>
      <c r="J174" s="11">
        <f t="shared" si="18"/>
        <v>32</v>
      </c>
      <c r="K174" s="12">
        <f>(18*10199.7)</f>
        <v>183594.6</v>
      </c>
      <c r="L174" s="15">
        <f t="shared" si="19"/>
        <v>326390.40000000002</v>
      </c>
      <c r="M174" s="8"/>
      <c r="N174" s="39" t="e">
        <f>#REF!-H174</f>
        <v>#REF!</v>
      </c>
    </row>
    <row r="175" spans="2:14">
      <c r="B175" s="14">
        <v>170</v>
      </c>
      <c r="C175" s="2" t="s">
        <v>88</v>
      </c>
      <c r="D175" s="12">
        <v>500000</v>
      </c>
      <c r="E175" s="12">
        <v>66650</v>
      </c>
      <c r="F175" s="15">
        <f t="shared" si="17"/>
        <v>566650</v>
      </c>
      <c r="G175" s="31">
        <v>50</v>
      </c>
      <c r="H175" s="12">
        <v>11333</v>
      </c>
      <c r="I175" s="11">
        <v>18</v>
      </c>
      <c r="J175" s="11">
        <f t="shared" si="18"/>
        <v>32</v>
      </c>
      <c r="K175" s="12">
        <f>(18*11333)</f>
        <v>203994</v>
      </c>
      <c r="L175" s="15">
        <f t="shared" si="19"/>
        <v>362656</v>
      </c>
      <c r="M175" s="8"/>
      <c r="N175" s="39" t="e">
        <f>#REF!-H175</f>
        <v>#REF!</v>
      </c>
    </row>
    <row r="176" spans="2:14">
      <c r="B176" s="14">
        <v>171</v>
      </c>
      <c r="C176" s="2" t="s">
        <v>104</v>
      </c>
      <c r="D176" s="12">
        <v>450000</v>
      </c>
      <c r="E176" s="12">
        <v>59985</v>
      </c>
      <c r="F176" s="15">
        <f t="shared" si="17"/>
        <v>509985</v>
      </c>
      <c r="G176" s="31">
        <v>50</v>
      </c>
      <c r="H176" s="12">
        <v>10199.700000000001</v>
      </c>
      <c r="I176" s="11">
        <v>18</v>
      </c>
      <c r="J176" s="11">
        <f t="shared" si="18"/>
        <v>32</v>
      </c>
      <c r="K176" s="12">
        <f>(18*10199.7)</f>
        <v>183594.6</v>
      </c>
      <c r="L176" s="15">
        <f t="shared" si="19"/>
        <v>326390.40000000002</v>
      </c>
      <c r="M176" s="8"/>
      <c r="N176" s="39" t="e">
        <f>#REF!-H176</f>
        <v>#REF!</v>
      </c>
    </row>
    <row r="177" spans="2:14">
      <c r="B177" s="14">
        <v>172</v>
      </c>
      <c r="C177" s="2" t="s">
        <v>45</v>
      </c>
      <c r="D177" s="12">
        <v>500000</v>
      </c>
      <c r="E177" s="16">
        <v>33325</v>
      </c>
      <c r="F177" s="15">
        <f t="shared" si="17"/>
        <v>533325</v>
      </c>
      <c r="G177" s="33">
        <v>25</v>
      </c>
      <c r="H177" s="16">
        <v>21333</v>
      </c>
      <c r="I177" s="11">
        <v>17</v>
      </c>
      <c r="J177" s="11">
        <f t="shared" si="18"/>
        <v>8</v>
      </c>
      <c r="K177" s="16">
        <f>(17*21333)</f>
        <v>362661</v>
      </c>
      <c r="L177" s="15">
        <f t="shared" si="19"/>
        <v>170664</v>
      </c>
      <c r="M177" s="8"/>
      <c r="N177" s="39" t="e">
        <f>#REF!-H177</f>
        <v>#REF!</v>
      </c>
    </row>
    <row r="178" spans="2:14">
      <c r="B178" s="14">
        <v>173</v>
      </c>
      <c r="C178" s="4" t="s">
        <v>75</v>
      </c>
      <c r="D178" s="12">
        <v>500000</v>
      </c>
      <c r="E178" s="12">
        <v>66650</v>
      </c>
      <c r="F178" s="15">
        <f t="shared" si="17"/>
        <v>566650</v>
      </c>
      <c r="G178" s="33">
        <v>50</v>
      </c>
      <c r="H178" s="12">
        <v>11333</v>
      </c>
      <c r="I178" s="11">
        <v>17</v>
      </c>
      <c r="J178" s="11">
        <f t="shared" si="18"/>
        <v>33</v>
      </c>
      <c r="K178" s="12">
        <f>(17*11333)</f>
        <v>192661</v>
      </c>
      <c r="L178" s="15">
        <f t="shared" si="19"/>
        <v>373989</v>
      </c>
      <c r="M178" s="8"/>
      <c r="N178" s="39" t="e">
        <f>#REF!-H178</f>
        <v>#REF!</v>
      </c>
    </row>
    <row r="179" spans="2:14">
      <c r="B179" s="14">
        <v>174</v>
      </c>
      <c r="C179" s="4" t="s">
        <v>76</v>
      </c>
      <c r="D179" s="12">
        <v>500000</v>
      </c>
      <c r="E179" s="12">
        <v>66650</v>
      </c>
      <c r="F179" s="15">
        <f t="shared" si="17"/>
        <v>566650</v>
      </c>
      <c r="G179" s="33">
        <v>50</v>
      </c>
      <c r="H179" s="12">
        <v>11333</v>
      </c>
      <c r="I179" s="11">
        <v>17</v>
      </c>
      <c r="J179" s="11">
        <f t="shared" si="18"/>
        <v>33</v>
      </c>
      <c r="K179" s="12">
        <f>(17*11333)</f>
        <v>192661</v>
      </c>
      <c r="L179" s="15">
        <f t="shared" si="19"/>
        <v>373989</v>
      </c>
      <c r="M179" s="8"/>
      <c r="N179" s="39" t="e">
        <f>#REF!-H179</f>
        <v>#REF!</v>
      </c>
    </row>
    <row r="180" spans="2:14">
      <c r="B180" s="14">
        <v>175</v>
      </c>
      <c r="C180" s="4" t="s">
        <v>100</v>
      </c>
      <c r="D180" s="12">
        <v>450000</v>
      </c>
      <c r="E180" s="16">
        <v>59985</v>
      </c>
      <c r="F180" s="15">
        <f t="shared" si="17"/>
        <v>509985</v>
      </c>
      <c r="G180" s="33">
        <v>50</v>
      </c>
      <c r="H180" s="16">
        <v>10199.700000000001</v>
      </c>
      <c r="I180" s="11">
        <v>17</v>
      </c>
      <c r="J180" s="11">
        <f t="shared" si="18"/>
        <v>33</v>
      </c>
      <c r="K180" s="12">
        <f>(17*10199.7)</f>
        <v>173394.90000000002</v>
      </c>
      <c r="L180" s="15">
        <f t="shared" si="19"/>
        <v>336590.1</v>
      </c>
      <c r="M180" s="8"/>
      <c r="N180" s="39" t="e">
        <f>#REF!-H180</f>
        <v>#REF!</v>
      </c>
    </row>
    <row r="181" spans="2:14">
      <c r="B181" s="14">
        <v>176</v>
      </c>
      <c r="C181" s="2" t="s">
        <v>101</v>
      </c>
      <c r="D181" s="12">
        <v>450000</v>
      </c>
      <c r="E181" s="16">
        <v>59985</v>
      </c>
      <c r="F181" s="15">
        <f t="shared" si="17"/>
        <v>509985</v>
      </c>
      <c r="G181" s="33">
        <v>50</v>
      </c>
      <c r="H181" s="16">
        <v>10199.700000000001</v>
      </c>
      <c r="I181" s="8">
        <v>17</v>
      </c>
      <c r="J181" s="11">
        <f t="shared" si="18"/>
        <v>33</v>
      </c>
      <c r="K181" s="48">
        <f>(17*10199.7)</f>
        <v>173394.90000000002</v>
      </c>
      <c r="L181" s="15">
        <f t="shared" si="19"/>
        <v>336590.1</v>
      </c>
      <c r="M181" s="8"/>
      <c r="N181" s="39" t="e">
        <f>#REF!-H181</f>
        <v>#REF!</v>
      </c>
    </row>
    <row r="182" spans="2:14">
      <c r="B182" s="14">
        <v>177</v>
      </c>
      <c r="C182" s="4" t="s">
        <v>86</v>
      </c>
      <c r="D182" s="12">
        <v>500000</v>
      </c>
      <c r="E182" s="12">
        <v>66650</v>
      </c>
      <c r="F182" s="15">
        <f t="shared" si="17"/>
        <v>566650</v>
      </c>
      <c r="G182" s="33">
        <v>50</v>
      </c>
      <c r="H182" s="12">
        <v>11333</v>
      </c>
      <c r="I182" s="11">
        <v>17</v>
      </c>
      <c r="J182" s="11">
        <f t="shared" si="18"/>
        <v>33</v>
      </c>
      <c r="K182" s="16">
        <f>(17*11333)</f>
        <v>192661</v>
      </c>
      <c r="L182" s="15">
        <f t="shared" si="19"/>
        <v>373989</v>
      </c>
      <c r="M182" s="8"/>
      <c r="N182" s="39" t="e">
        <f>#REF!-H182</f>
        <v>#REF!</v>
      </c>
    </row>
    <row r="183" spans="2:14">
      <c r="B183" s="14">
        <v>178</v>
      </c>
      <c r="C183" s="28" t="s">
        <v>47</v>
      </c>
      <c r="D183" s="12">
        <v>500000</v>
      </c>
      <c r="E183" s="16">
        <v>47992</v>
      </c>
      <c r="F183" s="15">
        <f t="shared" si="17"/>
        <v>547992</v>
      </c>
      <c r="G183" s="33">
        <v>36</v>
      </c>
      <c r="H183" s="16">
        <v>15222</v>
      </c>
      <c r="I183" s="11">
        <v>17</v>
      </c>
      <c r="J183" s="11">
        <f t="shared" si="18"/>
        <v>19</v>
      </c>
      <c r="K183" s="16">
        <f>(17*15222)</f>
        <v>258774</v>
      </c>
      <c r="L183" s="15">
        <f t="shared" si="19"/>
        <v>289218</v>
      </c>
      <c r="M183" s="8"/>
      <c r="N183" s="39" t="e">
        <f>#REF!-H183</f>
        <v>#REF!</v>
      </c>
    </row>
    <row r="184" spans="2:14">
      <c r="B184" s="14">
        <v>179</v>
      </c>
      <c r="C184" s="4" t="s">
        <v>91</v>
      </c>
      <c r="D184" s="12">
        <v>500000</v>
      </c>
      <c r="E184" s="12">
        <v>66650</v>
      </c>
      <c r="F184" s="15">
        <f t="shared" si="17"/>
        <v>566650</v>
      </c>
      <c r="G184" s="33">
        <v>50</v>
      </c>
      <c r="H184" s="12">
        <v>11333</v>
      </c>
      <c r="I184" s="11">
        <v>17</v>
      </c>
      <c r="J184" s="11">
        <f t="shared" si="18"/>
        <v>33</v>
      </c>
      <c r="K184" s="16">
        <f>(17*11333)</f>
        <v>192661</v>
      </c>
      <c r="L184" s="15">
        <f t="shared" si="19"/>
        <v>373989</v>
      </c>
      <c r="M184" s="8"/>
      <c r="N184" s="39" t="e">
        <f>#REF!-H184</f>
        <v>#REF!</v>
      </c>
    </row>
    <row r="185" spans="2:14">
      <c r="B185" s="14">
        <v>180</v>
      </c>
      <c r="C185" s="4" t="s">
        <v>119</v>
      </c>
      <c r="D185" s="12">
        <v>330000</v>
      </c>
      <c r="E185" s="16">
        <v>43989</v>
      </c>
      <c r="F185" s="15">
        <f t="shared" si="17"/>
        <v>373989</v>
      </c>
      <c r="G185" s="33">
        <v>50</v>
      </c>
      <c r="H185" s="16">
        <v>7479.78</v>
      </c>
      <c r="I185" s="11">
        <v>17</v>
      </c>
      <c r="J185" s="11">
        <f t="shared" si="18"/>
        <v>33</v>
      </c>
      <c r="K185" s="12">
        <f>(17*7479.78)</f>
        <v>127156.26</v>
      </c>
      <c r="L185" s="15">
        <f t="shared" si="19"/>
        <v>246832.74</v>
      </c>
      <c r="M185" s="8"/>
      <c r="N185" s="39" t="e">
        <f>#REF!-H185</f>
        <v>#REF!</v>
      </c>
    </row>
    <row r="186" spans="2:14">
      <c r="B186" s="14">
        <v>181</v>
      </c>
      <c r="C186" s="4" t="s">
        <v>48</v>
      </c>
      <c r="D186" s="12">
        <v>500000</v>
      </c>
      <c r="E186" s="16">
        <v>47992</v>
      </c>
      <c r="F186" s="15">
        <f t="shared" si="17"/>
        <v>547992</v>
      </c>
      <c r="G186" s="33">
        <v>36</v>
      </c>
      <c r="H186" s="16">
        <v>15222</v>
      </c>
      <c r="I186" s="11">
        <v>17</v>
      </c>
      <c r="J186" s="11">
        <f t="shared" si="18"/>
        <v>19</v>
      </c>
      <c r="K186" s="16">
        <f>(17*15222)</f>
        <v>258774</v>
      </c>
      <c r="L186" s="15">
        <f t="shared" si="19"/>
        <v>289218</v>
      </c>
      <c r="M186" s="8"/>
      <c r="N186" s="39" t="e">
        <f>#REF!-H186</f>
        <v>#REF!</v>
      </c>
    </row>
    <row r="187" spans="2:14">
      <c r="B187" s="14">
        <v>182</v>
      </c>
      <c r="C187" s="2" t="s">
        <v>23</v>
      </c>
      <c r="D187" s="18">
        <v>500000</v>
      </c>
      <c r="E187" s="18">
        <v>66650</v>
      </c>
      <c r="F187" s="18">
        <v>566650</v>
      </c>
      <c r="G187" s="33">
        <v>50</v>
      </c>
      <c r="H187" s="16">
        <v>11333</v>
      </c>
      <c r="I187" s="8">
        <v>4</v>
      </c>
      <c r="J187" s="11">
        <f t="shared" si="18"/>
        <v>46</v>
      </c>
      <c r="K187" s="12">
        <f>(4*11333)</f>
        <v>45332</v>
      </c>
      <c r="L187" s="12">
        <f t="shared" si="19"/>
        <v>521318</v>
      </c>
      <c r="M187" s="8"/>
      <c r="N187" s="39" t="e">
        <f>#REF!-H187</f>
        <v>#REF!</v>
      </c>
    </row>
    <row r="188" spans="2:14">
      <c r="B188" s="14">
        <v>183</v>
      </c>
      <c r="C188" s="2" t="s">
        <v>33</v>
      </c>
      <c r="D188" s="20">
        <v>150000</v>
      </c>
      <c r="E188" s="20">
        <v>19995</v>
      </c>
      <c r="F188" s="20">
        <f>SUM(D188:E188)</f>
        <v>169995</v>
      </c>
      <c r="G188" s="33">
        <v>50</v>
      </c>
      <c r="H188" s="3">
        <v>3399.9</v>
      </c>
      <c r="I188" s="8">
        <v>4</v>
      </c>
      <c r="J188" s="11">
        <f t="shared" si="18"/>
        <v>46</v>
      </c>
      <c r="K188" s="3">
        <f>(4*3399.9)</f>
        <v>13599.6</v>
      </c>
      <c r="L188" s="12">
        <f t="shared" si="19"/>
        <v>156395.4</v>
      </c>
      <c r="M188" s="1"/>
      <c r="N188" s="39" t="e">
        <f>#REF!-H188</f>
        <v>#REF!</v>
      </c>
    </row>
    <row r="189" spans="2:14">
      <c r="B189" s="14">
        <v>184</v>
      </c>
      <c r="C189" s="2" t="s">
        <v>37</v>
      </c>
      <c r="D189" s="18">
        <v>500000</v>
      </c>
      <c r="E189" s="18">
        <v>66650</v>
      </c>
      <c r="F189" s="18">
        <v>566650</v>
      </c>
      <c r="G189" s="33">
        <v>50</v>
      </c>
      <c r="H189" s="16">
        <v>11333</v>
      </c>
      <c r="I189" s="8">
        <v>4</v>
      </c>
      <c r="J189" s="11">
        <f t="shared" si="18"/>
        <v>46</v>
      </c>
      <c r="K189" s="12">
        <f>(4*11333)</f>
        <v>45332</v>
      </c>
      <c r="L189" s="12">
        <f t="shared" si="19"/>
        <v>521318</v>
      </c>
      <c r="M189" s="1"/>
      <c r="N189" s="39" t="e">
        <f>#REF!-H189</f>
        <v>#REF!</v>
      </c>
    </row>
    <row r="190" spans="2:14">
      <c r="B190" s="14">
        <v>185</v>
      </c>
      <c r="C190" s="2" t="s">
        <v>21</v>
      </c>
      <c r="D190" s="18">
        <v>500000</v>
      </c>
      <c r="E190" s="18">
        <v>66650</v>
      </c>
      <c r="F190" s="18">
        <v>566650</v>
      </c>
      <c r="G190" s="33">
        <v>50</v>
      </c>
      <c r="H190" s="16">
        <v>11333</v>
      </c>
      <c r="I190" s="8">
        <v>4</v>
      </c>
      <c r="J190" s="11">
        <f t="shared" si="18"/>
        <v>46</v>
      </c>
      <c r="K190" s="12">
        <f>(4*11333)</f>
        <v>45332</v>
      </c>
      <c r="L190" s="12">
        <f t="shared" si="19"/>
        <v>521318</v>
      </c>
      <c r="M190" s="8"/>
      <c r="N190" s="39" t="e">
        <f>#REF!-H190</f>
        <v>#REF!</v>
      </c>
    </row>
    <row r="191" spans="2:14">
      <c r="B191" s="14">
        <v>186</v>
      </c>
      <c r="C191" s="4" t="s">
        <v>27</v>
      </c>
      <c r="D191" s="18">
        <v>500000</v>
      </c>
      <c r="E191" s="18">
        <v>66650</v>
      </c>
      <c r="F191" s="18">
        <v>566650</v>
      </c>
      <c r="G191" s="33">
        <v>50</v>
      </c>
      <c r="H191" s="16">
        <v>11333</v>
      </c>
      <c r="I191" s="8">
        <v>4</v>
      </c>
      <c r="J191" s="11">
        <f t="shared" si="18"/>
        <v>46</v>
      </c>
      <c r="K191" s="12">
        <f>(4*11333)</f>
        <v>45332</v>
      </c>
      <c r="L191" s="12">
        <f t="shared" si="19"/>
        <v>521318</v>
      </c>
      <c r="M191" s="1"/>
      <c r="N191" s="39" t="e">
        <f>#REF!-H191</f>
        <v>#REF!</v>
      </c>
    </row>
    <row r="192" spans="2:14">
      <c r="B192" s="14">
        <v>187</v>
      </c>
      <c r="C192" s="4" t="s">
        <v>26</v>
      </c>
      <c r="D192" s="18">
        <v>500000</v>
      </c>
      <c r="E192" s="18">
        <v>66650</v>
      </c>
      <c r="F192" s="18">
        <v>566650</v>
      </c>
      <c r="G192" s="33">
        <v>50</v>
      </c>
      <c r="H192" s="16">
        <v>11333</v>
      </c>
      <c r="I192" s="8">
        <v>4</v>
      </c>
      <c r="J192" s="11">
        <f t="shared" si="18"/>
        <v>46</v>
      </c>
      <c r="K192" s="12">
        <f>(4*11333)</f>
        <v>45332</v>
      </c>
      <c r="L192" s="12">
        <f t="shared" si="19"/>
        <v>521318</v>
      </c>
      <c r="M192" s="1"/>
      <c r="N192" s="39" t="e">
        <f>#REF!-H192</f>
        <v>#REF!</v>
      </c>
    </row>
    <row r="193" spans="2:14">
      <c r="B193" s="14">
        <v>188</v>
      </c>
      <c r="C193" s="4" t="s">
        <v>98</v>
      </c>
      <c r="D193" s="12">
        <v>450000</v>
      </c>
      <c r="E193" s="16">
        <v>59985</v>
      </c>
      <c r="F193" s="15">
        <f>SUM(D193:E193)</f>
        <v>509985</v>
      </c>
      <c r="G193" s="33">
        <v>50</v>
      </c>
      <c r="H193" s="38">
        <v>10199.700000000001</v>
      </c>
      <c r="I193" s="8">
        <v>4</v>
      </c>
      <c r="J193" s="11">
        <f t="shared" si="18"/>
        <v>46</v>
      </c>
      <c r="K193" s="12">
        <f>(4*10199.7)</f>
        <v>40798.800000000003</v>
      </c>
      <c r="L193" s="15">
        <f t="shared" si="19"/>
        <v>469186.2</v>
      </c>
      <c r="M193" s="8"/>
      <c r="N193" s="39" t="e">
        <f>#REF!-H193</f>
        <v>#REF!</v>
      </c>
    </row>
    <row r="194" spans="2:14">
      <c r="B194" s="14">
        <v>189</v>
      </c>
      <c r="C194" s="4" t="s">
        <v>17</v>
      </c>
      <c r="D194" s="18">
        <v>500000</v>
      </c>
      <c r="E194" s="18">
        <v>66650</v>
      </c>
      <c r="F194" s="18">
        <v>566650</v>
      </c>
      <c r="G194" s="33">
        <v>50</v>
      </c>
      <c r="H194" s="16">
        <v>11333</v>
      </c>
      <c r="I194" s="8">
        <v>4</v>
      </c>
      <c r="J194" s="11">
        <f t="shared" si="18"/>
        <v>46</v>
      </c>
      <c r="K194" s="12">
        <f>(4*11333)</f>
        <v>45332</v>
      </c>
      <c r="L194" s="12">
        <f t="shared" si="19"/>
        <v>521318</v>
      </c>
      <c r="M194" s="8"/>
      <c r="N194" s="39" t="e">
        <f>#REF!-H194</f>
        <v>#REF!</v>
      </c>
    </row>
    <row r="195" spans="2:14">
      <c r="B195" s="14">
        <v>190</v>
      </c>
      <c r="C195" s="4" t="s">
        <v>32</v>
      </c>
      <c r="D195" s="20">
        <v>330000</v>
      </c>
      <c r="E195" s="20">
        <v>43989</v>
      </c>
      <c r="F195" s="20">
        <f>SUM(D195:E195)</f>
        <v>373989</v>
      </c>
      <c r="G195" s="33">
        <v>50</v>
      </c>
      <c r="H195" s="3">
        <v>7479.78</v>
      </c>
      <c r="I195" s="8">
        <v>4</v>
      </c>
      <c r="J195" s="11">
        <f t="shared" si="18"/>
        <v>46</v>
      </c>
      <c r="K195" s="3">
        <f>(4*7479.78)</f>
        <v>29919.119999999999</v>
      </c>
      <c r="L195" s="12">
        <f t="shared" si="19"/>
        <v>344069.88</v>
      </c>
      <c r="M195" s="1"/>
      <c r="N195" s="39" t="e">
        <f>#REF!-H195</f>
        <v>#REF!</v>
      </c>
    </row>
    <row r="196" spans="2:14">
      <c r="B196" s="14">
        <v>191</v>
      </c>
      <c r="C196" s="4" t="s">
        <v>35</v>
      </c>
      <c r="D196" s="20">
        <v>150000</v>
      </c>
      <c r="E196" s="20">
        <v>19995</v>
      </c>
      <c r="F196" s="20">
        <f>SUM(D196:E196)</f>
        <v>169995</v>
      </c>
      <c r="G196" s="33">
        <v>50</v>
      </c>
      <c r="H196" s="3">
        <v>3399.9</v>
      </c>
      <c r="I196" s="8">
        <v>4</v>
      </c>
      <c r="J196" s="11">
        <f t="shared" si="18"/>
        <v>46</v>
      </c>
      <c r="K196" s="3">
        <f>(4*3399.9)</f>
        <v>13599.6</v>
      </c>
      <c r="L196" s="12">
        <f t="shared" si="19"/>
        <v>156395.4</v>
      </c>
      <c r="M196" s="1"/>
      <c r="N196" s="39" t="e">
        <f>#REF!-H196</f>
        <v>#REF!</v>
      </c>
    </row>
    <row r="197" spans="2:14">
      <c r="B197" s="14">
        <v>192</v>
      </c>
      <c r="C197" s="4" t="s">
        <v>38</v>
      </c>
      <c r="D197" s="18">
        <v>500000</v>
      </c>
      <c r="E197" s="18">
        <v>66650</v>
      </c>
      <c r="F197" s="18">
        <v>566650</v>
      </c>
      <c r="G197" s="33">
        <v>50</v>
      </c>
      <c r="H197" s="16">
        <v>11333</v>
      </c>
      <c r="I197" s="8">
        <v>4</v>
      </c>
      <c r="J197" s="11">
        <f t="shared" si="18"/>
        <v>46</v>
      </c>
      <c r="K197" s="12">
        <f>(4*11333)</f>
        <v>45332</v>
      </c>
      <c r="L197" s="12">
        <f t="shared" si="19"/>
        <v>521318</v>
      </c>
      <c r="M197" s="1"/>
      <c r="N197" s="39" t="e">
        <f>#REF!-H197</f>
        <v>#REF!</v>
      </c>
    </row>
    <row r="198" spans="2:14">
      <c r="B198" s="14">
        <v>193</v>
      </c>
      <c r="C198" s="4" t="s">
        <v>30</v>
      </c>
      <c r="D198" s="20">
        <v>330000</v>
      </c>
      <c r="E198" s="20">
        <v>43989</v>
      </c>
      <c r="F198" s="20">
        <f>SUM(D198:E198)</f>
        <v>373989</v>
      </c>
      <c r="G198" s="33">
        <v>50</v>
      </c>
      <c r="H198" s="3">
        <v>7479.78</v>
      </c>
      <c r="I198" s="8">
        <v>4</v>
      </c>
      <c r="J198" s="11">
        <f>G198-I198</f>
        <v>46</v>
      </c>
      <c r="K198" s="3">
        <f>(4*7479.78)</f>
        <v>29919.119999999999</v>
      </c>
      <c r="L198" s="12">
        <f>F198-K198</f>
        <v>344069.88</v>
      </c>
      <c r="M198" s="1"/>
      <c r="N198" s="39" t="e">
        <f>#REF!-H198</f>
        <v>#REF!</v>
      </c>
    </row>
    <row r="199" spans="2:14">
      <c r="B199" s="14">
        <v>194</v>
      </c>
      <c r="C199" s="4" t="s">
        <v>29</v>
      </c>
      <c r="D199" s="18">
        <v>450000</v>
      </c>
      <c r="E199" s="19">
        <v>59985</v>
      </c>
      <c r="F199" s="19">
        <v>509985</v>
      </c>
      <c r="G199" s="33">
        <v>50</v>
      </c>
      <c r="H199" s="16">
        <v>10199.700000000001</v>
      </c>
      <c r="I199" s="8">
        <v>4</v>
      </c>
      <c r="J199" s="11">
        <f>G199-I199</f>
        <v>46</v>
      </c>
      <c r="K199" s="12">
        <f>(4*10199)</f>
        <v>40796</v>
      </c>
      <c r="L199" s="12">
        <f>F199-K199</f>
        <v>469189</v>
      </c>
      <c r="M199" s="1"/>
      <c r="N199" s="39" t="e">
        <f>#REF!-H199</f>
        <v>#REF!</v>
      </c>
    </row>
    <row r="200" spans="2:14">
      <c r="B200" s="14">
        <v>195</v>
      </c>
      <c r="C200" s="4" t="s">
        <v>39</v>
      </c>
      <c r="D200" s="12">
        <v>500000</v>
      </c>
      <c r="E200" s="12">
        <v>66650</v>
      </c>
      <c r="F200" s="12">
        <v>566650</v>
      </c>
      <c r="G200" s="33">
        <v>50</v>
      </c>
      <c r="H200" s="16">
        <v>11333</v>
      </c>
      <c r="I200" s="8">
        <v>4</v>
      </c>
      <c r="J200" s="11">
        <f>G200-I200</f>
        <v>46</v>
      </c>
      <c r="K200" s="12">
        <f>(4*11333)</f>
        <v>45332</v>
      </c>
      <c r="L200" s="12">
        <f>F200-K200</f>
        <v>521318</v>
      </c>
      <c r="M200" s="1"/>
      <c r="N200" s="39" t="e">
        <f>#REF!-H200</f>
        <v>#REF!</v>
      </c>
    </row>
    <row r="201" spans="2:14">
      <c r="B201" s="14">
        <v>196</v>
      </c>
      <c r="C201" s="2" t="s">
        <v>224</v>
      </c>
      <c r="D201" s="12">
        <v>450000</v>
      </c>
      <c r="E201" s="12">
        <v>59985</v>
      </c>
      <c r="F201" s="12">
        <v>509985</v>
      </c>
      <c r="G201" s="31">
        <v>50</v>
      </c>
      <c r="H201" s="18">
        <v>10199.700000000001</v>
      </c>
      <c r="I201" s="33">
        <v>18</v>
      </c>
      <c r="J201" s="11">
        <f t="shared" ref="J201:J218" si="20">G201-I201</f>
        <v>32</v>
      </c>
      <c r="K201" s="12">
        <f>(18*10199.7)</f>
        <v>183594.6</v>
      </c>
      <c r="L201" s="15">
        <f t="shared" ref="L201:L218" si="21">F201-K201</f>
        <v>326390.40000000002</v>
      </c>
      <c r="M201" s="8"/>
    </row>
    <row r="202" spans="2:14">
      <c r="B202" s="14">
        <v>197</v>
      </c>
      <c r="C202" s="2" t="s">
        <v>241</v>
      </c>
      <c r="D202" s="12">
        <v>60000</v>
      </c>
      <c r="E202" s="12">
        <v>7998</v>
      </c>
      <c r="F202" s="15">
        <f>SUM(D202:E202)</f>
        <v>67998</v>
      </c>
      <c r="G202" s="31">
        <v>40</v>
      </c>
      <c r="H202" s="12">
        <v>1699.95</v>
      </c>
      <c r="I202" s="33">
        <v>31</v>
      </c>
      <c r="J202" s="11">
        <f t="shared" si="20"/>
        <v>9</v>
      </c>
      <c r="K202" s="12">
        <f>(31*1699.95)</f>
        <v>52698.450000000004</v>
      </c>
      <c r="L202" s="15">
        <f t="shared" si="21"/>
        <v>15299.549999999996</v>
      </c>
      <c r="M202" s="8"/>
      <c r="N202" s="39" t="e">
        <f>#REF!-H202</f>
        <v>#REF!</v>
      </c>
    </row>
    <row r="203" spans="2:14">
      <c r="B203" s="14">
        <v>198</v>
      </c>
      <c r="C203" s="2" t="s">
        <v>243</v>
      </c>
      <c r="D203" s="12">
        <v>60000</v>
      </c>
      <c r="E203" s="12">
        <v>7998</v>
      </c>
      <c r="F203" s="12">
        <v>67998</v>
      </c>
      <c r="G203" s="31">
        <v>40</v>
      </c>
      <c r="H203" s="18">
        <v>1699.95</v>
      </c>
      <c r="I203" s="31">
        <v>41</v>
      </c>
      <c r="J203" s="11">
        <f t="shared" si="20"/>
        <v>-1</v>
      </c>
      <c r="K203" s="12">
        <f>(41*1699.95)</f>
        <v>69697.95</v>
      </c>
      <c r="L203" s="15">
        <f t="shared" si="21"/>
        <v>-1699.9499999999971</v>
      </c>
      <c r="M203" s="8"/>
    </row>
    <row r="204" spans="2:14">
      <c r="B204" s="14">
        <v>199</v>
      </c>
      <c r="C204" s="2" t="s">
        <v>228</v>
      </c>
      <c r="D204" s="15">
        <v>200000</v>
      </c>
      <c r="E204" s="15">
        <v>26660</v>
      </c>
      <c r="F204" s="15">
        <v>226660</v>
      </c>
      <c r="G204" s="31">
        <v>40</v>
      </c>
      <c r="H204" s="18">
        <v>5666.5</v>
      </c>
      <c r="I204" s="31">
        <v>32</v>
      </c>
      <c r="J204" s="11">
        <f t="shared" si="20"/>
        <v>8</v>
      </c>
      <c r="K204" s="12">
        <f>(32*5666.5)</f>
        <v>181328</v>
      </c>
      <c r="L204" s="15">
        <f t="shared" si="21"/>
        <v>45332</v>
      </c>
      <c r="M204" s="8"/>
    </row>
    <row r="205" spans="2:14">
      <c r="B205" s="14">
        <v>200</v>
      </c>
      <c r="C205" s="2" t="s">
        <v>221</v>
      </c>
      <c r="D205" s="12">
        <v>330000</v>
      </c>
      <c r="E205" s="12">
        <v>21975</v>
      </c>
      <c r="F205" s="12">
        <v>351975</v>
      </c>
      <c r="G205" s="31">
        <v>25</v>
      </c>
      <c r="H205" s="18">
        <v>14079</v>
      </c>
      <c r="I205" s="33">
        <v>27</v>
      </c>
      <c r="J205" s="11">
        <f t="shared" si="20"/>
        <v>-2</v>
      </c>
      <c r="K205" s="16">
        <f>(27*14079)</f>
        <v>380133</v>
      </c>
      <c r="L205" s="15">
        <f t="shared" si="21"/>
        <v>-28158</v>
      </c>
      <c r="M205" s="8"/>
    </row>
    <row r="206" spans="2:14">
      <c r="B206" s="14">
        <v>201</v>
      </c>
      <c r="C206" s="2" t="s">
        <v>16</v>
      </c>
      <c r="D206" s="12">
        <v>450000</v>
      </c>
      <c r="E206" s="12">
        <v>59985</v>
      </c>
      <c r="F206" s="12">
        <v>509985</v>
      </c>
      <c r="G206" s="33">
        <v>50</v>
      </c>
      <c r="H206" s="19">
        <v>11333</v>
      </c>
      <c r="I206" s="31">
        <v>7</v>
      </c>
      <c r="J206" s="11">
        <f t="shared" si="20"/>
        <v>43</v>
      </c>
      <c r="K206" s="12">
        <f>(7*11333)</f>
        <v>79331</v>
      </c>
      <c r="L206" s="15">
        <f t="shared" si="21"/>
        <v>430654</v>
      </c>
      <c r="M206" s="8"/>
    </row>
    <row r="207" spans="2:14">
      <c r="B207" s="14">
        <v>202</v>
      </c>
      <c r="C207" s="2" t="s">
        <v>41</v>
      </c>
      <c r="D207" s="12">
        <v>450000</v>
      </c>
      <c r="E207" s="16">
        <v>59985</v>
      </c>
      <c r="F207" s="16">
        <v>509985</v>
      </c>
      <c r="G207" s="33">
        <v>50</v>
      </c>
      <c r="H207" s="16">
        <v>10199.700000000001</v>
      </c>
      <c r="I207" s="8">
        <v>3</v>
      </c>
      <c r="J207" s="11">
        <f t="shared" si="20"/>
        <v>47</v>
      </c>
      <c r="K207" s="12">
        <f>(3*10199)</f>
        <v>30597</v>
      </c>
      <c r="L207" s="12">
        <f t="shared" si="21"/>
        <v>479388</v>
      </c>
      <c r="M207" s="1"/>
    </row>
    <row r="208" spans="2:14">
      <c r="B208" s="14">
        <v>203</v>
      </c>
      <c r="C208" s="2" t="s">
        <v>227</v>
      </c>
      <c r="D208" s="15">
        <v>200000</v>
      </c>
      <c r="E208" s="15">
        <v>26660</v>
      </c>
      <c r="F208" s="15">
        <v>226660</v>
      </c>
      <c r="G208" s="31">
        <v>40</v>
      </c>
      <c r="H208" s="18">
        <v>5666.5</v>
      </c>
      <c r="I208" s="31">
        <v>31</v>
      </c>
      <c r="J208" s="11">
        <f t="shared" si="20"/>
        <v>9</v>
      </c>
      <c r="K208" s="12">
        <f>(31*5666.5)</f>
        <v>175661.5</v>
      </c>
      <c r="L208" s="15">
        <f t="shared" si="21"/>
        <v>50998.5</v>
      </c>
      <c r="M208" s="8"/>
    </row>
    <row r="209" spans="2:14">
      <c r="B209" s="14">
        <v>204</v>
      </c>
      <c r="C209" s="2" t="s">
        <v>229</v>
      </c>
      <c r="D209" s="15">
        <v>200000</v>
      </c>
      <c r="E209" s="15">
        <v>26660</v>
      </c>
      <c r="F209" s="15">
        <v>226660</v>
      </c>
      <c r="G209" s="31">
        <v>40</v>
      </c>
      <c r="H209" s="18">
        <v>5666.5</v>
      </c>
      <c r="I209" s="31">
        <v>31</v>
      </c>
      <c r="J209" s="11">
        <f t="shared" si="20"/>
        <v>9</v>
      </c>
      <c r="K209" s="12">
        <f>(31*5666.5)</f>
        <v>175661.5</v>
      </c>
      <c r="L209" s="15">
        <f t="shared" si="21"/>
        <v>50998.5</v>
      </c>
      <c r="M209" s="8"/>
    </row>
    <row r="210" spans="2:14">
      <c r="B210" s="14">
        <v>205</v>
      </c>
      <c r="C210" s="2" t="s">
        <v>230</v>
      </c>
      <c r="D210" s="15">
        <v>200000</v>
      </c>
      <c r="E210" s="15">
        <v>26660</v>
      </c>
      <c r="F210" s="15">
        <v>226660</v>
      </c>
      <c r="G210" s="31">
        <v>40</v>
      </c>
      <c r="H210" s="18">
        <v>5666.5</v>
      </c>
      <c r="I210" s="31">
        <v>31</v>
      </c>
      <c r="J210" s="11">
        <f t="shared" si="20"/>
        <v>9</v>
      </c>
      <c r="K210" s="12">
        <f>(31*5666.5)</f>
        <v>175661.5</v>
      </c>
      <c r="L210" s="15">
        <f t="shared" si="21"/>
        <v>50998.5</v>
      </c>
      <c r="M210" s="8"/>
    </row>
    <row r="211" spans="2:14">
      <c r="B211" s="14">
        <v>206</v>
      </c>
      <c r="C211" s="2" t="s">
        <v>231</v>
      </c>
      <c r="D211" s="15">
        <v>200000</v>
      </c>
      <c r="E211" s="15">
        <v>26660</v>
      </c>
      <c r="F211" s="15">
        <v>226660</v>
      </c>
      <c r="G211" s="31">
        <v>40</v>
      </c>
      <c r="H211" s="18">
        <v>5666.5</v>
      </c>
      <c r="I211" s="31">
        <v>32</v>
      </c>
      <c r="J211" s="11">
        <f t="shared" si="20"/>
        <v>8</v>
      </c>
      <c r="K211" s="12">
        <f>(32*5666.5)</f>
        <v>181328</v>
      </c>
      <c r="L211" s="15">
        <f t="shared" si="21"/>
        <v>45332</v>
      </c>
      <c r="M211" s="8"/>
      <c r="N211" s="39" t="e">
        <f>#REF!-H211</f>
        <v>#REF!</v>
      </c>
    </row>
    <row r="212" spans="2:14">
      <c r="B212" s="14">
        <v>207</v>
      </c>
      <c r="C212" s="2" t="s">
        <v>232</v>
      </c>
      <c r="D212" s="15">
        <v>200000</v>
      </c>
      <c r="E212" s="15">
        <v>26660</v>
      </c>
      <c r="F212" s="15">
        <v>226660</v>
      </c>
      <c r="G212" s="31">
        <v>40</v>
      </c>
      <c r="H212" s="18">
        <v>5666.5</v>
      </c>
      <c r="I212" s="31">
        <v>32</v>
      </c>
      <c r="J212" s="11">
        <f t="shared" si="20"/>
        <v>8</v>
      </c>
      <c r="K212" s="12">
        <f>(32*5666.5)</f>
        <v>181328</v>
      </c>
      <c r="L212" s="15">
        <f t="shared" si="21"/>
        <v>45332</v>
      </c>
      <c r="M212" s="8"/>
    </row>
    <row r="213" spans="2:14">
      <c r="B213" s="14">
        <v>208</v>
      </c>
      <c r="C213" s="2" t="s">
        <v>233</v>
      </c>
      <c r="D213" s="15">
        <v>200000</v>
      </c>
      <c r="E213" s="15">
        <v>26660</v>
      </c>
      <c r="F213" s="15">
        <v>226660</v>
      </c>
      <c r="G213" s="31">
        <v>40</v>
      </c>
      <c r="H213" s="18">
        <v>5666.5</v>
      </c>
      <c r="I213" s="31">
        <v>35</v>
      </c>
      <c r="J213" s="11">
        <f t="shared" si="20"/>
        <v>5</v>
      </c>
      <c r="K213" s="12">
        <f>(35*5666.5)</f>
        <v>198327.5</v>
      </c>
      <c r="L213" s="15">
        <f t="shared" si="21"/>
        <v>28332.5</v>
      </c>
      <c r="M213" s="8"/>
    </row>
    <row r="214" spans="2:14">
      <c r="B214" s="14">
        <v>209</v>
      </c>
      <c r="C214" s="2" t="s">
        <v>234</v>
      </c>
      <c r="D214" s="15">
        <v>200000</v>
      </c>
      <c r="E214" s="15">
        <v>26660</v>
      </c>
      <c r="F214" s="15">
        <v>226660</v>
      </c>
      <c r="G214" s="31">
        <v>40</v>
      </c>
      <c r="H214" s="18">
        <v>5666.5</v>
      </c>
      <c r="I214" s="31">
        <v>35</v>
      </c>
      <c r="J214" s="11">
        <f t="shared" si="20"/>
        <v>5</v>
      </c>
      <c r="K214" s="12">
        <f>(35*5666.5)</f>
        <v>198327.5</v>
      </c>
      <c r="L214" s="15">
        <f t="shared" si="21"/>
        <v>28332.5</v>
      </c>
      <c r="M214" s="8"/>
    </row>
    <row r="215" spans="2:14">
      <c r="B215" s="14">
        <v>210</v>
      </c>
      <c r="C215" s="2" t="s">
        <v>236</v>
      </c>
      <c r="D215" s="12">
        <v>180000</v>
      </c>
      <c r="E215" s="12">
        <v>23994</v>
      </c>
      <c r="F215" s="12">
        <v>203994</v>
      </c>
      <c r="G215" s="30">
        <v>40</v>
      </c>
      <c r="H215" s="18">
        <v>5099.8500000000004</v>
      </c>
      <c r="I215" s="30">
        <v>41</v>
      </c>
      <c r="J215" s="11">
        <f t="shared" si="20"/>
        <v>-1</v>
      </c>
      <c r="K215" s="12">
        <f>(41*5099.85)</f>
        <v>209093.85</v>
      </c>
      <c r="L215" s="15">
        <f t="shared" si="21"/>
        <v>-5099.8500000000058</v>
      </c>
      <c r="M215" s="10"/>
    </row>
    <row r="216" spans="2:14">
      <c r="B216" s="14">
        <v>211</v>
      </c>
      <c r="C216" s="2" t="s">
        <v>237</v>
      </c>
      <c r="D216" s="12">
        <v>132000</v>
      </c>
      <c r="E216" s="12">
        <v>17595.599999999999</v>
      </c>
      <c r="F216" s="12">
        <v>149595.6</v>
      </c>
      <c r="G216" s="30">
        <v>40</v>
      </c>
      <c r="H216" s="18">
        <v>3739.89</v>
      </c>
      <c r="I216" s="33">
        <v>29</v>
      </c>
      <c r="J216" s="11">
        <f t="shared" si="20"/>
        <v>11</v>
      </c>
      <c r="K216" s="12">
        <f>(29*3739.89)</f>
        <v>108456.81</v>
      </c>
      <c r="L216" s="15">
        <f t="shared" si="21"/>
        <v>41138.790000000008</v>
      </c>
      <c r="M216" s="8"/>
    </row>
    <row r="217" spans="2:14">
      <c r="B217" s="14">
        <v>212</v>
      </c>
      <c r="C217" s="23" t="s">
        <v>238</v>
      </c>
      <c r="D217" s="12">
        <v>132000</v>
      </c>
      <c r="E217" s="12">
        <v>17595.599999999999</v>
      </c>
      <c r="F217" s="12">
        <v>149595.6</v>
      </c>
      <c r="G217" s="30">
        <v>40</v>
      </c>
      <c r="H217" s="18">
        <v>3739.89</v>
      </c>
      <c r="I217" s="30">
        <v>41</v>
      </c>
      <c r="J217" s="11">
        <f t="shared" si="20"/>
        <v>-1</v>
      </c>
      <c r="K217" s="12">
        <f>(41*3739.89)</f>
        <v>153335.49</v>
      </c>
      <c r="L217" s="15">
        <f t="shared" si="21"/>
        <v>-3739.8899999999849</v>
      </c>
      <c r="M217" s="10"/>
    </row>
    <row r="218" spans="2:14">
      <c r="B218" s="14">
        <v>213</v>
      </c>
      <c r="C218" s="2" t="s">
        <v>239</v>
      </c>
      <c r="D218" s="12">
        <v>132000</v>
      </c>
      <c r="E218" s="12">
        <v>17595.599999999999</v>
      </c>
      <c r="F218" s="12">
        <v>149595.6</v>
      </c>
      <c r="G218" s="30">
        <v>40</v>
      </c>
      <c r="H218" s="18">
        <v>3739.89</v>
      </c>
      <c r="I218" s="33">
        <v>42</v>
      </c>
      <c r="J218" s="11">
        <f t="shared" si="20"/>
        <v>-2</v>
      </c>
      <c r="K218" s="12">
        <f>(42*3739.89)</f>
        <v>157075.38</v>
      </c>
      <c r="L218" s="15">
        <f t="shared" si="21"/>
        <v>-7479.7799999999988</v>
      </c>
      <c r="M218" s="8"/>
    </row>
    <row r="219" spans="2:14">
      <c r="B219" s="14">
        <v>214</v>
      </c>
      <c r="C219" s="2" t="s">
        <v>40</v>
      </c>
      <c r="D219" s="12">
        <v>450000</v>
      </c>
      <c r="E219" s="12">
        <v>59985</v>
      </c>
      <c r="F219" s="15">
        <v>509985</v>
      </c>
      <c r="G219" s="31">
        <v>50</v>
      </c>
      <c r="H219" s="12">
        <v>30599.100000000002</v>
      </c>
      <c r="I219" s="11">
        <v>4</v>
      </c>
      <c r="J219" s="11">
        <v>46</v>
      </c>
      <c r="K219" s="12">
        <v>40796</v>
      </c>
      <c r="L219" s="15">
        <v>469189</v>
      </c>
      <c r="M219" s="8"/>
      <c r="N219" s="39"/>
    </row>
    <row r="220" spans="2:14">
      <c r="B220" s="14">
        <v>215</v>
      </c>
      <c r="C220" s="2" t="s">
        <v>235</v>
      </c>
      <c r="D220" s="12">
        <v>180000</v>
      </c>
      <c r="E220" s="12">
        <v>23994</v>
      </c>
      <c r="F220" s="15">
        <v>203994</v>
      </c>
      <c r="G220" s="31">
        <v>40</v>
      </c>
      <c r="H220" s="12">
        <v>25499.25</v>
      </c>
      <c r="I220" s="11">
        <v>41</v>
      </c>
      <c r="J220" s="11">
        <v>-1</v>
      </c>
      <c r="K220" s="12">
        <v>209093.85</v>
      </c>
      <c r="L220" s="15">
        <v>-5099.8500000000058</v>
      </c>
      <c r="M220" s="10"/>
      <c r="N220" s="39"/>
    </row>
    <row r="221" spans="2:14">
      <c r="B221" s="14">
        <v>216</v>
      </c>
      <c r="C221" s="2" t="s">
        <v>22</v>
      </c>
      <c r="D221" s="12">
        <v>500000</v>
      </c>
      <c r="E221" s="12">
        <v>66650</v>
      </c>
      <c r="F221" s="15">
        <v>566650</v>
      </c>
      <c r="G221" s="31">
        <v>50</v>
      </c>
      <c r="H221" s="12">
        <v>33999</v>
      </c>
      <c r="I221" s="11">
        <v>3</v>
      </c>
      <c r="J221" s="11">
        <v>47</v>
      </c>
      <c r="K221" s="12">
        <v>33999</v>
      </c>
      <c r="L221" s="15">
        <v>532651</v>
      </c>
      <c r="M221" s="8"/>
      <c r="N221" s="39"/>
    </row>
    <row r="222" spans="2:14">
      <c r="B222" s="14">
        <v>217</v>
      </c>
      <c r="C222" s="2" t="s">
        <v>223</v>
      </c>
      <c r="D222" s="12">
        <v>500000</v>
      </c>
      <c r="E222" s="12">
        <v>66650</v>
      </c>
      <c r="F222" s="15">
        <v>566650</v>
      </c>
      <c r="G222" s="31">
        <v>50</v>
      </c>
      <c r="H222" s="12">
        <v>56665</v>
      </c>
      <c r="I222" s="11">
        <v>18</v>
      </c>
      <c r="J222" s="11">
        <v>32</v>
      </c>
      <c r="K222" s="12">
        <v>203994</v>
      </c>
      <c r="L222" s="15">
        <v>362656</v>
      </c>
      <c r="M222" s="8"/>
      <c r="N222" s="39"/>
    </row>
    <row r="223" spans="2:14">
      <c r="B223" s="14">
        <v>218</v>
      </c>
      <c r="C223" s="2" t="s">
        <v>42</v>
      </c>
      <c r="D223" s="12">
        <v>450000</v>
      </c>
      <c r="E223" s="12">
        <v>59985</v>
      </c>
      <c r="F223" s="15">
        <v>509985</v>
      </c>
      <c r="G223" s="31">
        <v>50</v>
      </c>
      <c r="H223" s="12">
        <v>30599.100000000002</v>
      </c>
      <c r="I223" s="11">
        <v>3</v>
      </c>
      <c r="J223" s="11">
        <v>47</v>
      </c>
      <c r="K223" s="12">
        <v>30597</v>
      </c>
      <c r="L223" s="15">
        <v>479388</v>
      </c>
      <c r="M223" s="8"/>
      <c r="N223" s="39"/>
    </row>
    <row r="224" spans="2:14">
      <c r="B224" s="14">
        <v>219</v>
      </c>
      <c r="C224" s="2" t="s">
        <v>240</v>
      </c>
      <c r="D224" s="12">
        <v>132000</v>
      </c>
      <c r="E224" s="12">
        <v>17595.599999999999</v>
      </c>
      <c r="F224" s="15">
        <v>149595.6</v>
      </c>
      <c r="G224" s="31">
        <v>40</v>
      </c>
      <c r="H224" s="12">
        <v>14959.56</v>
      </c>
      <c r="I224" s="11"/>
      <c r="J224" s="11">
        <v>40</v>
      </c>
      <c r="K224" s="12"/>
      <c r="L224" s="15">
        <v>149595.6</v>
      </c>
      <c r="M224" s="8"/>
      <c r="N224" s="39"/>
    </row>
    <row r="225" spans="2:14">
      <c r="B225" s="14">
        <v>220</v>
      </c>
      <c r="C225" s="2" t="s">
        <v>222</v>
      </c>
      <c r="D225" s="12">
        <v>500000</v>
      </c>
      <c r="E225" s="12">
        <v>66650</v>
      </c>
      <c r="F225" s="15">
        <v>566650</v>
      </c>
      <c r="G225" s="31">
        <v>50</v>
      </c>
      <c r="H225" s="12">
        <v>56665</v>
      </c>
      <c r="I225" s="11">
        <v>17</v>
      </c>
      <c r="J225" s="11">
        <v>33</v>
      </c>
      <c r="K225" s="12">
        <v>192661</v>
      </c>
      <c r="L225" s="15">
        <v>373989</v>
      </c>
      <c r="M225" s="8"/>
      <c r="N225" s="39"/>
    </row>
    <row r="226" spans="2:14">
      <c r="B226" s="14">
        <v>221</v>
      </c>
      <c r="C226" s="2" t="s">
        <v>225</v>
      </c>
      <c r="D226" s="12">
        <v>200000</v>
      </c>
      <c r="E226" s="12">
        <v>26660</v>
      </c>
      <c r="F226" s="15">
        <v>226660</v>
      </c>
      <c r="G226" s="32">
        <v>40</v>
      </c>
      <c r="H226" s="12">
        <v>28332.5</v>
      </c>
      <c r="I226" s="11">
        <v>41</v>
      </c>
      <c r="J226" s="11">
        <v>-1</v>
      </c>
      <c r="K226" s="12">
        <v>232326.5</v>
      </c>
      <c r="L226" s="15">
        <v>-5666.5</v>
      </c>
      <c r="M226" s="10"/>
      <c r="N226" s="39"/>
    </row>
    <row r="227" spans="2:14">
      <c r="B227" s="14">
        <v>222</v>
      </c>
      <c r="C227" s="2" t="s">
        <v>226</v>
      </c>
      <c r="D227" s="12">
        <v>200000</v>
      </c>
      <c r="E227" s="12">
        <v>26660</v>
      </c>
      <c r="F227" s="15">
        <v>226660</v>
      </c>
      <c r="G227" s="31">
        <v>40</v>
      </c>
      <c r="H227" s="12">
        <v>28332.5</v>
      </c>
      <c r="I227" s="11">
        <v>35</v>
      </c>
      <c r="J227" s="11">
        <v>5</v>
      </c>
      <c r="K227" s="12">
        <v>198327.5</v>
      </c>
      <c r="L227" s="15">
        <v>28332.5</v>
      </c>
      <c r="M227" s="8"/>
      <c r="N227" s="39"/>
    </row>
    <row r="228" spans="2:14">
      <c r="B228" s="14"/>
      <c r="C228" s="23"/>
      <c r="D228" s="34">
        <f>SUM(D6:D227)</f>
        <v>68122000</v>
      </c>
      <c r="E228" s="34">
        <f>SUM(E6:E227)</f>
        <v>8863078.839999998</v>
      </c>
      <c r="F228" s="34">
        <f>SUM(F6:F227)</f>
        <v>76985078.839999989</v>
      </c>
      <c r="G228" s="34"/>
      <c r="H228" s="34">
        <f>SUM(H6:H227)</f>
        <v>1954231.3299999996</v>
      </c>
      <c r="I228" s="27"/>
      <c r="J228" s="13"/>
      <c r="K228" s="34">
        <f>SUM(K6:K227)</f>
        <v>42960577.480000004</v>
      </c>
      <c r="L228" s="34">
        <f>SUM(L6:L227)</f>
        <v>34024501.359999977</v>
      </c>
      <c r="M228" s="8"/>
    </row>
    <row r="229" spans="2:14">
      <c r="B229" s="65"/>
      <c r="C229" s="66"/>
      <c r="D229" s="67"/>
      <c r="E229" s="67"/>
      <c r="F229" s="67"/>
      <c r="G229" s="67"/>
      <c r="H229" s="67"/>
      <c r="I229" s="309"/>
      <c r="J229" s="68"/>
      <c r="K229" s="67"/>
      <c r="L229" s="67"/>
      <c r="M229" s="69"/>
    </row>
    <row r="230" spans="2:14">
      <c r="B230" s="65"/>
      <c r="C230" s="66"/>
      <c r="D230" s="67"/>
      <c r="E230" s="67"/>
      <c r="F230" s="67"/>
      <c r="G230" s="67"/>
      <c r="H230" s="67"/>
      <c r="I230" s="309"/>
      <c r="J230" s="68"/>
      <c r="K230" s="67"/>
      <c r="L230" s="67"/>
      <c r="M230" s="69"/>
    </row>
    <row r="231" spans="2:14">
      <c r="B231" s="65"/>
      <c r="C231" s="66"/>
      <c r="D231" s="67"/>
      <c r="E231" s="67"/>
      <c r="F231" s="67"/>
      <c r="G231" s="67"/>
      <c r="H231" s="67"/>
      <c r="I231" s="309"/>
      <c r="J231" s="68"/>
      <c r="K231" s="67"/>
      <c r="L231" s="67"/>
      <c r="M231" s="69"/>
    </row>
    <row r="232" spans="2:14">
      <c r="B232" s="65"/>
      <c r="C232" s="66"/>
      <c r="D232" s="67"/>
      <c r="E232" s="67"/>
      <c r="F232" s="67"/>
      <c r="G232" s="67"/>
      <c r="H232" s="67"/>
      <c r="I232" s="309"/>
      <c r="J232" s="68"/>
      <c r="K232" s="67"/>
      <c r="L232" s="67"/>
      <c r="M232" s="69"/>
    </row>
    <row r="233" spans="2:14" ht="20.25">
      <c r="B233" s="419" t="s">
        <v>245</v>
      </c>
      <c r="C233" s="419"/>
      <c r="D233" s="419"/>
      <c r="E233" s="419"/>
      <c r="F233" s="419"/>
      <c r="G233" s="419"/>
      <c r="H233" s="419"/>
      <c r="I233" s="419"/>
      <c r="J233" s="419"/>
      <c r="K233" s="419"/>
      <c r="L233" s="419"/>
      <c r="M233" s="419"/>
    </row>
    <row r="234" spans="2:14" ht="18">
      <c r="B234" s="418" t="s">
        <v>246</v>
      </c>
      <c r="C234" s="418"/>
      <c r="D234" s="418"/>
      <c r="E234" s="418"/>
      <c r="F234" s="418"/>
      <c r="G234" s="418"/>
      <c r="H234" s="418"/>
      <c r="I234" s="418"/>
      <c r="J234" s="418"/>
      <c r="K234" s="418"/>
      <c r="L234" s="418"/>
      <c r="M234" s="418"/>
    </row>
    <row r="235" spans="2:14" ht="18">
      <c r="B235" s="420" t="s">
        <v>252</v>
      </c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2"/>
    </row>
    <row r="236" spans="2:14" s="44" customFormat="1" ht="35.25" customHeight="1">
      <c r="B236" s="49" t="s">
        <v>0</v>
      </c>
      <c r="C236" s="49" t="s">
        <v>1</v>
      </c>
      <c r="D236" s="50" t="s">
        <v>2</v>
      </c>
      <c r="E236" s="50" t="s">
        <v>3</v>
      </c>
      <c r="F236" s="49" t="s">
        <v>4</v>
      </c>
      <c r="G236" s="50" t="s">
        <v>5</v>
      </c>
      <c r="H236" s="51" t="s">
        <v>6</v>
      </c>
      <c r="I236" s="50" t="s">
        <v>7</v>
      </c>
      <c r="J236" s="51" t="s">
        <v>8</v>
      </c>
      <c r="K236" s="50" t="s">
        <v>9</v>
      </c>
      <c r="L236" s="51" t="s">
        <v>10</v>
      </c>
      <c r="M236" s="51" t="s">
        <v>11</v>
      </c>
    </row>
    <row r="237" spans="2:14">
      <c r="B237" s="14">
        <v>10</v>
      </c>
      <c r="C237" s="2" t="s">
        <v>34</v>
      </c>
      <c r="D237" s="20">
        <v>150000</v>
      </c>
      <c r="E237" s="20">
        <v>19995</v>
      </c>
      <c r="F237" s="20">
        <f>SUM(D237:E237)</f>
        <v>169995</v>
      </c>
      <c r="G237" s="33">
        <v>50</v>
      </c>
      <c r="H237" s="3">
        <v>3399.9</v>
      </c>
      <c r="I237" s="8">
        <v>4</v>
      </c>
      <c r="J237" s="11">
        <f>G237-I237</f>
        <v>46</v>
      </c>
      <c r="K237" s="3">
        <f>(4*3399.9)</f>
        <v>13599.6</v>
      </c>
      <c r="L237" s="12">
        <f>F237-K237</f>
        <v>156395.4</v>
      </c>
      <c r="M237" s="1"/>
    </row>
    <row r="238" spans="2:14">
      <c r="B238" s="14">
        <v>11</v>
      </c>
      <c r="C238" s="2" t="s">
        <v>242</v>
      </c>
      <c r="D238" s="12">
        <v>60000</v>
      </c>
      <c r="E238" s="12">
        <v>7998</v>
      </c>
      <c r="F238" s="15">
        <f>SUM(D238:E238)</f>
        <v>67998</v>
      </c>
      <c r="G238" s="31">
        <v>40</v>
      </c>
      <c r="H238" s="12">
        <v>1699.95</v>
      </c>
      <c r="I238" s="33">
        <v>39</v>
      </c>
      <c r="J238" s="11">
        <f>G238-I238</f>
        <v>1</v>
      </c>
      <c r="K238" s="12">
        <f>(39*1699.95)</f>
        <v>66298.05</v>
      </c>
      <c r="L238" s="15">
        <f>F238-K238</f>
        <v>1699.9499999999971</v>
      </c>
      <c r="M238" s="8"/>
    </row>
    <row r="239" spans="2:14">
      <c r="B239" s="14"/>
      <c r="C239" s="29"/>
      <c r="D239" s="34" t="e">
        <f>SUM(#REF!)</f>
        <v>#REF!</v>
      </c>
      <c r="E239" s="34">
        <f>SUM(E237:E237)</f>
        <v>19995</v>
      </c>
      <c r="F239" s="34">
        <f>SUM(F237:F237)</f>
        <v>169995</v>
      </c>
      <c r="G239" s="42"/>
      <c r="H239" s="34" t="e">
        <f>SUM(#REF!)</f>
        <v>#REF!</v>
      </c>
      <c r="I239" s="40"/>
      <c r="J239" s="35"/>
      <c r="K239" s="34">
        <f>SUM(K237:K237)</f>
        <v>13599.6</v>
      </c>
      <c r="L239" s="36">
        <f>SUM(L237:L237)</f>
        <v>156395.4</v>
      </c>
      <c r="M239" s="8"/>
    </row>
    <row r="240" spans="2:14">
      <c r="B240" s="14"/>
      <c r="C240" s="29"/>
      <c r="D240" s="34" t="e">
        <f>D228+D239</f>
        <v>#REF!</v>
      </c>
      <c r="E240" s="34">
        <f>E228+E239</f>
        <v>8883073.839999998</v>
      </c>
      <c r="F240" s="34">
        <f>F228+F239</f>
        <v>77155073.839999989</v>
      </c>
      <c r="G240" s="42"/>
      <c r="H240" s="34" t="e">
        <f>H228+H239</f>
        <v>#REF!</v>
      </c>
      <c r="I240" s="33"/>
      <c r="J240" s="33"/>
      <c r="K240" s="34">
        <f>K228+K239</f>
        <v>42974177.080000006</v>
      </c>
      <c r="L240" s="34">
        <f>L228+L239</f>
        <v>34180896.759999976</v>
      </c>
      <c r="M240" s="8"/>
    </row>
    <row r="242" spans="2:14">
      <c r="B242" s="14">
        <v>29</v>
      </c>
      <c r="C242" s="2" t="s">
        <v>133</v>
      </c>
      <c r="D242" s="15">
        <v>200000</v>
      </c>
      <c r="E242" s="15">
        <v>26660</v>
      </c>
      <c r="F242" s="15">
        <f>SUM(D242:E242)</f>
        <v>226660</v>
      </c>
      <c r="G242" s="31">
        <v>40</v>
      </c>
      <c r="H242" s="15">
        <v>5666.5</v>
      </c>
      <c r="I242" s="8">
        <v>37</v>
      </c>
      <c r="J242" s="8">
        <v>3</v>
      </c>
      <c r="K242" s="12">
        <f>(37*5666.5)</f>
        <v>209660.5</v>
      </c>
      <c r="L242" s="15">
        <f>F242-K242</f>
        <v>16999.5</v>
      </c>
      <c r="M242" s="8"/>
      <c r="N242" s="39" t="e">
        <f>#REF!-H242</f>
        <v>#REF!</v>
      </c>
    </row>
    <row r="243" spans="2:14">
      <c r="B243" s="14">
        <v>85</v>
      </c>
      <c r="C243" s="25" t="s">
        <v>67</v>
      </c>
      <c r="D243" s="12">
        <v>500000</v>
      </c>
      <c r="E243" s="12">
        <v>66650</v>
      </c>
      <c r="F243" s="15">
        <f>SUM(D243:E243)</f>
        <v>566650</v>
      </c>
      <c r="G243" s="31">
        <v>50</v>
      </c>
      <c r="H243" s="18">
        <v>11333</v>
      </c>
      <c r="I243" s="8">
        <v>20</v>
      </c>
      <c r="J243" s="8">
        <v>30</v>
      </c>
      <c r="K243" s="12">
        <f>(20*11333)</f>
        <v>226660</v>
      </c>
      <c r="L243" s="15">
        <f>F243-K243</f>
        <v>339990</v>
      </c>
      <c r="M243" s="8"/>
      <c r="N243" s="39" t="e">
        <f>#REF!-H243</f>
        <v>#REF!</v>
      </c>
    </row>
    <row r="244" spans="2:14">
      <c r="B244" s="14">
        <v>104</v>
      </c>
      <c r="C244" s="2" t="s">
        <v>161</v>
      </c>
      <c r="D244" s="15">
        <v>200000</v>
      </c>
      <c r="E244" s="15">
        <v>26660</v>
      </c>
      <c r="F244" s="15">
        <f>SUM(D244:E244)</f>
        <v>226660</v>
      </c>
      <c r="G244" s="32">
        <v>40</v>
      </c>
      <c r="H244" s="15">
        <v>5666.5</v>
      </c>
      <c r="I244" s="22">
        <v>38</v>
      </c>
      <c r="J244" s="21">
        <v>2</v>
      </c>
      <c r="K244" s="15">
        <f>(38*5666.5)</f>
        <v>215327</v>
      </c>
      <c r="L244" s="15">
        <f>F244-K244</f>
        <v>11333</v>
      </c>
      <c r="M244" s="10"/>
      <c r="N244" s="39" t="e">
        <f>#REF!-H244</f>
        <v>#REF!</v>
      </c>
    </row>
    <row r="245" spans="2:14">
      <c r="B245" s="14">
        <v>127</v>
      </c>
      <c r="C245" s="2" t="s">
        <v>196</v>
      </c>
      <c r="D245" s="12">
        <v>180000</v>
      </c>
      <c r="E245" s="12">
        <v>23994</v>
      </c>
      <c r="F245" s="15">
        <f>SUM(D245:E245)</f>
        <v>203994</v>
      </c>
      <c r="G245" s="31">
        <v>40</v>
      </c>
      <c r="H245" s="12">
        <v>5099.8500000000004</v>
      </c>
      <c r="I245" s="8">
        <v>33</v>
      </c>
      <c r="J245" s="8">
        <v>8</v>
      </c>
      <c r="K245" s="12">
        <f>(33*5099.85)</f>
        <v>168295.05000000002</v>
      </c>
      <c r="L245" s="15">
        <f>F245-K245</f>
        <v>35698.949999999983</v>
      </c>
      <c r="M245" s="8"/>
      <c r="N245" s="39" t="e">
        <f>#REF!-H245</f>
        <v>#REF!</v>
      </c>
    </row>
  </sheetData>
  <sortState ref="C228:H236">
    <sortCondition ref="C169:C177"/>
  </sortState>
  <mergeCells count="5">
    <mergeCell ref="B3:M3"/>
    <mergeCell ref="B4:M4"/>
    <mergeCell ref="B233:M233"/>
    <mergeCell ref="B234:M234"/>
    <mergeCell ref="B235:M235"/>
  </mergeCells>
  <conditionalFormatting sqref="C245">
    <cfRule type="duplicateValues" dxfId="5806" priority="453" stopIfTrue="1"/>
    <cfRule type="duplicateValues" dxfId="5805" priority="454" stopIfTrue="1"/>
  </conditionalFormatting>
  <conditionalFormatting sqref="C245">
    <cfRule type="duplicateValues" dxfId="5804" priority="452" stopIfTrue="1"/>
  </conditionalFormatting>
  <conditionalFormatting sqref="C11">
    <cfRule type="duplicateValues" dxfId="5803" priority="450" stopIfTrue="1"/>
    <cfRule type="duplicateValues" dxfId="5802" priority="451" stopIfTrue="1"/>
  </conditionalFormatting>
  <conditionalFormatting sqref="C11">
    <cfRule type="duplicateValues" dxfId="5801" priority="449" stopIfTrue="1"/>
  </conditionalFormatting>
  <conditionalFormatting sqref="C13">
    <cfRule type="duplicateValues" dxfId="5800" priority="447" stopIfTrue="1"/>
    <cfRule type="duplicateValues" dxfId="5799" priority="448" stopIfTrue="1"/>
  </conditionalFormatting>
  <conditionalFormatting sqref="C13">
    <cfRule type="duplicateValues" dxfId="5798" priority="446" stopIfTrue="1"/>
  </conditionalFormatting>
  <conditionalFormatting sqref="C14">
    <cfRule type="duplicateValues" dxfId="5797" priority="444" stopIfTrue="1"/>
    <cfRule type="duplicateValues" dxfId="5796" priority="445" stopIfTrue="1"/>
  </conditionalFormatting>
  <conditionalFormatting sqref="C14">
    <cfRule type="duplicateValues" dxfId="5795" priority="443" stopIfTrue="1"/>
  </conditionalFormatting>
  <conditionalFormatting sqref="C16">
    <cfRule type="duplicateValues" dxfId="5794" priority="441" stopIfTrue="1"/>
    <cfRule type="duplicateValues" dxfId="5793" priority="442" stopIfTrue="1"/>
  </conditionalFormatting>
  <conditionalFormatting sqref="C16">
    <cfRule type="duplicateValues" dxfId="5792" priority="440" stopIfTrue="1"/>
  </conditionalFormatting>
  <conditionalFormatting sqref="C17">
    <cfRule type="duplicateValues" dxfId="5791" priority="438" stopIfTrue="1"/>
    <cfRule type="duplicateValues" dxfId="5790" priority="439" stopIfTrue="1"/>
  </conditionalFormatting>
  <conditionalFormatting sqref="C17">
    <cfRule type="duplicateValues" dxfId="5789" priority="437" stopIfTrue="1"/>
  </conditionalFormatting>
  <conditionalFormatting sqref="C18">
    <cfRule type="duplicateValues" dxfId="5788" priority="435" stopIfTrue="1"/>
    <cfRule type="duplicateValues" dxfId="5787" priority="436" stopIfTrue="1"/>
  </conditionalFormatting>
  <conditionalFormatting sqref="C18">
    <cfRule type="duplicateValues" dxfId="5786" priority="434" stopIfTrue="1"/>
  </conditionalFormatting>
  <conditionalFormatting sqref="C19">
    <cfRule type="duplicateValues" dxfId="5785" priority="432" stopIfTrue="1"/>
    <cfRule type="duplicateValues" dxfId="5784" priority="433" stopIfTrue="1"/>
  </conditionalFormatting>
  <conditionalFormatting sqref="C19">
    <cfRule type="duplicateValues" dxfId="5783" priority="431" stopIfTrue="1"/>
  </conditionalFormatting>
  <conditionalFormatting sqref="C20">
    <cfRule type="duplicateValues" dxfId="5782" priority="429" stopIfTrue="1"/>
    <cfRule type="duplicateValues" dxfId="5781" priority="430" stopIfTrue="1"/>
  </conditionalFormatting>
  <conditionalFormatting sqref="C20">
    <cfRule type="duplicateValues" dxfId="5780" priority="428" stopIfTrue="1"/>
  </conditionalFormatting>
  <conditionalFormatting sqref="C21">
    <cfRule type="duplicateValues" dxfId="5779" priority="426" stopIfTrue="1"/>
    <cfRule type="duplicateValues" dxfId="5778" priority="427" stopIfTrue="1"/>
  </conditionalFormatting>
  <conditionalFormatting sqref="C21">
    <cfRule type="duplicateValues" dxfId="5777" priority="425" stopIfTrue="1"/>
  </conditionalFormatting>
  <conditionalFormatting sqref="C22">
    <cfRule type="duplicateValues" dxfId="5776" priority="423" stopIfTrue="1"/>
    <cfRule type="duplicateValues" dxfId="5775" priority="424" stopIfTrue="1"/>
  </conditionalFormatting>
  <conditionalFormatting sqref="C22">
    <cfRule type="duplicateValues" dxfId="5774" priority="422" stopIfTrue="1"/>
  </conditionalFormatting>
  <conditionalFormatting sqref="C23">
    <cfRule type="duplicateValues" dxfId="5773" priority="420" stopIfTrue="1"/>
    <cfRule type="duplicateValues" dxfId="5772" priority="421" stopIfTrue="1"/>
  </conditionalFormatting>
  <conditionalFormatting sqref="C23">
    <cfRule type="duplicateValues" dxfId="5771" priority="419" stopIfTrue="1"/>
  </conditionalFormatting>
  <conditionalFormatting sqref="C24">
    <cfRule type="duplicateValues" dxfId="5770" priority="417" stopIfTrue="1"/>
    <cfRule type="duplicateValues" dxfId="5769" priority="418" stopIfTrue="1"/>
  </conditionalFormatting>
  <conditionalFormatting sqref="C24">
    <cfRule type="duplicateValues" dxfId="5768" priority="416" stopIfTrue="1"/>
  </conditionalFormatting>
  <conditionalFormatting sqref="C25">
    <cfRule type="duplicateValues" dxfId="5767" priority="414" stopIfTrue="1"/>
    <cfRule type="duplicateValues" dxfId="5766" priority="415" stopIfTrue="1"/>
  </conditionalFormatting>
  <conditionalFormatting sqref="C25">
    <cfRule type="duplicateValues" dxfId="5765" priority="413" stopIfTrue="1"/>
  </conditionalFormatting>
  <conditionalFormatting sqref="C26">
    <cfRule type="duplicateValues" dxfId="5764" priority="411" stopIfTrue="1"/>
    <cfRule type="duplicateValues" dxfId="5763" priority="412" stopIfTrue="1"/>
  </conditionalFormatting>
  <conditionalFormatting sqref="C26">
    <cfRule type="duplicateValues" dxfId="5762" priority="410" stopIfTrue="1"/>
  </conditionalFormatting>
  <conditionalFormatting sqref="C28">
    <cfRule type="duplicateValues" dxfId="5761" priority="408" stopIfTrue="1"/>
    <cfRule type="duplicateValues" dxfId="5760" priority="409" stopIfTrue="1"/>
  </conditionalFormatting>
  <conditionalFormatting sqref="C28">
    <cfRule type="duplicateValues" dxfId="5759" priority="407" stopIfTrue="1"/>
  </conditionalFormatting>
  <conditionalFormatting sqref="C29">
    <cfRule type="duplicateValues" dxfId="5758" priority="405" stopIfTrue="1"/>
    <cfRule type="duplicateValues" dxfId="5757" priority="406" stopIfTrue="1"/>
  </conditionalFormatting>
  <conditionalFormatting sqref="C29">
    <cfRule type="duplicateValues" dxfId="5756" priority="404" stopIfTrue="1"/>
  </conditionalFormatting>
  <conditionalFormatting sqref="C30">
    <cfRule type="duplicateValues" dxfId="5755" priority="402" stopIfTrue="1"/>
    <cfRule type="duplicateValues" dxfId="5754" priority="403" stopIfTrue="1"/>
  </conditionalFormatting>
  <conditionalFormatting sqref="C30">
    <cfRule type="duplicateValues" dxfId="5753" priority="401" stopIfTrue="1"/>
  </conditionalFormatting>
  <conditionalFormatting sqref="C32">
    <cfRule type="duplicateValues" dxfId="5752" priority="399" stopIfTrue="1"/>
    <cfRule type="duplicateValues" dxfId="5751" priority="400" stopIfTrue="1"/>
  </conditionalFormatting>
  <conditionalFormatting sqref="C32">
    <cfRule type="duplicateValues" dxfId="5750" priority="398" stopIfTrue="1"/>
  </conditionalFormatting>
  <conditionalFormatting sqref="C33">
    <cfRule type="duplicateValues" dxfId="5749" priority="396" stopIfTrue="1"/>
    <cfRule type="duplicateValues" dxfId="5748" priority="397" stopIfTrue="1"/>
  </conditionalFormatting>
  <conditionalFormatting sqref="C33">
    <cfRule type="duplicateValues" dxfId="5747" priority="395" stopIfTrue="1"/>
  </conditionalFormatting>
  <conditionalFormatting sqref="C242">
    <cfRule type="duplicateValues" dxfId="5746" priority="393" stopIfTrue="1"/>
    <cfRule type="duplicateValues" dxfId="5745" priority="394" stopIfTrue="1"/>
  </conditionalFormatting>
  <conditionalFormatting sqref="C242">
    <cfRule type="duplicateValues" dxfId="5744" priority="392" stopIfTrue="1"/>
  </conditionalFormatting>
  <conditionalFormatting sqref="C35">
    <cfRule type="duplicateValues" dxfId="5743" priority="390" stopIfTrue="1"/>
    <cfRule type="duplicateValues" dxfId="5742" priority="391" stopIfTrue="1"/>
  </conditionalFormatting>
  <conditionalFormatting sqref="C35">
    <cfRule type="duplicateValues" dxfId="5741" priority="389" stopIfTrue="1"/>
  </conditionalFormatting>
  <conditionalFormatting sqref="C36">
    <cfRule type="duplicateValues" dxfId="5740" priority="387" stopIfTrue="1"/>
    <cfRule type="duplicateValues" dxfId="5739" priority="388" stopIfTrue="1"/>
  </conditionalFormatting>
  <conditionalFormatting sqref="C36">
    <cfRule type="duplicateValues" dxfId="5738" priority="386" stopIfTrue="1"/>
  </conditionalFormatting>
  <conditionalFormatting sqref="C39">
    <cfRule type="duplicateValues" dxfId="5737" priority="384" stopIfTrue="1"/>
    <cfRule type="duplicateValues" dxfId="5736" priority="385" stopIfTrue="1"/>
  </conditionalFormatting>
  <conditionalFormatting sqref="C39">
    <cfRule type="duplicateValues" dxfId="5735" priority="383" stopIfTrue="1"/>
  </conditionalFormatting>
  <conditionalFormatting sqref="C40">
    <cfRule type="duplicateValues" dxfId="5734" priority="381" stopIfTrue="1"/>
    <cfRule type="duplicateValues" dxfId="5733" priority="382" stopIfTrue="1"/>
  </conditionalFormatting>
  <conditionalFormatting sqref="C40">
    <cfRule type="duplicateValues" dxfId="5732" priority="380" stopIfTrue="1"/>
  </conditionalFormatting>
  <conditionalFormatting sqref="C41">
    <cfRule type="duplicateValues" dxfId="5731" priority="378" stopIfTrue="1"/>
    <cfRule type="duplicateValues" dxfId="5730" priority="379" stopIfTrue="1"/>
  </conditionalFormatting>
  <conditionalFormatting sqref="C41">
    <cfRule type="duplicateValues" dxfId="5729" priority="377" stopIfTrue="1"/>
  </conditionalFormatting>
  <conditionalFormatting sqref="C45">
    <cfRule type="duplicateValues" dxfId="5728" priority="375" stopIfTrue="1"/>
    <cfRule type="duplicateValues" dxfId="5727" priority="376" stopIfTrue="1"/>
  </conditionalFormatting>
  <conditionalFormatting sqref="C45">
    <cfRule type="duplicateValues" dxfId="5726" priority="374" stopIfTrue="1"/>
  </conditionalFormatting>
  <conditionalFormatting sqref="C46">
    <cfRule type="duplicateValues" dxfId="5725" priority="372" stopIfTrue="1"/>
    <cfRule type="duplicateValues" dxfId="5724" priority="373" stopIfTrue="1"/>
  </conditionalFormatting>
  <conditionalFormatting sqref="C46">
    <cfRule type="duplicateValues" dxfId="5723" priority="371" stopIfTrue="1"/>
  </conditionalFormatting>
  <conditionalFormatting sqref="C47">
    <cfRule type="duplicateValues" dxfId="5722" priority="369" stopIfTrue="1"/>
    <cfRule type="duplicateValues" dxfId="5721" priority="370" stopIfTrue="1"/>
  </conditionalFormatting>
  <conditionalFormatting sqref="C47">
    <cfRule type="duplicateValues" dxfId="5720" priority="368" stopIfTrue="1"/>
  </conditionalFormatting>
  <conditionalFormatting sqref="C48">
    <cfRule type="duplicateValues" dxfId="5719" priority="366" stopIfTrue="1"/>
    <cfRule type="duplicateValues" dxfId="5718" priority="367" stopIfTrue="1"/>
  </conditionalFormatting>
  <conditionalFormatting sqref="C48">
    <cfRule type="duplicateValues" dxfId="5717" priority="365" stopIfTrue="1"/>
  </conditionalFormatting>
  <conditionalFormatting sqref="C49">
    <cfRule type="duplicateValues" dxfId="5716" priority="363" stopIfTrue="1"/>
    <cfRule type="duplicateValues" dxfId="5715" priority="364" stopIfTrue="1"/>
  </conditionalFormatting>
  <conditionalFormatting sqref="C49">
    <cfRule type="duplicateValues" dxfId="5714" priority="362" stopIfTrue="1"/>
  </conditionalFormatting>
  <conditionalFormatting sqref="C50">
    <cfRule type="duplicateValues" dxfId="5713" priority="360" stopIfTrue="1"/>
    <cfRule type="duplicateValues" dxfId="5712" priority="361" stopIfTrue="1"/>
  </conditionalFormatting>
  <conditionalFormatting sqref="C50">
    <cfRule type="duplicateValues" dxfId="5711" priority="359" stopIfTrue="1"/>
  </conditionalFormatting>
  <conditionalFormatting sqref="C51">
    <cfRule type="duplicateValues" dxfId="5710" priority="357" stopIfTrue="1"/>
    <cfRule type="duplicateValues" dxfId="5709" priority="358" stopIfTrue="1"/>
  </conditionalFormatting>
  <conditionalFormatting sqref="C51">
    <cfRule type="duplicateValues" dxfId="5708" priority="356" stopIfTrue="1"/>
  </conditionalFormatting>
  <conditionalFormatting sqref="C52">
    <cfRule type="duplicateValues" dxfId="5707" priority="354" stopIfTrue="1"/>
    <cfRule type="duplicateValues" dxfId="5706" priority="355" stopIfTrue="1"/>
  </conditionalFormatting>
  <conditionalFormatting sqref="C52">
    <cfRule type="duplicateValues" dxfId="5705" priority="353" stopIfTrue="1"/>
  </conditionalFormatting>
  <conditionalFormatting sqref="C53">
    <cfRule type="duplicateValues" dxfId="5704" priority="351" stopIfTrue="1"/>
    <cfRule type="duplicateValues" dxfId="5703" priority="352" stopIfTrue="1"/>
  </conditionalFormatting>
  <conditionalFormatting sqref="C53">
    <cfRule type="duplicateValues" dxfId="5702" priority="350" stopIfTrue="1"/>
  </conditionalFormatting>
  <conditionalFormatting sqref="C54">
    <cfRule type="duplicateValues" dxfId="5701" priority="348" stopIfTrue="1"/>
    <cfRule type="duplicateValues" dxfId="5700" priority="349" stopIfTrue="1"/>
  </conditionalFormatting>
  <conditionalFormatting sqref="C54">
    <cfRule type="duplicateValues" dxfId="5699" priority="347" stopIfTrue="1"/>
  </conditionalFormatting>
  <conditionalFormatting sqref="C55">
    <cfRule type="duplicateValues" dxfId="5698" priority="345" stopIfTrue="1"/>
    <cfRule type="duplicateValues" dxfId="5697" priority="346" stopIfTrue="1"/>
  </conditionalFormatting>
  <conditionalFormatting sqref="C55">
    <cfRule type="duplicateValues" dxfId="5696" priority="344" stopIfTrue="1"/>
  </conditionalFormatting>
  <conditionalFormatting sqref="C57">
    <cfRule type="duplicateValues" dxfId="5695" priority="342" stopIfTrue="1"/>
    <cfRule type="duplicateValues" dxfId="5694" priority="343" stopIfTrue="1"/>
  </conditionalFormatting>
  <conditionalFormatting sqref="C57">
    <cfRule type="duplicateValues" dxfId="5693" priority="341" stopIfTrue="1"/>
  </conditionalFormatting>
  <conditionalFormatting sqref="C58">
    <cfRule type="duplicateValues" dxfId="5692" priority="339" stopIfTrue="1"/>
    <cfRule type="duplicateValues" dxfId="5691" priority="340" stopIfTrue="1"/>
  </conditionalFormatting>
  <conditionalFormatting sqref="C58">
    <cfRule type="duplicateValues" dxfId="5690" priority="338" stopIfTrue="1"/>
  </conditionalFormatting>
  <conditionalFormatting sqref="C59">
    <cfRule type="duplicateValues" dxfId="5689" priority="336" stopIfTrue="1"/>
    <cfRule type="duplicateValues" dxfId="5688" priority="337" stopIfTrue="1"/>
  </conditionalFormatting>
  <conditionalFormatting sqref="C59">
    <cfRule type="duplicateValues" dxfId="5687" priority="335" stopIfTrue="1"/>
  </conditionalFormatting>
  <conditionalFormatting sqref="C60">
    <cfRule type="duplicateValues" dxfId="5686" priority="333" stopIfTrue="1"/>
    <cfRule type="duplicateValues" dxfId="5685" priority="334" stopIfTrue="1"/>
  </conditionalFormatting>
  <conditionalFormatting sqref="C60">
    <cfRule type="duplicateValues" dxfId="5684" priority="332" stopIfTrue="1"/>
  </conditionalFormatting>
  <conditionalFormatting sqref="C63">
    <cfRule type="duplicateValues" dxfId="5683" priority="330" stopIfTrue="1"/>
    <cfRule type="duplicateValues" dxfId="5682" priority="331" stopIfTrue="1"/>
  </conditionalFormatting>
  <conditionalFormatting sqref="C63">
    <cfRule type="duplicateValues" dxfId="5681" priority="329" stopIfTrue="1"/>
  </conditionalFormatting>
  <conditionalFormatting sqref="C64">
    <cfRule type="duplicateValues" dxfId="5680" priority="327" stopIfTrue="1"/>
    <cfRule type="duplicateValues" dxfId="5679" priority="328" stopIfTrue="1"/>
  </conditionalFormatting>
  <conditionalFormatting sqref="C64">
    <cfRule type="duplicateValues" dxfId="5678" priority="326" stopIfTrue="1"/>
  </conditionalFormatting>
  <conditionalFormatting sqref="C66">
    <cfRule type="duplicateValues" dxfId="5677" priority="324" stopIfTrue="1"/>
    <cfRule type="duplicateValues" dxfId="5676" priority="325" stopIfTrue="1"/>
  </conditionalFormatting>
  <conditionalFormatting sqref="C66">
    <cfRule type="duplicateValues" dxfId="5675" priority="323" stopIfTrue="1"/>
  </conditionalFormatting>
  <conditionalFormatting sqref="C67">
    <cfRule type="duplicateValues" dxfId="5674" priority="321" stopIfTrue="1"/>
    <cfRule type="duplicateValues" dxfId="5673" priority="322" stopIfTrue="1"/>
  </conditionalFormatting>
  <conditionalFormatting sqref="C67">
    <cfRule type="duplicateValues" dxfId="5672" priority="320" stopIfTrue="1"/>
  </conditionalFormatting>
  <conditionalFormatting sqref="C68">
    <cfRule type="duplicateValues" dxfId="5671" priority="318" stopIfTrue="1"/>
    <cfRule type="duplicateValues" dxfId="5670" priority="319" stopIfTrue="1"/>
  </conditionalFormatting>
  <conditionalFormatting sqref="C68">
    <cfRule type="duplicateValues" dxfId="5669" priority="317" stopIfTrue="1"/>
  </conditionalFormatting>
  <conditionalFormatting sqref="C70">
    <cfRule type="duplicateValues" dxfId="5668" priority="315" stopIfTrue="1"/>
    <cfRule type="duplicateValues" dxfId="5667" priority="316" stopIfTrue="1"/>
  </conditionalFormatting>
  <conditionalFormatting sqref="C70">
    <cfRule type="duplicateValues" dxfId="5666" priority="314" stopIfTrue="1"/>
  </conditionalFormatting>
  <conditionalFormatting sqref="C71">
    <cfRule type="duplicateValues" dxfId="5665" priority="312" stopIfTrue="1"/>
    <cfRule type="duplicateValues" dxfId="5664" priority="313" stopIfTrue="1"/>
  </conditionalFormatting>
  <conditionalFormatting sqref="C71">
    <cfRule type="duplicateValues" dxfId="5663" priority="311" stopIfTrue="1"/>
  </conditionalFormatting>
  <conditionalFormatting sqref="C73">
    <cfRule type="duplicateValues" dxfId="5662" priority="309" stopIfTrue="1"/>
    <cfRule type="duplicateValues" dxfId="5661" priority="310" stopIfTrue="1"/>
  </conditionalFormatting>
  <conditionalFormatting sqref="C73">
    <cfRule type="duplicateValues" dxfId="5660" priority="308" stopIfTrue="1"/>
  </conditionalFormatting>
  <conditionalFormatting sqref="C74">
    <cfRule type="duplicateValues" dxfId="5659" priority="306" stopIfTrue="1"/>
    <cfRule type="duplicateValues" dxfId="5658" priority="307" stopIfTrue="1"/>
  </conditionalFormatting>
  <conditionalFormatting sqref="C74">
    <cfRule type="duplicateValues" dxfId="5657" priority="305" stopIfTrue="1"/>
  </conditionalFormatting>
  <conditionalFormatting sqref="C75">
    <cfRule type="duplicateValues" dxfId="5656" priority="303" stopIfTrue="1"/>
    <cfRule type="duplicateValues" dxfId="5655" priority="304" stopIfTrue="1"/>
  </conditionalFormatting>
  <conditionalFormatting sqref="C75">
    <cfRule type="duplicateValues" dxfId="5654" priority="302" stopIfTrue="1"/>
  </conditionalFormatting>
  <conditionalFormatting sqref="C77">
    <cfRule type="duplicateValues" dxfId="5653" priority="300" stopIfTrue="1"/>
    <cfRule type="duplicateValues" dxfId="5652" priority="301" stopIfTrue="1"/>
  </conditionalFormatting>
  <conditionalFormatting sqref="C77">
    <cfRule type="duplicateValues" dxfId="5651" priority="299" stopIfTrue="1"/>
  </conditionalFormatting>
  <conditionalFormatting sqref="C78">
    <cfRule type="duplicateValues" dxfId="5650" priority="297" stopIfTrue="1"/>
    <cfRule type="duplicateValues" dxfId="5649" priority="298" stopIfTrue="1"/>
  </conditionalFormatting>
  <conditionalFormatting sqref="C78">
    <cfRule type="duplicateValues" dxfId="5648" priority="296" stopIfTrue="1"/>
  </conditionalFormatting>
  <conditionalFormatting sqref="C79">
    <cfRule type="duplicateValues" dxfId="5647" priority="294" stopIfTrue="1"/>
    <cfRule type="duplicateValues" dxfId="5646" priority="295" stopIfTrue="1"/>
  </conditionalFormatting>
  <conditionalFormatting sqref="C79">
    <cfRule type="duplicateValues" dxfId="5645" priority="293" stopIfTrue="1"/>
  </conditionalFormatting>
  <conditionalFormatting sqref="C80">
    <cfRule type="duplicateValues" dxfId="5644" priority="291" stopIfTrue="1"/>
    <cfRule type="duplicateValues" dxfId="5643" priority="292" stopIfTrue="1"/>
  </conditionalFormatting>
  <conditionalFormatting sqref="C80">
    <cfRule type="duplicateValues" dxfId="5642" priority="290" stopIfTrue="1"/>
  </conditionalFormatting>
  <conditionalFormatting sqref="C81">
    <cfRule type="duplicateValues" dxfId="5641" priority="288" stopIfTrue="1"/>
    <cfRule type="duplicateValues" dxfId="5640" priority="289" stopIfTrue="1"/>
  </conditionalFormatting>
  <conditionalFormatting sqref="C81">
    <cfRule type="duplicateValues" dxfId="5639" priority="287" stopIfTrue="1"/>
  </conditionalFormatting>
  <conditionalFormatting sqref="C82">
    <cfRule type="duplicateValues" dxfId="5638" priority="285" stopIfTrue="1"/>
    <cfRule type="duplicateValues" dxfId="5637" priority="286" stopIfTrue="1"/>
  </conditionalFormatting>
  <conditionalFormatting sqref="C82">
    <cfRule type="duplicateValues" dxfId="5636" priority="284" stopIfTrue="1"/>
  </conditionalFormatting>
  <conditionalFormatting sqref="C83">
    <cfRule type="duplicateValues" dxfId="5635" priority="282" stopIfTrue="1"/>
    <cfRule type="duplicateValues" dxfId="5634" priority="283" stopIfTrue="1"/>
  </conditionalFormatting>
  <conditionalFormatting sqref="C83">
    <cfRule type="duplicateValues" dxfId="5633" priority="281" stopIfTrue="1"/>
  </conditionalFormatting>
  <conditionalFormatting sqref="C84">
    <cfRule type="duplicateValues" dxfId="5632" priority="279" stopIfTrue="1"/>
    <cfRule type="duplicateValues" dxfId="5631" priority="280" stopIfTrue="1"/>
  </conditionalFormatting>
  <conditionalFormatting sqref="C84">
    <cfRule type="duplicateValues" dxfId="5630" priority="278" stopIfTrue="1"/>
  </conditionalFormatting>
  <conditionalFormatting sqref="C85">
    <cfRule type="duplicateValues" dxfId="5629" priority="276" stopIfTrue="1"/>
    <cfRule type="duplicateValues" dxfId="5628" priority="277" stopIfTrue="1"/>
  </conditionalFormatting>
  <conditionalFormatting sqref="C85">
    <cfRule type="duplicateValues" dxfId="5627" priority="275" stopIfTrue="1"/>
  </conditionalFormatting>
  <conditionalFormatting sqref="C86">
    <cfRule type="duplicateValues" dxfId="5626" priority="273" stopIfTrue="1"/>
    <cfRule type="duplicateValues" dxfId="5625" priority="274" stopIfTrue="1"/>
  </conditionalFormatting>
  <conditionalFormatting sqref="C86">
    <cfRule type="duplicateValues" dxfId="5624" priority="272" stopIfTrue="1"/>
  </conditionalFormatting>
  <conditionalFormatting sqref="C87">
    <cfRule type="duplicateValues" dxfId="5623" priority="270" stopIfTrue="1"/>
    <cfRule type="duplicateValues" dxfId="5622" priority="271" stopIfTrue="1"/>
  </conditionalFormatting>
  <conditionalFormatting sqref="C87">
    <cfRule type="duplicateValues" dxfId="5621" priority="269" stopIfTrue="1"/>
  </conditionalFormatting>
  <conditionalFormatting sqref="C88">
    <cfRule type="duplicateValues" dxfId="5620" priority="267" stopIfTrue="1"/>
    <cfRule type="duplicateValues" dxfId="5619" priority="268" stopIfTrue="1"/>
  </conditionalFormatting>
  <conditionalFormatting sqref="C88">
    <cfRule type="duplicateValues" dxfId="5618" priority="266" stopIfTrue="1"/>
  </conditionalFormatting>
  <conditionalFormatting sqref="C243">
    <cfRule type="duplicateValues" dxfId="5617" priority="264" stopIfTrue="1"/>
    <cfRule type="duplicateValues" dxfId="5616" priority="265" stopIfTrue="1"/>
  </conditionalFormatting>
  <conditionalFormatting sqref="C243">
    <cfRule type="duplicateValues" dxfId="5615" priority="263" stopIfTrue="1"/>
  </conditionalFormatting>
  <conditionalFormatting sqref="C89">
    <cfRule type="duplicateValues" dxfId="5614" priority="261" stopIfTrue="1"/>
    <cfRule type="duplicateValues" dxfId="5613" priority="262" stopIfTrue="1"/>
  </conditionalFormatting>
  <conditionalFormatting sqref="C89">
    <cfRule type="duplicateValues" dxfId="5612" priority="260" stopIfTrue="1"/>
  </conditionalFormatting>
  <conditionalFormatting sqref="C90">
    <cfRule type="duplicateValues" dxfId="5611" priority="258" stopIfTrue="1"/>
    <cfRule type="duplicateValues" dxfId="5610" priority="259" stopIfTrue="1"/>
  </conditionalFormatting>
  <conditionalFormatting sqref="C90">
    <cfRule type="duplicateValues" dxfId="5609" priority="257" stopIfTrue="1"/>
  </conditionalFormatting>
  <conditionalFormatting sqref="C92">
    <cfRule type="duplicateValues" dxfId="5608" priority="255" stopIfTrue="1"/>
    <cfRule type="duplicateValues" dxfId="5607" priority="256" stopIfTrue="1"/>
  </conditionalFormatting>
  <conditionalFormatting sqref="C92">
    <cfRule type="duplicateValues" dxfId="5606" priority="254" stopIfTrue="1"/>
  </conditionalFormatting>
  <conditionalFormatting sqref="C93">
    <cfRule type="duplicateValues" dxfId="5605" priority="252" stopIfTrue="1"/>
    <cfRule type="duplicateValues" dxfId="5604" priority="253" stopIfTrue="1"/>
  </conditionalFormatting>
  <conditionalFormatting sqref="C93">
    <cfRule type="duplicateValues" dxfId="5603" priority="251" stopIfTrue="1"/>
  </conditionalFormatting>
  <conditionalFormatting sqref="C94">
    <cfRule type="duplicateValues" dxfId="5602" priority="249" stopIfTrue="1"/>
    <cfRule type="duplicateValues" dxfId="5601" priority="250" stopIfTrue="1"/>
  </conditionalFormatting>
  <conditionalFormatting sqref="C94">
    <cfRule type="duplicateValues" dxfId="5600" priority="248" stopIfTrue="1"/>
  </conditionalFormatting>
  <conditionalFormatting sqref="C97">
    <cfRule type="duplicateValues" dxfId="5599" priority="246" stopIfTrue="1"/>
    <cfRule type="duplicateValues" dxfId="5598" priority="247" stopIfTrue="1"/>
  </conditionalFormatting>
  <conditionalFormatting sqref="C97">
    <cfRule type="duplicateValues" dxfId="5597" priority="245" stopIfTrue="1"/>
  </conditionalFormatting>
  <conditionalFormatting sqref="C98">
    <cfRule type="duplicateValues" dxfId="5596" priority="243" stopIfTrue="1"/>
    <cfRule type="duplicateValues" dxfId="5595" priority="244" stopIfTrue="1"/>
  </conditionalFormatting>
  <conditionalFormatting sqref="C98">
    <cfRule type="duplicateValues" dxfId="5594" priority="242" stopIfTrue="1"/>
  </conditionalFormatting>
  <conditionalFormatting sqref="C99">
    <cfRule type="duplicateValues" dxfId="5593" priority="240" stopIfTrue="1"/>
    <cfRule type="duplicateValues" dxfId="5592" priority="241" stopIfTrue="1"/>
  </conditionalFormatting>
  <conditionalFormatting sqref="C99">
    <cfRule type="duplicateValues" dxfId="5591" priority="239" stopIfTrue="1"/>
  </conditionalFormatting>
  <conditionalFormatting sqref="C202">
    <cfRule type="duplicateValues" dxfId="5590" priority="237" stopIfTrue="1"/>
    <cfRule type="duplicateValues" dxfId="5589" priority="238" stopIfTrue="1"/>
  </conditionalFormatting>
  <conditionalFormatting sqref="C202">
    <cfRule type="duplicateValues" dxfId="5588" priority="236" stopIfTrue="1"/>
  </conditionalFormatting>
  <conditionalFormatting sqref="C100">
    <cfRule type="duplicateValues" dxfId="5587" priority="234" stopIfTrue="1"/>
    <cfRule type="duplicateValues" dxfId="5586" priority="235" stopIfTrue="1"/>
  </conditionalFormatting>
  <conditionalFormatting sqref="C100">
    <cfRule type="duplicateValues" dxfId="5585" priority="233" stopIfTrue="1"/>
  </conditionalFormatting>
  <conditionalFormatting sqref="C101">
    <cfRule type="duplicateValues" dxfId="5584" priority="231" stopIfTrue="1"/>
    <cfRule type="duplicateValues" dxfId="5583" priority="232" stopIfTrue="1"/>
  </conditionalFormatting>
  <conditionalFormatting sqref="C101">
    <cfRule type="duplicateValues" dxfId="5582" priority="230" stopIfTrue="1"/>
  </conditionalFormatting>
  <conditionalFormatting sqref="C102">
    <cfRule type="duplicateValues" dxfId="5581" priority="228" stopIfTrue="1"/>
    <cfRule type="duplicateValues" dxfId="5580" priority="229" stopIfTrue="1"/>
  </conditionalFormatting>
  <conditionalFormatting sqref="C102">
    <cfRule type="duplicateValues" dxfId="5579" priority="227" stopIfTrue="1"/>
  </conditionalFormatting>
  <conditionalFormatting sqref="C103">
    <cfRule type="duplicateValues" dxfId="5578" priority="225" stopIfTrue="1"/>
    <cfRule type="duplicateValues" dxfId="5577" priority="226" stopIfTrue="1"/>
  </conditionalFormatting>
  <conditionalFormatting sqref="C103">
    <cfRule type="duplicateValues" dxfId="5576" priority="224" stopIfTrue="1"/>
  </conditionalFormatting>
  <conditionalFormatting sqref="C104">
    <cfRule type="duplicateValues" dxfId="5575" priority="222" stopIfTrue="1"/>
    <cfRule type="duplicateValues" dxfId="5574" priority="223" stopIfTrue="1"/>
  </conditionalFormatting>
  <conditionalFormatting sqref="C104">
    <cfRule type="duplicateValues" dxfId="5573" priority="221" stopIfTrue="1"/>
  </conditionalFormatting>
  <conditionalFormatting sqref="C105">
    <cfRule type="duplicateValues" dxfId="5572" priority="219" stopIfTrue="1"/>
    <cfRule type="duplicateValues" dxfId="5571" priority="220" stopIfTrue="1"/>
  </conditionalFormatting>
  <conditionalFormatting sqref="C105">
    <cfRule type="duplicateValues" dxfId="5570" priority="218" stopIfTrue="1"/>
  </conditionalFormatting>
  <conditionalFormatting sqref="C244">
    <cfRule type="duplicateValues" dxfId="5569" priority="216" stopIfTrue="1"/>
    <cfRule type="duplicateValues" dxfId="5568" priority="217" stopIfTrue="1"/>
  </conditionalFormatting>
  <conditionalFormatting sqref="C244">
    <cfRule type="duplicateValues" dxfId="5567" priority="215" stopIfTrue="1"/>
  </conditionalFormatting>
  <conditionalFormatting sqref="C106">
    <cfRule type="duplicateValues" dxfId="5566" priority="213" stopIfTrue="1"/>
    <cfRule type="duplicateValues" dxfId="5565" priority="214" stopIfTrue="1"/>
  </conditionalFormatting>
  <conditionalFormatting sqref="C106">
    <cfRule type="duplicateValues" dxfId="5564" priority="212" stopIfTrue="1"/>
  </conditionalFormatting>
  <conditionalFormatting sqref="C107">
    <cfRule type="duplicateValues" dxfId="5563" priority="210" stopIfTrue="1"/>
    <cfRule type="duplicateValues" dxfId="5562" priority="211" stopIfTrue="1"/>
  </conditionalFormatting>
  <conditionalFormatting sqref="C107">
    <cfRule type="duplicateValues" dxfId="5561" priority="209" stopIfTrue="1"/>
  </conditionalFormatting>
  <conditionalFormatting sqref="C108">
    <cfRule type="duplicateValues" dxfId="5560" priority="207" stopIfTrue="1"/>
    <cfRule type="duplicateValues" dxfId="5559" priority="208" stopIfTrue="1"/>
  </conditionalFormatting>
  <conditionalFormatting sqref="C108">
    <cfRule type="duplicateValues" dxfId="5558" priority="206" stopIfTrue="1"/>
  </conditionalFormatting>
  <conditionalFormatting sqref="C109">
    <cfRule type="duplicateValues" dxfId="5557" priority="204" stopIfTrue="1"/>
    <cfRule type="duplicateValues" dxfId="5556" priority="205" stopIfTrue="1"/>
  </conditionalFormatting>
  <conditionalFormatting sqref="C109">
    <cfRule type="duplicateValues" dxfId="5555" priority="203" stopIfTrue="1"/>
  </conditionalFormatting>
  <conditionalFormatting sqref="C110">
    <cfRule type="duplicateValues" dxfId="5554" priority="201" stopIfTrue="1"/>
    <cfRule type="duplicateValues" dxfId="5553" priority="202" stopIfTrue="1"/>
  </conditionalFormatting>
  <conditionalFormatting sqref="C110">
    <cfRule type="duplicateValues" dxfId="5552" priority="200" stopIfTrue="1"/>
  </conditionalFormatting>
  <conditionalFormatting sqref="C111">
    <cfRule type="duplicateValues" dxfId="5551" priority="198" stopIfTrue="1"/>
    <cfRule type="duplicateValues" dxfId="5550" priority="199" stopIfTrue="1"/>
  </conditionalFormatting>
  <conditionalFormatting sqref="C111">
    <cfRule type="duplicateValues" dxfId="5549" priority="197" stopIfTrue="1"/>
  </conditionalFormatting>
  <conditionalFormatting sqref="C112">
    <cfRule type="duplicateValues" dxfId="5548" priority="195" stopIfTrue="1"/>
    <cfRule type="duplicateValues" dxfId="5547" priority="196" stopIfTrue="1"/>
  </conditionalFormatting>
  <conditionalFormatting sqref="C112">
    <cfRule type="duplicateValues" dxfId="5546" priority="194" stopIfTrue="1"/>
  </conditionalFormatting>
  <conditionalFormatting sqref="C113">
    <cfRule type="duplicateValues" dxfId="5545" priority="192" stopIfTrue="1"/>
    <cfRule type="duplicateValues" dxfId="5544" priority="193" stopIfTrue="1"/>
  </conditionalFormatting>
  <conditionalFormatting sqref="C113">
    <cfRule type="duplicateValues" dxfId="5543" priority="191" stopIfTrue="1"/>
  </conditionalFormatting>
  <conditionalFormatting sqref="C115">
    <cfRule type="duplicateValues" dxfId="5542" priority="189" stopIfTrue="1"/>
    <cfRule type="duplicateValues" dxfId="5541" priority="190" stopIfTrue="1"/>
  </conditionalFormatting>
  <conditionalFormatting sqref="C115">
    <cfRule type="duplicateValues" dxfId="5540" priority="188" stopIfTrue="1"/>
  </conditionalFormatting>
  <conditionalFormatting sqref="C116">
    <cfRule type="duplicateValues" dxfId="5539" priority="186" stopIfTrue="1"/>
    <cfRule type="duplicateValues" dxfId="5538" priority="187" stopIfTrue="1"/>
  </conditionalFormatting>
  <conditionalFormatting sqref="C116">
    <cfRule type="duplicateValues" dxfId="5537" priority="185" stopIfTrue="1"/>
  </conditionalFormatting>
  <conditionalFormatting sqref="C117">
    <cfRule type="duplicateValues" dxfId="5536" priority="183" stopIfTrue="1"/>
    <cfRule type="duplicateValues" dxfId="5535" priority="184" stopIfTrue="1"/>
  </conditionalFormatting>
  <conditionalFormatting sqref="C117">
    <cfRule type="duplicateValues" dxfId="5534" priority="182" stopIfTrue="1"/>
  </conditionalFormatting>
  <conditionalFormatting sqref="C119">
    <cfRule type="duplicateValues" dxfId="5533" priority="180" stopIfTrue="1"/>
    <cfRule type="duplicateValues" dxfId="5532" priority="181" stopIfTrue="1"/>
  </conditionalFormatting>
  <conditionalFormatting sqref="C119">
    <cfRule type="duplicateValues" dxfId="5531" priority="179" stopIfTrue="1"/>
  </conditionalFormatting>
  <conditionalFormatting sqref="C120">
    <cfRule type="duplicateValues" dxfId="5530" priority="177" stopIfTrue="1"/>
    <cfRule type="duplicateValues" dxfId="5529" priority="178" stopIfTrue="1"/>
  </conditionalFormatting>
  <conditionalFormatting sqref="C120">
    <cfRule type="duplicateValues" dxfId="5528" priority="176" stopIfTrue="1"/>
  </conditionalFormatting>
  <conditionalFormatting sqref="C203">
    <cfRule type="duplicateValues" dxfId="5527" priority="174" stopIfTrue="1"/>
    <cfRule type="duplicateValues" dxfId="5526" priority="175" stopIfTrue="1"/>
  </conditionalFormatting>
  <conditionalFormatting sqref="C203">
    <cfRule type="duplicateValues" dxfId="5525" priority="173" stopIfTrue="1"/>
  </conditionalFormatting>
  <conditionalFormatting sqref="C122">
    <cfRule type="duplicateValues" dxfId="5524" priority="171" stopIfTrue="1"/>
    <cfRule type="duplicateValues" dxfId="5523" priority="172" stopIfTrue="1"/>
  </conditionalFormatting>
  <conditionalFormatting sqref="C122">
    <cfRule type="duplicateValues" dxfId="5522" priority="170" stopIfTrue="1"/>
  </conditionalFormatting>
  <conditionalFormatting sqref="C124">
    <cfRule type="duplicateValues" dxfId="5521" priority="168" stopIfTrue="1"/>
    <cfRule type="duplicateValues" dxfId="5520" priority="169" stopIfTrue="1"/>
  </conditionalFormatting>
  <conditionalFormatting sqref="C124">
    <cfRule type="duplicateValues" dxfId="5519" priority="167" stopIfTrue="1"/>
  </conditionalFormatting>
  <conditionalFormatting sqref="C125">
    <cfRule type="duplicateValues" dxfId="5518" priority="165" stopIfTrue="1"/>
    <cfRule type="duplicateValues" dxfId="5517" priority="166" stopIfTrue="1"/>
  </conditionalFormatting>
  <conditionalFormatting sqref="C125">
    <cfRule type="duplicateValues" dxfId="5516" priority="164" stopIfTrue="1"/>
  </conditionalFormatting>
  <conditionalFormatting sqref="C126">
    <cfRule type="duplicateValues" dxfId="5515" priority="162" stopIfTrue="1"/>
    <cfRule type="duplicateValues" dxfId="5514" priority="163" stopIfTrue="1"/>
  </conditionalFormatting>
  <conditionalFormatting sqref="C126">
    <cfRule type="duplicateValues" dxfId="5513" priority="161" stopIfTrue="1"/>
  </conditionalFormatting>
  <conditionalFormatting sqref="C127">
    <cfRule type="duplicateValues" dxfId="5512" priority="159" stopIfTrue="1"/>
    <cfRule type="duplicateValues" dxfId="5511" priority="160" stopIfTrue="1"/>
  </conditionalFormatting>
  <conditionalFormatting sqref="C127">
    <cfRule type="duplicateValues" dxfId="5510" priority="158" stopIfTrue="1"/>
  </conditionalFormatting>
  <conditionalFormatting sqref="C128">
    <cfRule type="duplicateValues" dxfId="5509" priority="156" stopIfTrue="1"/>
    <cfRule type="duplicateValues" dxfId="5508" priority="157" stopIfTrue="1"/>
  </conditionalFormatting>
  <conditionalFormatting sqref="C128">
    <cfRule type="duplicateValues" dxfId="5507" priority="155" stopIfTrue="1"/>
  </conditionalFormatting>
  <conditionalFormatting sqref="C129">
    <cfRule type="duplicateValues" dxfId="5506" priority="153" stopIfTrue="1"/>
    <cfRule type="duplicateValues" dxfId="5505" priority="154" stopIfTrue="1"/>
  </conditionalFormatting>
  <conditionalFormatting sqref="C129">
    <cfRule type="duplicateValues" dxfId="5504" priority="152" stopIfTrue="1"/>
  </conditionalFormatting>
  <conditionalFormatting sqref="C8">
    <cfRule type="duplicateValues" dxfId="5503" priority="150" stopIfTrue="1"/>
    <cfRule type="duplicateValues" dxfId="5502" priority="151" stopIfTrue="1"/>
  </conditionalFormatting>
  <conditionalFormatting sqref="C8">
    <cfRule type="duplicateValues" dxfId="5501" priority="149" stopIfTrue="1"/>
  </conditionalFormatting>
  <conditionalFormatting sqref="C218">
    <cfRule type="duplicateValues" dxfId="5500" priority="147" stopIfTrue="1"/>
    <cfRule type="duplicateValues" dxfId="5499" priority="148" stopIfTrue="1"/>
  </conditionalFormatting>
  <conditionalFormatting sqref="C218">
    <cfRule type="duplicateValues" dxfId="5498" priority="146" stopIfTrue="1"/>
  </conditionalFormatting>
  <conditionalFormatting sqref="C208">
    <cfRule type="duplicateValues" dxfId="5497" priority="144" stopIfTrue="1"/>
    <cfRule type="duplicateValues" dxfId="5496" priority="145" stopIfTrue="1"/>
  </conditionalFormatting>
  <conditionalFormatting sqref="C208">
    <cfRule type="duplicateValues" dxfId="5495" priority="143" stopIfTrue="1"/>
  </conditionalFormatting>
  <conditionalFormatting sqref="C216">
    <cfRule type="duplicateValues" dxfId="5494" priority="141" stopIfTrue="1"/>
    <cfRule type="duplicateValues" dxfId="5493" priority="142" stopIfTrue="1"/>
  </conditionalFormatting>
  <conditionalFormatting sqref="C216">
    <cfRule type="duplicateValues" dxfId="5492" priority="140" stopIfTrue="1"/>
  </conditionalFormatting>
  <conditionalFormatting sqref="C205">
    <cfRule type="duplicateValues" dxfId="5491" priority="138" stopIfTrue="1"/>
    <cfRule type="duplicateValues" dxfId="5490" priority="139" stopIfTrue="1"/>
  </conditionalFormatting>
  <conditionalFormatting sqref="C205">
    <cfRule type="duplicateValues" dxfId="5489" priority="137" stopIfTrue="1"/>
  </conditionalFormatting>
  <conditionalFormatting sqref="C213">
    <cfRule type="duplicateValues" dxfId="5488" priority="129" stopIfTrue="1"/>
    <cfRule type="duplicateValues" dxfId="5487" priority="130" stopIfTrue="1"/>
  </conditionalFormatting>
  <conditionalFormatting sqref="C213">
    <cfRule type="duplicateValues" dxfId="5486" priority="128" stopIfTrue="1"/>
  </conditionalFormatting>
  <conditionalFormatting sqref="C212">
    <cfRule type="duplicateValues" dxfId="5485" priority="123" stopIfTrue="1"/>
    <cfRule type="duplicateValues" dxfId="5484" priority="124" stopIfTrue="1"/>
  </conditionalFormatting>
  <conditionalFormatting sqref="C212">
    <cfRule type="duplicateValues" dxfId="5483" priority="122" stopIfTrue="1"/>
  </conditionalFormatting>
  <conditionalFormatting sqref="C238">
    <cfRule type="duplicateValues" dxfId="5482" priority="117" stopIfTrue="1"/>
    <cfRule type="duplicateValues" dxfId="5481" priority="118" stopIfTrue="1"/>
  </conditionalFormatting>
  <conditionalFormatting sqref="C238">
    <cfRule type="duplicateValues" dxfId="5480" priority="116" stopIfTrue="1"/>
  </conditionalFormatting>
  <conditionalFormatting sqref="C206">
    <cfRule type="duplicateValues" dxfId="5479" priority="108" stopIfTrue="1"/>
    <cfRule type="duplicateValues" dxfId="5478" priority="109" stopIfTrue="1"/>
  </conditionalFormatting>
  <conditionalFormatting sqref="C206">
    <cfRule type="duplicateValues" dxfId="5477" priority="107" stopIfTrue="1"/>
  </conditionalFormatting>
  <conditionalFormatting sqref="C132">
    <cfRule type="duplicateValues" dxfId="5476" priority="105" stopIfTrue="1"/>
    <cfRule type="duplicateValues" dxfId="5475" priority="106" stopIfTrue="1"/>
  </conditionalFormatting>
  <conditionalFormatting sqref="C132">
    <cfRule type="duplicateValues" dxfId="5474" priority="104" stopIfTrue="1"/>
  </conditionalFormatting>
  <conditionalFormatting sqref="C177">
    <cfRule type="duplicateValues" dxfId="5473" priority="96" stopIfTrue="1"/>
    <cfRule type="duplicateValues" dxfId="5472" priority="97" stopIfTrue="1"/>
  </conditionalFormatting>
  <conditionalFormatting sqref="C177">
    <cfRule type="duplicateValues" dxfId="5471" priority="95" stopIfTrue="1"/>
  </conditionalFormatting>
  <conditionalFormatting sqref="C178">
    <cfRule type="duplicateValues" dxfId="5470" priority="93" stopIfTrue="1"/>
    <cfRule type="duplicateValues" dxfId="5469" priority="94" stopIfTrue="1"/>
  </conditionalFormatting>
  <conditionalFormatting sqref="C178">
    <cfRule type="duplicateValues" dxfId="5468" priority="92" stopIfTrue="1"/>
  </conditionalFormatting>
  <conditionalFormatting sqref="C179">
    <cfRule type="duplicateValues" dxfId="5467" priority="90" stopIfTrue="1"/>
    <cfRule type="duplicateValues" dxfId="5466" priority="91" stopIfTrue="1"/>
  </conditionalFormatting>
  <conditionalFormatting sqref="C179">
    <cfRule type="duplicateValues" dxfId="5465" priority="89" stopIfTrue="1"/>
  </conditionalFormatting>
  <conditionalFormatting sqref="C180">
    <cfRule type="duplicateValues" dxfId="5464" priority="87" stopIfTrue="1"/>
    <cfRule type="duplicateValues" dxfId="5463" priority="88" stopIfTrue="1"/>
  </conditionalFormatting>
  <conditionalFormatting sqref="C180">
    <cfRule type="duplicateValues" dxfId="5462" priority="86" stopIfTrue="1"/>
  </conditionalFormatting>
  <conditionalFormatting sqref="C181">
    <cfRule type="duplicateValues" dxfId="5461" priority="84" stopIfTrue="1"/>
    <cfRule type="duplicateValues" dxfId="5460" priority="85" stopIfTrue="1"/>
  </conditionalFormatting>
  <conditionalFormatting sqref="C181">
    <cfRule type="duplicateValues" dxfId="5459" priority="83" stopIfTrue="1"/>
  </conditionalFormatting>
  <conditionalFormatting sqref="C182">
    <cfRule type="duplicateValues" dxfId="5458" priority="81" stopIfTrue="1"/>
    <cfRule type="duplicateValues" dxfId="5457" priority="82" stopIfTrue="1"/>
  </conditionalFormatting>
  <conditionalFormatting sqref="C182">
    <cfRule type="duplicateValues" dxfId="5456" priority="80" stopIfTrue="1"/>
  </conditionalFormatting>
  <conditionalFormatting sqref="C183">
    <cfRule type="duplicateValues" dxfId="5455" priority="78" stopIfTrue="1"/>
    <cfRule type="duplicateValues" dxfId="5454" priority="79" stopIfTrue="1"/>
  </conditionalFormatting>
  <conditionalFormatting sqref="C183">
    <cfRule type="duplicateValues" dxfId="5453" priority="77" stopIfTrue="1"/>
  </conditionalFormatting>
  <conditionalFormatting sqref="C184">
    <cfRule type="duplicateValues" dxfId="5452" priority="75" stopIfTrue="1"/>
    <cfRule type="duplicateValues" dxfId="5451" priority="76" stopIfTrue="1"/>
  </conditionalFormatting>
  <conditionalFormatting sqref="C184">
    <cfRule type="duplicateValues" dxfId="5450" priority="74" stopIfTrue="1"/>
  </conditionalFormatting>
  <conditionalFormatting sqref="C185">
    <cfRule type="duplicateValues" dxfId="5449" priority="72" stopIfTrue="1"/>
    <cfRule type="duplicateValues" dxfId="5448" priority="73" stopIfTrue="1"/>
  </conditionalFormatting>
  <conditionalFormatting sqref="C185">
    <cfRule type="duplicateValues" dxfId="5447" priority="71" stopIfTrue="1"/>
  </conditionalFormatting>
  <conditionalFormatting sqref="C186">
    <cfRule type="duplicateValues" dxfId="5446" priority="69" stopIfTrue="1"/>
    <cfRule type="duplicateValues" dxfId="5445" priority="70" stopIfTrue="1"/>
  </conditionalFormatting>
  <conditionalFormatting sqref="C186">
    <cfRule type="duplicateValues" dxfId="5444" priority="68" stopIfTrue="1"/>
  </conditionalFormatting>
  <conditionalFormatting sqref="C187">
    <cfRule type="duplicateValues" dxfId="5443" priority="66" stopIfTrue="1"/>
    <cfRule type="duplicateValues" dxfId="5442" priority="67" stopIfTrue="1"/>
  </conditionalFormatting>
  <conditionalFormatting sqref="C187">
    <cfRule type="duplicateValues" dxfId="5441" priority="65" stopIfTrue="1"/>
  </conditionalFormatting>
  <conditionalFormatting sqref="C188">
    <cfRule type="duplicateValues" dxfId="5440" priority="63" stopIfTrue="1"/>
    <cfRule type="duplicateValues" dxfId="5439" priority="64" stopIfTrue="1"/>
  </conditionalFormatting>
  <conditionalFormatting sqref="C188">
    <cfRule type="duplicateValues" dxfId="5438" priority="62" stopIfTrue="1"/>
  </conditionalFormatting>
  <conditionalFormatting sqref="C189">
    <cfRule type="duplicateValues" dxfId="5437" priority="60" stopIfTrue="1"/>
    <cfRule type="duplicateValues" dxfId="5436" priority="61" stopIfTrue="1"/>
  </conditionalFormatting>
  <conditionalFormatting sqref="C189">
    <cfRule type="duplicateValues" dxfId="5435" priority="59" stopIfTrue="1"/>
  </conditionalFormatting>
  <conditionalFormatting sqref="C190">
    <cfRule type="duplicateValues" dxfId="5434" priority="57" stopIfTrue="1"/>
    <cfRule type="duplicateValues" dxfId="5433" priority="58" stopIfTrue="1"/>
  </conditionalFormatting>
  <conditionalFormatting sqref="C190">
    <cfRule type="duplicateValues" dxfId="5432" priority="56" stopIfTrue="1"/>
  </conditionalFormatting>
  <conditionalFormatting sqref="C191">
    <cfRule type="duplicateValues" dxfId="5431" priority="54" stopIfTrue="1"/>
    <cfRule type="duplicateValues" dxfId="5430" priority="55" stopIfTrue="1"/>
  </conditionalFormatting>
  <conditionalFormatting sqref="C191">
    <cfRule type="duplicateValues" dxfId="5429" priority="53" stopIfTrue="1"/>
  </conditionalFormatting>
  <conditionalFormatting sqref="C192">
    <cfRule type="duplicateValues" dxfId="5428" priority="51" stopIfTrue="1"/>
    <cfRule type="duplicateValues" dxfId="5427" priority="52" stopIfTrue="1"/>
  </conditionalFormatting>
  <conditionalFormatting sqref="C192">
    <cfRule type="duplicateValues" dxfId="5426" priority="50" stopIfTrue="1"/>
  </conditionalFormatting>
  <conditionalFormatting sqref="C193">
    <cfRule type="duplicateValues" dxfId="5425" priority="48" stopIfTrue="1"/>
    <cfRule type="duplicateValues" dxfId="5424" priority="49" stopIfTrue="1"/>
  </conditionalFormatting>
  <conditionalFormatting sqref="C193">
    <cfRule type="duplicateValues" dxfId="5423" priority="47" stopIfTrue="1"/>
  </conditionalFormatting>
  <conditionalFormatting sqref="C194">
    <cfRule type="duplicateValues" dxfId="5422" priority="45" stopIfTrue="1"/>
    <cfRule type="duplicateValues" dxfId="5421" priority="46" stopIfTrue="1"/>
  </conditionalFormatting>
  <conditionalFormatting sqref="C194">
    <cfRule type="duplicateValues" dxfId="5420" priority="44" stopIfTrue="1"/>
  </conditionalFormatting>
  <conditionalFormatting sqref="C195">
    <cfRule type="duplicateValues" dxfId="5419" priority="42" stopIfTrue="1"/>
    <cfRule type="duplicateValues" dxfId="5418" priority="43" stopIfTrue="1"/>
  </conditionalFormatting>
  <conditionalFormatting sqref="C195">
    <cfRule type="duplicateValues" dxfId="5417" priority="41" stopIfTrue="1"/>
  </conditionalFormatting>
  <conditionalFormatting sqref="C196">
    <cfRule type="duplicateValues" dxfId="5416" priority="39" stopIfTrue="1"/>
    <cfRule type="duplicateValues" dxfId="5415" priority="40" stopIfTrue="1"/>
  </conditionalFormatting>
  <conditionalFormatting sqref="C196">
    <cfRule type="duplicateValues" dxfId="5414" priority="38" stopIfTrue="1"/>
  </conditionalFormatting>
  <conditionalFormatting sqref="C197">
    <cfRule type="duplicateValues" dxfId="5413" priority="33" stopIfTrue="1"/>
    <cfRule type="duplicateValues" dxfId="5412" priority="34" stopIfTrue="1"/>
  </conditionalFormatting>
  <conditionalFormatting sqref="C197">
    <cfRule type="duplicateValues" dxfId="5411" priority="32" stopIfTrue="1"/>
  </conditionalFormatting>
  <conditionalFormatting sqref="C198">
    <cfRule type="duplicateValues" dxfId="5410" priority="30" stopIfTrue="1"/>
    <cfRule type="duplicateValues" dxfId="5409" priority="31" stopIfTrue="1"/>
  </conditionalFormatting>
  <conditionalFormatting sqref="C198">
    <cfRule type="duplicateValues" dxfId="5408" priority="29" stopIfTrue="1"/>
  </conditionalFormatting>
  <conditionalFormatting sqref="C249:C1048576 C1:C2 C4:C198 C201:C245">
    <cfRule type="duplicateValues" dxfId="5407" priority="28"/>
  </conditionalFormatting>
  <conditionalFormatting sqref="C3">
    <cfRule type="duplicateValues" dxfId="5406" priority="24"/>
  </conditionalFormatting>
  <conditionalFormatting sqref="C200">
    <cfRule type="duplicateValues" dxfId="5405" priority="20" stopIfTrue="1"/>
    <cfRule type="duplicateValues" dxfId="5404" priority="21" stopIfTrue="1"/>
  </conditionalFormatting>
  <conditionalFormatting sqref="C200">
    <cfRule type="duplicateValues" dxfId="5403" priority="22" stopIfTrue="1"/>
  </conditionalFormatting>
  <conditionalFormatting sqref="C199">
    <cfRule type="duplicateValues" dxfId="5402" priority="17" stopIfTrue="1"/>
    <cfRule type="duplicateValues" dxfId="5401" priority="18" stopIfTrue="1"/>
  </conditionalFormatting>
  <conditionalFormatting sqref="C199">
    <cfRule type="duplicateValues" dxfId="5400" priority="19" stopIfTrue="1"/>
  </conditionalFormatting>
  <conditionalFormatting sqref="C233:C236">
    <cfRule type="duplicateValues" dxfId="5399" priority="12" stopIfTrue="1"/>
    <cfRule type="duplicateValues" dxfId="5398" priority="13" stopIfTrue="1"/>
  </conditionalFormatting>
  <conditionalFormatting sqref="C233:C236">
    <cfRule type="duplicateValues" dxfId="5397" priority="11" stopIfTrue="1"/>
  </conditionalFormatting>
  <conditionalFormatting sqref="C233:C234">
    <cfRule type="duplicateValues" dxfId="5396" priority="5"/>
  </conditionalFormatting>
  <conditionalFormatting sqref="C233:C234">
    <cfRule type="duplicateValues" dxfId="5395" priority="3" stopIfTrue="1"/>
    <cfRule type="duplicateValues" dxfId="5394" priority="4" stopIfTrue="1"/>
  </conditionalFormatting>
  <conditionalFormatting sqref="C236">
    <cfRule type="duplicateValues" dxfId="5393" priority="1"/>
  </conditionalFormatting>
  <conditionalFormatting sqref="C239:C240 C177:C198 C237 C215 C210 C207 C217">
    <cfRule type="duplicateValues" dxfId="5392" priority="902" stopIfTrue="1"/>
    <cfRule type="duplicateValues" dxfId="5391" priority="903" stopIfTrue="1"/>
  </conditionalFormatting>
  <conditionalFormatting sqref="C239:C240 C177:C198 C237 C215 C210 C207 C217">
    <cfRule type="duplicateValues" dxfId="5390" priority="918" stopIfTrue="1"/>
  </conditionalFormatting>
  <conditionalFormatting sqref="C211 C133:C176 C219:C227">
    <cfRule type="duplicateValues" dxfId="5389" priority="1237" stopIfTrue="1"/>
    <cfRule type="duplicateValues" dxfId="5388" priority="1238" stopIfTrue="1"/>
  </conditionalFormatting>
  <conditionalFormatting sqref="C211 C133:C176 C219:C227">
    <cfRule type="duplicateValues" dxfId="5387" priority="1241" stopIfTrue="1"/>
  </conditionalFormatting>
  <conditionalFormatting sqref="C211 C133:C176 C219:C236 C131">
    <cfRule type="duplicateValues" dxfId="5386" priority="1243" stopIfTrue="1"/>
    <cfRule type="duplicateValues" dxfId="5385" priority="1244" stopIfTrue="1"/>
  </conditionalFormatting>
  <conditionalFormatting sqref="C211 C133:C176 C219:C236 C131">
    <cfRule type="duplicateValues" dxfId="5384" priority="1251" stopIfTrue="1"/>
  </conditionalFormatting>
  <pageMargins left="0.7" right="0.7" top="0.25" bottom="0.5" header="0.3" footer="0.3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3:N271"/>
  <sheetViews>
    <sheetView topLeftCell="B228" workbookViewId="0">
      <selection activeCell="C240" sqref="C240"/>
    </sheetView>
  </sheetViews>
  <sheetFormatPr defaultRowHeight="15"/>
  <cols>
    <col min="2" max="2" width="6.85546875" customWidth="1"/>
    <col min="3" max="3" width="38.5703125" customWidth="1"/>
    <col min="4" max="4" width="13.5703125" customWidth="1"/>
    <col min="5" max="5" width="12.85546875" customWidth="1"/>
    <col min="6" max="6" width="14" customWidth="1"/>
    <col min="7" max="7" width="11.140625" style="43" customWidth="1"/>
    <col min="8" max="8" width="14" bestFit="1" customWidth="1"/>
    <col min="9" max="9" width="11.42578125" customWidth="1"/>
    <col min="10" max="10" width="12" customWidth="1"/>
    <col min="11" max="11" width="14" customWidth="1"/>
    <col min="12" max="12" width="15" customWidth="1"/>
    <col min="13" max="13" width="10.42578125" customWidth="1"/>
    <col min="14" max="14" width="11.28515625" bestFit="1" customWidth="1"/>
  </cols>
  <sheetData>
    <row r="3" spans="2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2:14" ht="18">
      <c r="B4" s="418" t="s">
        <v>258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2:14" s="44" customFormat="1" ht="38.25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2:14">
      <c r="B6" s="14">
        <v>1</v>
      </c>
      <c r="C6" s="2" t="s">
        <v>121</v>
      </c>
      <c r="D6" s="15">
        <v>200000</v>
      </c>
      <c r="E6" s="15">
        <v>26660</v>
      </c>
      <c r="F6" s="15">
        <f t="shared" ref="F6:F34" si="0">SUM(D6:E6)</f>
        <v>226660</v>
      </c>
      <c r="G6" s="31">
        <v>40</v>
      </c>
      <c r="H6" s="15">
        <v>5666.5</v>
      </c>
      <c r="I6" s="8">
        <v>32</v>
      </c>
      <c r="J6" s="11">
        <f t="shared" ref="J6:J38" si="1">G6-I6</f>
        <v>8</v>
      </c>
      <c r="K6" s="16">
        <f>(32*5666.5)</f>
        <v>181328</v>
      </c>
      <c r="L6" s="15">
        <f t="shared" ref="L6:L38" si="2">F6-K6</f>
        <v>45332</v>
      </c>
      <c r="M6" s="8"/>
      <c r="N6" s="39" t="e">
        <f>#REF!-H6</f>
        <v>#REF!</v>
      </c>
    </row>
    <row r="7" spans="2:14">
      <c r="B7" s="14">
        <v>2</v>
      </c>
      <c r="C7" s="2" t="s">
        <v>199</v>
      </c>
      <c r="D7" s="12">
        <v>132000</v>
      </c>
      <c r="E7" s="12">
        <v>17595.599999999999</v>
      </c>
      <c r="F7" s="15">
        <f t="shared" si="0"/>
        <v>149595.6</v>
      </c>
      <c r="G7" s="31">
        <v>40</v>
      </c>
      <c r="H7" s="12">
        <v>3739.89</v>
      </c>
      <c r="I7" s="8">
        <v>25</v>
      </c>
      <c r="J7" s="11">
        <f t="shared" si="1"/>
        <v>15</v>
      </c>
      <c r="K7" s="12">
        <f>(25*3739.89)</f>
        <v>93497.25</v>
      </c>
      <c r="L7" s="15">
        <f t="shared" si="2"/>
        <v>56098.350000000006</v>
      </c>
      <c r="M7" s="8"/>
      <c r="N7" s="39" t="e">
        <f>#REF!-H7</f>
        <v>#REF!</v>
      </c>
    </row>
    <row r="8" spans="2:14">
      <c r="B8" s="14">
        <v>4</v>
      </c>
      <c r="C8" s="2" t="s">
        <v>122</v>
      </c>
      <c r="D8" s="15">
        <v>200000</v>
      </c>
      <c r="E8" s="15">
        <v>26660</v>
      </c>
      <c r="F8" s="15">
        <f t="shared" si="0"/>
        <v>226660</v>
      </c>
      <c r="G8" s="31">
        <v>40</v>
      </c>
      <c r="H8" s="15">
        <v>5666.5</v>
      </c>
      <c r="I8" s="8">
        <v>33</v>
      </c>
      <c r="J8" s="11">
        <f t="shared" si="1"/>
        <v>7</v>
      </c>
      <c r="K8" s="12">
        <f>(33*5666.5)</f>
        <v>186994.5</v>
      </c>
      <c r="L8" s="15">
        <f t="shared" si="2"/>
        <v>39665.5</v>
      </c>
      <c r="M8" s="8"/>
      <c r="N8" s="39" t="e">
        <f>#REF!-H8</f>
        <v>#REF!</v>
      </c>
    </row>
    <row r="9" spans="2:14">
      <c r="B9" s="14">
        <v>5</v>
      </c>
      <c r="C9" s="2" t="s">
        <v>188</v>
      </c>
      <c r="D9" s="12">
        <v>180000</v>
      </c>
      <c r="E9" s="12">
        <v>23994</v>
      </c>
      <c r="F9" s="15">
        <f t="shared" si="0"/>
        <v>203994</v>
      </c>
      <c r="G9" s="31">
        <v>40</v>
      </c>
      <c r="H9" s="12">
        <v>5099.8500000000004</v>
      </c>
      <c r="I9" s="8">
        <v>33</v>
      </c>
      <c r="J9" s="11">
        <f t="shared" si="1"/>
        <v>7</v>
      </c>
      <c r="K9" s="12">
        <f>(33*5099.85)</f>
        <v>168295.05000000002</v>
      </c>
      <c r="L9" s="15">
        <f t="shared" si="2"/>
        <v>35698.949999999983</v>
      </c>
      <c r="M9" s="8"/>
      <c r="N9" s="39" t="e">
        <f>#REF!-H9</f>
        <v>#REF!</v>
      </c>
    </row>
    <row r="10" spans="2:14">
      <c r="B10" s="14">
        <v>6</v>
      </c>
      <c r="C10" s="4" t="s">
        <v>189</v>
      </c>
      <c r="D10" s="12">
        <v>180000</v>
      </c>
      <c r="E10" s="12">
        <v>23994</v>
      </c>
      <c r="F10" s="15">
        <f t="shared" si="0"/>
        <v>203994</v>
      </c>
      <c r="G10" s="31">
        <v>40</v>
      </c>
      <c r="H10" s="12">
        <v>5099.8500000000004</v>
      </c>
      <c r="I10" s="8">
        <v>30</v>
      </c>
      <c r="J10" s="11">
        <f t="shared" si="1"/>
        <v>10</v>
      </c>
      <c r="K10" s="12">
        <f>(30*5099.85)</f>
        <v>152995.5</v>
      </c>
      <c r="L10" s="15">
        <f t="shared" si="2"/>
        <v>50998.5</v>
      </c>
      <c r="M10" s="8"/>
      <c r="N10" s="39" t="e">
        <f>#REF!-H10</f>
        <v>#REF!</v>
      </c>
    </row>
    <row r="11" spans="2:14">
      <c r="B11" s="14">
        <v>7</v>
      </c>
      <c r="C11" s="2" t="s">
        <v>123</v>
      </c>
      <c r="D11" s="15">
        <v>200000</v>
      </c>
      <c r="E11" s="15">
        <v>26660</v>
      </c>
      <c r="F11" s="15">
        <f t="shared" si="0"/>
        <v>226660</v>
      </c>
      <c r="G11" s="31">
        <v>40</v>
      </c>
      <c r="H11" s="15">
        <v>5666.5</v>
      </c>
      <c r="I11" s="8">
        <v>33</v>
      </c>
      <c r="J11" s="11">
        <f t="shared" si="1"/>
        <v>7</v>
      </c>
      <c r="K11" s="12">
        <f>(33*5666.5)</f>
        <v>186994.5</v>
      </c>
      <c r="L11" s="15">
        <f t="shared" si="2"/>
        <v>39665.5</v>
      </c>
      <c r="M11" s="8"/>
      <c r="N11" s="39" t="e">
        <f>#REF!-H11</f>
        <v>#REF!</v>
      </c>
    </row>
    <row r="12" spans="2:14">
      <c r="B12" s="14">
        <v>8</v>
      </c>
      <c r="C12" s="25" t="s">
        <v>43</v>
      </c>
      <c r="D12" s="12">
        <v>330000</v>
      </c>
      <c r="E12" s="12">
        <v>21114.720000000001</v>
      </c>
      <c r="F12" s="15">
        <f t="shared" si="0"/>
        <v>351114.72</v>
      </c>
      <c r="G12" s="31">
        <v>24</v>
      </c>
      <c r="H12" s="12">
        <v>14629.78</v>
      </c>
      <c r="I12" s="11">
        <v>19</v>
      </c>
      <c r="J12" s="11">
        <f t="shared" si="1"/>
        <v>5</v>
      </c>
      <c r="K12" s="16">
        <f>(19*14629.78)</f>
        <v>277965.82</v>
      </c>
      <c r="L12" s="15">
        <f t="shared" si="2"/>
        <v>73148.899999999965</v>
      </c>
      <c r="M12" s="8"/>
      <c r="N12" s="39" t="e">
        <f>#REF!-H12</f>
        <v>#REF!</v>
      </c>
    </row>
    <row r="13" spans="2:14">
      <c r="B13" s="14">
        <v>9</v>
      </c>
      <c r="C13" s="2" t="s">
        <v>124</v>
      </c>
      <c r="D13" s="15">
        <v>200000</v>
      </c>
      <c r="E13" s="15">
        <v>26660</v>
      </c>
      <c r="F13" s="15">
        <f t="shared" si="0"/>
        <v>226660</v>
      </c>
      <c r="G13" s="31">
        <v>40</v>
      </c>
      <c r="H13" s="15">
        <v>5666.5</v>
      </c>
      <c r="I13" s="8">
        <v>36</v>
      </c>
      <c r="J13" s="11">
        <f t="shared" si="1"/>
        <v>4</v>
      </c>
      <c r="K13" s="12">
        <f>(36*5666.5)</f>
        <v>203994</v>
      </c>
      <c r="L13" s="15">
        <f t="shared" si="2"/>
        <v>22666</v>
      </c>
      <c r="M13" s="8"/>
      <c r="N13" s="39" t="e">
        <f>#REF!-H13</f>
        <v>#REF!</v>
      </c>
    </row>
    <row r="14" spans="2:14">
      <c r="B14" s="14">
        <v>11</v>
      </c>
      <c r="C14" s="2" t="s">
        <v>120</v>
      </c>
      <c r="D14" s="12">
        <v>330000</v>
      </c>
      <c r="E14" s="16">
        <v>21114.720000000001</v>
      </c>
      <c r="F14" s="15">
        <f t="shared" si="0"/>
        <v>351114.72</v>
      </c>
      <c r="G14" s="31">
        <v>24</v>
      </c>
      <c r="H14" s="24">
        <v>6649.9</v>
      </c>
      <c r="I14" s="11">
        <v>19</v>
      </c>
      <c r="J14" s="11">
        <f t="shared" si="1"/>
        <v>5</v>
      </c>
      <c r="K14" s="16">
        <f>(19*6649.9)</f>
        <v>126348.09999999999</v>
      </c>
      <c r="L14" s="15">
        <f t="shared" si="2"/>
        <v>224766.62</v>
      </c>
      <c r="M14" s="8"/>
      <c r="N14" s="39" t="e">
        <f>#REF!-H14</f>
        <v>#REF!</v>
      </c>
    </row>
    <row r="15" spans="2:14">
      <c r="B15" s="14">
        <v>12</v>
      </c>
      <c r="C15" s="2" t="s">
        <v>190</v>
      </c>
      <c r="D15" s="12">
        <v>180000</v>
      </c>
      <c r="E15" s="12">
        <v>23994</v>
      </c>
      <c r="F15" s="15">
        <f t="shared" si="0"/>
        <v>203994</v>
      </c>
      <c r="G15" s="30">
        <v>40</v>
      </c>
      <c r="H15" s="12">
        <v>5099.8500000000004</v>
      </c>
      <c r="I15" s="22">
        <v>42</v>
      </c>
      <c r="J15" s="11">
        <f t="shared" si="1"/>
        <v>-2</v>
      </c>
      <c r="K15" s="12">
        <f>(42*5099.85)</f>
        <v>214193.7</v>
      </c>
      <c r="L15" s="15">
        <f t="shared" si="2"/>
        <v>-10199.700000000012</v>
      </c>
      <c r="M15" s="10"/>
      <c r="N15" s="39" t="e">
        <f>#REF!-H15</f>
        <v>#REF!</v>
      </c>
    </row>
    <row r="16" spans="2:14">
      <c r="B16" s="14">
        <v>13</v>
      </c>
      <c r="C16" s="2" t="s">
        <v>201</v>
      </c>
      <c r="D16" s="12">
        <v>132000</v>
      </c>
      <c r="E16" s="12">
        <v>17595.599999999999</v>
      </c>
      <c r="F16" s="15">
        <f t="shared" si="0"/>
        <v>149595.6</v>
      </c>
      <c r="G16" s="31">
        <v>40</v>
      </c>
      <c r="H16" s="12">
        <v>3739.89</v>
      </c>
      <c r="I16" s="8">
        <v>33</v>
      </c>
      <c r="J16" s="11">
        <f t="shared" si="1"/>
        <v>7</v>
      </c>
      <c r="K16" s="12">
        <f>(33*3739.89)</f>
        <v>123416.37</v>
      </c>
      <c r="L16" s="15">
        <f t="shared" si="2"/>
        <v>26179.23000000001</v>
      </c>
      <c r="M16" s="8"/>
      <c r="N16" s="39" t="e">
        <f>#REF!-H16</f>
        <v>#REF!</v>
      </c>
    </row>
    <row r="17" spans="2:14">
      <c r="B17" s="14">
        <v>14</v>
      </c>
      <c r="C17" s="2" t="s">
        <v>191</v>
      </c>
      <c r="D17" s="12">
        <v>180000</v>
      </c>
      <c r="E17" s="12">
        <v>23994</v>
      </c>
      <c r="F17" s="15">
        <f t="shared" si="0"/>
        <v>203994</v>
      </c>
      <c r="G17" s="30">
        <v>40</v>
      </c>
      <c r="H17" s="12">
        <v>5099.8500000000004</v>
      </c>
      <c r="I17" s="22">
        <v>42</v>
      </c>
      <c r="J17" s="11">
        <f t="shared" si="1"/>
        <v>-2</v>
      </c>
      <c r="K17" s="12">
        <f>(42*5099.85)</f>
        <v>214193.7</v>
      </c>
      <c r="L17" s="15">
        <f t="shared" si="2"/>
        <v>-10199.700000000012</v>
      </c>
      <c r="M17" s="10"/>
      <c r="N17" s="39" t="e">
        <f>#REF!-H17</f>
        <v>#REF!</v>
      </c>
    </row>
    <row r="18" spans="2:14">
      <c r="B18" s="14">
        <v>15</v>
      </c>
      <c r="C18" s="2" t="s">
        <v>52</v>
      </c>
      <c r="D18" s="12">
        <v>500000</v>
      </c>
      <c r="E18" s="12">
        <v>66650</v>
      </c>
      <c r="F18" s="15">
        <f t="shared" si="0"/>
        <v>566650</v>
      </c>
      <c r="G18" s="31">
        <v>50</v>
      </c>
      <c r="H18" s="18">
        <v>11333</v>
      </c>
      <c r="I18" s="31">
        <v>26</v>
      </c>
      <c r="J18" s="11">
        <f t="shared" si="1"/>
        <v>24</v>
      </c>
      <c r="K18" s="12">
        <f>(26*11333)</f>
        <v>294658</v>
      </c>
      <c r="L18" s="15">
        <f t="shared" si="2"/>
        <v>271992</v>
      </c>
      <c r="M18" s="8"/>
      <c r="N18" s="39" t="e">
        <f>#REF!-H18</f>
        <v>#REF!</v>
      </c>
    </row>
    <row r="19" spans="2:14">
      <c r="B19" s="14">
        <v>16</v>
      </c>
      <c r="C19" s="2" t="s">
        <v>49</v>
      </c>
      <c r="D19" s="12">
        <v>500000</v>
      </c>
      <c r="E19" s="12">
        <v>53320</v>
      </c>
      <c r="F19" s="15">
        <f t="shared" si="0"/>
        <v>553320</v>
      </c>
      <c r="G19" s="31">
        <v>40</v>
      </c>
      <c r="H19" s="12">
        <v>13833</v>
      </c>
      <c r="I19" s="8">
        <v>40</v>
      </c>
      <c r="J19" s="11">
        <f t="shared" si="1"/>
        <v>0</v>
      </c>
      <c r="K19" s="12">
        <f>(40*13833)</f>
        <v>553320</v>
      </c>
      <c r="L19" s="15">
        <f t="shared" si="2"/>
        <v>0</v>
      </c>
      <c r="M19" s="8"/>
      <c r="N19" s="39" t="e">
        <f>#REF!-H19</f>
        <v>#REF!</v>
      </c>
    </row>
    <row r="20" spans="2:14">
      <c r="B20" s="14">
        <v>17</v>
      </c>
      <c r="C20" s="2" t="s">
        <v>126</v>
      </c>
      <c r="D20" s="15">
        <v>200000</v>
      </c>
      <c r="E20" s="15">
        <v>26660</v>
      </c>
      <c r="F20" s="15">
        <f t="shared" si="0"/>
        <v>226660</v>
      </c>
      <c r="G20" s="32">
        <v>40</v>
      </c>
      <c r="H20" s="15">
        <v>5666.5</v>
      </c>
      <c r="I20" s="22">
        <v>42</v>
      </c>
      <c r="J20" s="11">
        <f t="shared" si="1"/>
        <v>-2</v>
      </c>
      <c r="K20" s="15">
        <f>(42*5666.5)</f>
        <v>237993</v>
      </c>
      <c r="L20" s="15">
        <f t="shared" si="2"/>
        <v>-11333</v>
      </c>
      <c r="M20" s="10"/>
      <c r="N20" s="39" t="e">
        <f>#REF!-H20</f>
        <v>#REF!</v>
      </c>
    </row>
    <row r="21" spans="2:14">
      <c r="B21" s="14">
        <v>18</v>
      </c>
      <c r="C21" s="2" t="s">
        <v>46</v>
      </c>
      <c r="D21" s="12">
        <v>450000</v>
      </c>
      <c r="E21" s="16">
        <v>28792.799999999999</v>
      </c>
      <c r="F21" s="15">
        <f t="shared" si="0"/>
        <v>478792.8</v>
      </c>
      <c r="G21" s="31">
        <v>24</v>
      </c>
      <c r="H21" s="16">
        <v>19949.7</v>
      </c>
      <c r="I21" s="11">
        <v>19</v>
      </c>
      <c r="J21" s="11">
        <f t="shared" si="1"/>
        <v>5</v>
      </c>
      <c r="K21" s="12">
        <f>(19*19949.7)</f>
        <v>379044.3</v>
      </c>
      <c r="L21" s="15">
        <f t="shared" si="2"/>
        <v>99748.5</v>
      </c>
      <c r="M21" s="8"/>
      <c r="N21" s="39" t="e">
        <f>#REF!-H21</f>
        <v>#REF!</v>
      </c>
    </row>
    <row r="22" spans="2:14">
      <c r="B22" s="14">
        <v>19</v>
      </c>
      <c r="C22" s="2" t="s">
        <v>127</v>
      </c>
      <c r="D22" s="15">
        <v>200000</v>
      </c>
      <c r="E22" s="15">
        <v>26660</v>
      </c>
      <c r="F22" s="15">
        <f t="shared" si="0"/>
        <v>226660</v>
      </c>
      <c r="G22" s="31">
        <v>40</v>
      </c>
      <c r="H22" s="15">
        <v>5666.5</v>
      </c>
      <c r="I22" s="8">
        <v>30</v>
      </c>
      <c r="J22" s="11">
        <f t="shared" si="1"/>
        <v>10</v>
      </c>
      <c r="K22" s="12">
        <f>(30*5666.5)</f>
        <v>169995</v>
      </c>
      <c r="L22" s="15">
        <f t="shared" si="2"/>
        <v>56665</v>
      </c>
      <c r="M22" s="8"/>
      <c r="N22" s="39" t="e">
        <f>#REF!-H22</f>
        <v>#REF!</v>
      </c>
    </row>
    <row r="23" spans="2:14">
      <c r="B23" s="14">
        <v>21</v>
      </c>
      <c r="C23" s="2" t="s">
        <v>129</v>
      </c>
      <c r="D23" s="15">
        <v>200000</v>
      </c>
      <c r="E23" s="15">
        <v>26660</v>
      </c>
      <c r="F23" s="15">
        <f t="shared" si="0"/>
        <v>226660</v>
      </c>
      <c r="G23" s="31">
        <v>40</v>
      </c>
      <c r="H23" s="15">
        <v>5666.5</v>
      </c>
      <c r="I23" s="8">
        <v>36</v>
      </c>
      <c r="J23" s="11">
        <f t="shared" si="1"/>
        <v>4</v>
      </c>
      <c r="K23" s="12">
        <f>(36*5666.5)</f>
        <v>203994</v>
      </c>
      <c r="L23" s="15">
        <f t="shared" si="2"/>
        <v>22666</v>
      </c>
      <c r="M23" s="8"/>
      <c r="N23" s="39" t="e">
        <f>#REF!-H23</f>
        <v>#REF!</v>
      </c>
    </row>
    <row r="24" spans="2:14">
      <c r="B24" s="14">
        <v>22</v>
      </c>
      <c r="C24" s="25" t="s">
        <v>105</v>
      </c>
      <c r="D24" s="12">
        <v>330000</v>
      </c>
      <c r="E24" s="16">
        <v>43989</v>
      </c>
      <c r="F24" s="15">
        <f t="shared" si="0"/>
        <v>373989</v>
      </c>
      <c r="G24" s="33">
        <v>50</v>
      </c>
      <c r="H24" s="16">
        <v>7479.78</v>
      </c>
      <c r="I24" s="8">
        <v>28</v>
      </c>
      <c r="J24" s="11">
        <f t="shared" si="1"/>
        <v>22</v>
      </c>
      <c r="K24" s="12">
        <f>(28*7479.78)</f>
        <v>209433.84</v>
      </c>
      <c r="L24" s="15">
        <f t="shared" si="2"/>
        <v>164555.16</v>
      </c>
      <c r="M24" s="8"/>
      <c r="N24" s="39" t="e">
        <f>#REF!-H24</f>
        <v>#REF!</v>
      </c>
    </row>
    <row r="25" spans="2:14">
      <c r="B25" s="14">
        <v>23</v>
      </c>
      <c r="C25" s="2" t="s">
        <v>214</v>
      </c>
      <c r="D25" s="12">
        <v>60000</v>
      </c>
      <c r="E25" s="12">
        <v>7998</v>
      </c>
      <c r="F25" s="15">
        <f t="shared" si="0"/>
        <v>67998</v>
      </c>
      <c r="G25" s="31">
        <v>40</v>
      </c>
      <c r="H25" s="12">
        <v>1699.95</v>
      </c>
      <c r="I25" s="8">
        <v>42</v>
      </c>
      <c r="J25" s="11">
        <f t="shared" si="1"/>
        <v>-2</v>
      </c>
      <c r="K25" s="12">
        <f>(42*1699.95)</f>
        <v>71397.900000000009</v>
      </c>
      <c r="L25" s="15">
        <f t="shared" si="2"/>
        <v>-3399.9000000000087</v>
      </c>
      <c r="M25" s="8"/>
      <c r="N25" s="39" t="e">
        <f>#REF!-H25</f>
        <v>#REF!</v>
      </c>
    </row>
    <row r="26" spans="2:14">
      <c r="B26" s="14">
        <v>24</v>
      </c>
      <c r="C26" s="2" t="s">
        <v>130</v>
      </c>
      <c r="D26" s="15">
        <v>200000</v>
      </c>
      <c r="E26" s="15">
        <v>26660</v>
      </c>
      <c r="F26" s="15">
        <f t="shared" si="0"/>
        <v>226660</v>
      </c>
      <c r="G26" s="31">
        <v>40</v>
      </c>
      <c r="H26" s="15">
        <v>5666.5</v>
      </c>
      <c r="I26" s="8">
        <v>33</v>
      </c>
      <c r="J26" s="11">
        <f t="shared" si="1"/>
        <v>7</v>
      </c>
      <c r="K26" s="12">
        <f>(33*5666.5)</f>
        <v>186994.5</v>
      </c>
      <c r="L26" s="15">
        <f t="shared" si="2"/>
        <v>39665.5</v>
      </c>
      <c r="M26" s="8"/>
      <c r="N26" s="39" t="e">
        <f>#REF!-H26</f>
        <v>#REF!</v>
      </c>
    </row>
    <row r="27" spans="2:14">
      <c r="B27" s="14">
        <v>25</v>
      </c>
      <c r="C27" s="2" t="s">
        <v>215</v>
      </c>
      <c r="D27" s="12">
        <v>60000</v>
      </c>
      <c r="E27" s="12">
        <v>7998</v>
      </c>
      <c r="F27" s="15">
        <f t="shared" si="0"/>
        <v>67998</v>
      </c>
      <c r="G27" s="31">
        <v>40</v>
      </c>
      <c r="H27" s="12">
        <v>1699.95</v>
      </c>
      <c r="I27" s="8">
        <v>42</v>
      </c>
      <c r="J27" s="11">
        <f t="shared" si="1"/>
        <v>-2</v>
      </c>
      <c r="K27" s="12">
        <f>(42*1699.95)</f>
        <v>71397.900000000009</v>
      </c>
      <c r="L27" s="15">
        <f t="shared" si="2"/>
        <v>-3399.9000000000087</v>
      </c>
      <c r="M27" s="8"/>
      <c r="N27" s="39" t="e">
        <f>#REF!-H27</f>
        <v>#REF!</v>
      </c>
    </row>
    <row r="28" spans="2:14">
      <c r="B28" s="14">
        <v>26</v>
      </c>
      <c r="C28" s="2" t="s">
        <v>131</v>
      </c>
      <c r="D28" s="15">
        <v>200000</v>
      </c>
      <c r="E28" s="15">
        <v>26660</v>
      </c>
      <c r="F28" s="15">
        <f t="shared" si="0"/>
        <v>226660</v>
      </c>
      <c r="G28" s="32">
        <v>40</v>
      </c>
      <c r="H28" s="15">
        <v>5666.5</v>
      </c>
      <c r="I28" s="22">
        <v>42</v>
      </c>
      <c r="J28" s="11">
        <f t="shared" si="1"/>
        <v>-2</v>
      </c>
      <c r="K28" s="15">
        <f>(42*5666.5)</f>
        <v>237993</v>
      </c>
      <c r="L28" s="15">
        <f t="shared" si="2"/>
        <v>-11333</v>
      </c>
      <c r="M28" s="10"/>
      <c r="N28" s="39" t="e">
        <f>#REF!-H28</f>
        <v>#REF!</v>
      </c>
    </row>
    <row r="29" spans="2:14">
      <c r="B29" s="14">
        <v>28</v>
      </c>
      <c r="C29" s="2" t="s">
        <v>106</v>
      </c>
      <c r="D29" s="12">
        <v>330000</v>
      </c>
      <c r="E29" s="12">
        <v>43989</v>
      </c>
      <c r="F29" s="15">
        <f t="shared" si="0"/>
        <v>373989</v>
      </c>
      <c r="G29" s="31">
        <v>50</v>
      </c>
      <c r="H29" s="12">
        <v>7479.78</v>
      </c>
      <c r="I29" s="11">
        <v>19</v>
      </c>
      <c r="J29" s="11">
        <f t="shared" si="1"/>
        <v>31</v>
      </c>
      <c r="K29" s="16">
        <f>(19*7479.78)</f>
        <v>142115.82</v>
      </c>
      <c r="L29" s="15">
        <f t="shared" si="2"/>
        <v>231873.18</v>
      </c>
      <c r="M29" s="8"/>
      <c r="N29" s="39" t="e">
        <f>#REF!-H29</f>
        <v>#REF!</v>
      </c>
    </row>
    <row r="30" spans="2:14">
      <c r="B30" s="14">
        <v>29</v>
      </c>
      <c r="C30" s="2" t="s">
        <v>134</v>
      </c>
      <c r="D30" s="15">
        <v>200000</v>
      </c>
      <c r="E30" s="15">
        <v>26660</v>
      </c>
      <c r="F30" s="15">
        <f t="shared" si="0"/>
        <v>226660</v>
      </c>
      <c r="G30" s="31">
        <v>40</v>
      </c>
      <c r="H30" s="15">
        <v>5666.5</v>
      </c>
      <c r="I30" s="8">
        <v>33</v>
      </c>
      <c r="J30" s="11">
        <f t="shared" si="1"/>
        <v>7</v>
      </c>
      <c r="K30" s="12">
        <f>(33*5666.5)</f>
        <v>186994.5</v>
      </c>
      <c r="L30" s="15">
        <f t="shared" si="2"/>
        <v>39665.5</v>
      </c>
      <c r="M30" s="8"/>
      <c r="N30" s="39" t="e">
        <f>#REF!-H30</f>
        <v>#REF!</v>
      </c>
    </row>
    <row r="31" spans="2:14">
      <c r="B31" s="14">
        <v>31</v>
      </c>
      <c r="C31" s="25" t="s">
        <v>53</v>
      </c>
      <c r="D31" s="12">
        <v>500000</v>
      </c>
      <c r="E31" s="12">
        <v>66650</v>
      </c>
      <c r="F31" s="15">
        <f t="shared" si="0"/>
        <v>566650</v>
      </c>
      <c r="G31" s="31">
        <v>50</v>
      </c>
      <c r="H31" s="12">
        <v>11333</v>
      </c>
      <c r="I31" s="11">
        <v>19</v>
      </c>
      <c r="J31" s="11">
        <f t="shared" si="1"/>
        <v>31</v>
      </c>
      <c r="K31" s="12">
        <f>(19*11333)</f>
        <v>215327</v>
      </c>
      <c r="L31" s="15">
        <f t="shared" si="2"/>
        <v>351323</v>
      </c>
      <c r="M31" s="8"/>
      <c r="N31" s="39" t="e">
        <f>#REF!-H31</f>
        <v>#REF!</v>
      </c>
    </row>
    <row r="32" spans="2:14">
      <c r="B32" s="14">
        <v>32</v>
      </c>
      <c r="C32" s="2" t="s">
        <v>202</v>
      </c>
      <c r="D32" s="12">
        <v>132000</v>
      </c>
      <c r="E32" s="12">
        <v>17595.599999999999</v>
      </c>
      <c r="F32" s="15">
        <f t="shared" si="0"/>
        <v>149595.6</v>
      </c>
      <c r="G32" s="31">
        <v>40</v>
      </c>
      <c r="H32" s="12">
        <v>3739.89</v>
      </c>
      <c r="I32" s="8">
        <v>30</v>
      </c>
      <c r="J32" s="11">
        <f t="shared" si="1"/>
        <v>10</v>
      </c>
      <c r="K32" s="12">
        <f>(30*3739.89)</f>
        <v>112196.7</v>
      </c>
      <c r="L32" s="15">
        <f t="shared" si="2"/>
        <v>37398.900000000009</v>
      </c>
      <c r="M32" s="8"/>
      <c r="N32" s="39" t="e">
        <f>#REF!-H32</f>
        <v>#REF!</v>
      </c>
    </row>
    <row r="33" spans="2:14">
      <c r="B33" s="14">
        <v>33</v>
      </c>
      <c r="C33" s="2" t="s">
        <v>136</v>
      </c>
      <c r="D33" s="15">
        <v>200000</v>
      </c>
      <c r="E33" s="15">
        <v>26660</v>
      </c>
      <c r="F33" s="15">
        <f t="shared" si="0"/>
        <v>226660</v>
      </c>
      <c r="G33" s="32">
        <v>40</v>
      </c>
      <c r="H33" s="15">
        <v>5666.5</v>
      </c>
      <c r="I33" s="30">
        <v>44</v>
      </c>
      <c r="J33" s="11">
        <f t="shared" si="1"/>
        <v>-4</v>
      </c>
      <c r="K33" s="12">
        <f>(44*5666.5)</f>
        <v>249326</v>
      </c>
      <c r="L33" s="15">
        <f t="shared" si="2"/>
        <v>-22666</v>
      </c>
      <c r="M33" s="10"/>
      <c r="N33" s="39" t="e">
        <f>#REF!-H33</f>
        <v>#REF!</v>
      </c>
    </row>
    <row r="34" spans="2:14">
      <c r="B34" s="14">
        <v>34</v>
      </c>
      <c r="C34" s="2" t="s">
        <v>54</v>
      </c>
      <c r="D34" s="12">
        <v>500000</v>
      </c>
      <c r="E34" s="12">
        <v>66650</v>
      </c>
      <c r="F34" s="15">
        <f t="shared" si="0"/>
        <v>566650</v>
      </c>
      <c r="G34" s="31">
        <v>50</v>
      </c>
      <c r="H34" s="12">
        <v>11333</v>
      </c>
      <c r="I34" s="11">
        <v>28</v>
      </c>
      <c r="J34" s="11">
        <f t="shared" si="1"/>
        <v>22</v>
      </c>
      <c r="K34" s="12">
        <f>(28*11333)</f>
        <v>317324</v>
      </c>
      <c r="L34" s="15">
        <f t="shared" si="2"/>
        <v>249326</v>
      </c>
      <c r="M34" s="8"/>
      <c r="N34" s="39" t="e">
        <f>#REF!-H34</f>
        <v>#REF!</v>
      </c>
    </row>
    <row r="35" spans="2:14">
      <c r="B35" s="14">
        <v>35</v>
      </c>
      <c r="C35" s="2" t="s">
        <v>36</v>
      </c>
      <c r="D35" s="18">
        <v>500000</v>
      </c>
      <c r="E35" s="18">
        <v>66650</v>
      </c>
      <c r="F35" s="18">
        <v>566650</v>
      </c>
      <c r="G35" s="33">
        <v>50</v>
      </c>
      <c r="H35" s="16">
        <v>11333</v>
      </c>
      <c r="I35" s="8">
        <v>5</v>
      </c>
      <c r="J35" s="11">
        <f t="shared" si="1"/>
        <v>45</v>
      </c>
      <c r="K35" s="12">
        <f>(5*11333)</f>
        <v>56665</v>
      </c>
      <c r="L35" s="12">
        <f t="shared" si="2"/>
        <v>509985</v>
      </c>
      <c r="M35" s="1"/>
      <c r="N35" s="39" t="e">
        <f>#REF!-H35</f>
        <v>#REF!</v>
      </c>
    </row>
    <row r="36" spans="2:14">
      <c r="B36" s="14">
        <v>36</v>
      </c>
      <c r="C36" s="2" t="s">
        <v>55</v>
      </c>
      <c r="D36" s="12">
        <v>500000</v>
      </c>
      <c r="E36" s="12">
        <v>66650</v>
      </c>
      <c r="F36" s="15">
        <f>SUM(D36:E36)</f>
        <v>566650</v>
      </c>
      <c r="G36" s="31">
        <v>50</v>
      </c>
      <c r="H36" s="12">
        <v>11333</v>
      </c>
      <c r="I36" s="8">
        <v>40</v>
      </c>
      <c r="J36" s="11">
        <f t="shared" si="1"/>
        <v>10</v>
      </c>
      <c r="K36" s="12">
        <f>(40*11333)</f>
        <v>453320</v>
      </c>
      <c r="L36" s="15">
        <f t="shared" si="2"/>
        <v>113330</v>
      </c>
      <c r="M36" s="8"/>
      <c r="N36" s="39" t="e">
        <f>#REF!-H36</f>
        <v>#REF!</v>
      </c>
    </row>
    <row r="37" spans="2:14">
      <c r="B37" s="14">
        <v>37</v>
      </c>
      <c r="C37" s="2" t="s">
        <v>137</v>
      </c>
      <c r="D37" s="15">
        <v>200000</v>
      </c>
      <c r="E37" s="15">
        <v>26660</v>
      </c>
      <c r="F37" s="15">
        <f>SUM(D37:E37)</f>
        <v>226660</v>
      </c>
      <c r="G37" s="31">
        <v>40</v>
      </c>
      <c r="H37" s="15">
        <v>5666.5</v>
      </c>
      <c r="I37" s="8">
        <v>33</v>
      </c>
      <c r="J37" s="11">
        <f t="shared" si="1"/>
        <v>7</v>
      </c>
      <c r="K37" s="12">
        <f>(33*5666.5)</f>
        <v>186994.5</v>
      </c>
      <c r="L37" s="15">
        <f t="shared" si="2"/>
        <v>39665.5</v>
      </c>
      <c r="M37" s="8"/>
      <c r="N37" s="39" t="e">
        <f>#REF!-H37</f>
        <v>#REF!</v>
      </c>
    </row>
    <row r="38" spans="2:14">
      <c r="B38" s="14">
        <v>38</v>
      </c>
      <c r="C38" s="2" t="s">
        <v>56</v>
      </c>
      <c r="D38" s="12">
        <v>500000</v>
      </c>
      <c r="E38" s="12">
        <v>66650</v>
      </c>
      <c r="F38" s="15">
        <f>SUM(D38:E38)</f>
        <v>566650</v>
      </c>
      <c r="G38" s="31">
        <v>50</v>
      </c>
      <c r="H38" s="12">
        <v>11333</v>
      </c>
      <c r="I38" s="8">
        <v>40</v>
      </c>
      <c r="J38" s="11">
        <f t="shared" si="1"/>
        <v>10</v>
      </c>
      <c r="K38" s="12">
        <f>(40*11333)</f>
        <v>453320</v>
      </c>
      <c r="L38" s="15">
        <f t="shared" si="2"/>
        <v>113330</v>
      </c>
      <c r="M38" s="8"/>
      <c r="N38" s="39" t="e">
        <f>#REF!-H38</f>
        <v>#REF!</v>
      </c>
    </row>
    <row r="39" spans="2:14">
      <c r="B39" s="14"/>
      <c r="C39" s="63" t="s">
        <v>255</v>
      </c>
      <c r="D39" s="12">
        <v>450000</v>
      </c>
      <c r="E39" s="16">
        <v>59985</v>
      </c>
      <c r="F39" s="16">
        <v>509985</v>
      </c>
      <c r="G39" s="33">
        <v>50</v>
      </c>
      <c r="H39" s="16">
        <v>10199.700000000001</v>
      </c>
      <c r="I39" s="8">
        <v>4</v>
      </c>
      <c r="J39" s="11">
        <f>G39-I39</f>
        <v>46</v>
      </c>
      <c r="K39" s="12">
        <f>(4*10199)</f>
        <v>40796</v>
      </c>
      <c r="L39" s="12">
        <f>F39-K39</f>
        <v>469189</v>
      </c>
      <c r="M39" s="8"/>
      <c r="N39" s="39" t="e">
        <f>#REF!-H39</f>
        <v>#REF!</v>
      </c>
    </row>
    <row r="40" spans="2:14">
      <c r="B40" s="14">
        <v>39</v>
      </c>
      <c r="C40" s="2" t="s">
        <v>224</v>
      </c>
      <c r="D40" s="12">
        <v>450000</v>
      </c>
      <c r="E40" s="12">
        <v>59985</v>
      </c>
      <c r="F40" s="12">
        <v>509985</v>
      </c>
      <c r="G40" s="31">
        <v>50</v>
      </c>
      <c r="H40" s="18">
        <v>10199.700000000001</v>
      </c>
      <c r="I40" s="33">
        <v>19</v>
      </c>
      <c r="J40" s="11">
        <f t="shared" ref="J40:J71" si="3">G40-I40</f>
        <v>31</v>
      </c>
      <c r="K40" s="12">
        <f>(19*10199.7)</f>
        <v>193794.30000000002</v>
      </c>
      <c r="L40" s="15">
        <f t="shared" ref="L40:L71" si="4">F40-K40</f>
        <v>316190.69999999995</v>
      </c>
      <c r="M40" s="8"/>
      <c r="N40" s="39" t="e">
        <f>#REF!-H40</f>
        <v>#REF!</v>
      </c>
    </row>
    <row r="41" spans="2:14">
      <c r="B41" s="14">
        <v>40</v>
      </c>
      <c r="C41" s="2" t="s">
        <v>50</v>
      </c>
      <c r="D41" s="12">
        <v>500000</v>
      </c>
      <c r="E41" s="12">
        <v>53320</v>
      </c>
      <c r="F41" s="15">
        <f t="shared" ref="F41:F48" si="5">SUM(D41:E41)</f>
        <v>553320</v>
      </c>
      <c r="G41" s="31">
        <v>40</v>
      </c>
      <c r="H41" s="12">
        <v>13833</v>
      </c>
      <c r="I41" s="8">
        <v>40</v>
      </c>
      <c r="J41" s="11">
        <f t="shared" si="3"/>
        <v>0</v>
      </c>
      <c r="K41" s="12">
        <f>(40*13833)</f>
        <v>553320</v>
      </c>
      <c r="L41" s="15">
        <f t="shared" si="4"/>
        <v>0</v>
      </c>
      <c r="M41" s="8"/>
      <c r="N41" s="39" t="e">
        <f>#REF!-H41</f>
        <v>#REF!</v>
      </c>
    </row>
    <row r="42" spans="2:14">
      <c r="B42" s="14">
        <v>41</v>
      </c>
      <c r="C42" s="2" t="s">
        <v>138</v>
      </c>
      <c r="D42" s="15">
        <v>200000</v>
      </c>
      <c r="E42" s="15">
        <v>26660</v>
      </c>
      <c r="F42" s="15">
        <f t="shared" si="5"/>
        <v>226660</v>
      </c>
      <c r="G42" s="31">
        <v>40</v>
      </c>
      <c r="H42" s="15">
        <v>5666.5</v>
      </c>
      <c r="I42" s="8">
        <v>33</v>
      </c>
      <c r="J42" s="11">
        <f t="shared" si="3"/>
        <v>7</v>
      </c>
      <c r="K42" s="12">
        <f>(33*5666.5)</f>
        <v>186994.5</v>
      </c>
      <c r="L42" s="15">
        <f t="shared" si="4"/>
        <v>39665.5</v>
      </c>
      <c r="M42" s="8"/>
      <c r="N42" s="39" t="e">
        <f>#REF!-H42</f>
        <v>#REF!</v>
      </c>
    </row>
    <row r="43" spans="2:14">
      <c r="B43" s="14">
        <v>42</v>
      </c>
      <c r="C43" s="2" t="s">
        <v>57</v>
      </c>
      <c r="D43" s="12">
        <v>500000</v>
      </c>
      <c r="E43" s="12">
        <v>66650</v>
      </c>
      <c r="F43" s="15">
        <f t="shared" si="5"/>
        <v>566650</v>
      </c>
      <c r="G43" s="31">
        <v>50</v>
      </c>
      <c r="H43" s="12">
        <v>11333</v>
      </c>
      <c r="I43" s="11">
        <v>19</v>
      </c>
      <c r="J43" s="11">
        <f t="shared" si="3"/>
        <v>31</v>
      </c>
      <c r="K43" s="12">
        <f>(19*11333)</f>
        <v>215327</v>
      </c>
      <c r="L43" s="15">
        <f t="shared" si="4"/>
        <v>351323</v>
      </c>
      <c r="M43" s="8"/>
      <c r="N43" s="39" t="e">
        <f>#REF!-H43</f>
        <v>#REF!</v>
      </c>
    </row>
    <row r="44" spans="2:14">
      <c r="B44" s="14">
        <v>44</v>
      </c>
      <c r="C44" s="2" t="s">
        <v>139</v>
      </c>
      <c r="D44" s="15">
        <v>200000</v>
      </c>
      <c r="E44" s="15">
        <v>26660</v>
      </c>
      <c r="F44" s="15">
        <f t="shared" si="5"/>
        <v>226660</v>
      </c>
      <c r="G44" s="31">
        <v>40</v>
      </c>
      <c r="H44" s="15">
        <v>5666.5</v>
      </c>
      <c r="I44" s="8">
        <v>33</v>
      </c>
      <c r="J44" s="11">
        <f t="shared" si="3"/>
        <v>7</v>
      </c>
      <c r="K44" s="12">
        <f>(33*5666.5)</f>
        <v>186994.5</v>
      </c>
      <c r="L44" s="15">
        <f t="shared" si="4"/>
        <v>39665.5</v>
      </c>
      <c r="M44" s="8"/>
      <c r="N44" s="39" t="e">
        <f>#REF!-H44</f>
        <v>#REF!</v>
      </c>
    </row>
    <row r="45" spans="2:14">
      <c r="B45" s="14">
        <v>46</v>
      </c>
      <c r="C45" s="2" t="s">
        <v>141</v>
      </c>
      <c r="D45" s="15">
        <v>200000</v>
      </c>
      <c r="E45" s="15">
        <v>26660</v>
      </c>
      <c r="F45" s="15">
        <f t="shared" si="5"/>
        <v>226660</v>
      </c>
      <c r="G45" s="31">
        <v>40</v>
      </c>
      <c r="H45" s="15">
        <v>5666.5</v>
      </c>
      <c r="I45" s="8">
        <v>33</v>
      </c>
      <c r="J45" s="11">
        <f t="shared" si="3"/>
        <v>7</v>
      </c>
      <c r="K45" s="12">
        <f>(33*5666.5)</f>
        <v>186994.5</v>
      </c>
      <c r="L45" s="15">
        <f t="shared" si="4"/>
        <v>39665.5</v>
      </c>
      <c r="M45" s="8"/>
      <c r="N45" s="39" t="e">
        <f>#REF!-H45</f>
        <v>#REF!</v>
      </c>
    </row>
    <row r="46" spans="2:14">
      <c r="B46" s="14">
        <v>47</v>
      </c>
      <c r="C46" s="2" t="s">
        <v>107</v>
      </c>
      <c r="D46" s="12">
        <v>330000</v>
      </c>
      <c r="E46" s="12">
        <v>43989</v>
      </c>
      <c r="F46" s="15">
        <f t="shared" si="5"/>
        <v>373989</v>
      </c>
      <c r="G46" s="31">
        <v>50</v>
      </c>
      <c r="H46" s="12">
        <v>7479.78</v>
      </c>
      <c r="I46" s="8">
        <v>40</v>
      </c>
      <c r="J46" s="11">
        <f t="shared" si="3"/>
        <v>10</v>
      </c>
      <c r="K46" s="12">
        <f>(40*11333)</f>
        <v>453320</v>
      </c>
      <c r="L46" s="15">
        <f t="shared" si="4"/>
        <v>-79331</v>
      </c>
      <c r="M46" s="8"/>
      <c r="N46" s="39" t="e">
        <f>#REF!-H46</f>
        <v>#REF!</v>
      </c>
    </row>
    <row r="47" spans="2:14">
      <c r="B47" s="14">
        <v>48</v>
      </c>
      <c r="C47" s="2" t="s">
        <v>108</v>
      </c>
      <c r="D47" s="12">
        <v>330000</v>
      </c>
      <c r="E47" s="12">
        <v>43989</v>
      </c>
      <c r="F47" s="15">
        <f t="shared" si="5"/>
        <v>373989</v>
      </c>
      <c r="G47" s="31">
        <v>50</v>
      </c>
      <c r="H47" s="12">
        <v>7479.78</v>
      </c>
      <c r="I47" s="8">
        <v>40</v>
      </c>
      <c r="J47" s="11">
        <f t="shared" si="3"/>
        <v>10</v>
      </c>
      <c r="K47" s="12">
        <f>(40*11333)</f>
        <v>453320</v>
      </c>
      <c r="L47" s="15">
        <f t="shared" si="4"/>
        <v>-79331</v>
      </c>
      <c r="M47" s="8"/>
      <c r="N47" s="39" t="e">
        <f>#REF!-H47</f>
        <v>#REF!</v>
      </c>
    </row>
    <row r="48" spans="2:14">
      <c r="B48" s="14">
        <v>49</v>
      </c>
      <c r="C48" s="2" t="s">
        <v>142</v>
      </c>
      <c r="D48" s="15">
        <v>200000</v>
      </c>
      <c r="E48" s="15">
        <v>26660</v>
      </c>
      <c r="F48" s="15">
        <f t="shared" si="5"/>
        <v>226660</v>
      </c>
      <c r="G48" s="31">
        <v>40</v>
      </c>
      <c r="H48" s="15">
        <v>5666.5</v>
      </c>
      <c r="I48" s="8">
        <v>33</v>
      </c>
      <c r="J48" s="11">
        <f t="shared" si="3"/>
        <v>7</v>
      </c>
      <c r="K48" s="12">
        <f>(39*5666.5)</f>
        <v>220993.5</v>
      </c>
      <c r="L48" s="15">
        <f t="shared" si="4"/>
        <v>5666.5</v>
      </c>
      <c r="M48" s="8"/>
      <c r="N48" s="39" t="e">
        <f>#REF!-H48</f>
        <v>#REF!</v>
      </c>
    </row>
    <row r="49" spans="2:14">
      <c r="B49" s="14">
        <v>51</v>
      </c>
      <c r="C49" s="2" t="s">
        <v>24</v>
      </c>
      <c r="D49" s="18">
        <v>500000</v>
      </c>
      <c r="E49" s="18">
        <v>66650</v>
      </c>
      <c r="F49" s="18">
        <v>566650</v>
      </c>
      <c r="G49" s="33">
        <v>50</v>
      </c>
      <c r="H49" s="16">
        <v>11333</v>
      </c>
      <c r="I49" s="8">
        <v>5</v>
      </c>
      <c r="J49" s="11">
        <f t="shared" si="3"/>
        <v>45</v>
      </c>
      <c r="K49" s="12">
        <f>(5*11333)</f>
        <v>56665</v>
      </c>
      <c r="L49" s="12">
        <f t="shared" si="4"/>
        <v>509985</v>
      </c>
      <c r="M49" s="1"/>
      <c r="N49" s="39" t="e">
        <f>#REF!-H49</f>
        <v>#REF!</v>
      </c>
    </row>
    <row r="50" spans="2:14">
      <c r="B50" s="14">
        <v>52</v>
      </c>
      <c r="C50" s="2" t="s">
        <v>192</v>
      </c>
      <c r="D50" s="12">
        <v>180000</v>
      </c>
      <c r="E50" s="12">
        <v>23994</v>
      </c>
      <c r="F50" s="15">
        <f>SUM(D50:E50)</f>
        <v>203994</v>
      </c>
      <c r="G50" s="31">
        <v>40</v>
      </c>
      <c r="H50" s="12">
        <v>5099.8500000000004</v>
      </c>
      <c r="I50" s="8">
        <v>30</v>
      </c>
      <c r="J50" s="11">
        <f t="shared" si="3"/>
        <v>10</v>
      </c>
      <c r="K50" s="12">
        <f>(30*5099.85)</f>
        <v>152995.5</v>
      </c>
      <c r="L50" s="15">
        <f t="shared" si="4"/>
        <v>50998.5</v>
      </c>
      <c r="M50" s="8"/>
      <c r="N50" s="39" t="e">
        <f>#REF!-H50</f>
        <v>#REF!</v>
      </c>
    </row>
    <row r="51" spans="2:14">
      <c r="B51" s="14">
        <v>53</v>
      </c>
      <c r="C51" s="25" t="s">
        <v>94</v>
      </c>
      <c r="D51" s="12">
        <v>450000</v>
      </c>
      <c r="E51" s="12">
        <v>59985</v>
      </c>
      <c r="F51" s="15">
        <f>SUM(D51:E51)</f>
        <v>509985</v>
      </c>
      <c r="G51" s="31">
        <v>50</v>
      </c>
      <c r="H51" s="12">
        <v>10199.700000000001</v>
      </c>
      <c r="I51" s="8">
        <v>24</v>
      </c>
      <c r="J51" s="11">
        <f t="shared" si="3"/>
        <v>26</v>
      </c>
      <c r="K51" s="12">
        <f>(24*10199.7)</f>
        <v>244792.80000000002</v>
      </c>
      <c r="L51" s="15">
        <f t="shared" si="4"/>
        <v>265192.19999999995</v>
      </c>
      <c r="M51" s="8"/>
      <c r="N51" s="39" t="e">
        <f>#REF!-H51</f>
        <v>#REF!</v>
      </c>
    </row>
    <row r="52" spans="2:14">
      <c r="B52" s="14">
        <v>54</v>
      </c>
      <c r="C52" s="2" t="s">
        <v>25</v>
      </c>
      <c r="D52" s="18">
        <v>500000</v>
      </c>
      <c r="E52" s="18">
        <v>66650</v>
      </c>
      <c r="F52" s="18">
        <v>566650</v>
      </c>
      <c r="G52" s="33">
        <v>50</v>
      </c>
      <c r="H52" s="16">
        <v>11333</v>
      </c>
      <c r="I52" s="8">
        <v>5</v>
      </c>
      <c r="J52" s="11">
        <f t="shared" si="3"/>
        <v>45</v>
      </c>
      <c r="K52" s="12">
        <f>(5*11333)</f>
        <v>56665</v>
      </c>
      <c r="L52" s="12">
        <f t="shared" si="4"/>
        <v>509985</v>
      </c>
      <c r="M52" s="1"/>
      <c r="N52" s="39" t="e">
        <f>#REF!-H52</f>
        <v>#REF!</v>
      </c>
    </row>
    <row r="53" spans="2:14">
      <c r="B53" s="14">
        <v>55</v>
      </c>
      <c r="C53" s="25" t="s">
        <v>216</v>
      </c>
      <c r="D53" s="12">
        <v>60000</v>
      </c>
      <c r="E53" s="12">
        <v>7998</v>
      </c>
      <c r="F53" s="15">
        <f>SUM(D53:E53)</f>
        <v>67998</v>
      </c>
      <c r="G53" s="31">
        <v>40</v>
      </c>
      <c r="H53" s="24">
        <v>1699.95</v>
      </c>
      <c r="I53" s="8"/>
      <c r="J53" s="11">
        <f t="shared" si="3"/>
        <v>40</v>
      </c>
      <c r="K53" s="12"/>
      <c r="L53" s="15">
        <f t="shared" si="4"/>
        <v>67998</v>
      </c>
      <c r="M53" s="8"/>
      <c r="N53" s="39" t="e">
        <f>#REF!-H53</f>
        <v>#REF!</v>
      </c>
    </row>
    <row r="54" spans="2:14">
      <c r="B54" s="14">
        <v>56</v>
      </c>
      <c r="C54" s="2" t="s">
        <v>109</v>
      </c>
      <c r="D54" s="12">
        <v>330000</v>
      </c>
      <c r="E54" s="16">
        <v>43989</v>
      </c>
      <c r="F54" s="15">
        <f>SUM(D54:E54)</f>
        <v>373989</v>
      </c>
      <c r="G54" s="33">
        <v>50</v>
      </c>
      <c r="H54" s="16">
        <v>7479.78</v>
      </c>
      <c r="I54" s="11">
        <v>18</v>
      </c>
      <c r="J54" s="11">
        <f t="shared" si="3"/>
        <v>32</v>
      </c>
      <c r="K54" s="12">
        <f>(18*7479.78)</f>
        <v>134636.04</v>
      </c>
      <c r="L54" s="15">
        <f t="shared" si="4"/>
        <v>239352.95999999999</v>
      </c>
      <c r="M54" s="8"/>
      <c r="N54" s="39" t="e">
        <f>#REF!-H54</f>
        <v>#REF!</v>
      </c>
    </row>
    <row r="55" spans="2:14">
      <c r="B55" s="14">
        <v>57</v>
      </c>
      <c r="C55" s="2" t="s">
        <v>144</v>
      </c>
      <c r="D55" s="15">
        <v>200000</v>
      </c>
      <c r="E55" s="15">
        <v>26660</v>
      </c>
      <c r="F55" s="15">
        <f>SUM(D55:E55)</f>
        <v>226660</v>
      </c>
      <c r="G55" s="31">
        <v>40</v>
      </c>
      <c r="H55" s="15">
        <v>5666.5</v>
      </c>
      <c r="I55" s="8">
        <v>36</v>
      </c>
      <c r="J55" s="11">
        <f t="shared" si="3"/>
        <v>4</v>
      </c>
      <c r="K55" s="12">
        <f>(36*5666.5)</f>
        <v>203994</v>
      </c>
      <c r="L55" s="15">
        <f t="shared" si="4"/>
        <v>22666</v>
      </c>
      <c r="M55" s="8"/>
      <c r="N55" s="39" t="e">
        <f>#REF!-H55</f>
        <v>#REF!</v>
      </c>
    </row>
    <row r="56" spans="2:14">
      <c r="B56" s="14">
        <v>58</v>
      </c>
      <c r="C56" s="2" t="s">
        <v>193</v>
      </c>
      <c r="D56" s="12">
        <v>180000</v>
      </c>
      <c r="E56" s="12">
        <v>23994</v>
      </c>
      <c r="F56" s="15">
        <f>SUM(D56:E56)</f>
        <v>203994</v>
      </c>
      <c r="G56" s="31">
        <v>40</v>
      </c>
      <c r="H56" s="12">
        <v>5099.8500000000004</v>
      </c>
      <c r="I56" s="8">
        <v>33</v>
      </c>
      <c r="J56" s="11">
        <f t="shared" si="3"/>
        <v>7</v>
      </c>
      <c r="K56" s="12">
        <f>(33*5099.85)</f>
        <v>168295.05000000002</v>
      </c>
      <c r="L56" s="15">
        <f t="shared" si="4"/>
        <v>35698.949999999983</v>
      </c>
      <c r="M56" s="8"/>
      <c r="N56" s="39" t="e">
        <f>#REF!-H56</f>
        <v>#REF!</v>
      </c>
    </row>
    <row r="57" spans="2:14">
      <c r="B57" s="14">
        <v>59</v>
      </c>
      <c r="C57" s="2" t="s">
        <v>58</v>
      </c>
      <c r="D57" s="12">
        <v>500000</v>
      </c>
      <c r="E57" s="12">
        <v>66650</v>
      </c>
      <c r="F57" s="15">
        <f>SUM(D57:E57)</f>
        <v>566650</v>
      </c>
      <c r="G57" s="33">
        <v>50</v>
      </c>
      <c r="H57" s="12">
        <v>11333</v>
      </c>
      <c r="I57" s="11">
        <v>18</v>
      </c>
      <c r="J57" s="11">
        <f t="shared" si="3"/>
        <v>32</v>
      </c>
      <c r="K57" s="12">
        <f>(18*11333)</f>
        <v>203994</v>
      </c>
      <c r="L57" s="15">
        <f t="shared" si="4"/>
        <v>362656</v>
      </c>
      <c r="M57" s="8"/>
      <c r="N57" s="39" t="e">
        <f>#REF!-H57</f>
        <v>#REF!</v>
      </c>
    </row>
    <row r="58" spans="2:14">
      <c r="B58" s="14">
        <v>60</v>
      </c>
      <c r="C58" s="2" t="s">
        <v>234</v>
      </c>
      <c r="D58" s="15">
        <v>200000</v>
      </c>
      <c r="E58" s="15">
        <v>26660</v>
      </c>
      <c r="F58" s="15">
        <v>226660</v>
      </c>
      <c r="G58" s="31">
        <v>40</v>
      </c>
      <c r="H58" s="18">
        <v>5666.5</v>
      </c>
      <c r="I58" s="31">
        <v>36</v>
      </c>
      <c r="J58" s="11">
        <f t="shared" si="3"/>
        <v>4</v>
      </c>
      <c r="K58" s="12">
        <f>(36*5666.5)</f>
        <v>203994</v>
      </c>
      <c r="L58" s="15">
        <f t="shared" si="4"/>
        <v>22666</v>
      </c>
      <c r="M58" s="8"/>
      <c r="N58" s="39" t="e">
        <f>#REF!-H58</f>
        <v>#REF!</v>
      </c>
    </row>
    <row r="59" spans="2:14">
      <c r="B59" s="14">
        <v>61</v>
      </c>
      <c r="C59" s="2" t="s">
        <v>59</v>
      </c>
      <c r="D59" s="12">
        <v>500000</v>
      </c>
      <c r="E59" s="12">
        <v>66650</v>
      </c>
      <c r="F59" s="15">
        <f>SUM(D59:E59)</f>
        <v>566650</v>
      </c>
      <c r="G59" s="31">
        <v>50</v>
      </c>
      <c r="H59" s="12">
        <v>11333</v>
      </c>
      <c r="I59" s="11">
        <v>28</v>
      </c>
      <c r="J59" s="11">
        <f t="shared" si="3"/>
        <v>22</v>
      </c>
      <c r="K59" s="12">
        <f>(28*11333)</f>
        <v>317324</v>
      </c>
      <c r="L59" s="15">
        <f t="shared" si="4"/>
        <v>249326</v>
      </c>
      <c r="M59" s="8"/>
      <c r="N59" s="39" t="e">
        <f>#REF!-H59</f>
        <v>#REF!</v>
      </c>
    </row>
    <row r="60" spans="2:14">
      <c r="B60" s="14">
        <v>62</v>
      </c>
      <c r="C60" s="2" t="s">
        <v>60</v>
      </c>
      <c r="D60" s="12">
        <v>500000</v>
      </c>
      <c r="E60" s="12">
        <v>66650</v>
      </c>
      <c r="F60" s="15">
        <f>SUM(D60:E60)</f>
        <v>566650</v>
      </c>
      <c r="G60" s="31">
        <v>50</v>
      </c>
      <c r="H60" s="12">
        <v>11333</v>
      </c>
      <c r="I60" s="11">
        <v>28</v>
      </c>
      <c r="J60" s="11">
        <f t="shared" si="3"/>
        <v>22</v>
      </c>
      <c r="K60" s="12">
        <f>(28*11333)</f>
        <v>317324</v>
      </c>
      <c r="L60" s="15">
        <f t="shared" si="4"/>
        <v>249326</v>
      </c>
      <c r="M60" s="8"/>
      <c r="N60" s="39" t="e">
        <f>#REF!-H60</f>
        <v>#REF!</v>
      </c>
    </row>
    <row r="61" spans="2:14">
      <c r="B61" s="14">
        <v>63</v>
      </c>
      <c r="C61" s="2" t="s">
        <v>145</v>
      </c>
      <c r="D61" s="15">
        <v>200000</v>
      </c>
      <c r="E61" s="15">
        <v>26660</v>
      </c>
      <c r="F61" s="15">
        <f>SUM(D61:E61)</f>
        <v>226660</v>
      </c>
      <c r="G61" s="32">
        <v>40</v>
      </c>
      <c r="H61" s="15">
        <v>5666.5</v>
      </c>
      <c r="I61" s="22">
        <v>42</v>
      </c>
      <c r="J61" s="11">
        <f t="shared" si="3"/>
        <v>-2</v>
      </c>
      <c r="K61" s="15">
        <f>(42*5666.5)</f>
        <v>237993</v>
      </c>
      <c r="L61" s="15">
        <f t="shared" si="4"/>
        <v>-11333</v>
      </c>
      <c r="M61" s="10"/>
      <c r="N61" s="39" t="e">
        <f>#REF!-H61</f>
        <v>#REF!</v>
      </c>
    </row>
    <row r="62" spans="2:14">
      <c r="B62" s="14">
        <v>64</v>
      </c>
      <c r="C62" s="2" t="s">
        <v>146</v>
      </c>
      <c r="D62" s="15">
        <v>200000</v>
      </c>
      <c r="E62" s="15">
        <v>26660</v>
      </c>
      <c r="F62" s="15">
        <f>SUM(D62:E62)</f>
        <v>226660</v>
      </c>
      <c r="G62" s="32">
        <v>40</v>
      </c>
      <c r="H62" s="15">
        <v>5666.5</v>
      </c>
      <c r="I62" s="22">
        <v>42</v>
      </c>
      <c r="J62" s="11">
        <f t="shared" si="3"/>
        <v>-2</v>
      </c>
      <c r="K62" s="15">
        <f>(42*5666.5)</f>
        <v>237993</v>
      </c>
      <c r="L62" s="15">
        <f t="shared" si="4"/>
        <v>-11333</v>
      </c>
      <c r="M62" s="10"/>
      <c r="N62" s="39" t="e">
        <f>#REF!-H62</f>
        <v>#REF!</v>
      </c>
    </row>
    <row r="63" spans="2:14">
      <c r="B63" s="14">
        <v>65</v>
      </c>
      <c r="C63" s="17" t="s">
        <v>31</v>
      </c>
      <c r="D63" s="20">
        <v>330000</v>
      </c>
      <c r="E63" s="20">
        <v>43989</v>
      </c>
      <c r="F63" s="20">
        <f>SUM(D63:E63)</f>
        <v>373989</v>
      </c>
      <c r="G63" s="33">
        <v>50</v>
      </c>
      <c r="H63" s="3">
        <v>7479.78</v>
      </c>
      <c r="I63" s="8">
        <v>5</v>
      </c>
      <c r="J63" s="11">
        <f t="shared" si="3"/>
        <v>45</v>
      </c>
      <c r="K63" s="3">
        <f>(5*7479.78)</f>
        <v>37398.9</v>
      </c>
      <c r="L63" s="12">
        <f t="shared" si="4"/>
        <v>336590.1</v>
      </c>
      <c r="M63" s="1"/>
      <c r="N63" s="39" t="e">
        <f>#REF!-H63</f>
        <v>#REF!</v>
      </c>
    </row>
    <row r="64" spans="2:14">
      <c r="B64" s="14">
        <v>66</v>
      </c>
      <c r="C64" s="2" t="s">
        <v>227</v>
      </c>
      <c r="D64" s="15">
        <v>200000</v>
      </c>
      <c r="E64" s="15">
        <v>26660</v>
      </c>
      <c r="F64" s="15">
        <v>226660</v>
      </c>
      <c r="G64" s="31">
        <v>40</v>
      </c>
      <c r="H64" s="18">
        <v>5666.5</v>
      </c>
      <c r="I64" s="31">
        <v>32</v>
      </c>
      <c r="J64" s="11">
        <f t="shared" si="3"/>
        <v>8</v>
      </c>
      <c r="K64" s="12">
        <f>(32*5666.5)</f>
        <v>181328</v>
      </c>
      <c r="L64" s="15">
        <f t="shared" si="4"/>
        <v>45332</v>
      </c>
      <c r="M64" s="8"/>
      <c r="N64" s="39" t="e">
        <f>#REF!-H64</f>
        <v>#REF!</v>
      </c>
    </row>
    <row r="65" spans="2:14">
      <c r="B65" s="14">
        <v>67</v>
      </c>
      <c r="C65" s="2" t="s">
        <v>61</v>
      </c>
      <c r="D65" s="12">
        <v>500000</v>
      </c>
      <c r="E65" s="12">
        <v>66650</v>
      </c>
      <c r="F65" s="15">
        <f t="shared" ref="F65:F73" si="6">SUM(D65:E65)</f>
        <v>566650</v>
      </c>
      <c r="G65" s="31">
        <v>50</v>
      </c>
      <c r="H65" s="12">
        <v>11333</v>
      </c>
      <c r="I65" s="11">
        <v>28</v>
      </c>
      <c r="J65" s="11">
        <f t="shared" si="3"/>
        <v>22</v>
      </c>
      <c r="K65" s="12">
        <f>(28*11333)</f>
        <v>317324</v>
      </c>
      <c r="L65" s="15">
        <f t="shared" si="4"/>
        <v>249326</v>
      </c>
      <c r="M65" s="8"/>
      <c r="N65" s="39" t="e">
        <f>#REF!-H65</f>
        <v>#REF!</v>
      </c>
    </row>
    <row r="66" spans="2:14">
      <c r="B66" s="14">
        <v>68</v>
      </c>
      <c r="C66" s="25" t="s">
        <v>110</v>
      </c>
      <c r="D66" s="12">
        <v>330000</v>
      </c>
      <c r="E66" s="16">
        <v>43989</v>
      </c>
      <c r="F66" s="15">
        <f t="shared" si="6"/>
        <v>373989</v>
      </c>
      <c r="G66" s="33">
        <v>50</v>
      </c>
      <c r="H66" s="16">
        <v>7479.78</v>
      </c>
      <c r="I66" s="8">
        <v>28</v>
      </c>
      <c r="J66" s="11">
        <f t="shared" si="3"/>
        <v>22</v>
      </c>
      <c r="K66" s="12">
        <f>(28*7479.78)</f>
        <v>209433.84</v>
      </c>
      <c r="L66" s="15">
        <f t="shared" si="4"/>
        <v>164555.16</v>
      </c>
      <c r="M66" s="8"/>
      <c r="N66" s="39" t="e">
        <f>#REF!-H66</f>
        <v>#REF!</v>
      </c>
    </row>
    <row r="67" spans="2:14">
      <c r="B67" s="14">
        <v>69</v>
      </c>
      <c r="C67" s="2" t="s">
        <v>147</v>
      </c>
      <c r="D67" s="12">
        <v>500000</v>
      </c>
      <c r="E67" s="12">
        <v>66650</v>
      </c>
      <c r="F67" s="15">
        <f t="shared" si="6"/>
        <v>566650</v>
      </c>
      <c r="G67" s="31">
        <v>50</v>
      </c>
      <c r="H67" s="24">
        <v>5666.5</v>
      </c>
      <c r="I67" s="11">
        <v>28</v>
      </c>
      <c r="J67" s="11">
        <f t="shared" si="3"/>
        <v>22</v>
      </c>
      <c r="K67" s="16">
        <f>(28*5666.5)</f>
        <v>158662</v>
      </c>
      <c r="L67" s="15">
        <f t="shared" si="4"/>
        <v>407988</v>
      </c>
      <c r="M67" s="8"/>
      <c r="N67" s="39" t="e">
        <f>#REF!-H67</f>
        <v>#REF!</v>
      </c>
    </row>
    <row r="68" spans="2:14">
      <c r="B68" s="14">
        <v>70</v>
      </c>
      <c r="C68" s="25" t="s">
        <v>187</v>
      </c>
      <c r="D68" s="41">
        <v>150000</v>
      </c>
      <c r="E68" s="41">
        <v>11997</v>
      </c>
      <c r="F68" s="41">
        <f t="shared" si="6"/>
        <v>161997</v>
      </c>
      <c r="G68" s="33">
        <v>30</v>
      </c>
      <c r="H68" s="41">
        <v>5399.9</v>
      </c>
      <c r="I68" s="11">
        <v>27</v>
      </c>
      <c r="J68" s="11">
        <f t="shared" si="3"/>
        <v>3</v>
      </c>
      <c r="K68" s="16">
        <f>(27*5399.9)</f>
        <v>145797.29999999999</v>
      </c>
      <c r="L68" s="41">
        <f t="shared" si="4"/>
        <v>16199.700000000012</v>
      </c>
      <c r="M68" s="8"/>
      <c r="N68" s="39" t="e">
        <f>#REF!-H68</f>
        <v>#REF!</v>
      </c>
    </row>
    <row r="69" spans="2:14">
      <c r="B69" s="14">
        <v>71</v>
      </c>
      <c r="C69" s="23" t="s">
        <v>148</v>
      </c>
      <c r="D69" s="15">
        <v>200000</v>
      </c>
      <c r="E69" s="15">
        <v>26660</v>
      </c>
      <c r="F69" s="15">
        <f t="shared" si="6"/>
        <v>226660</v>
      </c>
      <c r="G69" s="31">
        <v>40</v>
      </c>
      <c r="H69" s="15">
        <v>5666.5</v>
      </c>
      <c r="I69" s="8">
        <v>30</v>
      </c>
      <c r="J69" s="11">
        <f t="shared" si="3"/>
        <v>10</v>
      </c>
      <c r="K69" s="72">
        <f>(30*5666.5)</f>
        <v>169995</v>
      </c>
      <c r="L69" s="15">
        <f t="shared" si="4"/>
        <v>56665</v>
      </c>
      <c r="M69" s="8"/>
      <c r="N69" s="39" t="e">
        <f>#REF!-H69</f>
        <v>#REF!</v>
      </c>
    </row>
    <row r="70" spans="2:14">
      <c r="B70" s="14">
        <v>72</v>
      </c>
      <c r="C70" s="2" t="s">
        <v>149</v>
      </c>
      <c r="D70" s="15">
        <v>200000</v>
      </c>
      <c r="E70" s="15">
        <v>26660</v>
      </c>
      <c r="F70" s="15">
        <f t="shared" si="6"/>
        <v>226660</v>
      </c>
      <c r="G70" s="31">
        <v>40</v>
      </c>
      <c r="H70" s="15">
        <v>5666.5</v>
      </c>
      <c r="I70" s="8">
        <v>33</v>
      </c>
      <c r="J70" s="11">
        <f t="shared" si="3"/>
        <v>7</v>
      </c>
      <c r="K70" s="12">
        <f>(33*5666.5)</f>
        <v>186994.5</v>
      </c>
      <c r="L70" s="15">
        <f t="shared" si="4"/>
        <v>39665.5</v>
      </c>
      <c r="M70" s="8"/>
      <c r="N70" s="39" t="e">
        <f>#REF!-H70</f>
        <v>#REF!</v>
      </c>
    </row>
    <row r="71" spans="2:14">
      <c r="B71" s="14">
        <v>73</v>
      </c>
      <c r="C71" s="2" t="s">
        <v>150</v>
      </c>
      <c r="D71" s="15">
        <v>200000</v>
      </c>
      <c r="E71" s="15">
        <v>26660</v>
      </c>
      <c r="F71" s="15">
        <f t="shared" si="6"/>
        <v>226660</v>
      </c>
      <c r="G71" s="31">
        <v>40</v>
      </c>
      <c r="H71" s="15">
        <v>5666.5</v>
      </c>
      <c r="I71" s="8">
        <v>36</v>
      </c>
      <c r="J71" s="11">
        <f t="shared" si="3"/>
        <v>4</v>
      </c>
      <c r="K71" s="12">
        <f>(36*5666.5)</f>
        <v>203994</v>
      </c>
      <c r="L71" s="15">
        <f t="shared" si="4"/>
        <v>22666</v>
      </c>
      <c r="M71" s="8"/>
      <c r="N71" s="39" t="e">
        <f>#REF!-H71</f>
        <v>#REF!</v>
      </c>
    </row>
    <row r="72" spans="2:14">
      <c r="B72" s="14">
        <v>74</v>
      </c>
      <c r="C72" s="2" t="s">
        <v>12</v>
      </c>
      <c r="D72" s="12">
        <v>450000</v>
      </c>
      <c r="E72" s="12">
        <v>59985</v>
      </c>
      <c r="F72" s="15">
        <f t="shared" si="6"/>
        <v>509985</v>
      </c>
      <c r="G72" s="33">
        <v>50</v>
      </c>
      <c r="H72" s="16">
        <v>11333</v>
      </c>
      <c r="I72" s="31">
        <v>8</v>
      </c>
      <c r="J72" s="11">
        <f t="shared" ref="J72:J103" si="7">G72-I72</f>
        <v>42</v>
      </c>
      <c r="K72" s="12">
        <f>(8*11333)</f>
        <v>90664</v>
      </c>
      <c r="L72" s="15">
        <f t="shared" ref="L72:L103" si="8">F72-K72</f>
        <v>419321</v>
      </c>
      <c r="M72" s="8"/>
      <c r="N72" s="39" t="e">
        <f>#REF!-H72</f>
        <v>#REF!</v>
      </c>
    </row>
    <row r="73" spans="2:14">
      <c r="B73" s="14">
        <v>75</v>
      </c>
      <c r="C73" s="2" t="s">
        <v>194</v>
      </c>
      <c r="D73" s="12">
        <v>180000</v>
      </c>
      <c r="E73" s="12">
        <v>23994</v>
      </c>
      <c r="F73" s="15">
        <f t="shared" si="6"/>
        <v>203994</v>
      </c>
      <c r="G73" s="30">
        <v>40</v>
      </c>
      <c r="H73" s="12">
        <v>5099.8500000000004</v>
      </c>
      <c r="I73" s="22">
        <v>42</v>
      </c>
      <c r="J73" s="11">
        <f t="shared" si="7"/>
        <v>-2</v>
      </c>
      <c r="K73" s="12">
        <f>(42*5099.85)</f>
        <v>214193.7</v>
      </c>
      <c r="L73" s="15">
        <f t="shared" si="8"/>
        <v>-10199.700000000012</v>
      </c>
      <c r="M73" s="10"/>
      <c r="N73" s="39" t="e">
        <f>#REF!-H73</f>
        <v>#REF!</v>
      </c>
    </row>
    <row r="74" spans="2:14">
      <c r="B74" s="14">
        <v>76</v>
      </c>
      <c r="C74" s="2" t="s">
        <v>250</v>
      </c>
      <c r="D74" s="15">
        <v>200000</v>
      </c>
      <c r="E74" s="15">
        <v>26660</v>
      </c>
      <c r="F74" s="15">
        <v>226660</v>
      </c>
      <c r="G74" s="31">
        <v>40</v>
      </c>
      <c r="H74" s="18">
        <v>5666.5</v>
      </c>
      <c r="I74" s="8">
        <v>31</v>
      </c>
      <c r="J74" s="11">
        <f t="shared" si="7"/>
        <v>9</v>
      </c>
      <c r="K74" s="12">
        <f>(31*5666.5)</f>
        <v>175661.5</v>
      </c>
      <c r="L74" s="15">
        <f t="shared" si="8"/>
        <v>50998.5</v>
      </c>
      <c r="M74" s="8" t="s">
        <v>251</v>
      </c>
      <c r="N74" s="39" t="e">
        <f>#REF!-H74</f>
        <v>#REF!</v>
      </c>
    </row>
    <row r="75" spans="2:14">
      <c r="B75" s="14">
        <v>77</v>
      </c>
      <c r="C75" s="2" t="s">
        <v>211</v>
      </c>
      <c r="D75" s="12">
        <v>150000</v>
      </c>
      <c r="E75" s="12">
        <v>19995</v>
      </c>
      <c r="F75" s="15">
        <f>SUM(D75:E75)</f>
        <v>169995</v>
      </c>
      <c r="G75" s="31">
        <v>50</v>
      </c>
      <c r="H75" s="12">
        <v>3399.9</v>
      </c>
      <c r="I75" s="8">
        <v>26</v>
      </c>
      <c r="J75" s="11">
        <f t="shared" si="7"/>
        <v>24</v>
      </c>
      <c r="K75" s="12">
        <f>(26*3399.9)</f>
        <v>88397.400000000009</v>
      </c>
      <c r="L75" s="15">
        <f t="shared" si="8"/>
        <v>81597.599999999991</v>
      </c>
      <c r="M75" s="8"/>
      <c r="N75" s="39" t="e">
        <f>#REF!-H75</f>
        <v>#REF!</v>
      </c>
    </row>
    <row r="76" spans="2:14">
      <c r="B76" s="14">
        <v>78</v>
      </c>
      <c r="C76" s="2" t="s">
        <v>111</v>
      </c>
      <c r="D76" s="12">
        <v>330000</v>
      </c>
      <c r="E76" s="12">
        <v>43989</v>
      </c>
      <c r="F76" s="15">
        <f>SUM(D76:E76)</f>
        <v>373989</v>
      </c>
      <c r="G76" s="31">
        <v>50</v>
      </c>
      <c r="H76" s="12">
        <v>7479.78</v>
      </c>
      <c r="I76" s="11">
        <v>19</v>
      </c>
      <c r="J76" s="11">
        <f t="shared" si="7"/>
        <v>31</v>
      </c>
      <c r="K76" s="16">
        <f>(19*7479.78)</f>
        <v>142115.82</v>
      </c>
      <c r="L76" s="15">
        <f t="shared" si="8"/>
        <v>231873.18</v>
      </c>
      <c r="M76" s="8"/>
      <c r="N76" s="39" t="e">
        <f>#REF!-H76</f>
        <v>#REF!</v>
      </c>
    </row>
    <row r="77" spans="2:14">
      <c r="B77" s="14">
        <v>79</v>
      </c>
      <c r="C77" s="2" t="s">
        <v>151</v>
      </c>
      <c r="D77" s="15">
        <v>200000</v>
      </c>
      <c r="E77" s="15">
        <v>26660</v>
      </c>
      <c r="F77" s="15">
        <f>SUM(D77:E77)</f>
        <v>226660</v>
      </c>
      <c r="G77" s="31">
        <v>40</v>
      </c>
      <c r="H77" s="15">
        <v>5666.5</v>
      </c>
      <c r="I77" s="8">
        <v>34</v>
      </c>
      <c r="J77" s="11">
        <f t="shared" si="7"/>
        <v>6</v>
      </c>
      <c r="K77" s="12">
        <f>(34*5666.5)</f>
        <v>192661</v>
      </c>
      <c r="L77" s="15">
        <f t="shared" si="8"/>
        <v>33999</v>
      </c>
      <c r="M77" s="8"/>
      <c r="N77" s="39" t="e">
        <f>#REF!-H77</f>
        <v>#REF!</v>
      </c>
    </row>
    <row r="78" spans="2:14">
      <c r="B78" s="14">
        <v>80</v>
      </c>
      <c r="C78" s="2" t="s">
        <v>152</v>
      </c>
      <c r="D78" s="15">
        <v>200000</v>
      </c>
      <c r="E78" s="15">
        <v>26660</v>
      </c>
      <c r="F78" s="15">
        <f>SUM(D78:E78)</f>
        <v>226660</v>
      </c>
      <c r="G78" s="32">
        <v>40</v>
      </c>
      <c r="H78" s="15">
        <v>5666.5</v>
      </c>
      <c r="I78" s="22">
        <v>42</v>
      </c>
      <c r="J78" s="11">
        <f t="shared" si="7"/>
        <v>-2</v>
      </c>
      <c r="K78" s="15">
        <f>(42*5666.5)</f>
        <v>237993</v>
      </c>
      <c r="L78" s="15">
        <f t="shared" si="8"/>
        <v>-11333</v>
      </c>
      <c r="M78" s="10"/>
      <c r="N78" s="39" t="e">
        <f>#REF!-H78</f>
        <v>#REF!</v>
      </c>
    </row>
    <row r="79" spans="2:14">
      <c r="B79" s="14">
        <v>81</v>
      </c>
      <c r="C79" s="2" t="s">
        <v>237</v>
      </c>
      <c r="D79" s="12">
        <v>132000</v>
      </c>
      <c r="E79" s="12">
        <v>17595.599999999999</v>
      </c>
      <c r="F79" s="12">
        <v>149595.6</v>
      </c>
      <c r="G79" s="30">
        <v>40</v>
      </c>
      <c r="H79" s="18">
        <v>3739.89</v>
      </c>
      <c r="I79" s="33">
        <v>30</v>
      </c>
      <c r="J79" s="11">
        <f t="shared" si="7"/>
        <v>10</v>
      </c>
      <c r="K79" s="12">
        <f>(30*3739.89)</f>
        <v>112196.7</v>
      </c>
      <c r="L79" s="15">
        <f t="shared" si="8"/>
        <v>37398.900000000009</v>
      </c>
      <c r="M79" s="8"/>
      <c r="N79" s="39" t="e">
        <f>#REF!-H79</f>
        <v>#REF!</v>
      </c>
    </row>
    <row r="80" spans="2:14">
      <c r="B80" s="14">
        <v>82</v>
      </c>
      <c r="C80" s="2" t="s">
        <v>153</v>
      </c>
      <c r="D80" s="15">
        <v>200000</v>
      </c>
      <c r="E80" s="15">
        <v>26660</v>
      </c>
      <c r="F80" s="15">
        <f t="shared" ref="F80:F93" si="9">SUM(D80:E80)</f>
        <v>226660</v>
      </c>
      <c r="G80" s="31">
        <v>40</v>
      </c>
      <c r="H80" s="15">
        <v>5666.5</v>
      </c>
      <c r="I80" s="8">
        <v>33</v>
      </c>
      <c r="J80" s="11">
        <f t="shared" si="7"/>
        <v>7</v>
      </c>
      <c r="K80" s="12">
        <f>(33*5666.5)</f>
        <v>186994.5</v>
      </c>
      <c r="L80" s="15">
        <f t="shared" si="8"/>
        <v>39665.5</v>
      </c>
      <c r="M80" s="8"/>
      <c r="N80" s="39" t="e">
        <f>#REF!-H80</f>
        <v>#REF!</v>
      </c>
    </row>
    <row r="81" spans="2:14">
      <c r="B81" s="14">
        <v>83</v>
      </c>
      <c r="C81" s="2" t="s">
        <v>112</v>
      </c>
      <c r="D81" s="12">
        <v>330000</v>
      </c>
      <c r="E81" s="12">
        <v>43989</v>
      </c>
      <c r="F81" s="15">
        <f t="shared" si="9"/>
        <v>373989</v>
      </c>
      <c r="G81" s="31">
        <v>50</v>
      </c>
      <c r="H81" s="12">
        <v>7479.78</v>
      </c>
      <c r="I81" s="11">
        <v>19</v>
      </c>
      <c r="J81" s="11">
        <f t="shared" si="7"/>
        <v>31</v>
      </c>
      <c r="K81" s="16">
        <f>(19*7479.78)</f>
        <v>142115.82</v>
      </c>
      <c r="L81" s="15">
        <f t="shared" si="8"/>
        <v>231873.18</v>
      </c>
      <c r="M81" s="8"/>
      <c r="N81" s="39" t="e">
        <f>#REF!-H81</f>
        <v>#REF!</v>
      </c>
    </row>
    <row r="82" spans="2:14">
      <c r="B82" s="14">
        <v>84</v>
      </c>
      <c r="C82" s="2" t="s">
        <v>62</v>
      </c>
      <c r="D82" s="12">
        <v>500000</v>
      </c>
      <c r="E82" s="12">
        <v>66650</v>
      </c>
      <c r="F82" s="15">
        <f t="shared" si="9"/>
        <v>566650</v>
      </c>
      <c r="G82" s="33">
        <v>50</v>
      </c>
      <c r="H82" s="12">
        <v>11333</v>
      </c>
      <c r="I82" s="11">
        <v>18</v>
      </c>
      <c r="J82" s="11">
        <f t="shared" si="7"/>
        <v>32</v>
      </c>
      <c r="K82" s="12">
        <f>(18*11333)</f>
        <v>203994</v>
      </c>
      <c r="L82" s="15">
        <f t="shared" si="8"/>
        <v>362656</v>
      </c>
      <c r="M82" s="8"/>
      <c r="N82" s="39" t="e">
        <f>#REF!-H82</f>
        <v>#REF!</v>
      </c>
    </row>
    <row r="83" spans="2:14">
      <c r="B83" s="14">
        <v>85</v>
      </c>
      <c r="C83" s="2" t="s">
        <v>63</v>
      </c>
      <c r="D83" s="12">
        <v>500000</v>
      </c>
      <c r="E83" s="12">
        <v>66650</v>
      </c>
      <c r="F83" s="15">
        <f t="shared" si="9"/>
        <v>566650</v>
      </c>
      <c r="G83" s="31">
        <v>50</v>
      </c>
      <c r="H83" s="12">
        <v>11333</v>
      </c>
      <c r="I83" s="11">
        <v>19</v>
      </c>
      <c r="J83" s="11">
        <f t="shared" si="7"/>
        <v>31</v>
      </c>
      <c r="K83" s="12">
        <f>(19*11333)</f>
        <v>215327</v>
      </c>
      <c r="L83" s="15">
        <f t="shared" si="8"/>
        <v>351323</v>
      </c>
      <c r="M83" s="8"/>
      <c r="N83" s="39" t="e">
        <f>#REF!-H83</f>
        <v>#REF!</v>
      </c>
    </row>
    <row r="84" spans="2:14">
      <c r="B84" s="14">
        <v>86</v>
      </c>
      <c r="C84" s="2" t="s">
        <v>64</v>
      </c>
      <c r="D84" s="12">
        <v>500000</v>
      </c>
      <c r="E84" s="12">
        <v>66650</v>
      </c>
      <c r="F84" s="15">
        <f t="shared" si="9"/>
        <v>566650</v>
      </c>
      <c r="G84" s="33">
        <v>50</v>
      </c>
      <c r="H84" s="12">
        <v>11333</v>
      </c>
      <c r="I84" s="11">
        <v>18</v>
      </c>
      <c r="J84" s="11">
        <f t="shared" si="7"/>
        <v>32</v>
      </c>
      <c r="K84" s="12">
        <f>(18*11333)</f>
        <v>203994</v>
      </c>
      <c r="L84" s="15">
        <f t="shared" si="8"/>
        <v>362656</v>
      </c>
      <c r="M84" s="8"/>
      <c r="N84" s="39" t="e">
        <f>#REF!-H84</f>
        <v>#REF!</v>
      </c>
    </row>
    <row r="85" spans="2:14">
      <c r="B85" s="14">
        <v>87</v>
      </c>
      <c r="C85" s="2" t="s">
        <v>65</v>
      </c>
      <c r="D85" s="12">
        <v>500000</v>
      </c>
      <c r="E85" s="12">
        <v>66650</v>
      </c>
      <c r="F85" s="15">
        <f t="shared" si="9"/>
        <v>566650</v>
      </c>
      <c r="G85" s="31">
        <v>50</v>
      </c>
      <c r="H85" s="12">
        <v>11333</v>
      </c>
      <c r="I85" s="8">
        <v>26</v>
      </c>
      <c r="J85" s="11">
        <f t="shared" si="7"/>
        <v>24</v>
      </c>
      <c r="K85" s="12">
        <f>(26*11333)</f>
        <v>294658</v>
      </c>
      <c r="L85" s="15">
        <f t="shared" si="8"/>
        <v>271992</v>
      </c>
      <c r="M85" s="8"/>
      <c r="N85" s="39" t="e">
        <f>#REF!-H85</f>
        <v>#REF!</v>
      </c>
    </row>
    <row r="86" spans="2:14">
      <c r="B86" s="14">
        <v>88</v>
      </c>
      <c r="C86" s="2" t="s">
        <v>66</v>
      </c>
      <c r="D86" s="12">
        <v>500000</v>
      </c>
      <c r="E86" s="12">
        <v>66650</v>
      </c>
      <c r="F86" s="15">
        <f t="shared" si="9"/>
        <v>566650</v>
      </c>
      <c r="G86" s="31">
        <v>50</v>
      </c>
      <c r="H86" s="18">
        <v>11333</v>
      </c>
      <c r="I86" s="8">
        <v>8</v>
      </c>
      <c r="J86" s="11">
        <f t="shared" si="7"/>
        <v>42</v>
      </c>
      <c r="K86" s="12">
        <f>(8*11333)</f>
        <v>90664</v>
      </c>
      <c r="L86" s="15">
        <f t="shared" si="8"/>
        <v>475986</v>
      </c>
      <c r="M86" s="8"/>
      <c r="N86" s="39" t="e">
        <f>#REF!-H86</f>
        <v>#REF!</v>
      </c>
    </row>
    <row r="87" spans="2:14">
      <c r="B87" s="14">
        <v>89</v>
      </c>
      <c r="C87" s="2" t="s">
        <v>113</v>
      </c>
      <c r="D87" s="12">
        <v>330000</v>
      </c>
      <c r="E87" s="12">
        <v>43989</v>
      </c>
      <c r="F87" s="15">
        <f t="shared" si="9"/>
        <v>373989</v>
      </c>
      <c r="G87" s="31">
        <v>50</v>
      </c>
      <c r="H87" s="12">
        <v>7479.78</v>
      </c>
      <c r="I87" s="8">
        <v>40</v>
      </c>
      <c r="J87" s="11">
        <f t="shared" si="7"/>
        <v>10</v>
      </c>
      <c r="K87" s="12">
        <f>(40*11333)</f>
        <v>453320</v>
      </c>
      <c r="L87" s="15">
        <f t="shared" si="8"/>
        <v>-79331</v>
      </c>
      <c r="M87" s="8"/>
      <c r="N87" s="39" t="e">
        <f>#REF!-H87</f>
        <v>#REF!</v>
      </c>
    </row>
    <row r="88" spans="2:14">
      <c r="B88" s="14">
        <v>90</v>
      </c>
      <c r="C88" s="2" t="s">
        <v>203</v>
      </c>
      <c r="D88" s="12">
        <v>132000</v>
      </c>
      <c r="E88" s="12">
        <v>17595.599999999999</v>
      </c>
      <c r="F88" s="15">
        <f t="shared" si="9"/>
        <v>149595.6</v>
      </c>
      <c r="G88" s="31">
        <v>40</v>
      </c>
      <c r="H88" s="12">
        <v>3739.89</v>
      </c>
      <c r="I88" s="8">
        <v>33</v>
      </c>
      <c r="J88" s="11">
        <f t="shared" si="7"/>
        <v>7</v>
      </c>
      <c r="K88" s="12">
        <f>(33*3739.89)</f>
        <v>123416.37</v>
      </c>
      <c r="L88" s="15">
        <f t="shared" si="8"/>
        <v>26179.23000000001</v>
      </c>
      <c r="M88" s="8"/>
      <c r="N88" s="39" t="e">
        <f>#REF!-H88</f>
        <v>#REF!</v>
      </c>
    </row>
    <row r="89" spans="2:14">
      <c r="B89" s="14">
        <v>91</v>
      </c>
      <c r="C89" s="2" t="s">
        <v>195</v>
      </c>
      <c r="D89" s="12">
        <v>180000</v>
      </c>
      <c r="E89" s="12">
        <v>23994</v>
      </c>
      <c r="F89" s="15">
        <f t="shared" si="9"/>
        <v>203994</v>
      </c>
      <c r="G89" s="31">
        <v>40</v>
      </c>
      <c r="H89" s="12">
        <v>5099.8500000000004</v>
      </c>
      <c r="I89" s="8">
        <v>39</v>
      </c>
      <c r="J89" s="11">
        <f t="shared" si="7"/>
        <v>1</v>
      </c>
      <c r="K89" s="12">
        <f>(39*5099.85)</f>
        <v>198894.15000000002</v>
      </c>
      <c r="L89" s="15">
        <f t="shared" si="8"/>
        <v>5099.8499999999767</v>
      </c>
      <c r="M89" s="8"/>
      <c r="N89" s="39" t="e">
        <f>#REF!-H89</f>
        <v>#REF!</v>
      </c>
    </row>
    <row r="90" spans="2:14">
      <c r="B90" s="14">
        <v>92</v>
      </c>
      <c r="C90" s="2" t="s">
        <v>154</v>
      </c>
      <c r="D90" s="15">
        <v>200000</v>
      </c>
      <c r="E90" s="15">
        <v>26660</v>
      </c>
      <c r="F90" s="15">
        <f t="shared" si="9"/>
        <v>226660</v>
      </c>
      <c r="G90" s="32">
        <v>40</v>
      </c>
      <c r="H90" s="15">
        <v>5666.5</v>
      </c>
      <c r="I90" s="22">
        <v>42</v>
      </c>
      <c r="J90" s="11">
        <f t="shared" si="7"/>
        <v>-2</v>
      </c>
      <c r="K90" s="15">
        <f>(42*5666.5)</f>
        <v>237993</v>
      </c>
      <c r="L90" s="15">
        <f t="shared" si="8"/>
        <v>-11333</v>
      </c>
      <c r="M90" s="10"/>
      <c r="N90" s="39" t="e">
        <f>#REF!-H90</f>
        <v>#REF!</v>
      </c>
    </row>
    <row r="91" spans="2:14">
      <c r="B91" s="14">
        <v>93</v>
      </c>
      <c r="C91" s="2" t="s">
        <v>155</v>
      </c>
      <c r="D91" s="15">
        <v>200000</v>
      </c>
      <c r="E91" s="15">
        <v>26660</v>
      </c>
      <c r="F91" s="15">
        <f t="shared" si="9"/>
        <v>226660</v>
      </c>
      <c r="G91" s="31">
        <v>40</v>
      </c>
      <c r="H91" s="15">
        <v>5666.5</v>
      </c>
      <c r="I91" s="8">
        <v>33</v>
      </c>
      <c r="J91" s="11">
        <f t="shared" si="7"/>
        <v>7</v>
      </c>
      <c r="K91" s="15">
        <f>(33*5666.5)</f>
        <v>186994.5</v>
      </c>
      <c r="L91" s="15">
        <f t="shared" si="8"/>
        <v>39665.5</v>
      </c>
      <c r="M91" s="8"/>
      <c r="N91" s="39" t="e">
        <f>#REF!-H91</f>
        <v>#REF!</v>
      </c>
    </row>
    <row r="92" spans="2:14">
      <c r="B92" s="14">
        <v>94</v>
      </c>
      <c r="C92" s="2" t="s">
        <v>44</v>
      </c>
      <c r="D92" s="12">
        <v>450000</v>
      </c>
      <c r="E92" s="16">
        <v>59985</v>
      </c>
      <c r="F92" s="15">
        <f t="shared" si="9"/>
        <v>509985</v>
      </c>
      <c r="G92" s="33">
        <v>50</v>
      </c>
      <c r="H92" s="71">
        <v>10199.700000000001</v>
      </c>
      <c r="I92" s="8">
        <v>30</v>
      </c>
      <c r="J92" s="11">
        <f t="shared" si="7"/>
        <v>20</v>
      </c>
      <c r="K92" s="12">
        <f>(30*10199.7)</f>
        <v>305991</v>
      </c>
      <c r="L92" s="15">
        <f t="shared" si="8"/>
        <v>203994</v>
      </c>
      <c r="M92" s="8"/>
      <c r="N92" s="39" t="e">
        <f>#REF!-H92</f>
        <v>#REF!</v>
      </c>
    </row>
    <row r="93" spans="2:14">
      <c r="B93" s="14">
        <v>95</v>
      </c>
      <c r="C93" s="2" t="s">
        <v>68</v>
      </c>
      <c r="D93" s="12">
        <v>500000</v>
      </c>
      <c r="E93" s="12">
        <v>66650</v>
      </c>
      <c r="F93" s="15">
        <f t="shared" si="9"/>
        <v>566650</v>
      </c>
      <c r="G93" s="31">
        <v>50</v>
      </c>
      <c r="H93" s="12">
        <v>11333</v>
      </c>
      <c r="I93" s="8">
        <v>40</v>
      </c>
      <c r="J93" s="11">
        <f t="shared" si="7"/>
        <v>10</v>
      </c>
      <c r="K93" s="12">
        <f>(40*11333)</f>
        <v>453320</v>
      </c>
      <c r="L93" s="15">
        <f t="shared" si="8"/>
        <v>113330</v>
      </c>
      <c r="M93" s="8"/>
      <c r="N93" s="39" t="e">
        <f>#REF!-H93</f>
        <v>#REF!</v>
      </c>
    </row>
    <row r="94" spans="2:14">
      <c r="B94" s="14">
        <v>96</v>
      </c>
      <c r="C94" s="2" t="s">
        <v>28</v>
      </c>
      <c r="D94" s="18">
        <v>500000</v>
      </c>
      <c r="E94" s="18">
        <v>66650</v>
      </c>
      <c r="F94" s="18">
        <v>566650</v>
      </c>
      <c r="G94" s="33">
        <v>50</v>
      </c>
      <c r="H94" s="16">
        <v>11333</v>
      </c>
      <c r="I94" s="8">
        <v>5</v>
      </c>
      <c r="J94" s="11">
        <f t="shared" si="7"/>
        <v>45</v>
      </c>
      <c r="K94" s="12">
        <f>(5*11333)</f>
        <v>56665</v>
      </c>
      <c r="L94" s="12">
        <f t="shared" si="8"/>
        <v>509985</v>
      </c>
      <c r="M94" s="1"/>
      <c r="N94" s="39" t="e">
        <f>#REF!-H94</f>
        <v>#REF!</v>
      </c>
    </row>
    <row r="95" spans="2:14">
      <c r="B95" s="14">
        <v>98</v>
      </c>
      <c r="C95" s="2" t="s">
        <v>212</v>
      </c>
      <c r="D95" s="12">
        <v>150000</v>
      </c>
      <c r="E95" s="12">
        <v>19995</v>
      </c>
      <c r="F95" s="15">
        <f>SUM(D95:E95)</f>
        <v>169995</v>
      </c>
      <c r="G95" s="31">
        <v>50</v>
      </c>
      <c r="H95" s="12">
        <v>3399.9</v>
      </c>
      <c r="I95" s="8">
        <v>28</v>
      </c>
      <c r="J95" s="11">
        <f t="shared" si="7"/>
        <v>22</v>
      </c>
      <c r="K95" s="12">
        <f>(28*3399.9)</f>
        <v>95197.2</v>
      </c>
      <c r="L95" s="15">
        <f t="shared" si="8"/>
        <v>74797.8</v>
      </c>
      <c r="M95" s="8"/>
      <c r="N95" s="39" t="e">
        <f>#REF!-H95</f>
        <v>#REF!</v>
      </c>
    </row>
    <row r="96" spans="2:14">
      <c r="B96" s="14">
        <v>100</v>
      </c>
      <c r="C96" s="2" t="s">
        <v>156</v>
      </c>
      <c r="D96" s="15">
        <v>200000</v>
      </c>
      <c r="E96" s="15">
        <v>26660</v>
      </c>
      <c r="F96" s="15">
        <f>SUM(D96:E96)</f>
        <v>226660</v>
      </c>
      <c r="G96" s="31">
        <v>40</v>
      </c>
      <c r="H96" s="70">
        <v>3739.89</v>
      </c>
      <c r="I96" s="8">
        <v>36</v>
      </c>
      <c r="J96" s="11">
        <f t="shared" si="7"/>
        <v>4</v>
      </c>
      <c r="K96" s="12">
        <f>(36*5666.5)</f>
        <v>203994</v>
      </c>
      <c r="L96" s="15">
        <f t="shared" si="8"/>
        <v>22666</v>
      </c>
      <c r="M96" s="8"/>
      <c r="N96" s="39" t="e">
        <f>#REF!-H96</f>
        <v>#REF!</v>
      </c>
    </row>
    <row r="97" spans="2:14">
      <c r="B97" s="14">
        <v>101</v>
      </c>
      <c r="C97" s="2" t="s">
        <v>157</v>
      </c>
      <c r="D97" s="15">
        <v>200000</v>
      </c>
      <c r="E97" s="15">
        <v>26660</v>
      </c>
      <c r="F97" s="15">
        <f>SUM(D97:E97)</f>
        <v>226660</v>
      </c>
      <c r="G97" s="31">
        <v>40</v>
      </c>
      <c r="H97" s="15">
        <v>5666.5</v>
      </c>
      <c r="I97" s="8">
        <v>36</v>
      </c>
      <c r="J97" s="11">
        <f t="shared" si="7"/>
        <v>4</v>
      </c>
      <c r="K97" s="12">
        <f>(36*5666.5)</f>
        <v>203994</v>
      </c>
      <c r="L97" s="15">
        <f t="shared" si="8"/>
        <v>22666</v>
      </c>
      <c r="M97" s="8"/>
      <c r="N97" s="39" t="e">
        <f>#REF!-H97</f>
        <v>#REF!</v>
      </c>
    </row>
    <row r="98" spans="2:14">
      <c r="B98" s="14">
        <v>8</v>
      </c>
      <c r="C98" s="2" t="s">
        <v>235</v>
      </c>
      <c r="D98" s="12">
        <v>180000</v>
      </c>
      <c r="E98" s="12">
        <v>23994</v>
      </c>
      <c r="F98" s="12">
        <v>203994</v>
      </c>
      <c r="G98" s="30">
        <v>40</v>
      </c>
      <c r="H98" s="18">
        <v>5099.8500000000004</v>
      </c>
      <c r="I98" s="30">
        <v>42</v>
      </c>
      <c r="J98" s="11">
        <f t="shared" si="7"/>
        <v>-2</v>
      </c>
      <c r="K98" s="12">
        <f>(42*5099.85)</f>
        <v>214193.7</v>
      </c>
      <c r="L98" s="15">
        <f t="shared" si="8"/>
        <v>-10199.700000000012</v>
      </c>
      <c r="M98" s="10"/>
      <c r="N98" s="39" t="e">
        <f>#REF!-H98</f>
        <v>#REF!</v>
      </c>
    </row>
    <row r="99" spans="2:14">
      <c r="B99" s="14">
        <v>9</v>
      </c>
      <c r="C99" s="2" t="s">
        <v>22</v>
      </c>
      <c r="D99" s="18">
        <v>500000</v>
      </c>
      <c r="E99" s="18">
        <v>66650</v>
      </c>
      <c r="F99" s="18">
        <v>566650</v>
      </c>
      <c r="G99" s="33">
        <v>50</v>
      </c>
      <c r="H99" s="16">
        <v>11333</v>
      </c>
      <c r="I99" s="8">
        <v>4</v>
      </c>
      <c r="J99" s="11">
        <f t="shared" si="7"/>
        <v>46</v>
      </c>
      <c r="K99" s="12">
        <f>(4*11333)</f>
        <v>45332</v>
      </c>
      <c r="L99" s="12">
        <f t="shared" si="8"/>
        <v>521318</v>
      </c>
      <c r="M99" s="8"/>
      <c r="N99" s="39" t="e">
        <f>#REF!-H99</f>
        <v>#REF!</v>
      </c>
    </row>
    <row r="100" spans="2:14">
      <c r="B100" s="14">
        <v>102</v>
      </c>
      <c r="C100" s="2" t="s">
        <v>158</v>
      </c>
      <c r="D100" s="15">
        <v>200000</v>
      </c>
      <c r="E100" s="15">
        <v>26660</v>
      </c>
      <c r="F100" s="15">
        <f>SUM(D100:E100)</f>
        <v>226660</v>
      </c>
      <c r="G100" s="31">
        <v>40</v>
      </c>
      <c r="H100" s="15">
        <v>5666.5</v>
      </c>
      <c r="I100" s="8">
        <v>36</v>
      </c>
      <c r="J100" s="11">
        <f t="shared" si="7"/>
        <v>4</v>
      </c>
      <c r="K100" s="12">
        <f>(36*5666.5)</f>
        <v>203994</v>
      </c>
      <c r="L100" s="15">
        <f t="shared" si="8"/>
        <v>22666</v>
      </c>
      <c r="M100" s="8"/>
      <c r="N100" s="39" t="e">
        <f>#REF!-H100</f>
        <v>#REF!</v>
      </c>
    </row>
    <row r="101" spans="2:14">
      <c r="B101" s="14">
        <v>103</v>
      </c>
      <c r="C101" s="2" t="s">
        <v>51</v>
      </c>
      <c r="D101" s="12">
        <v>500000</v>
      </c>
      <c r="E101" s="12">
        <v>53320</v>
      </c>
      <c r="F101" s="15">
        <f>SUM(D101:E101)</f>
        <v>553320</v>
      </c>
      <c r="G101" s="31">
        <v>40</v>
      </c>
      <c r="H101" s="12">
        <v>13833</v>
      </c>
      <c r="I101" s="8">
        <v>40</v>
      </c>
      <c r="J101" s="11">
        <f t="shared" si="7"/>
        <v>0</v>
      </c>
      <c r="K101" s="12">
        <f>(40*13833)</f>
        <v>553320</v>
      </c>
      <c r="L101" s="15">
        <f t="shared" si="8"/>
        <v>0</v>
      </c>
      <c r="M101" s="8"/>
      <c r="N101" s="39" t="e">
        <f>#REF!-H101</f>
        <v>#REF!</v>
      </c>
    </row>
    <row r="102" spans="2:14">
      <c r="B102" s="14">
        <v>104</v>
      </c>
      <c r="C102" s="2" t="s">
        <v>159</v>
      </c>
      <c r="D102" s="15">
        <v>200000</v>
      </c>
      <c r="E102" s="15">
        <v>26660</v>
      </c>
      <c r="F102" s="15">
        <f>SUM(D102:E102)</f>
        <v>226660</v>
      </c>
      <c r="G102" s="31">
        <v>40</v>
      </c>
      <c r="H102" s="15">
        <v>5666.5</v>
      </c>
      <c r="I102" s="8">
        <v>27</v>
      </c>
      <c r="J102" s="11">
        <f t="shared" si="7"/>
        <v>13</v>
      </c>
      <c r="K102" s="12">
        <f>(27*5666.5)</f>
        <v>152995.5</v>
      </c>
      <c r="L102" s="15">
        <f t="shared" si="8"/>
        <v>73664.5</v>
      </c>
      <c r="M102" s="8"/>
      <c r="N102" s="39" t="e">
        <f>#REF!-H102</f>
        <v>#REF!</v>
      </c>
    </row>
    <row r="103" spans="2:14">
      <c r="B103" s="14">
        <v>105</v>
      </c>
      <c r="C103" s="2" t="s">
        <v>233</v>
      </c>
      <c r="D103" s="15">
        <v>200000</v>
      </c>
      <c r="E103" s="15">
        <v>26660</v>
      </c>
      <c r="F103" s="15">
        <v>226660</v>
      </c>
      <c r="G103" s="31">
        <v>40</v>
      </c>
      <c r="H103" s="18">
        <v>5666.5</v>
      </c>
      <c r="I103" s="31">
        <v>36</v>
      </c>
      <c r="J103" s="11">
        <f t="shared" si="7"/>
        <v>4</v>
      </c>
      <c r="K103" s="12">
        <f>(36*5666.5)</f>
        <v>203994</v>
      </c>
      <c r="L103" s="15">
        <f t="shared" si="8"/>
        <v>22666</v>
      </c>
      <c r="M103" s="8"/>
      <c r="N103" s="39" t="e">
        <f>#REF!-H103</f>
        <v>#REF!</v>
      </c>
    </row>
    <row r="104" spans="2:14">
      <c r="B104" s="14">
        <v>106</v>
      </c>
      <c r="C104" s="2" t="s">
        <v>160</v>
      </c>
      <c r="D104" s="15">
        <v>200000</v>
      </c>
      <c r="E104" s="15">
        <v>26660</v>
      </c>
      <c r="F104" s="15">
        <f>SUM(D104:E104)</f>
        <v>226660</v>
      </c>
      <c r="G104" s="31">
        <v>40</v>
      </c>
      <c r="H104" s="15">
        <v>5666.5</v>
      </c>
      <c r="I104" s="8">
        <v>36</v>
      </c>
      <c r="J104" s="11">
        <f t="shared" ref="J104:J135" si="10">G104-I104</f>
        <v>4</v>
      </c>
      <c r="K104" s="12">
        <f>(36*5666.5)</f>
        <v>203994</v>
      </c>
      <c r="L104" s="15">
        <f t="shared" ref="L104:L135" si="11">F104-K104</f>
        <v>22666</v>
      </c>
      <c r="M104" s="8"/>
      <c r="N104" s="39" t="e">
        <f>#REF!-H104</f>
        <v>#REF!</v>
      </c>
    </row>
    <row r="105" spans="2:14">
      <c r="B105" s="14">
        <v>107</v>
      </c>
      <c r="C105" s="2" t="s">
        <v>204</v>
      </c>
      <c r="D105" s="12">
        <v>132000</v>
      </c>
      <c r="E105" s="12">
        <v>17595.599999999999</v>
      </c>
      <c r="F105" s="15">
        <f>SUM(D105:E105)</f>
        <v>149595.6</v>
      </c>
      <c r="G105" s="31">
        <v>40</v>
      </c>
      <c r="H105" s="12">
        <v>3739.89</v>
      </c>
      <c r="I105" s="8">
        <v>33</v>
      </c>
      <c r="J105" s="11">
        <f t="shared" si="10"/>
        <v>7</v>
      </c>
      <c r="K105" s="12">
        <f>(33*3739.89)</f>
        <v>123416.37</v>
      </c>
      <c r="L105" s="15">
        <f t="shared" si="11"/>
        <v>26179.23000000001</v>
      </c>
      <c r="M105" s="8"/>
      <c r="N105" s="39" t="e">
        <f>#REF!-H105</f>
        <v>#REF!</v>
      </c>
    </row>
    <row r="106" spans="2:14">
      <c r="B106" s="14">
        <v>11</v>
      </c>
      <c r="C106" s="2" t="s">
        <v>223</v>
      </c>
      <c r="D106" s="12">
        <v>500000</v>
      </c>
      <c r="E106" s="12">
        <v>66650</v>
      </c>
      <c r="F106" s="12">
        <v>566650</v>
      </c>
      <c r="G106" s="31">
        <v>50</v>
      </c>
      <c r="H106" s="18">
        <v>11333</v>
      </c>
      <c r="I106" s="33">
        <v>19</v>
      </c>
      <c r="J106" s="11">
        <f t="shared" si="10"/>
        <v>31</v>
      </c>
      <c r="K106" s="12">
        <f>(19*11333)</f>
        <v>215327</v>
      </c>
      <c r="L106" s="15">
        <f t="shared" si="11"/>
        <v>351323</v>
      </c>
      <c r="M106" s="8"/>
      <c r="N106" s="39" t="e">
        <f>#REF!-H106</f>
        <v>#REF!</v>
      </c>
    </row>
    <row r="107" spans="2:14">
      <c r="B107" s="14">
        <v>108</v>
      </c>
      <c r="C107" s="2" t="s">
        <v>205</v>
      </c>
      <c r="D107" s="12">
        <v>132000</v>
      </c>
      <c r="E107" s="12">
        <v>17595.599999999999</v>
      </c>
      <c r="F107" s="15">
        <f>SUM(D107:E107)</f>
        <v>149595.6</v>
      </c>
      <c r="G107" s="31">
        <v>40</v>
      </c>
      <c r="H107" s="12">
        <v>3739.89</v>
      </c>
      <c r="I107" s="8">
        <v>36</v>
      </c>
      <c r="J107" s="11">
        <f t="shared" si="10"/>
        <v>4</v>
      </c>
      <c r="K107" s="12">
        <f>(36*3739.89)</f>
        <v>134636.04</v>
      </c>
      <c r="L107" s="15">
        <f t="shared" si="11"/>
        <v>14959.559999999998</v>
      </c>
      <c r="M107" s="8"/>
      <c r="N107" s="39" t="e">
        <f>#REF!-H107</f>
        <v>#REF!</v>
      </c>
    </row>
    <row r="108" spans="2:14">
      <c r="B108" s="14">
        <v>109</v>
      </c>
      <c r="C108" s="2" t="s">
        <v>232</v>
      </c>
      <c r="D108" s="15">
        <v>200000</v>
      </c>
      <c r="E108" s="15">
        <v>26660</v>
      </c>
      <c r="F108" s="15">
        <v>226660</v>
      </c>
      <c r="G108" s="31">
        <v>40</v>
      </c>
      <c r="H108" s="18">
        <v>5666.5</v>
      </c>
      <c r="I108" s="31">
        <v>33</v>
      </c>
      <c r="J108" s="11">
        <f t="shared" si="10"/>
        <v>7</v>
      </c>
      <c r="K108" s="12">
        <f>(33*5666.5)</f>
        <v>186994.5</v>
      </c>
      <c r="L108" s="15">
        <f t="shared" si="11"/>
        <v>39665.5</v>
      </c>
      <c r="M108" s="8"/>
      <c r="N108" s="39" t="e">
        <f>#REF!-H108</f>
        <v>#REF!</v>
      </c>
    </row>
    <row r="109" spans="2:14">
      <c r="B109" s="14">
        <v>110</v>
      </c>
      <c r="C109" s="2" t="s">
        <v>162</v>
      </c>
      <c r="D109" s="15">
        <v>200000</v>
      </c>
      <c r="E109" s="15">
        <v>26660</v>
      </c>
      <c r="F109" s="15">
        <f t="shared" ref="F109:F117" si="12">SUM(D109:E109)</f>
        <v>226660</v>
      </c>
      <c r="G109" s="31">
        <v>40</v>
      </c>
      <c r="H109" s="15">
        <v>5666.5</v>
      </c>
      <c r="I109" s="8">
        <v>35</v>
      </c>
      <c r="J109" s="11">
        <f t="shared" si="10"/>
        <v>5</v>
      </c>
      <c r="K109" s="12">
        <f>(35*5666.5)</f>
        <v>198327.5</v>
      </c>
      <c r="L109" s="15">
        <f t="shared" si="11"/>
        <v>28332.5</v>
      </c>
      <c r="M109" s="8"/>
      <c r="N109" s="39" t="e">
        <f>#REF!-H109</f>
        <v>#REF!</v>
      </c>
    </row>
    <row r="110" spans="2:14">
      <c r="B110" s="14">
        <v>111</v>
      </c>
      <c r="C110" s="2" t="s">
        <v>163</v>
      </c>
      <c r="D110" s="15">
        <v>200000</v>
      </c>
      <c r="E110" s="15">
        <v>26660</v>
      </c>
      <c r="F110" s="15">
        <f t="shared" si="12"/>
        <v>226660</v>
      </c>
      <c r="G110" s="32">
        <v>40</v>
      </c>
      <c r="H110" s="15">
        <v>5666.5</v>
      </c>
      <c r="I110" s="22">
        <v>42</v>
      </c>
      <c r="J110" s="11">
        <f t="shared" si="10"/>
        <v>-2</v>
      </c>
      <c r="K110" s="15">
        <f>(42*5666.5)</f>
        <v>237993</v>
      </c>
      <c r="L110" s="15">
        <f t="shared" si="11"/>
        <v>-11333</v>
      </c>
      <c r="M110" s="10"/>
      <c r="N110" s="39" t="e">
        <f>#REF!-H110</f>
        <v>#REF!</v>
      </c>
    </row>
    <row r="111" spans="2:14">
      <c r="B111" s="14">
        <v>112</v>
      </c>
      <c r="C111" s="2" t="s">
        <v>69</v>
      </c>
      <c r="D111" s="12">
        <v>500000</v>
      </c>
      <c r="E111" s="12">
        <v>66650</v>
      </c>
      <c r="F111" s="15">
        <f t="shared" si="12"/>
        <v>566650</v>
      </c>
      <c r="G111" s="31">
        <v>50</v>
      </c>
      <c r="H111" s="12">
        <v>11333</v>
      </c>
      <c r="I111" s="11">
        <v>19</v>
      </c>
      <c r="J111" s="11">
        <f t="shared" si="10"/>
        <v>31</v>
      </c>
      <c r="K111" s="12">
        <f>(19*11333)</f>
        <v>215327</v>
      </c>
      <c r="L111" s="15">
        <f t="shared" si="11"/>
        <v>351323</v>
      </c>
      <c r="M111" s="8"/>
      <c r="N111" s="39" t="e">
        <f>#REF!-H111</f>
        <v>#REF!</v>
      </c>
    </row>
    <row r="112" spans="2:14">
      <c r="B112" s="14">
        <v>113</v>
      </c>
      <c r="C112" s="2" t="s">
        <v>164</v>
      </c>
      <c r="D112" s="15">
        <v>200000</v>
      </c>
      <c r="E112" s="15">
        <v>26660</v>
      </c>
      <c r="F112" s="15">
        <f t="shared" si="12"/>
        <v>226660</v>
      </c>
      <c r="G112" s="31">
        <v>40</v>
      </c>
      <c r="H112" s="15">
        <v>5666.5</v>
      </c>
      <c r="I112" s="8">
        <v>33</v>
      </c>
      <c r="J112" s="11">
        <f t="shared" si="10"/>
        <v>7</v>
      </c>
      <c r="K112" s="12">
        <f>(33*5666.5)</f>
        <v>186994.5</v>
      </c>
      <c r="L112" s="15">
        <f t="shared" si="11"/>
        <v>39665.5</v>
      </c>
      <c r="M112" s="8"/>
      <c r="N112" s="39" t="e">
        <f>#REF!-H112</f>
        <v>#REF!</v>
      </c>
    </row>
    <row r="113" spans="2:14">
      <c r="B113" s="14">
        <v>114</v>
      </c>
      <c r="C113" s="2" t="s">
        <v>70</v>
      </c>
      <c r="D113" s="12">
        <v>500000</v>
      </c>
      <c r="E113" s="12">
        <v>66650</v>
      </c>
      <c r="F113" s="15">
        <f t="shared" si="12"/>
        <v>566650</v>
      </c>
      <c r="G113" s="31">
        <v>50</v>
      </c>
      <c r="H113" s="18">
        <v>11333</v>
      </c>
      <c r="I113" s="8">
        <v>24</v>
      </c>
      <c r="J113" s="11">
        <f t="shared" si="10"/>
        <v>26</v>
      </c>
      <c r="K113" s="12">
        <f>(24*11333)</f>
        <v>271992</v>
      </c>
      <c r="L113" s="15">
        <f t="shared" si="11"/>
        <v>294658</v>
      </c>
      <c r="M113" s="8"/>
      <c r="N113" s="39" t="e">
        <f>#REF!-H113</f>
        <v>#REF!</v>
      </c>
    </row>
    <row r="114" spans="2:14">
      <c r="B114" s="14">
        <v>115</v>
      </c>
      <c r="C114" s="2" t="s">
        <v>71</v>
      </c>
      <c r="D114" s="12">
        <v>500000</v>
      </c>
      <c r="E114" s="12">
        <v>66650</v>
      </c>
      <c r="F114" s="15">
        <f t="shared" si="12"/>
        <v>566650</v>
      </c>
      <c r="G114" s="31">
        <v>50</v>
      </c>
      <c r="H114" s="12">
        <v>11333</v>
      </c>
      <c r="I114" s="8">
        <v>40</v>
      </c>
      <c r="J114" s="11">
        <f t="shared" si="10"/>
        <v>10</v>
      </c>
      <c r="K114" s="12">
        <f>(40*11333)</f>
        <v>453320</v>
      </c>
      <c r="L114" s="15">
        <f t="shared" si="11"/>
        <v>113330</v>
      </c>
      <c r="M114" s="8"/>
      <c r="N114" s="39" t="e">
        <f>#REF!-H114</f>
        <v>#REF!</v>
      </c>
    </row>
    <row r="115" spans="2:14">
      <c r="B115" s="14">
        <v>116</v>
      </c>
      <c r="C115" s="2" t="s">
        <v>165</v>
      </c>
      <c r="D115" s="15">
        <v>200000</v>
      </c>
      <c r="E115" s="15">
        <v>26660</v>
      </c>
      <c r="F115" s="15">
        <f t="shared" si="12"/>
        <v>226660</v>
      </c>
      <c r="G115" s="31">
        <v>40</v>
      </c>
      <c r="H115" s="15">
        <v>5666.5</v>
      </c>
      <c r="I115" s="8">
        <v>33</v>
      </c>
      <c r="J115" s="11">
        <f t="shared" si="10"/>
        <v>7</v>
      </c>
      <c r="K115" s="12">
        <f>(33*5666.5)</f>
        <v>186994.5</v>
      </c>
      <c r="L115" s="15">
        <f t="shared" si="11"/>
        <v>39665.5</v>
      </c>
      <c r="M115" s="8"/>
      <c r="N115" s="39" t="e">
        <f>#REF!-H115</f>
        <v>#REF!</v>
      </c>
    </row>
    <row r="116" spans="2:14">
      <c r="B116" s="14">
        <v>117</v>
      </c>
      <c r="C116" s="2" t="s">
        <v>218</v>
      </c>
      <c r="D116" s="12">
        <v>60000</v>
      </c>
      <c r="E116" s="12">
        <v>7998</v>
      </c>
      <c r="F116" s="15">
        <f t="shared" si="12"/>
        <v>67998</v>
      </c>
      <c r="G116" s="31">
        <v>40</v>
      </c>
      <c r="H116" s="12">
        <v>1699.95</v>
      </c>
      <c r="I116" s="8">
        <v>33</v>
      </c>
      <c r="J116" s="11">
        <f t="shared" si="10"/>
        <v>7</v>
      </c>
      <c r="K116" s="12">
        <f>(33*1699.95)</f>
        <v>56098.35</v>
      </c>
      <c r="L116" s="15">
        <f t="shared" si="11"/>
        <v>11899.650000000001</v>
      </c>
      <c r="M116" s="8"/>
      <c r="N116" s="39" t="e">
        <f>#REF!-H116</f>
        <v>#REF!</v>
      </c>
    </row>
    <row r="117" spans="2:14">
      <c r="B117" s="14">
        <v>118</v>
      </c>
      <c r="C117" s="25" t="s">
        <v>166</v>
      </c>
      <c r="D117" s="15">
        <v>200000</v>
      </c>
      <c r="E117" s="15">
        <v>26660</v>
      </c>
      <c r="F117" s="15">
        <f t="shared" si="12"/>
        <v>226660</v>
      </c>
      <c r="G117" s="31">
        <v>40</v>
      </c>
      <c r="H117" s="15">
        <v>5666.5</v>
      </c>
      <c r="I117" s="8">
        <v>30</v>
      </c>
      <c r="J117" s="11">
        <f t="shared" si="10"/>
        <v>10</v>
      </c>
      <c r="K117" s="12">
        <f>(30*5666.5)</f>
        <v>169995</v>
      </c>
      <c r="L117" s="15">
        <f t="shared" si="11"/>
        <v>56665</v>
      </c>
      <c r="M117" s="8"/>
      <c r="N117" s="39" t="e">
        <f>#REF!-H117</f>
        <v>#REF!</v>
      </c>
    </row>
    <row r="118" spans="2:14">
      <c r="B118" s="14"/>
      <c r="C118" s="63" t="s">
        <v>256</v>
      </c>
      <c r="D118" s="12">
        <v>450000</v>
      </c>
      <c r="E118" s="16">
        <v>59985</v>
      </c>
      <c r="F118" s="16">
        <v>509985</v>
      </c>
      <c r="G118" s="33">
        <v>50</v>
      </c>
      <c r="H118" s="16">
        <v>10199.700000000001</v>
      </c>
      <c r="I118" s="8">
        <v>7</v>
      </c>
      <c r="J118" s="11">
        <f t="shared" si="10"/>
        <v>43</v>
      </c>
      <c r="K118" s="12">
        <f>(7*10199)</f>
        <v>71393</v>
      </c>
      <c r="L118" s="15">
        <f t="shared" si="11"/>
        <v>438592</v>
      </c>
      <c r="M118" s="8" t="s">
        <v>251</v>
      </c>
      <c r="N118" s="39" t="e">
        <f>#REF!-H118</f>
        <v>#REF!</v>
      </c>
    </row>
    <row r="119" spans="2:14">
      <c r="B119" s="14">
        <v>119</v>
      </c>
      <c r="C119" s="23" t="s">
        <v>72</v>
      </c>
      <c r="D119" s="12">
        <v>500000</v>
      </c>
      <c r="E119" s="12">
        <v>66650</v>
      </c>
      <c r="F119" s="15">
        <f>SUM(D119:E119)</f>
        <v>566650</v>
      </c>
      <c r="G119" s="31">
        <v>50</v>
      </c>
      <c r="H119" s="12">
        <v>11333</v>
      </c>
      <c r="I119" s="8">
        <v>40</v>
      </c>
      <c r="J119" s="11">
        <f t="shared" si="10"/>
        <v>10</v>
      </c>
      <c r="K119" s="12">
        <f>(40*11333)</f>
        <v>453320</v>
      </c>
      <c r="L119" s="15">
        <f t="shared" si="11"/>
        <v>113330</v>
      </c>
      <c r="M119" s="8"/>
      <c r="N119" s="39" t="e">
        <f>#REF!-H119</f>
        <v>#REF!</v>
      </c>
    </row>
    <row r="120" spans="2:14">
      <c r="B120" s="14">
        <v>120</v>
      </c>
      <c r="C120" s="2" t="s">
        <v>45</v>
      </c>
      <c r="D120" s="12">
        <v>500000</v>
      </c>
      <c r="E120" s="16">
        <v>33325</v>
      </c>
      <c r="F120" s="15">
        <f>SUM(D120:E120)</f>
        <v>533325</v>
      </c>
      <c r="G120" s="33">
        <v>25</v>
      </c>
      <c r="H120" s="16">
        <v>21333</v>
      </c>
      <c r="I120" s="11">
        <v>18</v>
      </c>
      <c r="J120" s="11">
        <f t="shared" si="10"/>
        <v>7</v>
      </c>
      <c r="K120" s="16">
        <f>(18*21333)</f>
        <v>383994</v>
      </c>
      <c r="L120" s="15">
        <f t="shared" si="11"/>
        <v>149331</v>
      </c>
      <c r="M120" s="8"/>
      <c r="N120" s="39" t="e">
        <f>#REF!-H120</f>
        <v>#REF!</v>
      </c>
    </row>
    <row r="121" spans="2:14">
      <c r="B121" s="14">
        <v>121</v>
      </c>
      <c r="C121" s="2" t="s">
        <v>167</v>
      </c>
      <c r="D121" s="15">
        <v>200000</v>
      </c>
      <c r="E121" s="15">
        <v>26660</v>
      </c>
      <c r="F121" s="15">
        <f>SUM(D121:E121)</f>
        <v>226660</v>
      </c>
      <c r="G121" s="31">
        <v>40</v>
      </c>
      <c r="H121" s="15">
        <v>5666.5</v>
      </c>
      <c r="I121" s="8">
        <v>33</v>
      </c>
      <c r="J121" s="11">
        <f t="shared" si="10"/>
        <v>7</v>
      </c>
      <c r="K121" s="12">
        <f>(33*5666.5)</f>
        <v>186994.5</v>
      </c>
      <c r="L121" s="15">
        <f t="shared" si="11"/>
        <v>39665.5</v>
      </c>
      <c r="M121" s="8"/>
      <c r="N121" s="39" t="e">
        <f>#REF!-H121</f>
        <v>#REF!</v>
      </c>
    </row>
    <row r="122" spans="2:14">
      <c r="B122" s="14">
        <v>122</v>
      </c>
      <c r="C122" s="2" t="s">
        <v>23</v>
      </c>
      <c r="D122" s="18">
        <v>500000</v>
      </c>
      <c r="E122" s="18">
        <v>66650</v>
      </c>
      <c r="F122" s="18">
        <v>566650</v>
      </c>
      <c r="G122" s="33">
        <v>50</v>
      </c>
      <c r="H122" s="16">
        <v>11333</v>
      </c>
      <c r="I122" s="8">
        <v>5</v>
      </c>
      <c r="J122" s="11">
        <f t="shared" si="10"/>
        <v>45</v>
      </c>
      <c r="K122" s="12">
        <f>(5*11333)</f>
        <v>56665</v>
      </c>
      <c r="L122" s="12">
        <f t="shared" si="11"/>
        <v>509985</v>
      </c>
      <c r="M122" s="8"/>
      <c r="N122" s="39" t="e">
        <f>#REF!-H122</f>
        <v>#REF!</v>
      </c>
    </row>
    <row r="123" spans="2:14">
      <c r="B123" s="14">
        <v>123</v>
      </c>
      <c r="C123" s="2" t="s">
        <v>168</v>
      </c>
      <c r="D123" s="15">
        <v>200000</v>
      </c>
      <c r="E123" s="15">
        <v>26660</v>
      </c>
      <c r="F123" s="15">
        <f>SUM(D123:E123)</f>
        <v>226660</v>
      </c>
      <c r="G123" s="31">
        <v>40</v>
      </c>
      <c r="H123" s="15">
        <v>5666.5</v>
      </c>
      <c r="I123" s="8">
        <v>33</v>
      </c>
      <c r="J123" s="11">
        <f t="shared" si="10"/>
        <v>7</v>
      </c>
      <c r="K123" s="12">
        <f>(33*5666.5)</f>
        <v>186994.5</v>
      </c>
      <c r="L123" s="15">
        <f t="shared" si="11"/>
        <v>39665.5</v>
      </c>
      <c r="M123" s="8"/>
      <c r="N123" s="39" t="e">
        <f>#REF!-H123</f>
        <v>#REF!</v>
      </c>
    </row>
    <row r="124" spans="2:14">
      <c r="B124" s="14">
        <v>124</v>
      </c>
      <c r="C124" s="2" t="s">
        <v>169</v>
      </c>
      <c r="D124" s="15">
        <v>200000</v>
      </c>
      <c r="E124" s="15">
        <v>26660</v>
      </c>
      <c r="F124" s="15">
        <f>SUM(D124:E124)</f>
        <v>226660</v>
      </c>
      <c r="G124" s="31">
        <v>40</v>
      </c>
      <c r="H124" s="15">
        <v>5666.5</v>
      </c>
      <c r="I124" s="8">
        <v>32</v>
      </c>
      <c r="J124" s="11">
        <f t="shared" si="10"/>
        <v>8</v>
      </c>
      <c r="K124" s="12">
        <f>(32*5666.5)</f>
        <v>181328</v>
      </c>
      <c r="L124" s="15">
        <f t="shared" si="11"/>
        <v>45332</v>
      </c>
      <c r="M124" s="8"/>
      <c r="N124" s="39" t="e">
        <f>#REF!-H124</f>
        <v>#REF!</v>
      </c>
    </row>
    <row r="125" spans="2:14">
      <c r="B125" s="14">
        <v>13</v>
      </c>
      <c r="C125" s="2" t="s">
        <v>42</v>
      </c>
      <c r="D125" s="12">
        <v>450000</v>
      </c>
      <c r="E125" s="16">
        <v>59985</v>
      </c>
      <c r="F125" s="16">
        <v>509985</v>
      </c>
      <c r="G125" s="33">
        <v>50</v>
      </c>
      <c r="H125" s="16">
        <v>10199.700000000001</v>
      </c>
      <c r="I125" s="8">
        <v>4</v>
      </c>
      <c r="J125" s="11">
        <f t="shared" si="10"/>
        <v>46</v>
      </c>
      <c r="K125" s="12">
        <f>(4*10199)</f>
        <v>40796</v>
      </c>
      <c r="L125" s="12">
        <f t="shared" si="11"/>
        <v>469189</v>
      </c>
      <c r="M125" s="1"/>
      <c r="N125" s="39" t="e">
        <f>#REF!-H125</f>
        <v>#REF!</v>
      </c>
    </row>
    <row r="126" spans="2:14">
      <c r="B126" s="14">
        <v>125</v>
      </c>
      <c r="C126" s="2" t="s">
        <v>228</v>
      </c>
      <c r="D126" s="15">
        <v>200000</v>
      </c>
      <c r="E126" s="15">
        <v>26660</v>
      </c>
      <c r="F126" s="15">
        <v>226660</v>
      </c>
      <c r="G126" s="31">
        <v>40</v>
      </c>
      <c r="H126" s="18">
        <v>5666.5</v>
      </c>
      <c r="I126" s="31">
        <v>33</v>
      </c>
      <c r="J126" s="11">
        <f t="shared" si="10"/>
        <v>7</v>
      </c>
      <c r="K126" s="12">
        <f>(33*5666.5)</f>
        <v>186994.5</v>
      </c>
      <c r="L126" s="15">
        <f t="shared" si="11"/>
        <v>39665.5</v>
      </c>
      <c r="M126" s="8"/>
      <c r="N126" s="39" t="e">
        <f>#REF!-H126</f>
        <v>#REF!</v>
      </c>
    </row>
    <row r="127" spans="2:14">
      <c r="B127" s="14">
        <v>126</v>
      </c>
      <c r="C127" s="2" t="s">
        <v>33</v>
      </c>
      <c r="D127" s="20">
        <v>150000</v>
      </c>
      <c r="E127" s="20">
        <v>19995</v>
      </c>
      <c r="F127" s="20">
        <f>SUM(D127:E127)</f>
        <v>169995</v>
      </c>
      <c r="G127" s="33">
        <v>50</v>
      </c>
      <c r="H127" s="3">
        <v>3399.9</v>
      </c>
      <c r="I127" s="8">
        <v>5</v>
      </c>
      <c r="J127" s="11">
        <f t="shared" si="10"/>
        <v>45</v>
      </c>
      <c r="K127" s="3">
        <f>(5*3399.9)</f>
        <v>16999.5</v>
      </c>
      <c r="L127" s="12">
        <f t="shared" si="11"/>
        <v>152995.5</v>
      </c>
      <c r="M127" s="1"/>
      <c r="N127" s="39" t="e">
        <f>#REF!-H127</f>
        <v>#REF!</v>
      </c>
    </row>
    <row r="128" spans="2:14">
      <c r="B128" s="14">
        <v>127</v>
      </c>
      <c r="C128" s="2" t="s">
        <v>170</v>
      </c>
      <c r="D128" s="15">
        <v>200000</v>
      </c>
      <c r="E128" s="15">
        <v>26660</v>
      </c>
      <c r="F128" s="15">
        <f>SUM(D128:E128)</f>
        <v>226660</v>
      </c>
      <c r="G128" s="31">
        <v>40</v>
      </c>
      <c r="H128" s="15">
        <v>5666.5</v>
      </c>
      <c r="I128" s="8">
        <v>33</v>
      </c>
      <c r="J128" s="11">
        <f t="shared" si="10"/>
        <v>7</v>
      </c>
      <c r="K128" s="12">
        <f>(33*5666.5)</f>
        <v>186994.5</v>
      </c>
      <c r="L128" s="15">
        <f t="shared" si="11"/>
        <v>39665.5</v>
      </c>
      <c r="M128" s="8"/>
      <c r="N128" s="39" t="e">
        <f>#REF!-H128</f>
        <v>#REF!</v>
      </c>
    </row>
    <row r="129" spans="2:14">
      <c r="B129" s="14">
        <v>128</v>
      </c>
      <c r="C129" s="2" t="s">
        <v>171</v>
      </c>
      <c r="D129" s="15">
        <v>200000</v>
      </c>
      <c r="E129" s="15">
        <v>26660</v>
      </c>
      <c r="F129" s="15">
        <f>SUM(D129:E129)</f>
        <v>226660</v>
      </c>
      <c r="G129" s="31">
        <v>40</v>
      </c>
      <c r="H129" s="15">
        <v>5666.5</v>
      </c>
      <c r="I129" s="8">
        <v>33</v>
      </c>
      <c r="J129" s="11">
        <f t="shared" si="10"/>
        <v>7</v>
      </c>
      <c r="K129" s="12">
        <f>(33*5666.5)</f>
        <v>186994.5</v>
      </c>
      <c r="L129" s="15">
        <f t="shared" si="11"/>
        <v>39665.5</v>
      </c>
      <c r="M129" s="8"/>
      <c r="N129" s="39" t="e">
        <f>#REF!-H129</f>
        <v>#REF!</v>
      </c>
    </row>
    <row r="130" spans="2:14">
      <c r="B130" s="14">
        <v>16</v>
      </c>
      <c r="C130" s="2" t="s">
        <v>240</v>
      </c>
      <c r="D130" s="16">
        <v>132000</v>
      </c>
      <c r="E130" s="16">
        <v>17595.599999999999</v>
      </c>
      <c r="F130" s="16">
        <v>149595.6</v>
      </c>
      <c r="G130" s="45">
        <v>40</v>
      </c>
      <c r="H130" s="19">
        <v>3739.89</v>
      </c>
      <c r="I130" s="33"/>
      <c r="J130" s="11">
        <f t="shared" si="10"/>
        <v>40</v>
      </c>
      <c r="K130" s="12"/>
      <c r="L130" s="15">
        <f t="shared" si="11"/>
        <v>149595.6</v>
      </c>
      <c r="M130" s="8"/>
      <c r="N130" s="39" t="e">
        <f>#REF!-H130</f>
        <v>#REF!</v>
      </c>
    </row>
    <row r="131" spans="2:14">
      <c r="B131" s="14">
        <v>130</v>
      </c>
      <c r="C131" s="2" t="s">
        <v>206</v>
      </c>
      <c r="D131" s="12">
        <v>132000</v>
      </c>
      <c r="E131" s="12">
        <v>17595.599999999999</v>
      </c>
      <c r="F131" s="15">
        <f>SUM(D131:E131)</f>
        <v>149595.6</v>
      </c>
      <c r="G131" s="31">
        <v>40</v>
      </c>
      <c r="H131" s="12">
        <v>3739.89</v>
      </c>
      <c r="I131" s="8">
        <v>32</v>
      </c>
      <c r="J131" s="11">
        <f t="shared" si="10"/>
        <v>8</v>
      </c>
      <c r="K131" s="16">
        <f>(32*3739.89)</f>
        <v>119676.48</v>
      </c>
      <c r="L131" s="15">
        <f t="shared" si="11"/>
        <v>29919.12000000001</v>
      </c>
      <c r="M131" s="8"/>
      <c r="N131" s="39" t="e">
        <f>#REF!-H131</f>
        <v>#REF!</v>
      </c>
    </row>
    <row r="132" spans="2:14">
      <c r="B132" s="14">
        <v>132</v>
      </c>
      <c r="C132" s="2" t="s">
        <v>73</v>
      </c>
      <c r="D132" s="12">
        <v>500000</v>
      </c>
      <c r="E132" s="12">
        <v>66650</v>
      </c>
      <c r="F132" s="15">
        <f>SUM(D132:E132)</f>
        <v>566650</v>
      </c>
      <c r="G132" s="31">
        <v>50</v>
      </c>
      <c r="H132" s="12">
        <v>11333</v>
      </c>
      <c r="I132" s="11">
        <v>28</v>
      </c>
      <c r="J132" s="11">
        <f t="shared" si="10"/>
        <v>22</v>
      </c>
      <c r="K132" s="16">
        <f>(28*11333)</f>
        <v>317324</v>
      </c>
      <c r="L132" s="15">
        <f t="shared" si="11"/>
        <v>249326</v>
      </c>
      <c r="M132" s="8"/>
      <c r="N132" s="39" t="e">
        <f>#REF!-H132</f>
        <v>#REF!</v>
      </c>
    </row>
    <row r="133" spans="2:14">
      <c r="B133" s="14">
        <v>133</v>
      </c>
      <c r="C133" s="2" t="s">
        <v>173</v>
      </c>
      <c r="D133" s="15">
        <v>200000</v>
      </c>
      <c r="E133" s="15">
        <v>26660</v>
      </c>
      <c r="F133" s="15">
        <f>SUM(D133:E133)</f>
        <v>226660</v>
      </c>
      <c r="G133" s="31">
        <v>40</v>
      </c>
      <c r="H133" s="52">
        <v>5666.5</v>
      </c>
      <c r="I133" s="8">
        <v>36</v>
      </c>
      <c r="J133" s="11">
        <f t="shared" si="10"/>
        <v>4</v>
      </c>
      <c r="K133" s="12">
        <f>(36*5666.5)</f>
        <v>203994</v>
      </c>
      <c r="L133" s="15">
        <f t="shared" si="11"/>
        <v>22666</v>
      </c>
      <c r="M133" s="8"/>
      <c r="N133" s="39" t="e">
        <f>#REF!-H133</f>
        <v>#REF!</v>
      </c>
    </row>
    <row r="134" spans="2:14">
      <c r="B134" s="14">
        <v>134</v>
      </c>
      <c r="C134" s="2" t="s">
        <v>74</v>
      </c>
      <c r="D134" s="12">
        <v>500000</v>
      </c>
      <c r="E134" s="12">
        <v>66650</v>
      </c>
      <c r="F134" s="15">
        <f>SUM(D134:E134)</f>
        <v>566650</v>
      </c>
      <c r="G134" s="31">
        <v>50</v>
      </c>
      <c r="H134" s="12">
        <v>11333</v>
      </c>
      <c r="I134" s="8">
        <v>40</v>
      </c>
      <c r="J134" s="11">
        <f t="shared" si="10"/>
        <v>10</v>
      </c>
      <c r="K134" s="12">
        <f>(40*11333)</f>
        <v>453320</v>
      </c>
      <c r="L134" s="15">
        <f t="shared" si="11"/>
        <v>113330</v>
      </c>
      <c r="M134" s="8"/>
      <c r="N134" s="39" t="e">
        <f>#REF!-H134</f>
        <v>#REF!</v>
      </c>
    </row>
    <row r="135" spans="2:14">
      <c r="B135" s="14">
        <v>135</v>
      </c>
      <c r="C135" s="25" t="s">
        <v>213</v>
      </c>
      <c r="D135" s="12">
        <v>150000</v>
      </c>
      <c r="E135" s="12">
        <v>19995</v>
      </c>
      <c r="F135" s="15">
        <f>SUM(D135:E135)</f>
        <v>169995</v>
      </c>
      <c r="G135" s="31">
        <v>50</v>
      </c>
      <c r="H135" s="12">
        <v>3399.9</v>
      </c>
      <c r="I135" s="8">
        <v>28</v>
      </c>
      <c r="J135" s="11">
        <f t="shared" si="10"/>
        <v>22</v>
      </c>
      <c r="K135" s="12">
        <f>(28*3399.9)</f>
        <v>95197.2</v>
      </c>
      <c r="L135" s="15">
        <f t="shared" si="11"/>
        <v>74797.8</v>
      </c>
      <c r="M135" s="8"/>
      <c r="N135" s="39" t="e">
        <f>#REF!-H135</f>
        <v>#REF!</v>
      </c>
    </row>
    <row r="136" spans="2:14">
      <c r="B136" s="14">
        <v>136</v>
      </c>
      <c r="C136" s="2" t="s">
        <v>37</v>
      </c>
      <c r="D136" s="18">
        <v>500000</v>
      </c>
      <c r="E136" s="18">
        <v>66650</v>
      </c>
      <c r="F136" s="18">
        <v>566650</v>
      </c>
      <c r="G136" s="33">
        <v>50</v>
      </c>
      <c r="H136" s="16">
        <v>11333</v>
      </c>
      <c r="I136" s="8">
        <v>5</v>
      </c>
      <c r="J136" s="11">
        <f t="shared" ref="J136:J167" si="13">G136-I136</f>
        <v>45</v>
      </c>
      <c r="K136" s="12">
        <f>(5*11333)</f>
        <v>56665</v>
      </c>
      <c r="L136" s="12">
        <f t="shared" ref="L136:L167" si="14">F136-K136</f>
        <v>509985</v>
      </c>
      <c r="M136" s="1"/>
      <c r="N136" s="39" t="e">
        <f>#REF!-H136</f>
        <v>#REF!</v>
      </c>
    </row>
    <row r="137" spans="2:14">
      <c r="B137" s="14">
        <v>137</v>
      </c>
      <c r="C137" s="2" t="s">
        <v>75</v>
      </c>
      <c r="D137" s="12">
        <v>500000</v>
      </c>
      <c r="E137" s="12">
        <v>66650</v>
      </c>
      <c r="F137" s="15">
        <f>SUM(D137:E137)</f>
        <v>566650</v>
      </c>
      <c r="G137" s="33">
        <v>50</v>
      </c>
      <c r="H137" s="12">
        <v>11333</v>
      </c>
      <c r="I137" s="11">
        <v>18</v>
      </c>
      <c r="J137" s="11">
        <f t="shared" si="13"/>
        <v>32</v>
      </c>
      <c r="K137" s="12">
        <f>(18*11333)</f>
        <v>203994</v>
      </c>
      <c r="L137" s="15">
        <f t="shared" si="14"/>
        <v>362656</v>
      </c>
      <c r="M137" s="8"/>
      <c r="N137" s="39" t="e">
        <f>#REF!-H137</f>
        <v>#REF!</v>
      </c>
    </row>
    <row r="138" spans="2:14">
      <c r="B138" s="14">
        <v>17</v>
      </c>
      <c r="C138" s="2" t="s">
        <v>222</v>
      </c>
      <c r="D138" s="12">
        <v>500000</v>
      </c>
      <c r="E138" s="12">
        <v>66650</v>
      </c>
      <c r="F138" s="12">
        <v>566650</v>
      </c>
      <c r="G138" s="31">
        <v>50</v>
      </c>
      <c r="H138" s="18">
        <v>11333</v>
      </c>
      <c r="I138" s="33">
        <v>18</v>
      </c>
      <c r="J138" s="11">
        <f t="shared" si="13"/>
        <v>32</v>
      </c>
      <c r="K138" s="12">
        <f>(18*11333)</f>
        <v>203994</v>
      </c>
      <c r="L138" s="15">
        <f t="shared" si="14"/>
        <v>362656</v>
      </c>
      <c r="M138" s="8"/>
      <c r="N138" s="39" t="e">
        <f>#REF!-H138</f>
        <v>#REF!</v>
      </c>
    </row>
    <row r="139" spans="2:14">
      <c r="B139" s="14">
        <v>138</v>
      </c>
      <c r="C139" s="2" t="s">
        <v>76</v>
      </c>
      <c r="D139" s="12">
        <v>500000</v>
      </c>
      <c r="E139" s="12">
        <v>66650</v>
      </c>
      <c r="F139" s="15">
        <f>SUM(D139:E139)</f>
        <v>566650</v>
      </c>
      <c r="G139" s="33">
        <v>50</v>
      </c>
      <c r="H139" s="12">
        <v>11333</v>
      </c>
      <c r="I139" s="11">
        <v>18</v>
      </c>
      <c r="J139" s="11">
        <f t="shared" si="13"/>
        <v>32</v>
      </c>
      <c r="K139" s="12">
        <f>(18*11333)</f>
        <v>203994</v>
      </c>
      <c r="L139" s="15">
        <f t="shared" si="14"/>
        <v>362656</v>
      </c>
      <c r="M139" s="8"/>
      <c r="N139" s="39" t="e">
        <f>#REF!-H139</f>
        <v>#REF!</v>
      </c>
    </row>
    <row r="140" spans="2:14">
      <c r="B140" s="14">
        <v>139</v>
      </c>
      <c r="C140" s="2" t="s">
        <v>96</v>
      </c>
      <c r="D140" s="12">
        <v>450000</v>
      </c>
      <c r="E140" s="16">
        <v>59985</v>
      </c>
      <c r="F140" s="15">
        <f>SUM(D140:E140)</f>
        <v>509985</v>
      </c>
      <c r="G140" s="33">
        <v>50</v>
      </c>
      <c r="H140" s="16">
        <v>10199.700000000001</v>
      </c>
      <c r="I140" s="8">
        <v>24</v>
      </c>
      <c r="J140" s="11">
        <f t="shared" si="13"/>
        <v>26</v>
      </c>
      <c r="K140" s="12">
        <f>(24*10199.7)</f>
        <v>244792.80000000002</v>
      </c>
      <c r="L140" s="15">
        <f t="shared" si="14"/>
        <v>265192.19999999995</v>
      </c>
      <c r="M140" s="8"/>
      <c r="N140" s="39" t="e">
        <f>#REF!-H140</f>
        <v>#REF!</v>
      </c>
    </row>
    <row r="141" spans="2:14">
      <c r="B141" s="14">
        <v>140</v>
      </c>
      <c r="C141" s="2" t="s">
        <v>77</v>
      </c>
      <c r="D141" s="12">
        <v>500000</v>
      </c>
      <c r="E141" s="12">
        <v>66650</v>
      </c>
      <c r="F141" s="15">
        <f>SUM(D141:E141)</f>
        <v>566650</v>
      </c>
      <c r="G141" s="31">
        <v>50</v>
      </c>
      <c r="H141" s="12">
        <v>11333</v>
      </c>
      <c r="I141" s="11">
        <v>19</v>
      </c>
      <c r="J141" s="11">
        <f t="shared" si="13"/>
        <v>31</v>
      </c>
      <c r="K141" s="12">
        <f>(19*11333)</f>
        <v>215327</v>
      </c>
      <c r="L141" s="15">
        <f t="shared" si="14"/>
        <v>351323</v>
      </c>
      <c r="M141" s="8"/>
      <c r="N141" s="39" t="e">
        <f>#REF!-H141</f>
        <v>#REF!</v>
      </c>
    </row>
    <row r="142" spans="2:14">
      <c r="B142" s="14">
        <v>143</v>
      </c>
      <c r="C142" s="2" t="s">
        <v>78</v>
      </c>
      <c r="D142" s="12">
        <v>500000</v>
      </c>
      <c r="E142" s="12">
        <v>66650</v>
      </c>
      <c r="F142" s="15">
        <f>SUM(D142:E142)</f>
        <v>566650</v>
      </c>
      <c r="G142" s="31">
        <v>50</v>
      </c>
      <c r="H142" s="12">
        <v>11333</v>
      </c>
      <c r="I142" s="8">
        <v>40</v>
      </c>
      <c r="J142" s="11">
        <f t="shared" si="13"/>
        <v>10</v>
      </c>
      <c r="K142" s="12">
        <f>(40*11333)</f>
        <v>453320</v>
      </c>
      <c r="L142" s="15">
        <f t="shared" si="14"/>
        <v>113330</v>
      </c>
      <c r="M142" s="8"/>
      <c r="N142" s="39" t="e">
        <f>#REF!-H142</f>
        <v>#REF!</v>
      </c>
    </row>
    <row r="143" spans="2:14">
      <c r="B143" s="14">
        <v>145</v>
      </c>
      <c r="C143" s="2" t="s">
        <v>21</v>
      </c>
      <c r="D143" s="18">
        <v>500000</v>
      </c>
      <c r="E143" s="18">
        <v>66650</v>
      </c>
      <c r="F143" s="18">
        <v>566650</v>
      </c>
      <c r="G143" s="33">
        <v>50</v>
      </c>
      <c r="H143" s="16">
        <v>11333</v>
      </c>
      <c r="I143" s="8">
        <v>5</v>
      </c>
      <c r="J143" s="11">
        <f t="shared" si="13"/>
        <v>45</v>
      </c>
      <c r="K143" s="12">
        <f>(5*11333)</f>
        <v>56665</v>
      </c>
      <c r="L143" s="12">
        <f t="shared" si="14"/>
        <v>509985</v>
      </c>
      <c r="M143" s="8"/>
      <c r="N143" s="39" t="e">
        <f>#REF!-H143</f>
        <v>#REF!</v>
      </c>
    </row>
    <row r="144" spans="2:14">
      <c r="B144" s="14">
        <v>146</v>
      </c>
      <c r="C144" s="2" t="s">
        <v>79</v>
      </c>
      <c r="D144" s="12">
        <v>500000</v>
      </c>
      <c r="E144" s="12">
        <v>66650</v>
      </c>
      <c r="F144" s="15">
        <f>SUM(D144:E144)</f>
        <v>566650</v>
      </c>
      <c r="G144" s="31">
        <v>50</v>
      </c>
      <c r="H144" s="12">
        <v>11333</v>
      </c>
      <c r="I144" s="11">
        <v>19</v>
      </c>
      <c r="J144" s="11">
        <f t="shared" si="13"/>
        <v>31</v>
      </c>
      <c r="K144" s="12">
        <f>(19*11333)</f>
        <v>215327</v>
      </c>
      <c r="L144" s="15">
        <f t="shared" si="14"/>
        <v>351323</v>
      </c>
      <c r="M144" s="8"/>
      <c r="N144" s="39" t="e">
        <f>#REF!-H144</f>
        <v>#REF!</v>
      </c>
    </row>
    <row r="145" spans="2:14">
      <c r="B145" s="14">
        <v>147</v>
      </c>
      <c r="C145" s="2" t="s">
        <v>27</v>
      </c>
      <c r="D145" s="18">
        <v>500000</v>
      </c>
      <c r="E145" s="18">
        <v>66650</v>
      </c>
      <c r="F145" s="18">
        <v>566650</v>
      </c>
      <c r="G145" s="33">
        <v>50</v>
      </c>
      <c r="H145" s="16">
        <v>11333</v>
      </c>
      <c r="I145" s="8">
        <v>5</v>
      </c>
      <c r="J145" s="11">
        <f t="shared" si="13"/>
        <v>45</v>
      </c>
      <c r="K145" s="12">
        <f>(5*11333)</f>
        <v>56665</v>
      </c>
      <c r="L145" s="12">
        <f t="shared" si="14"/>
        <v>509985</v>
      </c>
      <c r="M145" s="1"/>
      <c r="N145" s="39" t="e">
        <f>#REF!-H145</f>
        <v>#REF!</v>
      </c>
    </row>
    <row r="146" spans="2:14">
      <c r="B146" s="14">
        <v>148</v>
      </c>
      <c r="C146" s="2" t="s">
        <v>175</v>
      </c>
      <c r="D146" s="15">
        <v>200000</v>
      </c>
      <c r="E146" s="15">
        <v>26660</v>
      </c>
      <c r="F146" s="15">
        <f>SUM(D146:E146)</f>
        <v>226660</v>
      </c>
      <c r="G146" s="32">
        <v>40</v>
      </c>
      <c r="H146" s="15">
        <v>5666.5</v>
      </c>
      <c r="I146" s="22">
        <v>42</v>
      </c>
      <c r="J146" s="11">
        <f t="shared" si="13"/>
        <v>-2</v>
      </c>
      <c r="K146" s="15">
        <f>(42*5666.5)</f>
        <v>237993</v>
      </c>
      <c r="L146" s="15">
        <f t="shared" si="14"/>
        <v>-11333</v>
      </c>
      <c r="M146" s="10"/>
      <c r="N146" s="39" t="e">
        <f>#REF!-H146</f>
        <v>#REF!</v>
      </c>
    </row>
    <row r="147" spans="2:14">
      <c r="B147" s="14">
        <v>149</v>
      </c>
      <c r="C147" s="2" t="s">
        <v>97</v>
      </c>
      <c r="D147" s="12">
        <v>450000</v>
      </c>
      <c r="E147" s="12">
        <v>59985</v>
      </c>
      <c r="F147" s="15">
        <f>SUM(D147:E147)</f>
        <v>509985</v>
      </c>
      <c r="G147" s="31">
        <v>50</v>
      </c>
      <c r="H147" s="12">
        <v>10199.700000000001</v>
      </c>
      <c r="I147" s="11">
        <v>19</v>
      </c>
      <c r="J147" s="11">
        <f t="shared" si="13"/>
        <v>31</v>
      </c>
      <c r="K147" s="12">
        <f>(19*10199.7)</f>
        <v>193794.30000000002</v>
      </c>
      <c r="L147" s="15">
        <f t="shared" si="14"/>
        <v>316190.69999999995</v>
      </c>
      <c r="M147" s="8"/>
      <c r="N147" s="39" t="e">
        <f>#REF!-H147</f>
        <v>#REF!</v>
      </c>
    </row>
    <row r="148" spans="2:14">
      <c r="B148" s="14">
        <v>150</v>
      </c>
      <c r="C148" s="2" t="s">
        <v>80</v>
      </c>
      <c r="D148" s="12">
        <v>500000</v>
      </c>
      <c r="E148" s="12">
        <v>66650</v>
      </c>
      <c r="F148" s="15">
        <f>SUM(D148:E148)</f>
        <v>566650</v>
      </c>
      <c r="G148" s="31">
        <v>50</v>
      </c>
      <c r="H148" s="12">
        <v>11333</v>
      </c>
      <c r="I148" s="8">
        <v>40</v>
      </c>
      <c r="J148" s="11">
        <f t="shared" si="13"/>
        <v>10</v>
      </c>
      <c r="K148" s="12">
        <f>(40*11333)</f>
        <v>453320</v>
      </c>
      <c r="L148" s="15">
        <f t="shared" si="14"/>
        <v>113330</v>
      </c>
      <c r="M148" s="8"/>
      <c r="N148" s="39" t="e">
        <f>#REF!-H148</f>
        <v>#REF!</v>
      </c>
    </row>
    <row r="149" spans="2:14">
      <c r="B149" s="14">
        <v>151</v>
      </c>
      <c r="C149" s="2" t="s">
        <v>176</v>
      </c>
      <c r="D149" s="15">
        <v>200000</v>
      </c>
      <c r="E149" s="15">
        <v>26660</v>
      </c>
      <c r="F149" s="15">
        <f>SUM(D149:E149)</f>
        <v>226660</v>
      </c>
      <c r="G149" s="31">
        <v>40</v>
      </c>
      <c r="H149" s="15">
        <v>5666.5</v>
      </c>
      <c r="I149" s="8">
        <v>33</v>
      </c>
      <c r="J149" s="11">
        <f t="shared" si="13"/>
        <v>7</v>
      </c>
      <c r="K149" s="12">
        <f>(33*5666.5)</f>
        <v>186994.5</v>
      </c>
      <c r="L149" s="15">
        <f t="shared" si="14"/>
        <v>39665.5</v>
      </c>
      <c r="M149" s="8"/>
      <c r="N149" s="39" t="e">
        <f>#REF!-H149</f>
        <v>#REF!</v>
      </c>
    </row>
    <row r="150" spans="2:14">
      <c r="B150" s="14">
        <v>152</v>
      </c>
      <c r="C150" s="2" t="s">
        <v>229</v>
      </c>
      <c r="D150" s="15">
        <v>200000</v>
      </c>
      <c r="E150" s="15">
        <v>26660</v>
      </c>
      <c r="F150" s="15">
        <v>226660</v>
      </c>
      <c r="G150" s="31">
        <v>40</v>
      </c>
      <c r="H150" s="18">
        <v>5666.5</v>
      </c>
      <c r="I150" s="31">
        <v>32</v>
      </c>
      <c r="J150" s="11">
        <f t="shared" si="13"/>
        <v>8</v>
      </c>
      <c r="K150" s="12">
        <f>(32*5666.5)</f>
        <v>181328</v>
      </c>
      <c r="L150" s="15">
        <f t="shared" si="14"/>
        <v>45332</v>
      </c>
      <c r="M150" s="8"/>
      <c r="N150" s="39" t="e">
        <f>#REF!-H150</f>
        <v>#REF!</v>
      </c>
    </row>
    <row r="151" spans="2:14">
      <c r="B151" s="14">
        <v>153</v>
      </c>
      <c r="C151" s="2" t="s">
        <v>81</v>
      </c>
      <c r="D151" s="12">
        <v>500000</v>
      </c>
      <c r="E151" s="12">
        <v>66650</v>
      </c>
      <c r="F151" s="15">
        <f>SUM(D151:E151)</f>
        <v>566650</v>
      </c>
      <c r="G151" s="31">
        <v>50</v>
      </c>
      <c r="H151" s="12">
        <v>11333</v>
      </c>
      <c r="I151" s="8">
        <v>26</v>
      </c>
      <c r="J151" s="11">
        <f t="shared" si="13"/>
        <v>24</v>
      </c>
      <c r="K151" s="12">
        <f>(26*11333)</f>
        <v>294658</v>
      </c>
      <c r="L151" s="15">
        <f t="shared" si="14"/>
        <v>271992</v>
      </c>
      <c r="M151" s="8"/>
      <c r="N151" s="39" t="e">
        <f>#REF!-H151</f>
        <v>#REF!</v>
      </c>
    </row>
    <row r="152" spans="2:14">
      <c r="B152" s="14">
        <v>154</v>
      </c>
      <c r="C152" s="23" t="s">
        <v>82</v>
      </c>
      <c r="D152" s="12">
        <v>500000</v>
      </c>
      <c r="E152" s="12">
        <v>66650</v>
      </c>
      <c r="F152" s="15">
        <f>SUM(D152:E152)</f>
        <v>566650</v>
      </c>
      <c r="G152" s="31">
        <v>50</v>
      </c>
      <c r="H152" s="12">
        <v>11333</v>
      </c>
      <c r="I152" s="8">
        <v>40</v>
      </c>
      <c r="J152" s="11">
        <f t="shared" si="13"/>
        <v>10</v>
      </c>
      <c r="K152" s="12">
        <f>(40*11333)</f>
        <v>453320</v>
      </c>
      <c r="L152" s="15">
        <f t="shared" si="14"/>
        <v>113330</v>
      </c>
      <c r="M152" s="8"/>
      <c r="N152" s="39" t="e">
        <f>#REF!-H152</f>
        <v>#REF!</v>
      </c>
    </row>
    <row r="153" spans="2:14">
      <c r="B153" s="14">
        <v>155</v>
      </c>
      <c r="C153" s="2" t="s">
        <v>177</v>
      </c>
      <c r="D153" s="15">
        <v>200000</v>
      </c>
      <c r="E153" s="15">
        <v>26660</v>
      </c>
      <c r="F153" s="15">
        <f>SUM(D153:E153)</f>
        <v>226660</v>
      </c>
      <c r="G153" s="31">
        <v>40</v>
      </c>
      <c r="H153" s="15">
        <v>5666.5</v>
      </c>
      <c r="I153" s="8">
        <v>32</v>
      </c>
      <c r="J153" s="11">
        <f t="shared" si="13"/>
        <v>8</v>
      </c>
      <c r="K153" s="12">
        <f>(32*5666.5)</f>
        <v>181328</v>
      </c>
      <c r="L153" s="15">
        <f t="shared" si="14"/>
        <v>45332</v>
      </c>
      <c r="M153" s="8"/>
      <c r="N153" s="39" t="e">
        <f>#REF!-H153</f>
        <v>#REF!</v>
      </c>
    </row>
    <row r="154" spans="2:14">
      <c r="B154" s="14">
        <v>156</v>
      </c>
      <c r="C154" s="2" t="s">
        <v>26</v>
      </c>
      <c r="D154" s="18">
        <v>500000</v>
      </c>
      <c r="E154" s="18">
        <v>66650</v>
      </c>
      <c r="F154" s="18">
        <v>566650</v>
      </c>
      <c r="G154" s="33">
        <v>50</v>
      </c>
      <c r="H154" s="16">
        <v>11333</v>
      </c>
      <c r="I154" s="8">
        <v>5</v>
      </c>
      <c r="J154" s="11">
        <f t="shared" si="13"/>
        <v>45</v>
      </c>
      <c r="K154" s="12">
        <f>(5*11333)</f>
        <v>56665</v>
      </c>
      <c r="L154" s="12">
        <f t="shared" si="14"/>
        <v>509985</v>
      </c>
      <c r="M154" s="1"/>
      <c r="N154" s="39" t="e">
        <f>#REF!-H154</f>
        <v>#REF!</v>
      </c>
    </row>
    <row r="155" spans="2:14">
      <c r="B155" s="14">
        <v>157</v>
      </c>
      <c r="C155" s="2" t="s">
        <v>98</v>
      </c>
      <c r="D155" s="12">
        <v>450000</v>
      </c>
      <c r="E155" s="16">
        <v>59985</v>
      </c>
      <c r="F155" s="15">
        <f>SUM(D155:E155)</f>
        <v>509985</v>
      </c>
      <c r="G155" s="33">
        <v>50</v>
      </c>
      <c r="H155" s="38">
        <v>10199.700000000001</v>
      </c>
      <c r="I155" s="8">
        <v>5</v>
      </c>
      <c r="J155" s="11">
        <f t="shared" si="13"/>
        <v>45</v>
      </c>
      <c r="K155" s="12">
        <f>(5*10199.7)</f>
        <v>50998.5</v>
      </c>
      <c r="L155" s="15">
        <f t="shared" si="14"/>
        <v>458986.5</v>
      </c>
      <c r="M155" s="8"/>
      <c r="N155" s="39" t="e">
        <f>#REF!-H155</f>
        <v>#REF!</v>
      </c>
    </row>
    <row r="156" spans="2:14">
      <c r="B156" s="14">
        <v>158</v>
      </c>
      <c r="C156" s="2" t="s">
        <v>99</v>
      </c>
      <c r="D156" s="12">
        <v>450000</v>
      </c>
      <c r="E156" s="16">
        <v>59985</v>
      </c>
      <c r="F156" s="15">
        <f>SUM(D156:E156)</f>
        <v>509985</v>
      </c>
      <c r="G156" s="33">
        <v>50</v>
      </c>
      <c r="H156" s="16">
        <v>10199.700000000001</v>
      </c>
      <c r="I156" s="8">
        <v>28</v>
      </c>
      <c r="J156" s="11">
        <f t="shared" si="13"/>
        <v>22</v>
      </c>
      <c r="K156" s="12">
        <f>(28*10199.7)</f>
        <v>285591.60000000003</v>
      </c>
      <c r="L156" s="15">
        <f t="shared" si="14"/>
        <v>224393.39999999997</v>
      </c>
      <c r="M156" s="8"/>
      <c r="N156" s="39" t="e">
        <f>#REF!-H156</f>
        <v>#REF!</v>
      </c>
    </row>
    <row r="157" spans="2:14">
      <c r="B157" s="14">
        <v>160</v>
      </c>
      <c r="C157" s="2" t="s">
        <v>17</v>
      </c>
      <c r="D157" s="18">
        <v>500000</v>
      </c>
      <c r="E157" s="18">
        <v>66650</v>
      </c>
      <c r="F157" s="18">
        <v>566650</v>
      </c>
      <c r="G157" s="33">
        <v>50</v>
      </c>
      <c r="H157" s="16">
        <v>11333</v>
      </c>
      <c r="I157" s="8">
        <v>5</v>
      </c>
      <c r="J157" s="11">
        <f t="shared" si="13"/>
        <v>45</v>
      </c>
      <c r="K157" s="12">
        <f>(5*11333)</f>
        <v>56665</v>
      </c>
      <c r="L157" s="12">
        <f t="shared" si="14"/>
        <v>509985</v>
      </c>
      <c r="M157" s="8" t="s">
        <v>20</v>
      </c>
      <c r="N157" s="39" t="e">
        <f>#REF!-H157</f>
        <v>#REF!</v>
      </c>
    </row>
    <row r="158" spans="2:14">
      <c r="B158" s="14">
        <v>161</v>
      </c>
      <c r="C158" s="2" t="s">
        <v>178</v>
      </c>
      <c r="D158" s="15">
        <v>200000</v>
      </c>
      <c r="E158" s="15">
        <v>26660</v>
      </c>
      <c r="F158" s="15">
        <f>SUM(D158:E158)</f>
        <v>226660</v>
      </c>
      <c r="G158" s="31">
        <v>40</v>
      </c>
      <c r="H158" s="15">
        <v>5666.5</v>
      </c>
      <c r="I158" s="8">
        <v>39</v>
      </c>
      <c r="J158" s="11">
        <f t="shared" si="13"/>
        <v>1</v>
      </c>
      <c r="K158" s="12">
        <f>(39*5666.5)</f>
        <v>220993.5</v>
      </c>
      <c r="L158" s="15">
        <f t="shared" si="14"/>
        <v>5666.5</v>
      </c>
      <c r="M158" s="8"/>
      <c r="N158" s="39" t="e">
        <f>#REF!-H158</f>
        <v>#REF!</v>
      </c>
    </row>
    <row r="159" spans="2:14">
      <c r="B159" s="14">
        <v>162</v>
      </c>
      <c r="C159" s="2" t="s">
        <v>230</v>
      </c>
      <c r="D159" s="15">
        <v>200000</v>
      </c>
      <c r="E159" s="15">
        <v>26660</v>
      </c>
      <c r="F159" s="15">
        <v>226660</v>
      </c>
      <c r="G159" s="31">
        <v>40</v>
      </c>
      <c r="H159" s="18">
        <v>5666.5</v>
      </c>
      <c r="I159" s="31">
        <v>32</v>
      </c>
      <c r="J159" s="11">
        <f t="shared" si="13"/>
        <v>8</v>
      </c>
      <c r="K159" s="12">
        <f>(32*5666.5)</f>
        <v>181328</v>
      </c>
      <c r="L159" s="15">
        <f t="shared" si="14"/>
        <v>45332</v>
      </c>
      <c r="M159" s="8"/>
      <c r="N159" s="39" t="e">
        <f>#REF!-H159</f>
        <v>#REF!</v>
      </c>
    </row>
    <row r="160" spans="2:14">
      <c r="B160" s="14">
        <v>163</v>
      </c>
      <c r="C160" s="2" t="s">
        <v>83</v>
      </c>
      <c r="D160" s="12">
        <v>500000</v>
      </c>
      <c r="E160" s="12">
        <v>66650</v>
      </c>
      <c r="F160" s="15">
        <f>SUM(D160:E160)</f>
        <v>566650</v>
      </c>
      <c r="G160" s="31">
        <v>50</v>
      </c>
      <c r="H160" s="12">
        <v>11333</v>
      </c>
      <c r="I160" s="8">
        <v>24</v>
      </c>
      <c r="J160" s="11">
        <f t="shared" si="13"/>
        <v>26</v>
      </c>
      <c r="K160" s="12">
        <f>(24*11333)</f>
        <v>271992</v>
      </c>
      <c r="L160" s="15">
        <f t="shared" si="14"/>
        <v>294658</v>
      </c>
      <c r="M160" s="8"/>
      <c r="N160" s="39" t="e">
        <f>#REF!-H160</f>
        <v>#REF!</v>
      </c>
    </row>
    <row r="161" spans="2:14">
      <c r="B161" s="14">
        <v>164</v>
      </c>
      <c r="C161" s="2" t="s">
        <v>41</v>
      </c>
      <c r="D161" s="12">
        <v>450000</v>
      </c>
      <c r="E161" s="16">
        <v>59985</v>
      </c>
      <c r="F161" s="16">
        <v>509985</v>
      </c>
      <c r="G161" s="33">
        <v>50</v>
      </c>
      <c r="H161" s="16">
        <v>10199.700000000001</v>
      </c>
      <c r="I161" s="8">
        <v>4</v>
      </c>
      <c r="J161" s="11">
        <f t="shared" si="13"/>
        <v>46</v>
      </c>
      <c r="K161" s="12">
        <f>(4*10199)</f>
        <v>40796</v>
      </c>
      <c r="L161" s="12">
        <f t="shared" si="14"/>
        <v>469189</v>
      </c>
      <c r="M161" s="1"/>
      <c r="N161" s="39" t="e">
        <f>#REF!-H161</f>
        <v>#REF!</v>
      </c>
    </row>
    <row r="162" spans="2:14">
      <c r="B162" s="14">
        <v>165</v>
      </c>
      <c r="C162" s="2" t="s">
        <v>84</v>
      </c>
      <c r="D162" s="12">
        <v>500000</v>
      </c>
      <c r="E162" s="12">
        <v>66650</v>
      </c>
      <c r="F162" s="15">
        <f>SUM(D162:E162)</f>
        <v>566650</v>
      </c>
      <c r="G162" s="31">
        <v>50</v>
      </c>
      <c r="H162" s="12">
        <v>11333</v>
      </c>
      <c r="I162" s="11">
        <v>19</v>
      </c>
      <c r="J162" s="11">
        <f t="shared" si="13"/>
        <v>31</v>
      </c>
      <c r="K162" s="12">
        <f>(19*11333)</f>
        <v>215327</v>
      </c>
      <c r="L162" s="15">
        <f t="shared" si="14"/>
        <v>351323</v>
      </c>
      <c r="M162" s="8"/>
      <c r="N162" s="39" t="e">
        <f>#REF!-H162</f>
        <v>#REF!</v>
      </c>
    </row>
    <row r="163" spans="2:14">
      <c r="B163" s="14">
        <v>166</v>
      </c>
      <c r="C163" s="23" t="s">
        <v>238</v>
      </c>
      <c r="D163" s="12">
        <v>132000</v>
      </c>
      <c r="E163" s="12">
        <v>17595.599999999999</v>
      </c>
      <c r="F163" s="12">
        <v>149595.6</v>
      </c>
      <c r="G163" s="30">
        <v>40</v>
      </c>
      <c r="H163" s="18">
        <v>3739.89</v>
      </c>
      <c r="I163" s="30">
        <v>42</v>
      </c>
      <c r="J163" s="11">
        <f t="shared" si="13"/>
        <v>-2</v>
      </c>
      <c r="K163" s="12">
        <f>(42*3739.89)</f>
        <v>157075.38</v>
      </c>
      <c r="L163" s="15">
        <f t="shared" si="14"/>
        <v>-7479.7799999999988</v>
      </c>
      <c r="M163" s="10"/>
      <c r="N163" s="39" t="e">
        <f>#REF!-H163</f>
        <v>#REF!</v>
      </c>
    </row>
    <row r="164" spans="2:14">
      <c r="B164" s="14">
        <v>167</v>
      </c>
      <c r="C164" s="2" t="s">
        <v>236</v>
      </c>
      <c r="D164" s="12">
        <v>180000</v>
      </c>
      <c r="E164" s="12">
        <v>23994</v>
      </c>
      <c r="F164" s="12">
        <v>203994</v>
      </c>
      <c r="G164" s="30">
        <v>40</v>
      </c>
      <c r="H164" s="18">
        <v>5099.8500000000004</v>
      </c>
      <c r="I164" s="30">
        <v>42</v>
      </c>
      <c r="J164" s="11">
        <f t="shared" si="13"/>
        <v>-2</v>
      </c>
      <c r="K164" s="12">
        <f>(42*5099.85)</f>
        <v>214193.7</v>
      </c>
      <c r="L164" s="15">
        <f t="shared" si="14"/>
        <v>-10199.700000000012</v>
      </c>
      <c r="M164" s="10"/>
      <c r="N164" s="39" t="e">
        <f>#REF!-H164</f>
        <v>#REF!</v>
      </c>
    </row>
    <row r="165" spans="2:14">
      <c r="B165" s="14">
        <v>168</v>
      </c>
      <c r="C165" s="2" t="s">
        <v>32</v>
      </c>
      <c r="D165" s="20">
        <v>330000</v>
      </c>
      <c r="E165" s="20">
        <v>43989</v>
      </c>
      <c r="F165" s="20">
        <f t="shared" ref="F165:F170" si="15">SUM(D165:E165)</f>
        <v>373989</v>
      </c>
      <c r="G165" s="33">
        <v>50</v>
      </c>
      <c r="H165" s="3">
        <v>7479.78</v>
      </c>
      <c r="I165" s="8">
        <v>5</v>
      </c>
      <c r="J165" s="11">
        <f t="shared" si="13"/>
        <v>45</v>
      </c>
      <c r="K165" s="3">
        <f>(5*7479.78)</f>
        <v>37398.9</v>
      </c>
      <c r="L165" s="12">
        <f t="shared" si="14"/>
        <v>336590.1</v>
      </c>
      <c r="M165" s="1"/>
      <c r="N165" s="39" t="e">
        <f>#REF!-H165</f>
        <v>#REF!</v>
      </c>
    </row>
    <row r="166" spans="2:14">
      <c r="B166" s="14">
        <v>169</v>
      </c>
      <c r="C166" s="2" t="s">
        <v>179</v>
      </c>
      <c r="D166" s="15">
        <v>200000</v>
      </c>
      <c r="E166" s="15">
        <v>26660</v>
      </c>
      <c r="F166" s="15">
        <f t="shared" si="15"/>
        <v>226660</v>
      </c>
      <c r="G166" s="31">
        <v>40</v>
      </c>
      <c r="H166" s="15">
        <v>5666.5</v>
      </c>
      <c r="I166" s="8">
        <v>32</v>
      </c>
      <c r="J166" s="11">
        <f t="shared" si="13"/>
        <v>8</v>
      </c>
      <c r="K166" s="12">
        <f>(32*5666.5)</f>
        <v>181328</v>
      </c>
      <c r="L166" s="15">
        <f t="shared" si="14"/>
        <v>45332</v>
      </c>
      <c r="M166" s="8"/>
      <c r="N166" s="39" t="e">
        <f>#REF!-H166</f>
        <v>#REF!</v>
      </c>
    </row>
    <row r="167" spans="2:14">
      <c r="B167" s="14">
        <v>170</v>
      </c>
      <c r="C167" s="2" t="s">
        <v>85</v>
      </c>
      <c r="D167" s="12">
        <v>500000</v>
      </c>
      <c r="E167" s="12">
        <v>66650</v>
      </c>
      <c r="F167" s="15">
        <f t="shared" si="15"/>
        <v>566650</v>
      </c>
      <c r="G167" s="31">
        <v>50</v>
      </c>
      <c r="H167" s="12">
        <v>11333</v>
      </c>
      <c r="I167" s="11">
        <v>19</v>
      </c>
      <c r="J167" s="11">
        <f t="shared" si="13"/>
        <v>31</v>
      </c>
      <c r="K167" s="12">
        <f>(19*11333)</f>
        <v>215327</v>
      </c>
      <c r="L167" s="15">
        <f t="shared" si="14"/>
        <v>351323</v>
      </c>
      <c r="M167" s="8"/>
      <c r="N167" s="39" t="e">
        <f>#REF!-H167</f>
        <v>#REF!</v>
      </c>
    </row>
    <row r="168" spans="2:14">
      <c r="B168" s="14">
        <v>171</v>
      </c>
      <c r="C168" s="2" t="s">
        <v>180</v>
      </c>
      <c r="D168" s="15">
        <v>200000</v>
      </c>
      <c r="E168" s="15">
        <v>26660</v>
      </c>
      <c r="F168" s="15">
        <f t="shared" si="15"/>
        <v>226660</v>
      </c>
      <c r="G168" s="32">
        <v>40</v>
      </c>
      <c r="H168" s="15">
        <v>5666.5</v>
      </c>
      <c r="I168" s="22">
        <v>42</v>
      </c>
      <c r="J168" s="11">
        <f t="shared" ref="J168:J199" si="16">G168-I168</f>
        <v>-2</v>
      </c>
      <c r="K168" s="15">
        <f>(42*5666.5)</f>
        <v>237993</v>
      </c>
      <c r="L168" s="15">
        <f t="shared" ref="L168:L199" si="17">F168-K168</f>
        <v>-11333</v>
      </c>
      <c r="M168" s="10"/>
      <c r="N168" s="39" t="e">
        <f>#REF!-H168</f>
        <v>#REF!</v>
      </c>
    </row>
    <row r="169" spans="2:14">
      <c r="B169" s="14">
        <v>172</v>
      </c>
      <c r="C169" s="2" t="s">
        <v>114</v>
      </c>
      <c r="D169" s="12">
        <v>330000</v>
      </c>
      <c r="E169" s="12">
        <v>43989</v>
      </c>
      <c r="F169" s="15">
        <f t="shared" si="15"/>
        <v>373989</v>
      </c>
      <c r="G169" s="31">
        <v>50</v>
      </c>
      <c r="H169" s="12">
        <v>7479.78</v>
      </c>
      <c r="I169" s="8">
        <v>26</v>
      </c>
      <c r="J169" s="11">
        <f t="shared" si="16"/>
        <v>24</v>
      </c>
      <c r="K169" s="12">
        <f>(26*7479.78)</f>
        <v>194474.28</v>
      </c>
      <c r="L169" s="15">
        <f t="shared" si="17"/>
        <v>179514.72</v>
      </c>
      <c r="M169" s="8"/>
      <c r="N169" s="39" t="e">
        <f>#REF!-H169</f>
        <v>#REF!</v>
      </c>
    </row>
    <row r="170" spans="2:14">
      <c r="B170" s="14">
        <v>173</v>
      </c>
      <c r="C170" s="4" t="s">
        <v>219</v>
      </c>
      <c r="D170" s="12">
        <v>60000</v>
      </c>
      <c r="E170" s="12">
        <v>7998</v>
      </c>
      <c r="F170" s="15">
        <f t="shared" si="15"/>
        <v>67998</v>
      </c>
      <c r="G170" s="31">
        <v>40</v>
      </c>
      <c r="H170" s="12">
        <v>1699.95</v>
      </c>
      <c r="I170" s="8">
        <v>33</v>
      </c>
      <c r="J170" s="11">
        <f t="shared" si="16"/>
        <v>7</v>
      </c>
      <c r="K170" s="12">
        <f>(33*1699.95)</f>
        <v>56098.35</v>
      </c>
      <c r="L170" s="15">
        <f t="shared" si="17"/>
        <v>11899.650000000001</v>
      </c>
      <c r="M170" s="8"/>
      <c r="N170" s="39" t="e">
        <f>#REF!-H170</f>
        <v>#REF!</v>
      </c>
    </row>
    <row r="171" spans="2:14">
      <c r="B171" s="14">
        <v>26</v>
      </c>
      <c r="C171" s="2" t="s">
        <v>226</v>
      </c>
      <c r="D171" s="15">
        <v>200000</v>
      </c>
      <c r="E171" s="15">
        <v>26660</v>
      </c>
      <c r="F171" s="15">
        <v>226660</v>
      </c>
      <c r="G171" s="31">
        <v>40</v>
      </c>
      <c r="H171" s="18">
        <v>5666.5</v>
      </c>
      <c r="I171" s="31">
        <v>36</v>
      </c>
      <c r="J171" s="11">
        <f t="shared" si="16"/>
        <v>4</v>
      </c>
      <c r="K171" s="12">
        <f>(36*5666.5)</f>
        <v>203994</v>
      </c>
      <c r="L171" s="15">
        <f t="shared" si="17"/>
        <v>22666</v>
      </c>
      <c r="M171" s="8"/>
      <c r="N171" s="39" t="e">
        <f>#REF!-H171</f>
        <v>#REF!</v>
      </c>
    </row>
    <row r="172" spans="2:14">
      <c r="B172" s="14">
        <v>174</v>
      </c>
      <c r="C172" s="4" t="s">
        <v>207</v>
      </c>
      <c r="D172" s="12">
        <v>132000</v>
      </c>
      <c r="E172" s="12">
        <v>17595.599999999999</v>
      </c>
      <c r="F172" s="15">
        <f t="shared" ref="F172:F188" si="18">SUM(D172:E172)</f>
        <v>149595.6</v>
      </c>
      <c r="G172" s="31">
        <v>40</v>
      </c>
      <c r="H172" s="12">
        <v>3739.89</v>
      </c>
      <c r="I172" s="8">
        <v>34</v>
      </c>
      <c r="J172" s="11">
        <f t="shared" si="16"/>
        <v>6</v>
      </c>
      <c r="K172" s="12">
        <f>(34*3739.89)</f>
        <v>127156.26</v>
      </c>
      <c r="L172" s="15">
        <f t="shared" si="17"/>
        <v>22439.340000000011</v>
      </c>
      <c r="M172" s="8"/>
      <c r="N172" s="39" t="e">
        <f>#REF!-H172</f>
        <v>#REF!</v>
      </c>
    </row>
    <row r="173" spans="2:14">
      <c r="B173" s="14">
        <v>175</v>
      </c>
      <c r="C173" s="4" t="s">
        <v>100</v>
      </c>
      <c r="D173" s="12">
        <v>450000</v>
      </c>
      <c r="E173" s="16">
        <v>59985</v>
      </c>
      <c r="F173" s="15">
        <f t="shared" si="18"/>
        <v>509985</v>
      </c>
      <c r="G173" s="33">
        <v>50</v>
      </c>
      <c r="H173" s="16">
        <v>10199.700000000001</v>
      </c>
      <c r="I173" s="11">
        <v>18</v>
      </c>
      <c r="J173" s="11">
        <f t="shared" si="16"/>
        <v>32</v>
      </c>
      <c r="K173" s="12">
        <f>(18*10199.7)</f>
        <v>183594.6</v>
      </c>
      <c r="L173" s="15">
        <f t="shared" si="17"/>
        <v>326390.40000000002</v>
      </c>
      <c r="M173" s="8"/>
      <c r="N173" s="39" t="e">
        <f>#REF!-H173</f>
        <v>#REF!</v>
      </c>
    </row>
    <row r="174" spans="2:14">
      <c r="B174" s="14">
        <v>176</v>
      </c>
      <c r="C174" s="2" t="s">
        <v>101</v>
      </c>
      <c r="D174" s="12">
        <v>450000</v>
      </c>
      <c r="E174" s="16">
        <v>59985</v>
      </c>
      <c r="F174" s="15">
        <f t="shared" si="18"/>
        <v>509985</v>
      </c>
      <c r="G174" s="33">
        <v>50</v>
      </c>
      <c r="H174" s="16">
        <v>10199.700000000001</v>
      </c>
      <c r="I174" s="8">
        <v>18</v>
      </c>
      <c r="J174" s="11">
        <f t="shared" si="16"/>
        <v>32</v>
      </c>
      <c r="K174" s="12">
        <f>(18*10199.7)</f>
        <v>183594.6</v>
      </c>
      <c r="L174" s="15">
        <f t="shared" si="17"/>
        <v>326390.40000000002</v>
      </c>
      <c r="M174" s="8"/>
      <c r="N174" s="39" t="e">
        <f>#REF!-H174</f>
        <v>#REF!</v>
      </c>
    </row>
    <row r="175" spans="2:14">
      <c r="B175" s="14">
        <v>177</v>
      </c>
      <c r="C175" s="4" t="s">
        <v>181</v>
      </c>
      <c r="D175" s="15">
        <v>200000</v>
      </c>
      <c r="E175" s="15">
        <v>26660</v>
      </c>
      <c r="F175" s="15">
        <f t="shared" si="18"/>
        <v>226660</v>
      </c>
      <c r="G175" s="31">
        <v>40</v>
      </c>
      <c r="H175" s="15">
        <v>5666.5</v>
      </c>
      <c r="I175" s="8">
        <v>36</v>
      </c>
      <c r="J175" s="11">
        <f t="shared" si="16"/>
        <v>4</v>
      </c>
      <c r="K175" s="12">
        <f>(36*5666.5)</f>
        <v>203994</v>
      </c>
      <c r="L175" s="15">
        <f t="shared" si="17"/>
        <v>22666</v>
      </c>
      <c r="M175" s="8"/>
      <c r="N175" s="39" t="e">
        <f>#REF!-H175</f>
        <v>#REF!</v>
      </c>
    </row>
    <row r="176" spans="2:14">
      <c r="B176" s="14">
        <v>180</v>
      </c>
      <c r="C176" s="4" t="s">
        <v>209</v>
      </c>
      <c r="D176" s="12">
        <v>132000</v>
      </c>
      <c r="E176" s="12">
        <v>17595.599999999999</v>
      </c>
      <c r="F176" s="15">
        <f t="shared" si="18"/>
        <v>149595.6</v>
      </c>
      <c r="G176" s="30">
        <v>40</v>
      </c>
      <c r="H176" s="12">
        <v>3739.89</v>
      </c>
      <c r="I176" s="22">
        <v>42</v>
      </c>
      <c r="J176" s="11">
        <f t="shared" si="16"/>
        <v>-2</v>
      </c>
      <c r="K176" s="12">
        <f>(42*3739.89)</f>
        <v>157075.38</v>
      </c>
      <c r="L176" s="15">
        <f t="shared" si="17"/>
        <v>-7479.7799999999988</v>
      </c>
      <c r="M176" s="8"/>
      <c r="N176" s="39" t="e">
        <f>#REF!-H176</f>
        <v>#REF!</v>
      </c>
    </row>
    <row r="177" spans="2:14">
      <c r="B177" s="14">
        <v>181</v>
      </c>
      <c r="C177" s="4" t="s">
        <v>102</v>
      </c>
      <c r="D177" s="12">
        <v>450000</v>
      </c>
      <c r="E177" s="12">
        <v>59985</v>
      </c>
      <c r="F177" s="15">
        <f t="shared" si="18"/>
        <v>509985</v>
      </c>
      <c r="G177" s="31">
        <v>50</v>
      </c>
      <c r="H177" s="12">
        <v>10199.700000000001</v>
      </c>
      <c r="I177" s="11">
        <v>19</v>
      </c>
      <c r="J177" s="11">
        <f t="shared" si="16"/>
        <v>31</v>
      </c>
      <c r="K177" s="12">
        <f>(19*10199.7)</f>
        <v>193794.30000000002</v>
      </c>
      <c r="L177" s="15">
        <f t="shared" si="17"/>
        <v>316190.69999999995</v>
      </c>
      <c r="M177" s="8"/>
      <c r="N177" s="39" t="e">
        <f>#REF!-H177</f>
        <v>#REF!</v>
      </c>
    </row>
    <row r="178" spans="2:14">
      <c r="B178" s="14">
        <v>182</v>
      </c>
      <c r="C178" s="2" t="s">
        <v>35</v>
      </c>
      <c r="D178" s="20">
        <v>150000</v>
      </c>
      <c r="E178" s="20">
        <v>19995</v>
      </c>
      <c r="F178" s="20">
        <f t="shared" si="18"/>
        <v>169995</v>
      </c>
      <c r="G178" s="33">
        <v>50</v>
      </c>
      <c r="H178" s="3">
        <v>3399.9</v>
      </c>
      <c r="I178" s="8">
        <v>5</v>
      </c>
      <c r="J178" s="11">
        <f t="shared" si="16"/>
        <v>45</v>
      </c>
      <c r="K178" s="3">
        <f>(5*3399.9)</f>
        <v>16999.5</v>
      </c>
      <c r="L178" s="12">
        <f t="shared" si="17"/>
        <v>152995.5</v>
      </c>
      <c r="M178" s="1"/>
      <c r="N178" s="39" t="e">
        <f>#REF!-H178</f>
        <v>#REF!</v>
      </c>
    </row>
    <row r="179" spans="2:14">
      <c r="B179" s="14">
        <v>183</v>
      </c>
      <c r="C179" s="2" t="s">
        <v>115</v>
      </c>
      <c r="D179" s="12">
        <v>330000</v>
      </c>
      <c r="E179" s="12">
        <v>43989</v>
      </c>
      <c r="F179" s="15">
        <f t="shared" si="18"/>
        <v>373989</v>
      </c>
      <c r="G179" s="31">
        <v>50</v>
      </c>
      <c r="H179" s="12">
        <v>7479.78</v>
      </c>
      <c r="I179" s="8">
        <v>26</v>
      </c>
      <c r="J179" s="11">
        <f t="shared" si="16"/>
        <v>24</v>
      </c>
      <c r="K179" s="12">
        <f>(26*7479.78)</f>
        <v>194474.28</v>
      </c>
      <c r="L179" s="15">
        <f t="shared" si="17"/>
        <v>179514.72</v>
      </c>
      <c r="M179" s="8"/>
      <c r="N179" s="39" t="e">
        <f>#REF!-H179</f>
        <v>#REF!</v>
      </c>
    </row>
    <row r="180" spans="2:14">
      <c r="B180" s="14">
        <v>184</v>
      </c>
      <c r="C180" s="2" t="s">
        <v>86</v>
      </c>
      <c r="D180" s="12">
        <v>500000</v>
      </c>
      <c r="E180" s="12">
        <v>66650</v>
      </c>
      <c r="F180" s="15">
        <f t="shared" si="18"/>
        <v>566650</v>
      </c>
      <c r="G180" s="33">
        <v>50</v>
      </c>
      <c r="H180" s="12">
        <v>11333</v>
      </c>
      <c r="I180" s="11">
        <v>18</v>
      </c>
      <c r="J180" s="11">
        <f t="shared" si="16"/>
        <v>32</v>
      </c>
      <c r="K180" s="16">
        <f>(18*11333)</f>
        <v>203994</v>
      </c>
      <c r="L180" s="15">
        <f t="shared" si="17"/>
        <v>362656</v>
      </c>
      <c r="M180" s="8"/>
      <c r="N180" s="39" t="e">
        <f>#REF!-H180</f>
        <v>#REF!</v>
      </c>
    </row>
    <row r="181" spans="2:14">
      <c r="B181" s="14">
        <v>185</v>
      </c>
      <c r="C181" s="2" t="s">
        <v>249</v>
      </c>
      <c r="D181" s="12">
        <v>180000</v>
      </c>
      <c r="E181" s="12">
        <v>23994</v>
      </c>
      <c r="F181" s="15">
        <f t="shared" si="18"/>
        <v>203994</v>
      </c>
      <c r="G181" s="31">
        <v>40</v>
      </c>
      <c r="H181" s="12">
        <v>5099.8500000000004</v>
      </c>
      <c r="I181" s="8">
        <v>41</v>
      </c>
      <c r="J181" s="11">
        <f t="shared" si="16"/>
        <v>-1</v>
      </c>
      <c r="K181" s="12">
        <f>(41*5099.85)</f>
        <v>209093.85</v>
      </c>
      <c r="L181" s="15">
        <f t="shared" si="17"/>
        <v>-5099.8500000000058</v>
      </c>
      <c r="M181" s="8" t="s">
        <v>251</v>
      </c>
      <c r="N181" s="39" t="e">
        <f>#REF!-H181</f>
        <v>#REF!</v>
      </c>
    </row>
    <row r="182" spans="2:14">
      <c r="B182" s="14">
        <v>186</v>
      </c>
      <c r="C182" s="4" t="s">
        <v>116</v>
      </c>
      <c r="D182" s="12">
        <v>330000</v>
      </c>
      <c r="E182" s="12">
        <v>43989</v>
      </c>
      <c r="F182" s="15">
        <f t="shared" si="18"/>
        <v>373989</v>
      </c>
      <c r="G182" s="31">
        <v>50</v>
      </c>
      <c r="H182" s="12">
        <v>7479.78</v>
      </c>
      <c r="I182" s="8">
        <v>26</v>
      </c>
      <c r="J182" s="11">
        <f t="shared" si="16"/>
        <v>24</v>
      </c>
      <c r="K182" s="12">
        <f>(26*7479.78)</f>
        <v>194474.28</v>
      </c>
      <c r="L182" s="15">
        <f t="shared" si="17"/>
        <v>179514.72</v>
      </c>
      <c r="M182" s="8"/>
      <c r="N182" s="39" t="e">
        <f>#REF!-H182</f>
        <v>#REF!</v>
      </c>
    </row>
    <row r="183" spans="2:14">
      <c r="B183" s="14">
        <v>187</v>
      </c>
      <c r="C183" s="28" t="s">
        <v>47</v>
      </c>
      <c r="D183" s="12">
        <v>500000</v>
      </c>
      <c r="E183" s="16">
        <v>47992</v>
      </c>
      <c r="F183" s="15">
        <f t="shared" si="18"/>
        <v>547992</v>
      </c>
      <c r="G183" s="33">
        <v>36</v>
      </c>
      <c r="H183" s="16">
        <v>15222</v>
      </c>
      <c r="I183" s="11">
        <v>18</v>
      </c>
      <c r="J183" s="11">
        <f t="shared" si="16"/>
        <v>18</v>
      </c>
      <c r="K183" s="16">
        <f>(18*15222)</f>
        <v>273996</v>
      </c>
      <c r="L183" s="15">
        <f t="shared" si="17"/>
        <v>273996</v>
      </c>
      <c r="M183" s="8"/>
      <c r="N183" s="39" t="e">
        <f>#REF!-H183</f>
        <v>#REF!</v>
      </c>
    </row>
    <row r="184" spans="2:14">
      <c r="B184" s="14">
        <v>189</v>
      </c>
      <c r="C184" s="4" t="s">
        <v>183</v>
      </c>
      <c r="D184" s="15">
        <v>200000</v>
      </c>
      <c r="E184" s="15">
        <v>26660</v>
      </c>
      <c r="F184" s="15">
        <f t="shared" si="18"/>
        <v>226660</v>
      </c>
      <c r="G184" s="32">
        <v>40</v>
      </c>
      <c r="H184" s="15">
        <v>5666.5</v>
      </c>
      <c r="I184" s="22">
        <v>42</v>
      </c>
      <c r="J184" s="11">
        <f t="shared" si="16"/>
        <v>-2</v>
      </c>
      <c r="K184" s="15">
        <f>(42*5666.5)</f>
        <v>237993</v>
      </c>
      <c r="L184" s="15">
        <f t="shared" si="17"/>
        <v>-11333</v>
      </c>
      <c r="M184" s="10"/>
      <c r="N184" s="39" t="e">
        <f>#REF!-H184</f>
        <v>#REF!</v>
      </c>
    </row>
    <row r="185" spans="2:14">
      <c r="B185" s="14">
        <v>190</v>
      </c>
      <c r="C185" s="4" t="s">
        <v>87</v>
      </c>
      <c r="D185" s="12">
        <v>500000</v>
      </c>
      <c r="E185" s="12">
        <v>66650</v>
      </c>
      <c r="F185" s="15">
        <f t="shared" si="18"/>
        <v>566650</v>
      </c>
      <c r="G185" s="31">
        <v>50</v>
      </c>
      <c r="H185" s="12">
        <v>11333</v>
      </c>
      <c r="I185" s="8">
        <v>40</v>
      </c>
      <c r="J185" s="11">
        <f t="shared" si="16"/>
        <v>10</v>
      </c>
      <c r="K185" s="12">
        <f>(40*11333)</f>
        <v>453320</v>
      </c>
      <c r="L185" s="15">
        <f t="shared" si="17"/>
        <v>113330</v>
      </c>
      <c r="M185" s="8"/>
      <c r="N185" s="39" t="e">
        <f>#REF!-H185</f>
        <v>#REF!</v>
      </c>
    </row>
    <row r="186" spans="2:14">
      <c r="B186" s="14">
        <v>191</v>
      </c>
      <c r="C186" s="4" t="s">
        <v>103</v>
      </c>
      <c r="D186" s="12">
        <v>450000</v>
      </c>
      <c r="E186" s="16">
        <v>59985</v>
      </c>
      <c r="F186" s="15">
        <f t="shared" si="18"/>
        <v>509985</v>
      </c>
      <c r="G186" s="33">
        <v>50</v>
      </c>
      <c r="H186" s="16">
        <v>10199.700000000001</v>
      </c>
      <c r="I186" s="8">
        <v>19</v>
      </c>
      <c r="J186" s="11">
        <f t="shared" si="16"/>
        <v>31</v>
      </c>
      <c r="K186" s="12">
        <f>(19*10199.7)</f>
        <v>193794.30000000002</v>
      </c>
      <c r="L186" s="15">
        <f t="shared" si="17"/>
        <v>316190.69999999995</v>
      </c>
      <c r="M186" s="8"/>
      <c r="N186" s="39" t="e">
        <f>#REF!-H186</f>
        <v>#REF!</v>
      </c>
    </row>
    <row r="187" spans="2:14">
      <c r="B187" s="14">
        <v>192</v>
      </c>
      <c r="C187" s="4" t="s">
        <v>88</v>
      </c>
      <c r="D187" s="12">
        <v>500000</v>
      </c>
      <c r="E187" s="12">
        <v>66650</v>
      </c>
      <c r="F187" s="15">
        <f t="shared" si="18"/>
        <v>566650</v>
      </c>
      <c r="G187" s="31">
        <v>50</v>
      </c>
      <c r="H187" s="12">
        <v>11333</v>
      </c>
      <c r="I187" s="11">
        <v>19</v>
      </c>
      <c r="J187" s="11">
        <f t="shared" si="16"/>
        <v>31</v>
      </c>
      <c r="K187" s="12">
        <f>(19*11333)</f>
        <v>215327</v>
      </c>
      <c r="L187" s="15">
        <f t="shared" si="17"/>
        <v>351323</v>
      </c>
      <c r="M187" s="8"/>
      <c r="N187" s="39" t="e">
        <f>#REF!-H187</f>
        <v>#REF!</v>
      </c>
    </row>
    <row r="188" spans="2:14">
      <c r="B188" s="14">
        <v>193</v>
      </c>
      <c r="C188" s="4" t="s">
        <v>104</v>
      </c>
      <c r="D188" s="12">
        <v>450000</v>
      </c>
      <c r="E188" s="12">
        <v>59985</v>
      </c>
      <c r="F188" s="15">
        <f t="shared" si="18"/>
        <v>509985</v>
      </c>
      <c r="G188" s="31">
        <v>50</v>
      </c>
      <c r="H188" s="12">
        <v>10199.700000000001</v>
      </c>
      <c r="I188" s="11">
        <v>19</v>
      </c>
      <c r="J188" s="11">
        <f t="shared" si="16"/>
        <v>31</v>
      </c>
      <c r="K188" s="12">
        <f>(19*10199.7)</f>
        <v>193794.30000000002</v>
      </c>
      <c r="L188" s="15">
        <f t="shared" si="17"/>
        <v>316190.69999999995</v>
      </c>
      <c r="M188" s="8"/>
      <c r="N188" s="39" t="e">
        <f>#REF!-H188</f>
        <v>#REF!</v>
      </c>
    </row>
    <row r="189" spans="2:14">
      <c r="B189" s="14">
        <v>194</v>
      </c>
      <c r="C189" s="4" t="s">
        <v>38</v>
      </c>
      <c r="D189" s="18">
        <v>500000</v>
      </c>
      <c r="E189" s="18">
        <v>66650</v>
      </c>
      <c r="F189" s="18">
        <v>566650</v>
      </c>
      <c r="G189" s="33">
        <v>50</v>
      </c>
      <c r="H189" s="16">
        <v>11333</v>
      </c>
      <c r="I189" s="8">
        <v>5</v>
      </c>
      <c r="J189" s="11">
        <f t="shared" si="16"/>
        <v>45</v>
      </c>
      <c r="K189" s="12">
        <f>(5*11333)</f>
        <v>56665</v>
      </c>
      <c r="L189" s="12">
        <f t="shared" si="17"/>
        <v>509985</v>
      </c>
      <c r="M189" s="1"/>
      <c r="N189" s="39" t="e">
        <f>#REF!-H189</f>
        <v>#REF!</v>
      </c>
    </row>
    <row r="190" spans="2:14">
      <c r="B190" s="14">
        <v>195</v>
      </c>
      <c r="C190" s="4" t="s">
        <v>89</v>
      </c>
      <c r="D190" s="12">
        <v>500000</v>
      </c>
      <c r="E190" s="12">
        <v>66650</v>
      </c>
      <c r="F190" s="15">
        <f>SUM(D190:E190)</f>
        <v>566650</v>
      </c>
      <c r="G190" s="31">
        <v>50</v>
      </c>
      <c r="H190" s="12">
        <v>11333</v>
      </c>
      <c r="I190" s="8">
        <v>26</v>
      </c>
      <c r="J190" s="11">
        <f t="shared" si="16"/>
        <v>24</v>
      </c>
      <c r="K190" s="12">
        <f>(26*11333)</f>
        <v>294658</v>
      </c>
      <c r="L190" s="15">
        <f t="shared" si="17"/>
        <v>271992</v>
      </c>
      <c r="M190" s="8"/>
      <c r="N190" s="39" t="e">
        <f>#REF!-H190</f>
        <v>#REF!</v>
      </c>
    </row>
    <row r="191" spans="2:14">
      <c r="B191" s="14">
        <v>196</v>
      </c>
      <c r="C191" s="2" t="s">
        <v>117</v>
      </c>
      <c r="D191" s="12">
        <v>330000</v>
      </c>
      <c r="E191" s="12">
        <v>43989</v>
      </c>
      <c r="F191" s="15">
        <f>SUM(D191:E191)</f>
        <v>373989</v>
      </c>
      <c r="G191" s="31">
        <v>50</v>
      </c>
      <c r="H191" s="12">
        <v>7479.78</v>
      </c>
      <c r="I191" s="11">
        <v>28</v>
      </c>
      <c r="J191" s="11">
        <f t="shared" si="16"/>
        <v>22</v>
      </c>
      <c r="K191" s="16">
        <f>(28*7479.78)</f>
        <v>209433.84</v>
      </c>
      <c r="L191" s="15">
        <f t="shared" si="17"/>
        <v>164555.16</v>
      </c>
      <c r="M191" s="8"/>
      <c r="N191" s="39" t="e">
        <f>#REF!-H191</f>
        <v>#REF!</v>
      </c>
    </row>
    <row r="192" spans="2:14">
      <c r="B192" s="14">
        <v>197</v>
      </c>
      <c r="C192" s="2" t="s">
        <v>184</v>
      </c>
      <c r="D192" s="15">
        <v>200000</v>
      </c>
      <c r="E192" s="15">
        <v>26660</v>
      </c>
      <c r="F192" s="15">
        <f>SUM(D192:E192)</f>
        <v>226660</v>
      </c>
      <c r="G192" s="31">
        <v>40</v>
      </c>
      <c r="H192" s="15">
        <v>5666.5</v>
      </c>
      <c r="I192" s="8">
        <v>36</v>
      </c>
      <c r="J192" s="11">
        <f t="shared" si="16"/>
        <v>4</v>
      </c>
      <c r="K192" s="12">
        <f>(36*5666.5)</f>
        <v>203994</v>
      </c>
      <c r="L192" s="15">
        <f t="shared" si="17"/>
        <v>22666</v>
      </c>
      <c r="M192" s="8"/>
      <c r="N192" s="39" t="e">
        <f>#REF!-H192</f>
        <v>#REF!</v>
      </c>
    </row>
    <row r="193" spans="2:14">
      <c r="B193" s="14">
        <v>198</v>
      </c>
      <c r="C193" s="2" t="s">
        <v>30</v>
      </c>
      <c r="D193" s="20">
        <v>330000</v>
      </c>
      <c r="E193" s="20">
        <v>43989</v>
      </c>
      <c r="F193" s="20">
        <f>SUM(D193:E193)</f>
        <v>373989</v>
      </c>
      <c r="G193" s="33">
        <v>50</v>
      </c>
      <c r="H193" s="3">
        <v>7479.78</v>
      </c>
      <c r="I193" s="8">
        <v>5</v>
      </c>
      <c r="J193" s="11">
        <f t="shared" si="16"/>
        <v>45</v>
      </c>
      <c r="K193" s="3">
        <f>(5*7479.78)</f>
        <v>37398.9</v>
      </c>
      <c r="L193" s="12">
        <f t="shared" si="17"/>
        <v>336590.1</v>
      </c>
      <c r="M193" s="1"/>
      <c r="N193" s="39" t="e">
        <f>#REF!-H193</f>
        <v>#REF!</v>
      </c>
    </row>
    <row r="194" spans="2:14">
      <c r="B194" s="14">
        <v>199</v>
      </c>
      <c r="C194" s="2" t="s">
        <v>29</v>
      </c>
      <c r="D194" s="18">
        <v>450000</v>
      </c>
      <c r="E194" s="19">
        <v>59985</v>
      </c>
      <c r="F194" s="19">
        <v>509985</v>
      </c>
      <c r="G194" s="33">
        <v>50</v>
      </c>
      <c r="H194" s="16">
        <v>10199.700000000001</v>
      </c>
      <c r="I194" s="8">
        <v>5</v>
      </c>
      <c r="J194" s="11">
        <f t="shared" si="16"/>
        <v>45</v>
      </c>
      <c r="K194" s="12">
        <f>(5*10199)</f>
        <v>50995</v>
      </c>
      <c r="L194" s="12">
        <f t="shared" si="17"/>
        <v>458990</v>
      </c>
      <c r="M194" s="1"/>
      <c r="N194" s="39" t="e">
        <f>#REF!-H194</f>
        <v>#REF!</v>
      </c>
    </row>
    <row r="195" spans="2:14">
      <c r="B195" s="14">
        <v>200</v>
      </c>
      <c r="C195" s="26" t="s">
        <v>118</v>
      </c>
      <c r="D195" s="12">
        <v>330000</v>
      </c>
      <c r="E195" s="12">
        <v>43989</v>
      </c>
      <c r="F195" s="15">
        <f t="shared" ref="F195:F200" si="19">SUM(D195:E195)</f>
        <v>373989</v>
      </c>
      <c r="G195" s="31">
        <v>50</v>
      </c>
      <c r="H195" s="12">
        <v>7479.78</v>
      </c>
      <c r="I195" s="8">
        <v>25</v>
      </c>
      <c r="J195" s="11">
        <f t="shared" si="16"/>
        <v>25</v>
      </c>
      <c r="K195" s="12">
        <f>(25*7479.78)</f>
        <v>186994.5</v>
      </c>
      <c r="L195" s="15">
        <f t="shared" si="17"/>
        <v>186994.5</v>
      </c>
      <c r="M195" s="8"/>
      <c r="N195" s="39" t="e">
        <f>#REF!-H195</f>
        <v>#REF!</v>
      </c>
    </row>
    <row r="196" spans="2:14">
      <c r="B196" s="14">
        <v>201</v>
      </c>
      <c r="C196" s="2" t="s">
        <v>90</v>
      </c>
      <c r="D196" s="12">
        <v>500000</v>
      </c>
      <c r="E196" s="12">
        <v>66650</v>
      </c>
      <c r="F196" s="15">
        <f t="shared" si="19"/>
        <v>566650</v>
      </c>
      <c r="G196" s="31">
        <v>50</v>
      </c>
      <c r="H196" s="12">
        <v>11333</v>
      </c>
      <c r="I196" s="8">
        <v>39</v>
      </c>
      <c r="J196" s="11">
        <f t="shared" si="16"/>
        <v>11</v>
      </c>
      <c r="K196" s="12">
        <f>(39*11333)</f>
        <v>441987</v>
      </c>
      <c r="L196" s="15">
        <f t="shared" si="17"/>
        <v>124663</v>
      </c>
      <c r="M196" s="8"/>
      <c r="N196" s="39" t="e">
        <f>#REF!-H196</f>
        <v>#REF!</v>
      </c>
    </row>
    <row r="197" spans="2:14">
      <c r="B197" s="14">
        <v>202</v>
      </c>
      <c r="C197" s="2" t="s">
        <v>210</v>
      </c>
      <c r="D197" s="12">
        <v>132000</v>
      </c>
      <c r="E197" s="12">
        <v>17595.599999999999</v>
      </c>
      <c r="F197" s="15">
        <f t="shared" si="19"/>
        <v>149595.6</v>
      </c>
      <c r="G197" s="30">
        <v>40</v>
      </c>
      <c r="H197" s="12">
        <v>3739.89</v>
      </c>
      <c r="I197" s="22">
        <v>42</v>
      </c>
      <c r="J197" s="11">
        <f t="shared" si="16"/>
        <v>-2</v>
      </c>
      <c r="K197" s="12">
        <f>(42*3739.89)</f>
        <v>157075.38</v>
      </c>
      <c r="L197" s="15">
        <f t="shared" si="17"/>
        <v>-7479.7799999999988</v>
      </c>
      <c r="M197" s="8"/>
      <c r="N197" s="39" t="e">
        <f>#REF!-H197</f>
        <v>#REF!</v>
      </c>
    </row>
    <row r="198" spans="2:14">
      <c r="B198" s="14">
        <v>203</v>
      </c>
      <c r="C198" s="2" t="s">
        <v>91</v>
      </c>
      <c r="D198" s="12">
        <v>500000</v>
      </c>
      <c r="E198" s="12">
        <v>66650</v>
      </c>
      <c r="F198" s="15">
        <f t="shared" si="19"/>
        <v>566650</v>
      </c>
      <c r="G198" s="33">
        <v>50</v>
      </c>
      <c r="H198" s="12">
        <v>11333</v>
      </c>
      <c r="I198" s="11">
        <v>18</v>
      </c>
      <c r="J198" s="11">
        <f t="shared" si="16"/>
        <v>32</v>
      </c>
      <c r="K198" s="16">
        <f>(18*11333)</f>
        <v>203994</v>
      </c>
      <c r="L198" s="15">
        <f t="shared" si="17"/>
        <v>362656</v>
      </c>
      <c r="M198" s="8"/>
      <c r="N198" s="39" t="e">
        <f>#REF!-H198</f>
        <v>#REF!</v>
      </c>
    </row>
    <row r="199" spans="2:14">
      <c r="B199" s="14">
        <v>204</v>
      </c>
      <c r="C199" s="2" t="s">
        <v>92</v>
      </c>
      <c r="D199" s="12">
        <v>500000</v>
      </c>
      <c r="E199" s="12">
        <v>66650</v>
      </c>
      <c r="F199" s="15">
        <f t="shared" si="19"/>
        <v>566650</v>
      </c>
      <c r="G199" s="31">
        <v>50</v>
      </c>
      <c r="H199" s="12">
        <v>11333</v>
      </c>
      <c r="I199" s="8">
        <v>26</v>
      </c>
      <c r="J199" s="11">
        <f t="shared" si="16"/>
        <v>24</v>
      </c>
      <c r="K199" s="12">
        <f>(26*11333)</f>
        <v>294658</v>
      </c>
      <c r="L199" s="15">
        <f t="shared" si="17"/>
        <v>271992</v>
      </c>
      <c r="M199" s="8"/>
      <c r="N199" s="39" t="e">
        <f>#REF!-H199</f>
        <v>#REF!</v>
      </c>
    </row>
    <row r="200" spans="2:14">
      <c r="B200" s="14">
        <v>205</v>
      </c>
      <c r="C200" s="2" t="s">
        <v>119</v>
      </c>
      <c r="D200" s="12">
        <v>330000</v>
      </c>
      <c r="E200" s="16">
        <v>43989</v>
      </c>
      <c r="F200" s="15">
        <f t="shared" si="19"/>
        <v>373989</v>
      </c>
      <c r="G200" s="33">
        <v>50</v>
      </c>
      <c r="H200" s="16">
        <v>7479.78</v>
      </c>
      <c r="I200" s="11">
        <v>18</v>
      </c>
      <c r="J200" s="11">
        <f t="shared" ref="J200:J208" si="20">G200-I200</f>
        <v>32</v>
      </c>
      <c r="K200" s="12">
        <f>(18*7479.78)</f>
        <v>134636.04</v>
      </c>
      <c r="L200" s="15">
        <f t="shared" ref="L200:L208" si="21">F200-K200</f>
        <v>239352.95999999999</v>
      </c>
      <c r="M200" s="8"/>
      <c r="N200" s="39" t="e">
        <f>#REF!-H200</f>
        <v>#REF!</v>
      </c>
    </row>
    <row r="201" spans="2:14">
      <c r="B201" s="14">
        <v>206</v>
      </c>
      <c r="C201" s="2" t="s">
        <v>39</v>
      </c>
      <c r="D201" s="12">
        <v>500000</v>
      </c>
      <c r="E201" s="12">
        <v>66650</v>
      </c>
      <c r="F201" s="12">
        <v>566650</v>
      </c>
      <c r="G201" s="33">
        <v>50</v>
      </c>
      <c r="H201" s="16">
        <v>11333</v>
      </c>
      <c r="I201" s="8">
        <v>5</v>
      </c>
      <c r="J201" s="11">
        <f t="shared" si="20"/>
        <v>45</v>
      </c>
      <c r="K201" s="12">
        <f>(5*11333)</f>
        <v>56665</v>
      </c>
      <c r="L201" s="12">
        <f t="shared" si="21"/>
        <v>509985</v>
      </c>
      <c r="M201" s="1"/>
      <c r="N201" s="39" t="e">
        <f>#REF!-H201</f>
        <v>#REF!</v>
      </c>
    </row>
    <row r="202" spans="2:14">
      <c r="B202" s="14">
        <v>207</v>
      </c>
      <c r="C202" s="2" t="s">
        <v>48</v>
      </c>
      <c r="D202" s="12">
        <v>500000</v>
      </c>
      <c r="E202" s="16">
        <v>47992</v>
      </c>
      <c r="F202" s="15">
        <f>SUM(D202:E202)</f>
        <v>547992</v>
      </c>
      <c r="G202" s="33">
        <v>36</v>
      </c>
      <c r="H202" s="16">
        <v>15222</v>
      </c>
      <c r="I202" s="11">
        <v>18</v>
      </c>
      <c r="J202" s="11">
        <f t="shared" si="20"/>
        <v>18</v>
      </c>
      <c r="K202" s="16">
        <f>(18*15222)</f>
        <v>273996</v>
      </c>
      <c r="L202" s="15">
        <f t="shared" si="21"/>
        <v>273996</v>
      </c>
      <c r="M202" s="8"/>
      <c r="N202" s="39" t="e">
        <f>#REF!-H202</f>
        <v>#REF!</v>
      </c>
    </row>
    <row r="203" spans="2:14">
      <c r="B203" s="14">
        <v>208</v>
      </c>
      <c r="C203" s="2" t="s">
        <v>185</v>
      </c>
      <c r="D203" s="15">
        <v>200000</v>
      </c>
      <c r="E203" s="15">
        <v>26660</v>
      </c>
      <c r="F203" s="15">
        <f>SUM(D203:E203)</f>
        <v>226660</v>
      </c>
      <c r="G203" s="31">
        <v>40</v>
      </c>
      <c r="H203" s="15">
        <v>5666.5</v>
      </c>
      <c r="I203" s="8">
        <v>33</v>
      </c>
      <c r="J203" s="11">
        <f t="shared" si="20"/>
        <v>7</v>
      </c>
      <c r="K203" s="12">
        <f>(33*5666.5)</f>
        <v>186994.5</v>
      </c>
      <c r="L203" s="15">
        <f t="shared" si="21"/>
        <v>39665.5</v>
      </c>
      <c r="M203" s="8"/>
      <c r="N203" s="39" t="e">
        <f>#REF!-H203</f>
        <v>#REF!</v>
      </c>
    </row>
    <row r="204" spans="2:14">
      <c r="B204" s="14">
        <v>209</v>
      </c>
      <c r="C204" s="2" t="s">
        <v>241</v>
      </c>
      <c r="D204" s="12">
        <v>60000</v>
      </c>
      <c r="E204" s="12">
        <v>7998</v>
      </c>
      <c r="F204" s="15">
        <f>SUM(D204:E204)</f>
        <v>67998</v>
      </c>
      <c r="G204" s="31">
        <v>40</v>
      </c>
      <c r="H204" s="12">
        <v>1699.95</v>
      </c>
      <c r="I204" s="33">
        <v>32</v>
      </c>
      <c r="J204" s="11">
        <f t="shared" si="20"/>
        <v>8</v>
      </c>
      <c r="K204" s="12">
        <f>(32*1699.95)</f>
        <v>54398.400000000001</v>
      </c>
      <c r="L204" s="15">
        <f t="shared" si="21"/>
        <v>13599.599999999999</v>
      </c>
      <c r="M204" s="8"/>
      <c r="N204" s="39" t="e">
        <f>#REF!-H204</f>
        <v>#REF!</v>
      </c>
    </row>
    <row r="205" spans="2:14">
      <c r="B205" s="14">
        <v>210</v>
      </c>
      <c r="C205" s="2" t="s">
        <v>93</v>
      </c>
      <c r="D205" s="12">
        <v>500000</v>
      </c>
      <c r="E205" s="12">
        <v>66650</v>
      </c>
      <c r="F205" s="15">
        <f>SUM(D205:E205)</f>
        <v>566650</v>
      </c>
      <c r="G205" s="31">
        <v>50</v>
      </c>
      <c r="H205" s="12">
        <v>11333</v>
      </c>
      <c r="I205" s="8">
        <v>40</v>
      </c>
      <c r="J205" s="11">
        <f t="shared" si="20"/>
        <v>10</v>
      </c>
      <c r="K205" s="12">
        <f>(40*11333)</f>
        <v>453320</v>
      </c>
      <c r="L205" s="15">
        <f t="shared" si="21"/>
        <v>113330</v>
      </c>
      <c r="M205" s="8"/>
      <c r="N205" s="39" t="e">
        <f>#REF!-H205</f>
        <v>#REF!</v>
      </c>
    </row>
    <row r="206" spans="2:14">
      <c r="B206" s="14">
        <v>211</v>
      </c>
      <c r="C206" s="2" t="s">
        <v>231</v>
      </c>
      <c r="D206" s="15">
        <v>200000</v>
      </c>
      <c r="E206" s="15">
        <v>26660</v>
      </c>
      <c r="F206" s="15">
        <v>226660</v>
      </c>
      <c r="G206" s="31">
        <v>40</v>
      </c>
      <c r="H206" s="18">
        <v>5666.5</v>
      </c>
      <c r="I206" s="31">
        <v>33</v>
      </c>
      <c r="J206" s="11">
        <f t="shared" si="20"/>
        <v>7</v>
      </c>
      <c r="K206" s="12">
        <f>(33*5666.5)</f>
        <v>186994.5</v>
      </c>
      <c r="L206" s="15">
        <f t="shared" si="21"/>
        <v>39665.5</v>
      </c>
      <c r="M206" s="8"/>
      <c r="N206" s="39" t="e">
        <f>#REF!-H206</f>
        <v>#REF!</v>
      </c>
    </row>
    <row r="207" spans="2:14">
      <c r="B207" s="14">
        <v>212</v>
      </c>
      <c r="C207" s="2" t="s">
        <v>186</v>
      </c>
      <c r="D207" s="15">
        <v>200000</v>
      </c>
      <c r="E207" s="15">
        <v>26660</v>
      </c>
      <c r="F207" s="15">
        <f>SUM(D207:E207)</f>
        <v>226660</v>
      </c>
      <c r="G207" s="31">
        <v>40</v>
      </c>
      <c r="H207" s="15">
        <v>5666.5</v>
      </c>
      <c r="I207" s="8">
        <v>33</v>
      </c>
      <c r="J207" s="11">
        <f t="shared" si="20"/>
        <v>7</v>
      </c>
      <c r="K207" s="12">
        <f>(33*5666.5)</f>
        <v>186994.5</v>
      </c>
      <c r="L207" s="15">
        <f t="shared" si="21"/>
        <v>39665.5</v>
      </c>
      <c r="M207" s="8"/>
      <c r="N207" s="39" t="e">
        <f>#REF!-H207</f>
        <v>#REF!</v>
      </c>
    </row>
    <row r="208" spans="2:14">
      <c r="B208" s="14">
        <v>213</v>
      </c>
      <c r="C208" s="2" t="s">
        <v>243</v>
      </c>
      <c r="D208" s="12">
        <v>60000</v>
      </c>
      <c r="E208" s="12">
        <v>7998</v>
      </c>
      <c r="F208" s="12">
        <v>67998</v>
      </c>
      <c r="G208" s="31">
        <v>40</v>
      </c>
      <c r="H208" s="18">
        <v>1699.95</v>
      </c>
      <c r="I208" s="31">
        <v>42</v>
      </c>
      <c r="J208" s="11">
        <f t="shared" si="20"/>
        <v>-2</v>
      </c>
      <c r="K208" s="12">
        <f>(42*1699.95)</f>
        <v>71397.900000000009</v>
      </c>
      <c r="L208" s="15">
        <f t="shared" si="21"/>
        <v>-3399.9000000000087</v>
      </c>
      <c r="M208" s="8"/>
      <c r="N208" s="39" t="e">
        <f>#REF!-H208</f>
        <v>#REF!</v>
      </c>
    </row>
    <row r="209" spans="2:13">
      <c r="B209" s="14"/>
      <c r="C209" s="23"/>
      <c r="D209" s="34">
        <f>SUM(D6:D208)</f>
        <v>64466000</v>
      </c>
      <c r="E209" s="34">
        <f>SUM(E6:E208)</f>
        <v>8397748.0399999991</v>
      </c>
      <c r="F209" s="34">
        <f>SUM(F6:F208)</f>
        <v>72863748.040000007</v>
      </c>
      <c r="G209" s="34"/>
      <c r="H209" s="34">
        <f>SUM(H6:H208)</f>
        <v>1593929.1799999995</v>
      </c>
      <c r="I209" s="13"/>
      <c r="J209" s="13"/>
      <c r="K209" s="34">
        <f>SUM(K6:K168)</f>
        <v>33132249.16</v>
      </c>
      <c r="L209" s="34">
        <f>SUM(L6:L168)</f>
        <v>24677792.080000002</v>
      </c>
      <c r="M209" s="8"/>
    </row>
    <row r="223" spans="2:13">
      <c r="B223" s="65"/>
      <c r="C223" s="66"/>
      <c r="D223" s="67"/>
      <c r="E223" s="67"/>
      <c r="F223" s="67"/>
      <c r="G223" s="67"/>
      <c r="H223" s="67"/>
      <c r="I223" s="68"/>
      <c r="J223" s="68"/>
      <c r="K223" s="67"/>
      <c r="L223" s="67"/>
      <c r="M223" s="69"/>
    </row>
    <row r="224" spans="2:13">
      <c r="B224" s="65"/>
      <c r="C224" s="66"/>
      <c r="D224" s="67"/>
      <c r="E224" s="67"/>
      <c r="F224" s="67"/>
      <c r="G224" s="67"/>
      <c r="H224" s="67"/>
      <c r="I224" s="68"/>
      <c r="J224" s="68"/>
      <c r="K224" s="67"/>
      <c r="L224" s="67"/>
      <c r="M224" s="69"/>
    </row>
    <row r="225" spans="2:14">
      <c r="B225" s="65"/>
      <c r="C225" s="66"/>
      <c r="D225" s="67"/>
      <c r="E225" s="67"/>
      <c r="F225" s="67"/>
      <c r="G225" s="67"/>
      <c r="H225" s="67"/>
      <c r="I225" s="68"/>
      <c r="J225" s="68"/>
      <c r="K225" s="67"/>
      <c r="L225" s="67"/>
      <c r="M225" s="69"/>
    </row>
    <row r="226" spans="2:14">
      <c r="B226" s="65"/>
      <c r="C226" s="66"/>
      <c r="D226" s="67"/>
      <c r="E226" s="67"/>
      <c r="F226" s="67"/>
      <c r="G226" s="67"/>
      <c r="H226" s="67"/>
      <c r="I226" s="68"/>
      <c r="J226" s="68"/>
      <c r="K226" s="67"/>
      <c r="L226" s="67"/>
      <c r="M226" s="69"/>
    </row>
    <row r="227" spans="2:14">
      <c r="B227" s="65"/>
      <c r="C227" s="66"/>
      <c r="D227" s="67"/>
      <c r="E227" s="67"/>
      <c r="F227" s="67"/>
      <c r="G227" s="67"/>
      <c r="H227" s="67"/>
      <c r="I227" s="68"/>
      <c r="J227" s="68"/>
      <c r="K227" s="67"/>
      <c r="L227" s="67"/>
      <c r="M227" s="69"/>
    </row>
    <row r="228" spans="2:14">
      <c r="B228" s="65"/>
      <c r="C228" s="66"/>
      <c r="D228" s="67"/>
      <c r="E228" s="67"/>
      <c r="F228" s="67"/>
      <c r="G228" s="67"/>
      <c r="H228" s="67"/>
      <c r="I228" s="68"/>
      <c r="J228" s="68"/>
      <c r="K228" s="67"/>
      <c r="L228" s="67"/>
      <c r="M228" s="69"/>
    </row>
    <row r="229" spans="2:14">
      <c r="B229" s="65"/>
      <c r="C229" s="66"/>
      <c r="D229" s="67"/>
      <c r="E229" s="67"/>
      <c r="F229" s="67"/>
      <c r="G229" s="67"/>
      <c r="H229" s="67"/>
      <c r="I229" s="68"/>
      <c r="J229" s="68"/>
      <c r="K229" s="67"/>
      <c r="L229" s="67"/>
      <c r="M229" s="69"/>
    </row>
    <row r="231" spans="2:14" ht="20.25">
      <c r="B231" s="54" t="s">
        <v>245</v>
      </c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</row>
    <row r="232" spans="2:14" ht="18">
      <c r="B232" s="53" t="s">
        <v>246</v>
      </c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</row>
    <row r="233" spans="2:14" ht="18">
      <c r="B233" s="55" t="s">
        <v>252</v>
      </c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7"/>
    </row>
    <row r="234" spans="2:14" ht="36">
      <c r="B234" s="49" t="s">
        <v>0</v>
      </c>
      <c r="C234" s="49" t="s">
        <v>1</v>
      </c>
      <c r="D234" s="50" t="s">
        <v>2</v>
      </c>
      <c r="E234" s="50" t="s">
        <v>3</v>
      </c>
      <c r="F234" s="49" t="s">
        <v>4</v>
      </c>
      <c r="G234" s="50" t="s">
        <v>5</v>
      </c>
      <c r="H234" s="51" t="s">
        <v>6</v>
      </c>
      <c r="I234" s="50" t="s">
        <v>7</v>
      </c>
      <c r="J234" s="51" t="s">
        <v>8</v>
      </c>
      <c r="K234" s="50" t="s">
        <v>9</v>
      </c>
      <c r="L234" s="51" t="s">
        <v>10</v>
      </c>
      <c r="M234" s="51" t="s">
        <v>11</v>
      </c>
      <c r="N234" s="44"/>
    </row>
    <row r="235" spans="2:14">
      <c r="B235" s="14">
        <v>1</v>
      </c>
      <c r="C235" s="2" t="s">
        <v>40</v>
      </c>
      <c r="D235" s="12">
        <v>450000</v>
      </c>
      <c r="E235" s="16">
        <v>59985</v>
      </c>
      <c r="F235" s="16">
        <v>509985</v>
      </c>
      <c r="G235" s="33">
        <v>50</v>
      </c>
      <c r="H235" s="16">
        <v>10199.700000000001</v>
      </c>
      <c r="I235" s="8">
        <v>4</v>
      </c>
      <c r="J235" s="11">
        <f>G235-I235</f>
        <v>46</v>
      </c>
      <c r="K235" s="12">
        <f>(4*10199)</f>
        <v>40796</v>
      </c>
      <c r="L235" s="12">
        <f>F235-K235</f>
        <v>469189</v>
      </c>
      <c r="M235" s="1"/>
    </row>
    <row r="236" spans="2:14">
      <c r="C236" s="2" t="s">
        <v>158</v>
      </c>
    </row>
    <row r="239" spans="2:14" s="44" customFormat="1" ht="35.25" customHeight="1"/>
    <row r="240" spans="2:14">
      <c r="B240" s="14">
        <v>15</v>
      </c>
      <c r="C240" s="2" t="s">
        <v>242</v>
      </c>
      <c r="D240" s="12">
        <v>60000</v>
      </c>
      <c r="E240" s="12">
        <v>7998</v>
      </c>
      <c r="F240" s="15">
        <f>SUM(D240:E240)</f>
        <v>67998</v>
      </c>
      <c r="G240" s="31">
        <v>40</v>
      </c>
      <c r="H240" s="12">
        <v>1699.95</v>
      </c>
      <c r="I240" s="33">
        <v>39</v>
      </c>
      <c r="J240" s="11">
        <f>G240-I240</f>
        <v>1</v>
      </c>
      <c r="K240" s="12">
        <f>(39*1699.95)</f>
        <v>66298.05</v>
      </c>
      <c r="L240" s="15">
        <f>F240-K240</f>
        <v>1699.9499999999971</v>
      </c>
      <c r="M240" s="8"/>
    </row>
    <row r="243" spans="2:14">
      <c r="B243" s="14">
        <v>20</v>
      </c>
      <c r="C243" s="2" t="s">
        <v>225</v>
      </c>
      <c r="D243" s="15">
        <v>200000</v>
      </c>
      <c r="E243" s="15">
        <v>26660</v>
      </c>
      <c r="F243" s="15">
        <v>226660</v>
      </c>
      <c r="G243" s="32">
        <v>40</v>
      </c>
      <c r="H243" s="18">
        <v>5666.5</v>
      </c>
      <c r="I243" s="30">
        <v>41</v>
      </c>
      <c r="J243" s="11">
        <f>G243-I243</f>
        <v>-1</v>
      </c>
      <c r="K243" s="15">
        <f>(41*5666.5)</f>
        <v>232326.5</v>
      </c>
      <c r="L243" s="15">
        <f>F243-K243</f>
        <v>-5666.5</v>
      </c>
      <c r="M243" s="10"/>
    </row>
    <row r="244" spans="2:14">
      <c r="B244" s="14">
        <v>25</v>
      </c>
      <c r="C244" s="2" t="s">
        <v>34</v>
      </c>
      <c r="D244" s="20">
        <v>150000</v>
      </c>
      <c r="E244" s="20">
        <v>19995</v>
      </c>
      <c r="F244" s="20">
        <f>SUM(D244:E244)</f>
        <v>169995</v>
      </c>
      <c r="G244" s="33">
        <v>50</v>
      </c>
      <c r="H244" s="3">
        <v>3399.9</v>
      </c>
      <c r="I244" s="8">
        <v>4</v>
      </c>
      <c r="J244" s="11">
        <f>G244-I244</f>
        <v>46</v>
      </c>
      <c r="K244" s="3">
        <f>(4*3399.9)</f>
        <v>13599.6</v>
      </c>
      <c r="L244" s="12">
        <f>F244-K244</f>
        <v>156395.4</v>
      </c>
      <c r="M244" s="1"/>
    </row>
    <row r="246" spans="2:14">
      <c r="B246" s="14"/>
      <c r="C246" s="29"/>
      <c r="D246" s="34">
        <f>SUM(D235:D245)</f>
        <v>860000</v>
      </c>
      <c r="E246" s="34">
        <f>SUM(E235:E244)</f>
        <v>114638</v>
      </c>
      <c r="F246" s="34">
        <f>SUM(F235:F244)</f>
        <v>974638</v>
      </c>
      <c r="G246" s="42"/>
      <c r="H246" s="34">
        <f>SUM(H235:H245)</f>
        <v>20966.050000000003</v>
      </c>
      <c r="I246" s="40"/>
      <c r="J246" s="35"/>
      <c r="K246" s="34">
        <f>SUM(K235:K244)</f>
        <v>353020.14999999997</v>
      </c>
      <c r="L246" s="36">
        <f>SUM(L235:L244)</f>
        <v>621617.85</v>
      </c>
      <c r="M246" s="8"/>
    </row>
    <row r="247" spans="2:14">
      <c r="B247" s="14"/>
      <c r="C247" s="29"/>
      <c r="D247" s="34">
        <f>D209+D246</f>
        <v>65326000</v>
      </c>
      <c r="E247" s="34">
        <f>E209+E246</f>
        <v>8512386.0399999991</v>
      </c>
      <c r="F247" s="34">
        <f>F209+F246</f>
        <v>73838386.040000007</v>
      </c>
      <c r="G247" s="42"/>
      <c r="H247" s="34">
        <f>H209+H246</f>
        <v>1614895.2299999995</v>
      </c>
      <c r="I247" s="33"/>
      <c r="J247" s="33"/>
      <c r="K247" s="34">
        <f>K209+K246</f>
        <v>33485269.309999999</v>
      </c>
      <c r="L247" s="34">
        <f>L209+L246</f>
        <v>25299409.930000003</v>
      </c>
      <c r="M247" s="8"/>
    </row>
    <row r="249" spans="2:14">
      <c r="B249" s="14">
        <v>29</v>
      </c>
      <c r="C249" s="2" t="s">
        <v>133</v>
      </c>
      <c r="D249" s="15">
        <v>200000</v>
      </c>
      <c r="E249" s="15">
        <v>26660</v>
      </c>
      <c r="F249" s="15">
        <f t="shared" ref="F249:F257" si="22">SUM(D249:E249)</f>
        <v>226660</v>
      </c>
      <c r="G249" s="31">
        <v>40</v>
      </c>
      <c r="H249" s="15">
        <v>5666.5</v>
      </c>
      <c r="I249" s="8">
        <v>37</v>
      </c>
      <c r="J249" s="8">
        <v>3</v>
      </c>
      <c r="K249" s="12">
        <f>(37*5666.5)</f>
        <v>209660.5</v>
      </c>
      <c r="L249" s="15">
        <f t="shared" ref="L249:L271" si="23">F249-K249</f>
        <v>16999.5</v>
      </c>
      <c r="M249" s="8"/>
      <c r="N249" s="39" t="e">
        <f>#REF!-H249</f>
        <v>#REF!</v>
      </c>
    </row>
    <row r="250" spans="2:14">
      <c r="B250" s="14">
        <v>85</v>
      </c>
      <c r="C250" s="25" t="s">
        <v>67</v>
      </c>
      <c r="D250" s="12">
        <v>500000</v>
      </c>
      <c r="E250" s="12">
        <v>66650</v>
      </c>
      <c r="F250" s="15">
        <f t="shared" si="22"/>
        <v>566650</v>
      </c>
      <c r="G250" s="31">
        <v>50</v>
      </c>
      <c r="H250" s="18">
        <v>11333</v>
      </c>
      <c r="I250" s="8">
        <v>20</v>
      </c>
      <c r="J250" s="8">
        <v>30</v>
      </c>
      <c r="K250" s="12">
        <f>(20*11333)</f>
        <v>226660</v>
      </c>
      <c r="L250" s="15">
        <f t="shared" si="23"/>
        <v>339990</v>
      </c>
      <c r="M250" s="8"/>
      <c r="N250" s="39" t="e">
        <f>#REF!-H250</f>
        <v>#REF!</v>
      </c>
    </row>
    <row r="251" spans="2:14">
      <c r="B251" s="14">
        <v>104</v>
      </c>
      <c r="C251" s="2" t="s">
        <v>161</v>
      </c>
      <c r="D251" s="15">
        <v>200000</v>
      </c>
      <c r="E251" s="15">
        <v>26660</v>
      </c>
      <c r="F251" s="15">
        <f t="shared" si="22"/>
        <v>226660</v>
      </c>
      <c r="G251" s="32">
        <v>40</v>
      </c>
      <c r="H251" s="15">
        <v>5666.5</v>
      </c>
      <c r="I251" s="22">
        <v>38</v>
      </c>
      <c r="J251" s="21">
        <v>2</v>
      </c>
      <c r="K251" s="15">
        <f>(38*5666.5)</f>
        <v>215327</v>
      </c>
      <c r="L251" s="15">
        <f t="shared" si="23"/>
        <v>11333</v>
      </c>
      <c r="M251" s="10"/>
      <c r="N251" s="39" t="e">
        <f>#REF!-H251</f>
        <v>#REF!</v>
      </c>
    </row>
    <row r="252" spans="2:14">
      <c r="B252" s="14">
        <v>127</v>
      </c>
      <c r="C252" s="2" t="s">
        <v>196</v>
      </c>
      <c r="D252" s="12">
        <v>180000</v>
      </c>
      <c r="E252" s="12">
        <v>23994</v>
      </c>
      <c r="F252" s="15">
        <f t="shared" si="22"/>
        <v>203994</v>
      </c>
      <c r="G252" s="31">
        <v>40</v>
      </c>
      <c r="H252" s="12">
        <v>5099.8500000000004</v>
      </c>
      <c r="I252" s="8">
        <v>33</v>
      </c>
      <c r="J252" s="8">
        <v>8</v>
      </c>
      <c r="K252" s="12">
        <f>(33*5099.85)</f>
        <v>168295.05000000002</v>
      </c>
      <c r="L252" s="15">
        <f t="shared" si="23"/>
        <v>35698.949999999983</v>
      </c>
      <c r="M252" s="8"/>
      <c r="N252" s="39" t="e">
        <f>#REF!-H252</f>
        <v>#REF!</v>
      </c>
    </row>
    <row r="253" spans="2:14">
      <c r="B253" s="14">
        <v>3</v>
      </c>
      <c r="C253" s="2" t="s">
        <v>200</v>
      </c>
      <c r="D253" s="12">
        <v>132000</v>
      </c>
      <c r="E253" s="12">
        <v>17595.599999999999</v>
      </c>
      <c r="F253" s="15">
        <f t="shared" si="22"/>
        <v>149595.6</v>
      </c>
      <c r="G253" s="31">
        <v>40</v>
      </c>
      <c r="H253" s="12">
        <v>3739.89</v>
      </c>
      <c r="I253" s="8">
        <v>39</v>
      </c>
      <c r="J253" s="11">
        <f t="shared" ref="J253:J271" si="24">G253-I253</f>
        <v>1</v>
      </c>
      <c r="K253" s="12">
        <f>(39*3739.89)</f>
        <v>145855.71</v>
      </c>
      <c r="L253" s="15">
        <f t="shared" si="23"/>
        <v>3739.890000000014</v>
      </c>
      <c r="M253" s="8"/>
      <c r="N253" s="39" t="e">
        <f>#REF!-H253</f>
        <v>#REF!</v>
      </c>
    </row>
    <row r="254" spans="2:14">
      <c r="B254" s="14">
        <v>10</v>
      </c>
      <c r="C254" s="2" t="s">
        <v>125</v>
      </c>
      <c r="D254" s="15">
        <v>200000</v>
      </c>
      <c r="E254" s="15">
        <v>26660</v>
      </c>
      <c r="F254" s="15">
        <f t="shared" si="22"/>
        <v>226660</v>
      </c>
      <c r="G254" s="31">
        <v>40</v>
      </c>
      <c r="H254" s="15">
        <v>5666.5</v>
      </c>
      <c r="I254" s="8">
        <v>39</v>
      </c>
      <c r="J254" s="11">
        <f t="shared" si="24"/>
        <v>1</v>
      </c>
      <c r="K254" s="12">
        <f>(39*5666.5)</f>
        <v>220993.5</v>
      </c>
      <c r="L254" s="15">
        <f t="shared" si="23"/>
        <v>5666.5</v>
      </c>
      <c r="M254" s="8"/>
      <c r="N254" s="39" t="e">
        <f>#REF!-H254</f>
        <v>#REF!</v>
      </c>
    </row>
    <row r="255" spans="2:14">
      <c r="B255" s="14">
        <v>20</v>
      </c>
      <c r="C255" s="2" t="s">
        <v>128</v>
      </c>
      <c r="D255" s="15">
        <v>200000</v>
      </c>
      <c r="E255" s="15">
        <v>26660</v>
      </c>
      <c r="F255" s="15">
        <f t="shared" si="22"/>
        <v>226660</v>
      </c>
      <c r="G255" s="32">
        <v>40</v>
      </c>
      <c r="H255" s="15">
        <v>5666.5</v>
      </c>
      <c r="I255" s="22">
        <v>41</v>
      </c>
      <c r="J255" s="11">
        <f t="shared" si="24"/>
        <v>-1</v>
      </c>
      <c r="K255" s="15">
        <f>(41*5666.5)</f>
        <v>232326.5</v>
      </c>
      <c r="L255" s="15">
        <f t="shared" si="23"/>
        <v>-5666.5</v>
      </c>
      <c r="M255" s="10"/>
      <c r="N255" s="39" t="e">
        <f>#REF!-H255</f>
        <v>#REF!</v>
      </c>
    </row>
    <row r="256" spans="2:14">
      <c r="B256" s="14">
        <v>27</v>
      </c>
      <c r="C256" s="2" t="s">
        <v>132</v>
      </c>
      <c r="D256" s="15">
        <v>200000</v>
      </c>
      <c r="E256" s="15">
        <v>26660</v>
      </c>
      <c r="F256" s="15">
        <f t="shared" si="22"/>
        <v>226660</v>
      </c>
      <c r="G256" s="31">
        <v>40</v>
      </c>
      <c r="H256" s="15">
        <v>5666.5</v>
      </c>
      <c r="I256" s="8">
        <v>39</v>
      </c>
      <c r="J256" s="11">
        <f t="shared" si="24"/>
        <v>1</v>
      </c>
      <c r="K256" s="12">
        <f>(39*5666.5)</f>
        <v>220993.5</v>
      </c>
      <c r="L256" s="15">
        <f t="shared" si="23"/>
        <v>5666.5</v>
      </c>
      <c r="M256" s="8"/>
      <c r="N256" s="39" t="e">
        <f>#REF!-H256</f>
        <v>#REF!</v>
      </c>
    </row>
    <row r="257" spans="2:14">
      <c r="B257" s="14">
        <v>30</v>
      </c>
      <c r="C257" s="2" t="s">
        <v>135</v>
      </c>
      <c r="D257" s="15">
        <v>200000</v>
      </c>
      <c r="E257" s="15">
        <v>26660</v>
      </c>
      <c r="F257" s="15">
        <f t="shared" si="22"/>
        <v>226660</v>
      </c>
      <c r="G257" s="31">
        <v>40</v>
      </c>
      <c r="H257" s="15">
        <v>5666.5</v>
      </c>
      <c r="I257" s="8">
        <v>32</v>
      </c>
      <c r="J257" s="11">
        <f t="shared" si="24"/>
        <v>8</v>
      </c>
      <c r="K257" s="12">
        <f>(32*5666.5)</f>
        <v>181328</v>
      </c>
      <c r="L257" s="15">
        <f t="shared" si="23"/>
        <v>45332</v>
      </c>
      <c r="M257" s="8"/>
      <c r="N257" s="39" t="e">
        <f>#REF!-H257</f>
        <v>#REF!</v>
      </c>
    </row>
    <row r="258" spans="2:14">
      <c r="B258" s="14">
        <v>43</v>
      </c>
      <c r="C258" s="2" t="s">
        <v>239</v>
      </c>
      <c r="D258" s="12">
        <v>132000</v>
      </c>
      <c r="E258" s="12">
        <v>17595.599999999999</v>
      </c>
      <c r="F258" s="12">
        <v>149595.6</v>
      </c>
      <c r="G258" s="30">
        <v>40</v>
      </c>
      <c r="H258" s="18">
        <v>3739.89</v>
      </c>
      <c r="I258" s="33">
        <v>42</v>
      </c>
      <c r="J258" s="11">
        <f t="shared" si="24"/>
        <v>-2</v>
      </c>
      <c r="K258" s="12">
        <f>(42*3739.89)</f>
        <v>157075.38</v>
      </c>
      <c r="L258" s="15">
        <f t="shared" si="23"/>
        <v>-7479.7799999999988</v>
      </c>
      <c r="M258" s="8"/>
      <c r="N258" s="39" t="e">
        <f>#REF!-H258</f>
        <v>#REF!</v>
      </c>
    </row>
    <row r="259" spans="2:14">
      <c r="B259" s="14">
        <v>45</v>
      </c>
      <c r="C259" s="2" t="s">
        <v>140</v>
      </c>
      <c r="D259" s="15">
        <v>200000</v>
      </c>
      <c r="E259" s="15">
        <v>26660</v>
      </c>
      <c r="F259" s="15">
        <f>SUM(D259:E259)</f>
        <v>226660</v>
      </c>
      <c r="G259" s="31">
        <v>40</v>
      </c>
      <c r="H259" s="15">
        <v>5666.5</v>
      </c>
      <c r="I259" s="8">
        <v>28</v>
      </c>
      <c r="J259" s="11">
        <f t="shared" si="24"/>
        <v>12</v>
      </c>
      <c r="K259" s="12">
        <f>(28*5666.5)</f>
        <v>158662</v>
      </c>
      <c r="L259" s="15">
        <f t="shared" si="23"/>
        <v>67998</v>
      </c>
      <c r="M259" s="8"/>
      <c r="N259" s="39" t="e">
        <f>#REF!-H259</f>
        <v>#REF!</v>
      </c>
    </row>
    <row r="260" spans="2:14">
      <c r="B260" s="14">
        <v>50</v>
      </c>
      <c r="C260" s="2" t="s">
        <v>143</v>
      </c>
      <c r="D260" s="15">
        <v>200000</v>
      </c>
      <c r="E260" s="15">
        <v>26660</v>
      </c>
      <c r="F260" s="15">
        <f>SUM(D260:E260)</f>
        <v>226660</v>
      </c>
      <c r="G260" s="31">
        <v>40</v>
      </c>
      <c r="H260" s="15">
        <v>5666.5</v>
      </c>
      <c r="I260" s="8">
        <v>39</v>
      </c>
      <c r="J260" s="11">
        <f t="shared" si="24"/>
        <v>1</v>
      </c>
      <c r="K260" s="12">
        <f>(39*5666.5)</f>
        <v>220993.5</v>
      </c>
      <c r="L260" s="15">
        <f t="shared" si="23"/>
        <v>5666.5</v>
      </c>
      <c r="M260" s="8"/>
      <c r="N260" s="39" t="e">
        <f>#REF!-H260</f>
        <v>#REF!</v>
      </c>
    </row>
    <row r="261" spans="2:14">
      <c r="B261" s="14">
        <v>97</v>
      </c>
      <c r="C261" s="2" t="s">
        <v>217</v>
      </c>
      <c r="D261" s="12">
        <v>60000</v>
      </c>
      <c r="E261" s="12">
        <v>7998</v>
      </c>
      <c r="F261" s="15">
        <f>SUM(D261:E261)</f>
        <v>67998</v>
      </c>
      <c r="G261" s="31">
        <v>40</v>
      </c>
      <c r="H261" s="12">
        <v>1699.95</v>
      </c>
      <c r="I261" s="8">
        <v>42</v>
      </c>
      <c r="J261" s="11">
        <f t="shared" si="24"/>
        <v>-2</v>
      </c>
      <c r="K261" s="12">
        <f>(42*1699.95)</f>
        <v>71397.900000000009</v>
      </c>
      <c r="L261" s="15">
        <f t="shared" si="23"/>
        <v>-3399.9000000000087</v>
      </c>
      <c r="M261" s="8"/>
      <c r="N261" s="39" t="e">
        <f>#REF!-H261</f>
        <v>#REF!</v>
      </c>
    </row>
    <row r="262" spans="2:14">
      <c r="B262" s="14">
        <v>99</v>
      </c>
      <c r="C262" s="2" t="s">
        <v>221</v>
      </c>
      <c r="D262" s="12">
        <v>330000</v>
      </c>
      <c r="E262" s="12">
        <v>21975</v>
      </c>
      <c r="F262" s="12">
        <v>351975</v>
      </c>
      <c r="G262" s="31">
        <v>25</v>
      </c>
      <c r="H262" s="18">
        <v>14079</v>
      </c>
      <c r="I262" s="33">
        <v>27</v>
      </c>
      <c r="J262" s="11">
        <f t="shared" si="24"/>
        <v>-2</v>
      </c>
      <c r="K262" s="16">
        <f>(27*14079)</f>
        <v>380133</v>
      </c>
      <c r="L262" s="15">
        <f t="shared" si="23"/>
        <v>-28158</v>
      </c>
      <c r="M262" s="8"/>
      <c r="N262" s="39" t="e">
        <f>#REF!-H262</f>
        <v>#REF!</v>
      </c>
    </row>
    <row r="263" spans="2:14">
      <c r="B263" s="14">
        <v>129</v>
      </c>
      <c r="C263" s="2" t="s">
        <v>95</v>
      </c>
      <c r="D263" s="12">
        <v>450000</v>
      </c>
      <c r="E263" s="12">
        <v>59985</v>
      </c>
      <c r="F263" s="15">
        <f>SUM(D263:E263)</f>
        <v>509985</v>
      </c>
      <c r="G263" s="31">
        <v>50</v>
      </c>
      <c r="H263" s="12">
        <v>10199.700000000001</v>
      </c>
      <c r="I263" s="8">
        <v>25</v>
      </c>
      <c r="J263" s="11">
        <f t="shared" si="24"/>
        <v>25</v>
      </c>
      <c r="K263" s="12">
        <f>(25*10199.7)</f>
        <v>254992.50000000003</v>
      </c>
      <c r="L263" s="15">
        <f t="shared" si="23"/>
        <v>254992.49999999997</v>
      </c>
      <c r="M263" s="8"/>
      <c r="N263" s="39" t="e">
        <f>#REF!-H263</f>
        <v>#REF!</v>
      </c>
    </row>
    <row r="264" spans="2:14">
      <c r="B264" s="14">
        <v>131</v>
      </c>
      <c r="C264" s="2" t="s">
        <v>172</v>
      </c>
      <c r="D264" s="15">
        <v>200000</v>
      </c>
      <c r="E264" s="15">
        <v>26660</v>
      </c>
      <c r="F264" s="15">
        <f>SUM(D264:E264)</f>
        <v>226660</v>
      </c>
      <c r="G264" s="31">
        <v>40</v>
      </c>
      <c r="H264" s="15">
        <v>5666.5</v>
      </c>
      <c r="I264" s="8">
        <v>39</v>
      </c>
      <c r="J264" s="11">
        <f t="shared" si="24"/>
        <v>1</v>
      </c>
      <c r="K264" s="12">
        <f>(39*5666.5)</f>
        <v>220993.5</v>
      </c>
      <c r="L264" s="15">
        <f t="shared" si="23"/>
        <v>5666.5</v>
      </c>
      <c r="M264" s="8"/>
      <c r="N264" s="39" t="e">
        <f>#REF!-H264</f>
        <v>#REF!</v>
      </c>
    </row>
    <row r="265" spans="2:14">
      <c r="B265" s="14">
        <v>141</v>
      </c>
      <c r="C265" s="2" t="s">
        <v>197</v>
      </c>
      <c r="D265" s="12">
        <v>180000</v>
      </c>
      <c r="E265" s="12">
        <v>23994</v>
      </c>
      <c r="F265" s="15">
        <f>SUM(D265:E265)</f>
        <v>203994</v>
      </c>
      <c r="G265" s="31">
        <v>40</v>
      </c>
      <c r="H265" s="12">
        <v>5099.8500000000004</v>
      </c>
      <c r="I265" s="8">
        <v>39</v>
      </c>
      <c r="J265" s="11">
        <f t="shared" si="24"/>
        <v>1</v>
      </c>
      <c r="K265" s="12">
        <f>(39*5099.85)</f>
        <v>198894.15000000002</v>
      </c>
      <c r="L265" s="15">
        <f t="shared" si="23"/>
        <v>5099.8499999999767</v>
      </c>
      <c r="M265" s="8"/>
      <c r="N265" s="39" t="e">
        <f>#REF!-H265</f>
        <v>#REF!</v>
      </c>
    </row>
    <row r="266" spans="2:14">
      <c r="B266" s="14">
        <v>142</v>
      </c>
      <c r="C266" s="2" t="s">
        <v>16</v>
      </c>
      <c r="D266" s="12">
        <v>450000</v>
      </c>
      <c r="E266" s="12">
        <v>59985</v>
      </c>
      <c r="F266" s="12">
        <v>509985</v>
      </c>
      <c r="G266" s="33">
        <v>50</v>
      </c>
      <c r="H266" s="19">
        <v>11333</v>
      </c>
      <c r="I266" s="31">
        <v>7</v>
      </c>
      <c r="J266" s="11">
        <f t="shared" si="24"/>
        <v>43</v>
      </c>
      <c r="K266" s="12">
        <f>(7*11333)</f>
        <v>79331</v>
      </c>
      <c r="L266" s="15">
        <f t="shared" si="23"/>
        <v>430654</v>
      </c>
      <c r="M266" s="8"/>
      <c r="N266" s="39" t="e">
        <f>#REF!-H266</f>
        <v>#REF!</v>
      </c>
    </row>
    <row r="267" spans="2:14">
      <c r="B267" s="14">
        <v>144</v>
      </c>
      <c r="C267" s="2" t="s">
        <v>174</v>
      </c>
      <c r="D267" s="15">
        <v>200000</v>
      </c>
      <c r="E267" s="15">
        <v>26660</v>
      </c>
      <c r="F267" s="15">
        <f>SUM(D267:E267)</f>
        <v>226660</v>
      </c>
      <c r="G267" s="31">
        <v>40</v>
      </c>
      <c r="H267" s="15">
        <v>5666.5</v>
      </c>
      <c r="I267" s="8">
        <v>39</v>
      </c>
      <c r="J267" s="11">
        <f t="shared" si="24"/>
        <v>1</v>
      </c>
      <c r="K267" s="12">
        <f>(39*5666.5)</f>
        <v>220993.5</v>
      </c>
      <c r="L267" s="15">
        <f t="shared" si="23"/>
        <v>5666.5</v>
      </c>
      <c r="M267" s="8"/>
      <c r="N267" s="39" t="e">
        <f>#REF!-H267</f>
        <v>#REF!</v>
      </c>
    </row>
    <row r="268" spans="2:14">
      <c r="B268" s="14">
        <v>159</v>
      </c>
      <c r="C268" s="2" t="s">
        <v>198</v>
      </c>
      <c r="D268" s="12">
        <v>180000</v>
      </c>
      <c r="E268" s="12">
        <v>23994</v>
      </c>
      <c r="F268" s="15">
        <f>SUM(D268:E268)</f>
        <v>203994</v>
      </c>
      <c r="G268" s="30">
        <v>40</v>
      </c>
      <c r="H268" s="12">
        <v>5099.8500000000004</v>
      </c>
      <c r="I268" s="22">
        <v>41</v>
      </c>
      <c r="J268" s="11">
        <f t="shared" si="24"/>
        <v>-1</v>
      </c>
      <c r="K268" s="12">
        <f>(41*5099.85)</f>
        <v>209093.85</v>
      </c>
      <c r="L268" s="15">
        <f t="shared" si="23"/>
        <v>-5099.8500000000058</v>
      </c>
      <c r="M268" s="10"/>
      <c r="N268" s="39" t="e">
        <f>#REF!-H268</f>
        <v>#REF!</v>
      </c>
    </row>
    <row r="269" spans="2:14">
      <c r="B269" s="14">
        <v>178</v>
      </c>
      <c r="C269" s="4" t="s">
        <v>208</v>
      </c>
      <c r="D269" s="12">
        <v>132000</v>
      </c>
      <c r="E269" s="12">
        <v>17595.599999999999</v>
      </c>
      <c r="F269" s="15">
        <f>SUM(D269:E269)</f>
        <v>149595.6</v>
      </c>
      <c r="G269" s="30">
        <v>40</v>
      </c>
      <c r="H269" s="12">
        <v>3739.89</v>
      </c>
      <c r="I269" s="22">
        <v>41</v>
      </c>
      <c r="J269" s="11">
        <f t="shared" si="24"/>
        <v>-1</v>
      </c>
      <c r="K269" s="12">
        <f>(41*3739.89)</f>
        <v>153335.49</v>
      </c>
      <c r="L269" s="15">
        <f t="shared" si="23"/>
        <v>-3739.8899999999849</v>
      </c>
      <c r="M269" s="8"/>
      <c r="N269" s="39" t="e">
        <f>#REF!-H269</f>
        <v>#REF!</v>
      </c>
    </row>
    <row r="270" spans="2:14">
      <c r="B270" s="14">
        <v>179</v>
      </c>
      <c r="C270" s="4" t="s">
        <v>220</v>
      </c>
      <c r="D270" s="12">
        <v>60000</v>
      </c>
      <c r="E270" s="12">
        <v>7998</v>
      </c>
      <c r="F270" s="15">
        <f>SUM(D270:E270)</f>
        <v>67998</v>
      </c>
      <c r="G270" s="31">
        <v>40</v>
      </c>
      <c r="H270" s="12">
        <v>1699.95</v>
      </c>
      <c r="I270" s="8">
        <v>39</v>
      </c>
      <c r="J270" s="11">
        <f t="shared" si="24"/>
        <v>1</v>
      </c>
      <c r="K270" s="12">
        <f>(39*1699.89)</f>
        <v>66295.710000000006</v>
      </c>
      <c r="L270" s="15">
        <f t="shared" si="23"/>
        <v>1702.2899999999936</v>
      </c>
      <c r="M270" s="8"/>
      <c r="N270" s="39" t="e">
        <f>#REF!-H270</f>
        <v>#REF!</v>
      </c>
    </row>
    <row r="271" spans="2:14">
      <c r="B271" s="14">
        <v>188</v>
      </c>
      <c r="C271" s="4" t="s">
        <v>182</v>
      </c>
      <c r="D271" s="15">
        <v>200000</v>
      </c>
      <c r="E271" s="15">
        <v>26660</v>
      </c>
      <c r="F271" s="15">
        <f>SUM(D271:E271)</f>
        <v>226660</v>
      </c>
      <c r="G271" s="31">
        <v>40</v>
      </c>
      <c r="H271" s="15">
        <v>5666.5</v>
      </c>
      <c r="I271" s="8">
        <v>39</v>
      </c>
      <c r="J271" s="11">
        <f t="shared" si="24"/>
        <v>1</v>
      </c>
      <c r="K271" s="12">
        <f>(39*5666.5)</f>
        <v>220993.5</v>
      </c>
      <c r="L271" s="15">
        <f t="shared" si="23"/>
        <v>5666.5</v>
      </c>
      <c r="M271" s="8"/>
      <c r="N271" s="39" t="e">
        <f>#REF!-H271</f>
        <v>#REF!</v>
      </c>
    </row>
  </sheetData>
  <sortState ref="B6:M218">
    <sortCondition ref="C6:C218"/>
  </sortState>
  <mergeCells count="2">
    <mergeCell ref="B3:M3"/>
    <mergeCell ref="B4:M4"/>
  </mergeCells>
  <conditionalFormatting sqref="C252">
    <cfRule type="duplicateValues" dxfId="5383" priority="511" stopIfTrue="1"/>
    <cfRule type="duplicateValues" dxfId="5382" priority="512" stopIfTrue="1"/>
  </conditionalFormatting>
  <conditionalFormatting sqref="C252">
    <cfRule type="duplicateValues" dxfId="5381" priority="510" stopIfTrue="1"/>
  </conditionalFormatting>
  <conditionalFormatting sqref="C10">
    <cfRule type="duplicateValues" dxfId="5380" priority="508" stopIfTrue="1"/>
    <cfRule type="duplicateValues" dxfId="5379" priority="509" stopIfTrue="1"/>
  </conditionalFormatting>
  <conditionalFormatting sqref="C10">
    <cfRule type="duplicateValues" dxfId="5378" priority="507" stopIfTrue="1"/>
  </conditionalFormatting>
  <conditionalFormatting sqref="C12">
    <cfRule type="duplicateValues" dxfId="5377" priority="505" stopIfTrue="1"/>
    <cfRule type="duplicateValues" dxfId="5376" priority="506" stopIfTrue="1"/>
  </conditionalFormatting>
  <conditionalFormatting sqref="C12">
    <cfRule type="duplicateValues" dxfId="5375" priority="504" stopIfTrue="1"/>
  </conditionalFormatting>
  <conditionalFormatting sqref="C13">
    <cfRule type="duplicateValues" dxfId="5374" priority="502" stopIfTrue="1"/>
    <cfRule type="duplicateValues" dxfId="5373" priority="503" stopIfTrue="1"/>
  </conditionalFormatting>
  <conditionalFormatting sqref="C13">
    <cfRule type="duplicateValues" dxfId="5372" priority="501" stopIfTrue="1"/>
  </conditionalFormatting>
  <conditionalFormatting sqref="C14">
    <cfRule type="duplicateValues" dxfId="5371" priority="499" stopIfTrue="1"/>
    <cfRule type="duplicateValues" dxfId="5370" priority="500" stopIfTrue="1"/>
  </conditionalFormatting>
  <conditionalFormatting sqref="C14">
    <cfRule type="duplicateValues" dxfId="5369" priority="498" stopIfTrue="1"/>
  </conditionalFormatting>
  <conditionalFormatting sqref="C15">
    <cfRule type="duplicateValues" dxfId="5368" priority="496" stopIfTrue="1"/>
    <cfRule type="duplicateValues" dxfId="5367" priority="497" stopIfTrue="1"/>
  </conditionalFormatting>
  <conditionalFormatting sqref="C15">
    <cfRule type="duplicateValues" dxfId="5366" priority="495" stopIfTrue="1"/>
  </conditionalFormatting>
  <conditionalFormatting sqref="C16">
    <cfRule type="duplicateValues" dxfId="5365" priority="493" stopIfTrue="1"/>
    <cfRule type="duplicateValues" dxfId="5364" priority="494" stopIfTrue="1"/>
  </conditionalFormatting>
  <conditionalFormatting sqref="C16">
    <cfRule type="duplicateValues" dxfId="5363" priority="492" stopIfTrue="1"/>
  </conditionalFormatting>
  <conditionalFormatting sqref="C17">
    <cfRule type="duplicateValues" dxfId="5362" priority="490" stopIfTrue="1"/>
    <cfRule type="duplicateValues" dxfId="5361" priority="491" stopIfTrue="1"/>
  </conditionalFormatting>
  <conditionalFormatting sqref="C17">
    <cfRule type="duplicateValues" dxfId="5360" priority="489" stopIfTrue="1"/>
  </conditionalFormatting>
  <conditionalFormatting sqref="C18">
    <cfRule type="duplicateValues" dxfId="5359" priority="487" stopIfTrue="1"/>
    <cfRule type="duplicateValues" dxfId="5358" priority="488" stopIfTrue="1"/>
  </conditionalFormatting>
  <conditionalFormatting sqref="C18">
    <cfRule type="duplicateValues" dxfId="5357" priority="486" stopIfTrue="1"/>
  </conditionalFormatting>
  <conditionalFormatting sqref="C19">
    <cfRule type="duplicateValues" dxfId="5356" priority="484" stopIfTrue="1"/>
    <cfRule type="duplicateValues" dxfId="5355" priority="485" stopIfTrue="1"/>
  </conditionalFormatting>
  <conditionalFormatting sqref="C19">
    <cfRule type="duplicateValues" dxfId="5354" priority="483" stopIfTrue="1"/>
  </conditionalFormatting>
  <conditionalFormatting sqref="C20">
    <cfRule type="duplicateValues" dxfId="5353" priority="481" stopIfTrue="1"/>
    <cfRule type="duplicateValues" dxfId="5352" priority="482" stopIfTrue="1"/>
  </conditionalFormatting>
  <conditionalFormatting sqref="C20">
    <cfRule type="duplicateValues" dxfId="5351" priority="480" stopIfTrue="1"/>
  </conditionalFormatting>
  <conditionalFormatting sqref="C21">
    <cfRule type="duplicateValues" dxfId="5350" priority="478" stopIfTrue="1"/>
    <cfRule type="duplicateValues" dxfId="5349" priority="479" stopIfTrue="1"/>
  </conditionalFormatting>
  <conditionalFormatting sqref="C21">
    <cfRule type="duplicateValues" dxfId="5348" priority="477" stopIfTrue="1"/>
  </conditionalFormatting>
  <conditionalFormatting sqref="C22">
    <cfRule type="duplicateValues" dxfId="5347" priority="475" stopIfTrue="1"/>
    <cfRule type="duplicateValues" dxfId="5346" priority="476" stopIfTrue="1"/>
  </conditionalFormatting>
  <conditionalFormatting sqref="C22">
    <cfRule type="duplicateValues" dxfId="5345" priority="474" stopIfTrue="1"/>
  </conditionalFormatting>
  <conditionalFormatting sqref="C255">
    <cfRule type="duplicateValues" dxfId="5344" priority="472" stopIfTrue="1"/>
    <cfRule type="duplicateValues" dxfId="5343" priority="473" stopIfTrue="1"/>
  </conditionalFormatting>
  <conditionalFormatting sqref="C255">
    <cfRule type="duplicateValues" dxfId="5342" priority="471" stopIfTrue="1"/>
  </conditionalFormatting>
  <conditionalFormatting sqref="C23">
    <cfRule type="duplicateValues" dxfId="5341" priority="469" stopIfTrue="1"/>
    <cfRule type="duplicateValues" dxfId="5340" priority="470" stopIfTrue="1"/>
  </conditionalFormatting>
  <conditionalFormatting sqref="C23">
    <cfRule type="duplicateValues" dxfId="5339" priority="468" stopIfTrue="1"/>
  </conditionalFormatting>
  <conditionalFormatting sqref="C25">
    <cfRule type="duplicateValues" dxfId="5338" priority="466" stopIfTrue="1"/>
    <cfRule type="duplicateValues" dxfId="5337" priority="467" stopIfTrue="1"/>
  </conditionalFormatting>
  <conditionalFormatting sqref="C25">
    <cfRule type="duplicateValues" dxfId="5336" priority="465" stopIfTrue="1"/>
  </conditionalFormatting>
  <conditionalFormatting sqref="C26">
    <cfRule type="duplicateValues" dxfId="5335" priority="463" stopIfTrue="1"/>
    <cfRule type="duplicateValues" dxfId="5334" priority="464" stopIfTrue="1"/>
  </conditionalFormatting>
  <conditionalFormatting sqref="C26">
    <cfRule type="duplicateValues" dxfId="5333" priority="462" stopIfTrue="1"/>
  </conditionalFormatting>
  <conditionalFormatting sqref="C27">
    <cfRule type="duplicateValues" dxfId="5332" priority="460" stopIfTrue="1"/>
    <cfRule type="duplicateValues" dxfId="5331" priority="461" stopIfTrue="1"/>
  </conditionalFormatting>
  <conditionalFormatting sqref="C27">
    <cfRule type="duplicateValues" dxfId="5330" priority="459" stopIfTrue="1"/>
  </conditionalFormatting>
  <conditionalFormatting sqref="C256">
    <cfRule type="duplicateValues" dxfId="5329" priority="457" stopIfTrue="1"/>
    <cfRule type="duplicateValues" dxfId="5328" priority="458" stopIfTrue="1"/>
  </conditionalFormatting>
  <conditionalFormatting sqref="C256">
    <cfRule type="duplicateValues" dxfId="5327" priority="456" stopIfTrue="1"/>
  </conditionalFormatting>
  <conditionalFormatting sqref="C29">
    <cfRule type="duplicateValues" dxfId="5326" priority="454" stopIfTrue="1"/>
    <cfRule type="duplicateValues" dxfId="5325" priority="455" stopIfTrue="1"/>
  </conditionalFormatting>
  <conditionalFormatting sqref="C29">
    <cfRule type="duplicateValues" dxfId="5324" priority="453" stopIfTrue="1"/>
  </conditionalFormatting>
  <conditionalFormatting sqref="C249">
    <cfRule type="duplicateValues" dxfId="5323" priority="451" stopIfTrue="1"/>
    <cfRule type="duplicateValues" dxfId="5322" priority="452" stopIfTrue="1"/>
  </conditionalFormatting>
  <conditionalFormatting sqref="C249">
    <cfRule type="duplicateValues" dxfId="5321" priority="450" stopIfTrue="1"/>
  </conditionalFormatting>
  <conditionalFormatting sqref="C257">
    <cfRule type="duplicateValues" dxfId="5320" priority="448" stopIfTrue="1"/>
    <cfRule type="duplicateValues" dxfId="5319" priority="449" stopIfTrue="1"/>
  </conditionalFormatting>
  <conditionalFormatting sqref="C257">
    <cfRule type="duplicateValues" dxfId="5318" priority="447" stopIfTrue="1"/>
  </conditionalFormatting>
  <conditionalFormatting sqref="C31">
    <cfRule type="duplicateValues" dxfId="5317" priority="445" stopIfTrue="1"/>
    <cfRule type="duplicateValues" dxfId="5316" priority="446" stopIfTrue="1"/>
  </conditionalFormatting>
  <conditionalFormatting sqref="C31">
    <cfRule type="duplicateValues" dxfId="5315" priority="444" stopIfTrue="1"/>
  </conditionalFormatting>
  <conditionalFormatting sqref="C34">
    <cfRule type="duplicateValues" dxfId="5314" priority="442" stopIfTrue="1"/>
    <cfRule type="duplicateValues" dxfId="5313" priority="443" stopIfTrue="1"/>
  </conditionalFormatting>
  <conditionalFormatting sqref="C34">
    <cfRule type="duplicateValues" dxfId="5312" priority="441" stopIfTrue="1"/>
  </conditionalFormatting>
  <conditionalFormatting sqref="C35">
    <cfRule type="duplicateValues" dxfId="5311" priority="439" stopIfTrue="1"/>
    <cfRule type="duplicateValues" dxfId="5310" priority="440" stopIfTrue="1"/>
  </conditionalFormatting>
  <conditionalFormatting sqref="C35">
    <cfRule type="duplicateValues" dxfId="5309" priority="438" stopIfTrue="1"/>
  </conditionalFormatting>
  <conditionalFormatting sqref="C36">
    <cfRule type="duplicateValues" dxfId="5308" priority="436" stopIfTrue="1"/>
    <cfRule type="duplicateValues" dxfId="5307" priority="437" stopIfTrue="1"/>
  </conditionalFormatting>
  <conditionalFormatting sqref="C36">
    <cfRule type="duplicateValues" dxfId="5306" priority="435" stopIfTrue="1"/>
  </conditionalFormatting>
  <conditionalFormatting sqref="C41">
    <cfRule type="duplicateValues" dxfId="5305" priority="433" stopIfTrue="1"/>
    <cfRule type="duplicateValues" dxfId="5304" priority="434" stopIfTrue="1"/>
  </conditionalFormatting>
  <conditionalFormatting sqref="C41">
    <cfRule type="duplicateValues" dxfId="5303" priority="432" stopIfTrue="1"/>
  </conditionalFormatting>
  <conditionalFormatting sqref="C42">
    <cfRule type="duplicateValues" dxfId="5302" priority="430" stopIfTrue="1"/>
    <cfRule type="duplicateValues" dxfId="5301" priority="431" stopIfTrue="1"/>
  </conditionalFormatting>
  <conditionalFormatting sqref="C42">
    <cfRule type="duplicateValues" dxfId="5300" priority="429" stopIfTrue="1"/>
  </conditionalFormatting>
  <conditionalFormatting sqref="C43">
    <cfRule type="duplicateValues" dxfId="5299" priority="427" stopIfTrue="1"/>
    <cfRule type="duplicateValues" dxfId="5298" priority="428" stopIfTrue="1"/>
  </conditionalFormatting>
  <conditionalFormatting sqref="C43">
    <cfRule type="duplicateValues" dxfId="5297" priority="426" stopIfTrue="1"/>
  </conditionalFormatting>
  <conditionalFormatting sqref="C258">
    <cfRule type="duplicateValues" dxfId="5296" priority="424" stopIfTrue="1"/>
    <cfRule type="duplicateValues" dxfId="5295" priority="425" stopIfTrue="1"/>
  </conditionalFormatting>
  <conditionalFormatting sqref="C258">
    <cfRule type="duplicateValues" dxfId="5294" priority="423" stopIfTrue="1"/>
  </conditionalFormatting>
  <conditionalFormatting sqref="C44">
    <cfRule type="duplicateValues" dxfId="5293" priority="421" stopIfTrue="1"/>
    <cfRule type="duplicateValues" dxfId="5292" priority="422" stopIfTrue="1"/>
  </conditionalFormatting>
  <conditionalFormatting sqref="C44">
    <cfRule type="duplicateValues" dxfId="5291" priority="420" stopIfTrue="1"/>
  </conditionalFormatting>
  <conditionalFormatting sqref="C259">
    <cfRule type="duplicateValues" dxfId="5290" priority="418" stopIfTrue="1"/>
    <cfRule type="duplicateValues" dxfId="5289" priority="419" stopIfTrue="1"/>
  </conditionalFormatting>
  <conditionalFormatting sqref="C259">
    <cfRule type="duplicateValues" dxfId="5288" priority="417" stopIfTrue="1"/>
  </conditionalFormatting>
  <conditionalFormatting sqref="C45">
    <cfRule type="duplicateValues" dxfId="5287" priority="415" stopIfTrue="1"/>
    <cfRule type="duplicateValues" dxfId="5286" priority="416" stopIfTrue="1"/>
  </conditionalFormatting>
  <conditionalFormatting sqref="C45">
    <cfRule type="duplicateValues" dxfId="5285" priority="414" stopIfTrue="1"/>
  </conditionalFormatting>
  <conditionalFormatting sqref="C46">
    <cfRule type="duplicateValues" dxfId="5284" priority="412" stopIfTrue="1"/>
    <cfRule type="duplicateValues" dxfId="5283" priority="413" stopIfTrue="1"/>
  </conditionalFormatting>
  <conditionalFormatting sqref="C46">
    <cfRule type="duplicateValues" dxfId="5282" priority="411" stopIfTrue="1"/>
  </conditionalFormatting>
  <conditionalFormatting sqref="C47">
    <cfRule type="duplicateValues" dxfId="5281" priority="409" stopIfTrue="1"/>
    <cfRule type="duplicateValues" dxfId="5280" priority="410" stopIfTrue="1"/>
  </conditionalFormatting>
  <conditionalFormatting sqref="C47">
    <cfRule type="duplicateValues" dxfId="5279" priority="408" stopIfTrue="1"/>
  </conditionalFormatting>
  <conditionalFormatting sqref="C48">
    <cfRule type="duplicateValues" dxfId="5278" priority="406" stopIfTrue="1"/>
    <cfRule type="duplicateValues" dxfId="5277" priority="407" stopIfTrue="1"/>
  </conditionalFormatting>
  <conditionalFormatting sqref="C48">
    <cfRule type="duplicateValues" dxfId="5276" priority="405" stopIfTrue="1"/>
  </conditionalFormatting>
  <conditionalFormatting sqref="C260">
    <cfRule type="duplicateValues" dxfId="5275" priority="403" stopIfTrue="1"/>
    <cfRule type="duplicateValues" dxfId="5274" priority="404" stopIfTrue="1"/>
  </conditionalFormatting>
  <conditionalFormatting sqref="C260">
    <cfRule type="duplicateValues" dxfId="5273" priority="402" stopIfTrue="1"/>
  </conditionalFormatting>
  <conditionalFormatting sqref="C50">
    <cfRule type="duplicateValues" dxfId="5272" priority="400" stopIfTrue="1"/>
    <cfRule type="duplicateValues" dxfId="5271" priority="401" stopIfTrue="1"/>
  </conditionalFormatting>
  <conditionalFormatting sqref="C50">
    <cfRule type="duplicateValues" dxfId="5270" priority="399" stopIfTrue="1"/>
  </conditionalFormatting>
  <conditionalFormatting sqref="C51">
    <cfRule type="duplicateValues" dxfId="5269" priority="397" stopIfTrue="1"/>
    <cfRule type="duplicateValues" dxfId="5268" priority="398" stopIfTrue="1"/>
  </conditionalFormatting>
  <conditionalFormatting sqref="C51">
    <cfRule type="duplicateValues" dxfId="5267" priority="396" stopIfTrue="1"/>
  </conditionalFormatting>
  <conditionalFormatting sqref="C52">
    <cfRule type="duplicateValues" dxfId="5266" priority="394" stopIfTrue="1"/>
    <cfRule type="duplicateValues" dxfId="5265" priority="395" stopIfTrue="1"/>
  </conditionalFormatting>
  <conditionalFormatting sqref="C52">
    <cfRule type="duplicateValues" dxfId="5264" priority="393" stopIfTrue="1"/>
  </conditionalFormatting>
  <conditionalFormatting sqref="C53">
    <cfRule type="duplicateValues" dxfId="5263" priority="391" stopIfTrue="1"/>
    <cfRule type="duplicateValues" dxfId="5262" priority="392" stopIfTrue="1"/>
  </conditionalFormatting>
  <conditionalFormatting sqref="C53">
    <cfRule type="duplicateValues" dxfId="5261" priority="390" stopIfTrue="1"/>
  </conditionalFormatting>
  <conditionalFormatting sqref="C56">
    <cfRule type="duplicateValues" dxfId="5260" priority="388" stopIfTrue="1"/>
    <cfRule type="duplicateValues" dxfId="5259" priority="389" stopIfTrue="1"/>
  </conditionalFormatting>
  <conditionalFormatting sqref="C56">
    <cfRule type="duplicateValues" dxfId="5258" priority="387" stopIfTrue="1"/>
  </conditionalFormatting>
  <conditionalFormatting sqref="C57">
    <cfRule type="duplicateValues" dxfId="5257" priority="385" stopIfTrue="1"/>
    <cfRule type="duplicateValues" dxfId="5256" priority="386" stopIfTrue="1"/>
  </conditionalFormatting>
  <conditionalFormatting sqref="C57">
    <cfRule type="duplicateValues" dxfId="5255" priority="384" stopIfTrue="1"/>
  </conditionalFormatting>
  <conditionalFormatting sqref="C59">
    <cfRule type="duplicateValues" dxfId="5254" priority="382" stopIfTrue="1"/>
    <cfRule type="duplicateValues" dxfId="5253" priority="383" stopIfTrue="1"/>
  </conditionalFormatting>
  <conditionalFormatting sqref="C59">
    <cfRule type="duplicateValues" dxfId="5252" priority="381" stopIfTrue="1"/>
  </conditionalFormatting>
  <conditionalFormatting sqref="C60">
    <cfRule type="duplicateValues" dxfId="5251" priority="379" stopIfTrue="1"/>
    <cfRule type="duplicateValues" dxfId="5250" priority="380" stopIfTrue="1"/>
  </conditionalFormatting>
  <conditionalFormatting sqref="C60">
    <cfRule type="duplicateValues" dxfId="5249" priority="378" stopIfTrue="1"/>
  </conditionalFormatting>
  <conditionalFormatting sqref="C61">
    <cfRule type="duplicateValues" dxfId="5248" priority="376" stopIfTrue="1"/>
    <cfRule type="duplicateValues" dxfId="5247" priority="377" stopIfTrue="1"/>
  </conditionalFormatting>
  <conditionalFormatting sqref="C61">
    <cfRule type="duplicateValues" dxfId="5246" priority="375" stopIfTrue="1"/>
  </conditionalFormatting>
  <conditionalFormatting sqref="C63">
    <cfRule type="duplicateValues" dxfId="5245" priority="373" stopIfTrue="1"/>
    <cfRule type="duplicateValues" dxfId="5244" priority="374" stopIfTrue="1"/>
  </conditionalFormatting>
  <conditionalFormatting sqref="C63">
    <cfRule type="duplicateValues" dxfId="5243" priority="372" stopIfTrue="1"/>
  </conditionalFormatting>
  <conditionalFormatting sqref="C64">
    <cfRule type="duplicateValues" dxfId="5242" priority="370" stopIfTrue="1"/>
    <cfRule type="duplicateValues" dxfId="5241" priority="371" stopIfTrue="1"/>
  </conditionalFormatting>
  <conditionalFormatting sqref="C64">
    <cfRule type="duplicateValues" dxfId="5240" priority="369" stopIfTrue="1"/>
  </conditionalFormatting>
  <conditionalFormatting sqref="C66">
    <cfRule type="duplicateValues" dxfId="5239" priority="367" stopIfTrue="1"/>
    <cfRule type="duplicateValues" dxfId="5238" priority="368" stopIfTrue="1"/>
  </conditionalFormatting>
  <conditionalFormatting sqref="C66">
    <cfRule type="duplicateValues" dxfId="5237" priority="366" stopIfTrue="1"/>
  </conditionalFormatting>
  <conditionalFormatting sqref="C67">
    <cfRule type="duplicateValues" dxfId="5236" priority="364" stopIfTrue="1"/>
    <cfRule type="duplicateValues" dxfId="5235" priority="365" stopIfTrue="1"/>
  </conditionalFormatting>
  <conditionalFormatting sqref="C67">
    <cfRule type="duplicateValues" dxfId="5234" priority="363" stopIfTrue="1"/>
  </conditionalFormatting>
  <conditionalFormatting sqref="C68">
    <cfRule type="duplicateValues" dxfId="5233" priority="361" stopIfTrue="1"/>
    <cfRule type="duplicateValues" dxfId="5232" priority="362" stopIfTrue="1"/>
  </conditionalFormatting>
  <conditionalFormatting sqref="C68">
    <cfRule type="duplicateValues" dxfId="5231" priority="360" stopIfTrue="1"/>
  </conditionalFormatting>
  <conditionalFormatting sqref="C70">
    <cfRule type="duplicateValues" dxfId="5230" priority="358" stopIfTrue="1"/>
    <cfRule type="duplicateValues" dxfId="5229" priority="359" stopIfTrue="1"/>
  </conditionalFormatting>
  <conditionalFormatting sqref="C70">
    <cfRule type="duplicateValues" dxfId="5228" priority="357" stopIfTrue="1"/>
  </conditionalFormatting>
  <conditionalFormatting sqref="C71">
    <cfRule type="duplicateValues" dxfId="5227" priority="355" stopIfTrue="1"/>
    <cfRule type="duplicateValues" dxfId="5226" priority="356" stopIfTrue="1"/>
  </conditionalFormatting>
  <conditionalFormatting sqref="C71">
    <cfRule type="duplicateValues" dxfId="5225" priority="354" stopIfTrue="1"/>
  </conditionalFormatting>
  <conditionalFormatting sqref="C72">
    <cfRule type="duplicateValues" dxfId="5224" priority="352" stopIfTrue="1"/>
    <cfRule type="duplicateValues" dxfId="5223" priority="353" stopIfTrue="1"/>
  </conditionalFormatting>
  <conditionalFormatting sqref="C72">
    <cfRule type="duplicateValues" dxfId="5222" priority="351" stopIfTrue="1"/>
  </conditionalFormatting>
  <conditionalFormatting sqref="C73">
    <cfRule type="duplicateValues" dxfId="5221" priority="349" stopIfTrue="1"/>
    <cfRule type="duplicateValues" dxfId="5220" priority="350" stopIfTrue="1"/>
  </conditionalFormatting>
  <conditionalFormatting sqref="C73">
    <cfRule type="duplicateValues" dxfId="5219" priority="348" stopIfTrue="1"/>
  </conditionalFormatting>
  <conditionalFormatting sqref="C74">
    <cfRule type="duplicateValues" dxfId="5218" priority="346" stopIfTrue="1"/>
    <cfRule type="duplicateValues" dxfId="5217" priority="347" stopIfTrue="1"/>
  </conditionalFormatting>
  <conditionalFormatting sqref="C74">
    <cfRule type="duplicateValues" dxfId="5216" priority="345" stopIfTrue="1"/>
  </conditionalFormatting>
  <conditionalFormatting sqref="C75">
    <cfRule type="duplicateValues" dxfId="5215" priority="343" stopIfTrue="1"/>
    <cfRule type="duplicateValues" dxfId="5214" priority="344" stopIfTrue="1"/>
  </conditionalFormatting>
  <conditionalFormatting sqref="C75">
    <cfRule type="duplicateValues" dxfId="5213" priority="342" stopIfTrue="1"/>
  </conditionalFormatting>
  <conditionalFormatting sqref="C76">
    <cfRule type="duplicateValues" dxfId="5212" priority="340" stopIfTrue="1"/>
    <cfRule type="duplicateValues" dxfId="5211" priority="341" stopIfTrue="1"/>
  </conditionalFormatting>
  <conditionalFormatting sqref="C76">
    <cfRule type="duplicateValues" dxfId="5210" priority="339" stopIfTrue="1"/>
  </conditionalFormatting>
  <conditionalFormatting sqref="C77">
    <cfRule type="duplicateValues" dxfId="5209" priority="337" stopIfTrue="1"/>
    <cfRule type="duplicateValues" dxfId="5208" priority="338" stopIfTrue="1"/>
  </conditionalFormatting>
  <conditionalFormatting sqref="C77">
    <cfRule type="duplicateValues" dxfId="5207" priority="336" stopIfTrue="1"/>
  </conditionalFormatting>
  <conditionalFormatting sqref="C78">
    <cfRule type="duplicateValues" dxfId="5206" priority="334" stopIfTrue="1"/>
    <cfRule type="duplicateValues" dxfId="5205" priority="335" stopIfTrue="1"/>
  </conditionalFormatting>
  <conditionalFormatting sqref="C78">
    <cfRule type="duplicateValues" dxfId="5204" priority="333" stopIfTrue="1"/>
  </conditionalFormatting>
  <conditionalFormatting sqref="C79">
    <cfRule type="duplicateValues" dxfId="5203" priority="331" stopIfTrue="1"/>
    <cfRule type="duplicateValues" dxfId="5202" priority="332" stopIfTrue="1"/>
  </conditionalFormatting>
  <conditionalFormatting sqref="C79">
    <cfRule type="duplicateValues" dxfId="5201" priority="330" stopIfTrue="1"/>
  </conditionalFormatting>
  <conditionalFormatting sqref="C80">
    <cfRule type="duplicateValues" dxfId="5200" priority="328" stopIfTrue="1"/>
    <cfRule type="duplicateValues" dxfId="5199" priority="329" stopIfTrue="1"/>
  </conditionalFormatting>
  <conditionalFormatting sqref="C80">
    <cfRule type="duplicateValues" dxfId="5198" priority="327" stopIfTrue="1"/>
  </conditionalFormatting>
  <conditionalFormatting sqref="C81">
    <cfRule type="duplicateValues" dxfId="5197" priority="325" stopIfTrue="1"/>
    <cfRule type="duplicateValues" dxfId="5196" priority="326" stopIfTrue="1"/>
  </conditionalFormatting>
  <conditionalFormatting sqref="C81">
    <cfRule type="duplicateValues" dxfId="5195" priority="324" stopIfTrue="1"/>
  </conditionalFormatting>
  <conditionalFormatting sqref="C250">
    <cfRule type="duplicateValues" dxfId="5194" priority="322" stopIfTrue="1"/>
    <cfRule type="duplicateValues" dxfId="5193" priority="323" stopIfTrue="1"/>
  </conditionalFormatting>
  <conditionalFormatting sqref="C250">
    <cfRule type="duplicateValues" dxfId="5192" priority="321" stopIfTrue="1"/>
  </conditionalFormatting>
  <conditionalFormatting sqref="C82">
    <cfRule type="duplicateValues" dxfId="5191" priority="319" stopIfTrue="1"/>
    <cfRule type="duplicateValues" dxfId="5190" priority="320" stopIfTrue="1"/>
  </conditionalFormatting>
  <conditionalFormatting sqref="C82">
    <cfRule type="duplicateValues" dxfId="5189" priority="318" stopIfTrue="1"/>
  </conditionalFormatting>
  <conditionalFormatting sqref="C83">
    <cfRule type="duplicateValues" dxfId="5188" priority="316" stopIfTrue="1"/>
    <cfRule type="duplicateValues" dxfId="5187" priority="317" stopIfTrue="1"/>
  </conditionalFormatting>
  <conditionalFormatting sqref="C83">
    <cfRule type="duplicateValues" dxfId="5186" priority="315" stopIfTrue="1"/>
  </conditionalFormatting>
  <conditionalFormatting sqref="C85">
    <cfRule type="duplicateValues" dxfId="5185" priority="313" stopIfTrue="1"/>
    <cfRule type="duplicateValues" dxfId="5184" priority="314" stopIfTrue="1"/>
  </conditionalFormatting>
  <conditionalFormatting sqref="C85">
    <cfRule type="duplicateValues" dxfId="5183" priority="312" stopIfTrue="1"/>
  </conditionalFormatting>
  <conditionalFormatting sqref="C86">
    <cfRule type="duplicateValues" dxfId="5182" priority="310" stopIfTrue="1"/>
    <cfRule type="duplicateValues" dxfId="5181" priority="311" stopIfTrue="1"/>
  </conditionalFormatting>
  <conditionalFormatting sqref="C86">
    <cfRule type="duplicateValues" dxfId="5180" priority="309" stopIfTrue="1"/>
  </conditionalFormatting>
  <conditionalFormatting sqref="C87">
    <cfRule type="duplicateValues" dxfId="5179" priority="307" stopIfTrue="1"/>
    <cfRule type="duplicateValues" dxfId="5178" priority="308" stopIfTrue="1"/>
  </conditionalFormatting>
  <conditionalFormatting sqref="C87">
    <cfRule type="duplicateValues" dxfId="5177" priority="306" stopIfTrue="1"/>
  </conditionalFormatting>
  <conditionalFormatting sqref="C90">
    <cfRule type="duplicateValues" dxfId="5176" priority="304" stopIfTrue="1"/>
    <cfRule type="duplicateValues" dxfId="5175" priority="305" stopIfTrue="1"/>
  </conditionalFormatting>
  <conditionalFormatting sqref="C90">
    <cfRule type="duplicateValues" dxfId="5174" priority="303" stopIfTrue="1"/>
  </conditionalFormatting>
  <conditionalFormatting sqref="C91">
    <cfRule type="duplicateValues" dxfId="5173" priority="301" stopIfTrue="1"/>
    <cfRule type="duplicateValues" dxfId="5172" priority="302" stopIfTrue="1"/>
  </conditionalFormatting>
  <conditionalFormatting sqref="C91">
    <cfRule type="duplicateValues" dxfId="5171" priority="300" stopIfTrue="1"/>
  </conditionalFormatting>
  <conditionalFormatting sqref="C92">
    <cfRule type="duplicateValues" dxfId="5170" priority="298" stopIfTrue="1"/>
    <cfRule type="duplicateValues" dxfId="5169" priority="299" stopIfTrue="1"/>
  </conditionalFormatting>
  <conditionalFormatting sqref="C92">
    <cfRule type="duplicateValues" dxfId="5168" priority="297" stopIfTrue="1"/>
  </conditionalFormatting>
  <conditionalFormatting sqref="C206">
    <cfRule type="duplicateValues" dxfId="5167" priority="295" stopIfTrue="1"/>
    <cfRule type="duplicateValues" dxfId="5166" priority="296" stopIfTrue="1"/>
  </conditionalFormatting>
  <conditionalFormatting sqref="C206">
    <cfRule type="duplicateValues" dxfId="5165" priority="294" stopIfTrue="1"/>
  </conditionalFormatting>
  <conditionalFormatting sqref="C93">
    <cfRule type="duplicateValues" dxfId="5164" priority="292" stopIfTrue="1"/>
    <cfRule type="duplicateValues" dxfId="5163" priority="293" stopIfTrue="1"/>
  </conditionalFormatting>
  <conditionalFormatting sqref="C93">
    <cfRule type="duplicateValues" dxfId="5162" priority="291" stopIfTrue="1"/>
  </conditionalFormatting>
  <conditionalFormatting sqref="C94">
    <cfRule type="duplicateValues" dxfId="5161" priority="289" stopIfTrue="1"/>
    <cfRule type="duplicateValues" dxfId="5160" priority="290" stopIfTrue="1"/>
  </conditionalFormatting>
  <conditionalFormatting sqref="C94">
    <cfRule type="duplicateValues" dxfId="5159" priority="288" stopIfTrue="1"/>
  </conditionalFormatting>
  <conditionalFormatting sqref="C261">
    <cfRule type="duplicateValues" dxfId="5158" priority="286" stopIfTrue="1"/>
    <cfRule type="duplicateValues" dxfId="5157" priority="287" stopIfTrue="1"/>
  </conditionalFormatting>
  <conditionalFormatting sqref="C261">
    <cfRule type="duplicateValues" dxfId="5156" priority="285" stopIfTrue="1"/>
  </conditionalFormatting>
  <conditionalFormatting sqref="C95">
    <cfRule type="duplicateValues" dxfId="5155" priority="283" stopIfTrue="1"/>
    <cfRule type="duplicateValues" dxfId="5154" priority="284" stopIfTrue="1"/>
  </conditionalFormatting>
  <conditionalFormatting sqref="C95">
    <cfRule type="duplicateValues" dxfId="5153" priority="282" stopIfTrue="1"/>
  </conditionalFormatting>
  <conditionalFormatting sqref="C262">
    <cfRule type="duplicateValues" dxfId="5152" priority="280" stopIfTrue="1"/>
    <cfRule type="duplicateValues" dxfId="5151" priority="281" stopIfTrue="1"/>
  </conditionalFormatting>
  <conditionalFormatting sqref="C262">
    <cfRule type="duplicateValues" dxfId="5150" priority="279" stopIfTrue="1"/>
  </conditionalFormatting>
  <conditionalFormatting sqref="C96">
    <cfRule type="duplicateValues" dxfId="5149" priority="277" stopIfTrue="1"/>
    <cfRule type="duplicateValues" dxfId="5148" priority="278" stopIfTrue="1"/>
  </conditionalFormatting>
  <conditionalFormatting sqref="C96">
    <cfRule type="duplicateValues" dxfId="5147" priority="276" stopIfTrue="1"/>
  </conditionalFormatting>
  <conditionalFormatting sqref="C251">
    <cfRule type="duplicateValues" dxfId="5146" priority="274" stopIfTrue="1"/>
    <cfRule type="duplicateValues" dxfId="5145" priority="275" stopIfTrue="1"/>
  </conditionalFormatting>
  <conditionalFormatting sqref="C251">
    <cfRule type="duplicateValues" dxfId="5144" priority="273" stopIfTrue="1"/>
  </conditionalFormatting>
  <conditionalFormatting sqref="C97">
    <cfRule type="duplicateValues" dxfId="5143" priority="271" stopIfTrue="1"/>
    <cfRule type="duplicateValues" dxfId="5142" priority="272" stopIfTrue="1"/>
  </conditionalFormatting>
  <conditionalFormatting sqref="C97">
    <cfRule type="duplicateValues" dxfId="5141" priority="270" stopIfTrue="1"/>
  </conditionalFormatting>
  <conditionalFormatting sqref="C100">
    <cfRule type="duplicateValues" dxfId="5140" priority="268" stopIfTrue="1"/>
    <cfRule type="duplicateValues" dxfId="5139" priority="269" stopIfTrue="1"/>
  </conditionalFormatting>
  <conditionalFormatting sqref="C100">
    <cfRule type="duplicateValues" dxfId="5138" priority="267" stopIfTrue="1"/>
  </conditionalFormatting>
  <conditionalFormatting sqref="C101">
    <cfRule type="duplicateValues" dxfId="5137" priority="265" stopIfTrue="1"/>
    <cfRule type="duplicateValues" dxfId="5136" priority="266" stopIfTrue="1"/>
  </conditionalFormatting>
  <conditionalFormatting sqref="C101">
    <cfRule type="duplicateValues" dxfId="5135" priority="264" stopIfTrue="1"/>
  </conditionalFormatting>
  <conditionalFormatting sqref="C102">
    <cfRule type="duplicateValues" dxfId="5134" priority="262" stopIfTrue="1"/>
    <cfRule type="duplicateValues" dxfId="5133" priority="263" stopIfTrue="1"/>
  </conditionalFormatting>
  <conditionalFormatting sqref="C102">
    <cfRule type="duplicateValues" dxfId="5132" priority="261" stopIfTrue="1"/>
  </conditionalFormatting>
  <conditionalFormatting sqref="C103">
    <cfRule type="duplicateValues" dxfId="5131" priority="259" stopIfTrue="1"/>
    <cfRule type="duplicateValues" dxfId="5130" priority="260" stopIfTrue="1"/>
  </conditionalFormatting>
  <conditionalFormatting sqref="C103">
    <cfRule type="duplicateValues" dxfId="5129" priority="258" stopIfTrue="1"/>
  </conditionalFormatting>
  <conditionalFormatting sqref="C104">
    <cfRule type="duplicateValues" dxfId="5128" priority="256" stopIfTrue="1"/>
    <cfRule type="duplicateValues" dxfId="5127" priority="257" stopIfTrue="1"/>
  </conditionalFormatting>
  <conditionalFormatting sqref="C104">
    <cfRule type="duplicateValues" dxfId="5126" priority="255" stopIfTrue="1"/>
  </conditionalFormatting>
  <conditionalFormatting sqref="C105">
    <cfRule type="duplicateValues" dxfId="5125" priority="253" stopIfTrue="1"/>
    <cfRule type="duplicateValues" dxfId="5124" priority="254" stopIfTrue="1"/>
  </conditionalFormatting>
  <conditionalFormatting sqref="C105">
    <cfRule type="duplicateValues" dxfId="5123" priority="252" stopIfTrue="1"/>
  </conditionalFormatting>
  <conditionalFormatting sqref="C107">
    <cfRule type="duplicateValues" dxfId="5122" priority="250" stopIfTrue="1"/>
    <cfRule type="duplicateValues" dxfId="5121" priority="251" stopIfTrue="1"/>
  </conditionalFormatting>
  <conditionalFormatting sqref="C107">
    <cfRule type="duplicateValues" dxfId="5120" priority="249" stopIfTrue="1"/>
  </conditionalFormatting>
  <conditionalFormatting sqref="C109">
    <cfRule type="duplicateValues" dxfId="5119" priority="247" stopIfTrue="1"/>
    <cfRule type="duplicateValues" dxfId="5118" priority="248" stopIfTrue="1"/>
  </conditionalFormatting>
  <conditionalFormatting sqref="C109">
    <cfRule type="duplicateValues" dxfId="5117" priority="246" stopIfTrue="1"/>
  </conditionalFormatting>
  <conditionalFormatting sqref="C110">
    <cfRule type="duplicateValues" dxfId="5116" priority="244" stopIfTrue="1"/>
    <cfRule type="duplicateValues" dxfId="5115" priority="245" stopIfTrue="1"/>
  </conditionalFormatting>
  <conditionalFormatting sqref="C110">
    <cfRule type="duplicateValues" dxfId="5114" priority="243" stopIfTrue="1"/>
  </conditionalFormatting>
  <conditionalFormatting sqref="C111">
    <cfRule type="duplicateValues" dxfId="5113" priority="241" stopIfTrue="1"/>
    <cfRule type="duplicateValues" dxfId="5112" priority="242" stopIfTrue="1"/>
  </conditionalFormatting>
  <conditionalFormatting sqref="C111">
    <cfRule type="duplicateValues" dxfId="5111" priority="240" stopIfTrue="1"/>
  </conditionalFormatting>
  <conditionalFormatting sqref="C113">
    <cfRule type="duplicateValues" dxfId="5110" priority="238" stopIfTrue="1"/>
    <cfRule type="duplicateValues" dxfId="5109" priority="239" stopIfTrue="1"/>
  </conditionalFormatting>
  <conditionalFormatting sqref="C113">
    <cfRule type="duplicateValues" dxfId="5108" priority="237" stopIfTrue="1"/>
  </conditionalFormatting>
  <conditionalFormatting sqref="C114">
    <cfRule type="duplicateValues" dxfId="5107" priority="235" stopIfTrue="1"/>
    <cfRule type="duplicateValues" dxfId="5106" priority="236" stopIfTrue="1"/>
  </conditionalFormatting>
  <conditionalFormatting sqref="C114">
    <cfRule type="duplicateValues" dxfId="5105" priority="234" stopIfTrue="1"/>
  </conditionalFormatting>
  <conditionalFormatting sqref="C208">
    <cfRule type="duplicateValues" dxfId="5104" priority="232" stopIfTrue="1"/>
    <cfRule type="duplicateValues" dxfId="5103" priority="233" stopIfTrue="1"/>
  </conditionalFormatting>
  <conditionalFormatting sqref="C208">
    <cfRule type="duplicateValues" dxfId="5102" priority="231" stopIfTrue="1"/>
  </conditionalFormatting>
  <conditionalFormatting sqref="C116">
    <cfRule type="duplicateValues" dxfId="5101" priority="229" stopIfTrue="1"/>
    <cfRule type="duplicateValues" dxfId="5100" priority="230" stopIfTrue="1"/>
  </conditionalFormatting>
  <conditionalFormatting sqref="C116">
    <cfRule type="duplicateValues" dxfId="5099" priority="228" stopIfTrue="1"/>
  </conditionalFormatting>
  <conditionalFormatting sqref="C119">
    <cfRule type="duplicateValues" dxfId="5098" priority="226" stopIfTrue="1"/>
    <cfRule type="duplicateValues" dxfId="5097" priority="227" stopIfTrue="1"/>
  </conditionalFormatting>
  <conditionalFormatting sqref="C119">
    <cfRule type="duplicateValues" dxfId="5096" priority="225" stopIfTrue="1"/>
  </conditionalFormatting>
  <conditionalFormatting sqref="C120">
    <cfRule type="duplicateValues" dxfId="5095" priority="223" stopIfTrue="1"/>
    <cfRule type="duplicateValues" dxfId="5094" priority="224" stopIfTrue="1"/>
  </conditionalFormatting>
  <conditionalFormatting sqref="C120">
    <cfRule type="duplicateValues" dxfId="5093" priority="222" stopIfTrue="1"/>
  </conditionalFormatting>
  <conditionalFormatting sqref="C121">
    <cfRule type="duplicateValues" dxfId="5092" priority="220" stopIfTrue="1"/>
    <cfRule type="duplicateValues" dxfId="5091" priority="221" stopIfTrue="1"/>
  </conditionalFormatting>
  <conditionalFormatting sqref="C121">
    <cfRule type="duplicateValues" dxfId="5090" priority="219" stopIfTrue="1"/>
  </conditionalFormatting>
  <conditionalFormatting sqref="C122">
    <cfRule type="duplicateValues" dxfId="5089" priority="217" stopIfTrue="1"/>
    <cfRule type="duplicateValues" dxfId="5088" priority="218" stopIfTrue="1"/>
  </conditionalFormatting>
  <conditionalFormatting sqref="C122">
    <cfRule type="duplicateValues" dxfId="5087" priority="216" stopIfTrue="1"/>
  </conditionalFormatting>
  <conditionalFormatting sqref="C123">
    <cfRule type="duplicateValues" dxfId="5086" priority="214" stopIfTrue="1"/>
    <cfRule type="duplicateValues" dxfId="5085" priority="215" stopIfTrue="1"/>
  </conditionalFormatting>
  <conditionalFormatting sqref="C123">
    <cfRule type="duplicateValues" dxfId="5084" priority="213" stopIfTrue="1"/>
  </conditionalFormatting>
  <conditionalFormatting sqref="C124">
    <cfRule type="duplicateValues" dxfId="5083" priority="211" stopIfTrue="1"/>
    <cfRule type="duplicateValues" dxfId="5082" priority="212" stopIfTrue="1"/>
  </conditionalFormatting>
  <conditionalFormatting sqref="C124">
    <cfRule type="duplicateValues" dxfId="5081" priority="210" stopIfTrue="1"/>
  </conditionalFormatting>
  <conditionalFormatting sqref="C253">
    <cfRule type="duplicateValues" dxfId="5080" priority="208" stopIfTrue="1"/>
    <cfRule type="duplicateValues" dxfId="5079" priority="209" stopIfTrue="1"/>
  </conditionalFormatting>
  <conditionalFormatting sqref="C253">
    <cfRule type="duplicateValues" dxfId="5078" priority="207" stopIfTrue="1"/>
  </conditionalFormatting>
  <conditionalFormatting sqref="C192">
    <cfRule type="duplicateValues" dxfId="5077" priority="205" stopIfTrue="1"/>
    <cfRule type="duplicateValues" dxfId="5076" priority="206" stopIfTrue="1"/>
  </conditionalFormatting>
  <conditionalFormatting sqref="C192">
    <cfRule type="duplicateValues" dxfId="5075" priority="204" stopIfTrue="1"/>
  </conditionalFormatting>
  <conditionalFormatting sqref="C194">
    <cfRule type="duplicateValues" dxfId="5074" priority="202" stopIfTrue="1"/>
    <cfRule type="duplicateValues" dxfId="5073" priority="203" stopIfTrue="1"/>
  </conditionalFormatting>
  <conditionalFormatting sqref="C194">
    <cfRule type="duplicateValues" dxfId="5072" priority="201" stopIfTrue="1"/>
  </conditionalFormatting>
  <conditionalFormatting sqref="C195">
    <cfRule type="duplicateValues" dxfId="5071" priority="199" stopIfTrue="1"/>
    <cfRule type="duplicateValues" dxfId="5070" priority="200" stopIfTrue="1"/>
  </conditionalFormatting>
  <conditionalFormatting sqref="C195">
    <cfRule type="duplicateValues" dxfId="5069" priority="198" stopIfTrue="1"/>
  </conditionalFormatting>
  <conditionalFormatting sqref="C196">
    <cfRule type="duplicateValues" dxfId="5068" priority="196" stopIfTrue="1"/>
    <cfRule type="duplicateValues" dxfId="5067" priority="197" stopIfTrue="1"/>
  </conditionalFormatting>
  <conditionalFormatting sqref="C196">
    <cfRule type="duplicateValues" dxfId="5066" priority="195" stopIfTrue="1"/>
  </conditionalFormatting>
  <conditionalFormatting sqref="C98">
    <cfRule type="duplicateValues" dxfId="5065" priority="193" stopIfTrue="1"/>
    <cfRule type="duplicateValues" dxfId="5064" priority="194" stopIfTrue="1"/>
  </conditionalFormatting>
  <conditionalFormatting sqref="C98">
    <cfRule type="duplicateValues" dxfId="5063" priority="192" stopIfTrue="1"/>
  </conditionalFormatting>
  <conditionalFormatting sqref="C99">
    <cfRule type="duplicateValues" dxfId="5062" priority="190" stopIfTrue="1"/>
    <cfRule type="duplicateValues" dxfId="5061" priority="191" stopIfTrue="1"/>
  </conditionalFormatting>
  <conditionalFormatting sqref="C99">
    <cfRule type="duplicateValues" dxfId="5060" priority="189" stopIfTrue="1"/>
  </conditionalFormatting>
  <conditionalFormatting sqref="C197">
    <cfRule type="duplicateValues" dxfId="5059" priority="187" stopIfTrue="1"/>
    <cfRule type="duplicateValues" dxfId="5058" priority="188" stopIfTrue="1"/>
  </conditionalFormatting>
  <conditionalFormatting sqref="C197">
    <cfRule type="duplicateValues" dxfId="5057" priority="186" stopIfTrue="1"/>
  </conditionalFormatting>
  <conditionalFormatting sqref="C106">
    <cfRule type="duplicateValues" dxfId="5056" priority="184" stopIfTrue="1"/>
    <cfRule type="duplicateValues" dxfId="5055" priority="185" stopIfTrue="1"/>
  </conditionalFormatting>
  <conditionalFormatting sqref="C106">
    <cfRule type="duplicateValues" dxfId="5054" priority="183" stopIfTrue="1"/>
  </conditionalFormatting>
  <conditionalFormatting sqref="C198">
    <cfRule type="duplicateValues" dxfId="5053" priority="181" stopIfTrue="1"/>
    <cfRule type="duplicateValues" dxfId="5052" priority="182" stopIfTrue="1"/>
  </conditionalFormatting>
  <conditionalFormatting sqref="C198">
    <cfRule type="duplicateValues" dxfId="5051" priority="180" stopIfTrue="1"/>
  </conditionalFormatting>
  <conditionalFormatting sqref="C125">
    <cfRule type="duplicateValues" dxfId="5050" priority="178" stopIfTrue="1"/>
    <cfRule type="duplicateValues" dxfId="5049" priority="179" stopIfTrue="1"/>
  </conditionalFormatting>
  <conditionalFormatting sqref="C125">
    <cfRule type="duplicateValues" dxfId="5048" priority="177" stopIfTrue="1"/>
  </conditionalFormatting>
  <conditionalFormatting sqref="C240">
    <cfRule type="duplicateValues" dxfId="5047" priority="175" stopIfTrue="1"/>
    <cfRule type="duplicateValues" dxfId="5046" priority="176" stopIfTrue="1"/>
  </conditionalFormatting>
  <conditionalFormatting sqref="C240">
    <cfRule type="duplicateValues" dxfId="5045" priority="174" stopIfTrue="1"/>
  </conditionalFormatting>
  <conditionalFormatting sqref="C130">
    <cfRule type="duplicateValues" dxfId="5044" priority="172" stopIfTrue="1"/>
    <cfRule type="duplicateValues" dxfId="5043" priority="173" stopIfTrue="1"/>
  </conditionalFormatting>
  <conditionalFormatting sqref="C130">
    <cfRule type="duplicateValues" dxfId="5042" priority="171" stopIfTrue="1"/>
  </conditionalFormatting>
  <conditionalFormatting sqref="C200">
    <cfRule type="duplicateValues" dxfId="5041" priority="169" stopIfTrue="1"/>
    <cfRule type="duplicateValues" dxfId="5040" priority="170" stopIfTrue="1"/>
  </conditionalFormatting>
  <conditionalFormatting sqref="C200">
    <cfRule type="duplicateValues" dxfId="5039" priority="168" stopIfTrue="1"/>
  </conditionalFormatting>
  <conditionalFormatting sqref="C128">
    <cfRule type="duplicateValues" dxfId="5038" priority="166" stopIfTrue="1"/>
    <cfRule type="duplicateValues" dxfId="5037" priority="167" stopIfTrue="1"/>
  </conditionalFormatting>
  <conditionalFormatting sqref="C128">
    <cfRule type="duplicateValues" dxfId="5036" priority="165" stopIfTrue="1"/>
  </conditionalFormatting>
  <conditionalFormatting sqref="C207 C171 C129 C131:C137 C139:C168 C263:C268">
    <cfRule type="duplicateValues" dxfId="5035" priority="163" stopIfTrue="1"/>
    <cfRule type="duplicateValues" dxfId="5034" priority="164" stopIfTrue="1"/>
  </conditionalFormatting>
  <conditionalFormatting sqref="C207 C171 C129 C131:C137 C139:C168 C263:C268">
    <cfRule type="duplicateValues" dxfId="5033" priority="162" stopIfTrue="1"/>
  </conditionalFormatting>
  <conditionalFormatting sqref="C207 C171 C231:C234 C223:C229 C209 C127 C129 C131:C137 C139:C168 C263:C268">
    <cfRule type="duplicateValues" dxfId="5032" priority="160" stopIfTrue="1"/>
    <cfRule type="duplicateValues" dxfId="5031" priority="161" stopIfTrue="1"/>
  </conditionalFormatting>
  <conditionalFormatting sqref="C207 C171 C231:C234 C223:C229 C209 C127 C129 C131:C137 C139:C168 C263:C268">
    <cfRule type="duplicateValues" dxfId="5030" priority="159" stopIfTrue="1"/>
  </conditionalFormatting>
  <conditionalFormatting sqref="C169">
    <cfRule type="duplicateValues" dxfId="5029" priority="157" stopIfTrue="1"/>
    <cfRule type="duplicateValues" dxfId="5028" priority="158" stopIfTrue="1"/>
  </conditionalFormatting>
  <conditionalFormatting sqref="C169">
    <cfRule type="duplicateValues" dxfId="5027" priority="156" stopIfTrue="1"/>
  </conditionalFormatting>
  <conditionalFormatting sqref="C170">
    <cfRule type="duplicateValues" dxfId="5026" priority="154" stopIfTrue="1"/>
    <cfRule type="duplicateValues" dxfId="5025" priority="155" stopIfTrue="1"/>
  </conditionalFormatting>
  <conditionalFormatting sqref="C170">
    <cfRule type="duplicateValues" dxfId="5024" priority="153" stopIfTrue="1"/>
  </conditionalFormatting>
  <conditionalFormatting sqref="C172">
    <cfRule type="duplicateValues" dxfId="5023" priority="151" stopIfTrue="1"/>
    <cfRule type="duplicateValues" dxfId="5022" priority="152" stopIfTrue="1"/>
  </conditionalFormatting>
  <conditionalFormatting sqref="C172">
    <cfRule type="duplicateValues" dxfId="5021" priority="150" stopIfTrue="1"/>
  </conditionalFormatting>
  <conditionalFormatting sqref="C173">
    <cfRule type="duplicateValues" dxfId="5020" priority="148" stopIfTrue="1"/>
    <cfRule type="duplicateValues" dxfId="5019" priority="149" stopIfTrue="1"/>
  </conditionalFormatting>
  <conditionalFormatting sqref="C173">
    <cfRule type="duplicateValues" dxfId="5018" priority="147" stopIfTrue="1"/>
  </conditionalFormatting>
  <conditionalFormatting sqref="C174">
    <cfRule type="duplicateValues" dxfId="5017" priority="145" stopIfTrue="1"/>
    <cfRule type="duplicateValues" dxfId="5016" priority="146" stopIfTrue="1"/>
  </conditionalFormatting>
  <conditionalFormatting sqref="C174">
    <cfRule type="duplicateValues" dxfId="5015" priority="144" stopIfTrue="1"/>
  </conditionalFormatting>
  <conditionalFormatting sqref="C175">
    <cfRule type="duplicateValues" dxfId="5014" priority="142" stopIfTrue="1"/>
    <cfRule type="duplicateValues" dxfId="5013" priority="143" stopIfTrue="1"/>
  </conditionalFormatting>
  <conditionalFormatting sqref="C175">
    <cfRule type="duplicateValues" dxfId="5012" priority="141" stopIfTrue="1"/>
  </conditionalFormatting>
  <conditionalFormatting sqref="C269">
    <cfRule type="duplicateValues" dxfId="5011" priority="139" stopIfTrue="1"/>
    <cfRule type="duplicateValues" dxfId="5010" priority="140" stopIfTrue="1"/>
  </conditionalFormatting>
  <conditionalFormatting sqref="C269">
    <cfRule type="duplicateValues" dxfId="5009" priority="138" stopIfTrue="1"/>
  </conditionalFormatting>
  <conditionalFormatting sqref="C270">
    <cfRule type="duplicateValues" dxfId="5008" priority="136" stopIfTrue="1"/>
    <cfRule type="duplicateValues" dxfId="5007" priority="137" stopIfTrue="1"/>
  </conditionalFormatting>
  <conditionalFormatting sqref="C270">
    <cfRule type="duplicateValues" dxfId="5006" priority="135" stopIfTrue="1"/>
  </conditionalFormatting>
  <conditionalFormatting sqref="C176">
    <cfRule type="duplicateValues" dxfId="5005" priority="133" stopIfTrue="1"/>
    <cfRule type="duplicateValues" dxfId="5004" priority="134" stopIfTrue="1"/>
  </conditionalFormatting>
  <conditionalFormatting sqref="C176">
    <cfRule type="duplicateValues" dxfId="5003" priority="132" stopIfTrue="1"/>
  </conditionalFormatting>
  <conditionalFormatting sqref="C177">
    <cfRule type="duplicateValues" dxfId="5002" priority="130" stopIfTrue="1"/>
    <cfRule type="duplicateValues" dxfId="5001" priority="131" stopIfTrue="1"/>
  </conditionalFormatting>
  <conditionalFormatting sqref="C177">
    <cfRule type="duplicateValues" dxfId="5000" priority="129" stopIfTrue="1"/>
  </conditionalFormatting>
  <conditionalFormatting sqref="C178">
    <cfRule type="duplicateValues" dxfId="4999" priority="127" stopIfTrue="1"/>
    <cfRule type="duplicateValues" dxfId="4998" priority="128" stopIfTrue="1"/>
  </conditionalFormatting>
  <conditionalFormatting sqref="C178">
    <cfRule type="duplicateValues" dxfId="4997" priority="126" stopIfTrue="1"/>
  </conditionalFormatting>
  <conditionalFormatting sqref="C179">
    <cfRule type="duplicateValues" dxfId="4996" priority="124" stopIfTrue="1"/>
    <cfRule type="duplicateValues" dxfId="4995" priority="125" stopIfTrue="1"/>
  </conditionalFormatting>
  <conditionalFormatting sqref="C179">
    <cfRule type="duplicateValues" dxfId="4994" priority="123" stopIfTrue="1"/>
  </conditionalFormatting>
  <conditionalFormatting sqref="C180">
    <cfRule type="duplicateValues" dxfId="4993" priority="121" stopIfTrue="1"/>
    <cfRule type="duplicateValues" dxfId="4992" priority="122" stopIfTrue="1"/>
  </conditionalFormatting>
  <conditionalFormatting sqref="C180">
    <cfRule type="duplicateValues" dxfId="4991" priority="120" stopIfTrue="1"/>
  </conditionalFormatting>
  <conditionalFormatting sqref="C181">
    <cfRule type="duplicateValues" dxfId="4990" priority="118" stopIfTrue="1"/>
    <cfRule type="duplicateValues" dxfId="4989" priority="119" stopIfTrue="1"/>
  </conditionalFormatting>
  <conditionalFormatting sqref="C181">
    <cfRule type="duplicateValues" dxfId="4988" priority="117" stopIfTrue="1"/>
  </conditionalFormatting>
  <conditionalFormatting sqref="C182">
    <cfRule type="duplicateValues" dxfId="4987" priority="115" stopIfTrue="1"/>
    <cfRule type="duplicateValues" dxfId="4986" priority="116" stopIfTrue="1"/>
  </conditionalFormatting>
  <conditionalFormatting sqref="C182">
    <cfRule type="duplicateValues" dxfId="4985" priority="114" stopIfTrue="1"/>
  </conditionalFormatting>
  <conditionalFormatting sqref="C183">
    <cfRule type="duplicateValues" dxfId="4984" priority="112" stopIfTrue="1"/>
    <cfRule type="duplicateValues" dxfId="4983" priority="113" stopIfTrue="1"/>
  </conditionalFormatting>
  <conditionalFormatting sqref="C183">
    <cfRule type="duplicateValues" dxfId="4982" priority="111" stopIfTrue="1"/>
  </conditionalFormatting>
  <conditionalFormatting sqref="C271">
    <cfRule type="duplicateValues" dxfId="4981" priority="109" stopIfTrue="1"/>
    <cfRule type="duplicateValues" dxfId="4980" priority="110" stopIfTrue="1"/>
  </conditionalFormatting>
  <conditionalFormatting sqref="C271">
    <cfRule type="duplicateValues" dxfId="4979" priority="108" stopIfTrue="1"/>
  </conditionalFormatting>
  <conditionalFormatting sqref="C184">
    <cfRule type="duplicateValues" dxfId="4978" priority="106" stopIfTrue="1"/>
    <cfRule type="duplicateValues" dxfId="4977" priority="107" stopIfTrue="1"/>
  </conditionalFormatting>
  <conditionalFormatting sqref="C184">
    <cfRule type="duplicateValues" dxfId="4976" priority="105" stopIfTrue="1"/>
  </conditionalFormatting>
  <conditionalFormatting sqref="C185">
    <cfRule type="duplicateValues" dxfId="4975" priority="103" stopIfTrue="1"/>
    <cfRule type="duplicateValues" dxfId="4974" priority="104" stopIfTrue="1"/>
  </conditionalFormatting>
  <conditionalFormatting sqref="C185">
    <cfRule type="duplicateValues" dxfId="4973" priority="102" stopIfTrue="1"/>
  </conditionalFormatting>
  <conditionalFormatting sqref="C186">
    <cfRule type="duplicateValues" dxfId="4972" priority="100" stopIfTrue="1"/>
    <cfRule type="duplicateValues" dxfId="4971" priority="101" stopIfTrue="1"/>
  </conditionalFormatting>
  <conditionalFormatting sqref="C186">
    <cfRule type="duplicateValues" dxfId="4970" priority="99" stopIfTrue="1"/>
  </conditionalFormatting>
  <conditionalFormatting sqref="C138">
    <cfRule type="duplicateValues" dxfId="4969" priority="97" stopIfTrue="1"/>
    <cfRule type="duplicateValues" dxfId="4968" priority="98" stopIfTrue="1"/>
  </conditionalFormatting>
  <conditionalFormatting sqref="C138">
    <cfRule type="duplicateValues" dxfId="4967" priority="96" stopIfTrue="1"/>
  </conditionalFormatting>
  <conditionalFormatting sqref="C187">
    <cfRule type="duplicateValues" dxfId="4966" priority="94" stopIfTrue="1"/>
    <cfRule type="duplicateValues" dxfId="4965" priority="95" stopIfTrue="1"/>
  </conditionalFormatting>
  <conditionalFormatting sqref="C187">
    <cfRule type="duplicateValues" dxfId="4964" priority="93" stopIfTrue="1"/>
  </conditionalFormatting>
  <conditionalFormatting sqref="C188">
    <cfRule type="duplicateValues" dxfId="4963" priority="91" stopIfTrue="1"/>
    <cfRule type="duplicateValues" dxfId="4962" priority="92" stopIfTrue="1"/>
  </conditionalFormatting>
  <conditionalFormatting sqref="C188">
    <cfRule type="duplicateValues" dxfId="4961" priority="90" stopIfTrue="1"/>
  </conditionalFormatting>
  <conditionalFormatting sqref="C3">
    <cfRule type="duplicateValues" dxfId="4960" priority="85"/>
  </conditionalFormatting>
  <conditionalFormatting sqref="C189">
    <cfRule type="duplicateValues" dxfId="4959" priority="78" stopIfTrue="1"/>
    <cfRule type="duplicateValues" dxfId="4958" priority="79" stopIfTrue="1"/>
  </conditionalFormatting>
  <conditionalFormatting sqref="C189">
    <cfRule type="duplicateValues" dxfId="4957" priority="80" stopIfTrue="1"/>
  </conditionalFormatting>
  <conditionalFormatting sqref="C231:C234">
    <cfRule type="duplicateValues" dxfId="4956" priority="59" stopIfTrue="1"/>
    <cfRule type="duplicateValues" dxfId="4955" priority="60" stopIfTrue="1"/>
  </conditionalFormatting>
  <conditionalFormatting sqref="C231:C234">
    <cfRule type="duplicateValues" dxfId="4954" priority="58" stopIfTrue="1"/>
  </conditionalFormatting>
  <conditionalFormatting sqref="C231:C232">
    <cfRule type="duplicateValues" dxfId="4953" priority="48"/>
  </conditionalFormatting>
  <conditionalFormatting sqref="C231:C232">
    <cfRule type="duplicateValues" dxfId="4952" priority="46" stopIfTrue="1"/>
    <cfRule type="duplicateValues" dxfId="4951" priority="47" stopIfTrue="1"/>
  </conditionalFormatting>
  <conditionalFormatting sqref="C234">
    <cfRule type="duplicateValues" dxfId="4950" priority="44"/>
  </conditionalFormatting>
  <conditionalFormatting sqref="C190">
    <cfRule type="duplicateValues" dxfId="4949" priority="1436" stopIfTrue="1"/>
    <cfRule type="duplicateValues" dxfId="4948" priority="1437" stopIfTrue="1"/>
  </conditionalFormatting>
  <conditionalFormatting sqref="C190">
    <cfRule type="duplicateValues" dxfId="4947" priority="1438" stopIfTrue="1"/>
  </conditionalFormatting>
  <conditionalFormatting sqref="C236">
    <cfRule type="duplicateValues" dxfId="4946" priority="2" stopIfTrue="1"/>
    <cfRule type="duplicateValues" dxfId="4945" priority="3" stopIfTrue="1"/>
  </conditionalFormatting>
  <conditionalFormatting sqref="C236">
    <cfRule type="duplicateValues" dxfId="4944" priority="1" stopIfTrue="1"/>
  </conditionalFormatting>
  <conditionalFormatting sqref="C236">
    <cfRule type="duplicateValues" dxfId="4943" priority="4"/>
  </conditionalFormatting>
  <conditionalFormatting sqref="C236">
    <cfRule type="duplicateValues" dxfId="4942" priority="5"/>
  </conditionalFormatting>
  <conditionalFormatting sqref="C202:C205 C169:C170 C246:C247 C243:C244 C138 C172:C188 C269:C271">
    <cfRule type="duplicateValues" dxfId="4941" priority="2992" stopIfTrue="1"/>
    <cfRule type="duplicateValues" dxfId="4940" priority="2993" stopIfTrue="1"/>
  </conditionalFormatting>
  <conditionalFormatting sqref="C202:C205 C169:C170 C246:C247 C243:C244 C138 C172:C188 C269:C271">
    <cfRule type="duplicateValues" dxfId="4939" priority="3002" stopIfTrue="1"/>
  </conditionalFormatting>
  <conditionalFormatting sqref="C191:C209 C1:C2 C4:C38 C223:C229 C231:C235 C40:C117 C240 C243:C244 C119:C188 C246:C1048576">
    <cfRule type="duplicateValues" dxfId="4938" priority="3007"/>
  </conditionalFormatting>
  <conditionalFormatting sqref="C223:C229 C1:C38 C231:C235 C40:C117 C240 C243:C244 C119:C209 C246:C1048576">
    <cfRule type="duplicateValues" dxfId="4937" priority="3018"/>
  </conditionalFormatting>
  <pageMargins left="0.31496062992125984" right="0.11811023622047245" top="0.11811023622047245" bottom="0.11811023622047245" header="0.31496062992125984" footer="0.31496062992125984"/>
  <pageSetup paperSize="9" scale="8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3:N266"/>
  <sheetViews>
    <sheetView topLeftCell="A224" workbookViewId="0">
      <selection activeCell="C226" sqref="C226"/>
    </sheetView>
  </sheetViews>
  <sheetFormatPr defaultRowHeight="15"/>
  <cols>
    <col min="2" max="2" width="6.85546875" customWidth="1"/>
    <col min="3" max="3" width="38.5703125" customWidth="1"/>
    <col min="4" max="4" width="13.5703125" customWidth="1"/>
    <col min="5" max="5" width="12.85546875" customWidth="1"/>
    <col min="6" max="6" width="14" customWidth="1"/>
    <col min="7" max="7" width="10.140625" style="43" customWidth="1"/>
    <col min="8" max="8" width="13.5703125" customWidth="1"/>
    <col min="9" max="10" width="10.85546875" customWidth="1"/>
    <col min="11" max="11" width="14.5703125" customWidth="1"/>
    <col min="12" max="12" width="15" customWidth="1"/>
    <col min="13" max="13" width="10.28515625" customWidth="1"/>
    <col min="14" max="14" width="11.28515625" bestFit="1" customWidth="1"/>
  </cols>
  <sheetData>
    <row r="3" spans="2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2:14" ht="18">
      <c r="B4" s="418" t="s">
        <v>259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2:14" s="44" customFormat="1" ht="63.75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2:14">
      <c r="B6" s="14">
        <v>1</v>
      </c>
      <c r="C6" s="2" t="s">
        <v>121</v>
      </c>
      <c r="D6" s="15">
        <v>200000</v>
      </c>
      <c r="E6" s="15">
        <v>26660</v>
      </c>
      <c r="F6" s="15">
        <f t="shared" ref="F6:F29" si="0">SUM(D6:E6)</f>
        <v>226660</v>
      </c>
      <c r="G6" s="31">
        <v>40</v>
      </c>
      <c r="H6" s="15">
        <v>5666.5</v>
      </c>
      <c r="I6" s="8">
        <v>33</v>
      </c>
      <c r="J6" s="11">
        <f t="shared" ref="J6:J33" si="1">G6-I6</f>
        <v>7</v>
      </c>
      <c r="K6" s="16">
        <f>(33*5666.5)</f>
        <v>186994.5</v>
      </c>
      <c r="L6" s="15">
        <f t="shared" ref="L6:L12" si="2">F6-K6</f>
        <v>39665.5</v>
      </c>
      <c r="M6" s="8"/>
      <c r="N6" s="39" t="e">
        <f>#REF!-H6</f>
        <v>#REF!</v>
      </c>
    </row>
    <row r="7" spans="2:14">
      <c r="B7" s="14">
        <v>2</v>
      </c>
      <c r="C7" s="2" t="s">
        <v>199</v>
      </c>
      <c r="D7" s="12">
        <v>132000</v>
      </c>
      <c r="E7" s="12">
        <v>17595.599999999999</v>
      </c>
      <c r="F7" s="15">
        <f t="shared" si="0"/>
        <v>149595.6</v>
      </c>
      <c r="G7" s="31">
        <v>40</v>
      </c>
      <c r="H7" s="12">
        <v>3739.89</v>
      </c>
      <c r="I7" s="8">
        <v>26</v>
      </c>
      <c r="J7" s="11">
        <f t="shared" si="1"/>
        <v>14</v>
      </c>
      <c r="K7" s="12">
        <f>(26*3739.89)</f>
        <v>97237.14</v>
      </c>
      <c r="L7" s="15">
        <f t="shared" si="2"/>
        <v>52358.460000000006</v>
      </c>
      <c r="M7" s="8"/>
      <c r="N7" s="39" t="e">
        <f>#REF!-H7</f>
        <v>#REF!</v>
      </c>
    </row>
    <row r="8" spans="2:14">
      <c r="B8" s="14">
        <v>3</v>
      </c>
      <c r="C8" s="2" t="s">
        <v>122</v>
      </c>
      <c r="D8" s="15">
        <v>200000</v>
      </c>
      <c r="E8" s="15">
        <v>26660</v>
      </c>
      <c r="F8" s="15">
        <f t="shared" si="0"/>
        <v>226660</v>
      </c>
      <c r="G8" s="31">
        <v>40</v>
      </c>
      <c r="H8" s="15">
        <v>5666.5</v>
      </c>
      <c r="I8" s="8">
        <v>34</v>
      </c>
      <c r="J8" s="11">
        <f t="shared" si="1"/>
        <v>6</v>
      </c>
      <c r="K8" s="12">
        <f>(34*5666.5)</f>
        <v>192661</v>
      </c>
      <c r="L8" s="15">
        <f t="shared" si="2"/>
        <v>33999</v>
      </c>
      <c r="M8" s="8"/>
      <c r="N8" s="39" t="e">
        <f>#REF!-H8</f>
        <v>#REF!</v>
      </c>
    </row>
    <row r="9" spans="2:14">
      <c r="B9" s="14">
        <v>4</v>
      </c>
      <c r="C9" s="2" t="s">
        <v>188</v>
      </c>
      <c r="D9" s="12">
        <v>180000</v>
      </c>
      <c r="E9" s="12">
        <v>23994</v>
      </c>
      <c r="F9" s="15">
        <f t="shared" si="0"/>
        <v>203994</v>
      </c>
      <c r="G9" s="31">
        <v>40</v>
      </c>
      <c r="H9" s="12">
        <v>5099.8500000000004</v>
      </c>
      <c r="I9" s="8">
        <v>34</v>
      </c>
      <c r="J9" s="11">
        <f t="shared" si="1"/>
        <v>6</v>
      </c>
      <c r="K9" s="12">
        <f>(33*5099.85)</f>
        <v>168295.05000000002</v>
      </c>
      <c r="L9" s="15">
        <f t="shared" si="2"/>
        <v>35698.949999999983</v>
      </c>
      <c r="M9" s="8"/>
      <c r="N9" s="39" t="e">
        <f>#REF!-H9</f>
        <v>#REF!</v>
      </c>
    </row>
    <row r="10" spans="2:14">
      <c r="B10" s="14">
        <v>5</v>
      </c>
      <c r="C10" s="4" t="s">
        <v>189</v>
      </c>
      <c r="D10" s="12">
        <v>180000</v>
      </c>
      <c r="E10" s="12">
        <v>23994</v>
      </c>
      <c r="F10" s="15">
        <f t="shared" si="0"/>
        <v>203994</v>
      </c>
      <c r="G10" s="31">
        <v>40</v>
      </c>
      <c r="H10" s="12">
        <v>5099.8500000000004</v>
      </c>
      <c r="I10" s="8">
        <v>31</v>
      </c>
      <c r="J10" s="11">
        <f t="shared" si="1"/>
        <v>9</v>
      </c>
      <c r="K10" s="12">
        <f>(31*5099.85)</f>
        <v>158095.35</v>
      </c>
      <c r="L10" s="15">
        <f t="shared" si="2"/>
        <v>45898.649999999994</v>
      </c>
      <c r="M10" s="8"/>
      <c r="N10" s="39" t="e">
        <f>#REF!-H10</f>
        <v>#REF!</v>
      </c>
    </row>
    <row r="11" spans="2:14">
      <c r="B11" s="14">
        <v>6</v>
      </c>
      <c r="C11" s="2" t="s">
        <v>123</v>
      </c>
      <c r="D11" s="15">
        <v>200000</v>
      </c>
      <c r="E11" s="15">
        <v>26660</v>
      </c>
      <c r="F11" s="15">
        <f t="shared" si="0"/>
        <v>226660</v>
      </c>
      <c r="G11" s="31">
        <v>40</v>
      </c>
      <c r="H11" s="15">
        <v>5666.5</v>
      </c>
      <c r="I11" s="8">
        <v>34</v>
      </c>
      <c r="J11" s="11">
        <f t="shared" si="1"/>
        <v>6</v>
      </c>
      <c r="K11" s="12">
        <f>(34*5666.5)</f>
        <v>192661</v>
      </c>
      <c r="L11" s="15">
        <f t="shared" si="2"/>
        <v>33999</v>
      </c>
      <c r="M11" s="8"/>
      <c r="N11" s="39" t="e">
        <f>#REF!-H11</f>
        <v>#REF!</v>
      </c>
    </row>
    <row r="12" spans="2:14">
      <c r="B12" s="14">
        <v>7</v>
      </c>
      <c r="C12" s="25" t="s">
        <v>43</v>
      </c>
      <c r="D12" s="12">
        <v>330000</v>
      </c>
      <c r="E12" s="12">
        <v>21114.720000000001</v>
      </c>
      <c r="F12" s="15">
        <f t="shared" si="0"/>
        <v>351114.72</v>
      </c>
      <c r="G12" s="31">
        <v>24</v>
      </c>
      <c r="H12" s="12">
        <v>14629.78</v>
      </c>
      <c r="I12" s="11">
        <v>20</v>
      </c>
      <c r="J12" s="11">
        <f t="shared" si="1"/>
        <v>4</v>
      </c>
      <c r="K12" s="16">
        <f>(20*14629.78)</f>
        <v>292595.60000000003</v>
      </c>
      <c r="L12" s="15">
        <f t="shared" si="2"/>
        <v>58519.119999999937</v>
      </c>
      <c r="M12" s="8"/>
      <c r="N12" s="39" t="e">
        <f>#REF!-H12</f>
        <v>#REF!</v>
      </c>
    </row>
    <row r="13" spans="2:14">
      <c r="B13" s="14">
        <v>8</v>
      </c>
      <c r="C13" s="2" t="s">
        <v>124</v>
      </c>
      <c r="D13" s="15">
        <v>200000</v>
      </c>
      <c r="E13" s="15">
        <v>26660</v>
      </c>
      <c r="F13" s="15">
        <f t="shared" si="0"/>
        <v>226660</v>
      </c>
      <c r="G13" s="31">
        <v>40</v>
      </c>
      <c r="H13" s="15">
        <v>5666.5</v>
      </c>
      <c r="I13" s="8">
        <v>37</v>
      </c>
      <c r="J13" s="11">
        <f t="shared" si="1"/>
        <v>3</v>
      </c>
      <c r="K13" s="12">
        <f>(37*5666.5)</f>
        <v>209660.5</v>
      </c>
      <c r="L13" s="15">
        <f>G10</f>
        <v>40</v>
      </c>
      <c r="M13" s="8"/>
      <c r="N13" s="39" t="e">
        <f>#REF!-H13</f>
        <v>#REF!</v>
      </c>
    </row>
    <row r="14" spans="2:14">
      <c r="B14" s="14">
        <v>9</v>
      </c>
      <c r="C14" s="2" t="s">
        <v>120</v>
      </c>
      <c r="D14" s="12">
        <v>330000</v>
      </c>
      <c r="E14" s="16">
        <v>21114.720000000001</v>
      </c>
      <c r="F14" s="15">
        <f t="shared" si="0"/>
        <v>351114.72</v>
      </c>
      <c r="G14" s="31">
        <v>24</v>
      </c>
      <c r="H14" s="24">
        <v>6649.9</v>
      </c>
      <c r="I14" s="11">
        <v>20</v>
      </c>
      <c r="J14" s="11">
        <f t="shared" si="1"/>
        <v>4</v>
      </c>
      <c r="K14" s="16">
        <f>(20*6649.9)</f>
        <v>132998</v>
      </c>
      <c r="L14" s="15">
        <f t="shared" ref="L14:L33" si="3">F14-K14</f>
        <v>218116.71999999997</v>
      </c>
      <c r="M14" s="8"/>
      <c r="N14" s="39" t="e">
        <f>#REF!-H14</f>
        <v>#REF!</v>
      </c>
    </row>
    <row r="15" spans="2:14">
      <c r="B15" s="14">
        <v>10</v>
      </c>
      <c r="C15" s="2" t="s">
        <v>201</v>
      </c>
      <c r="D15" s="12">
        <v>132000</v>
      </c>
      <c r="E15" s="12">
        <v>17595.599999999999</v>
      </c>
      <c r="F15" s="15">
        <f t="shared" si="0"/>
        <v>149595.6</v>
      </c>
      <c r="G15" s="31">
        <v>40</v>
      </c>
      <c r="H15" s="12">
        <v>3739.89</v>
      </c>
      <c r="I15" s="8">
        <v>34</v>
      </c>
      <c r="J15" s="11">
        <f t="shared" si="1"/>
        <v>6</v>
      </c>
      <c r="K15" s="12">
        <f>(34*3739.89)</f>
        <v>127156.26</v>
      </c>
      <c r="L15" s="15">
        <f t="shared" si="3"/>
        <v>22439.340000000011</v>
      </c>
      <c r="M15" s="8"/>
      <c r="N15" s="39" t="e">
        <f>#REF!-H15</f>
        <v>#REF!</v>
      </c>
    </row>
    <row r="16" spans="2:14">
      <c r="B16" s="14">
        <v>11</v>
      </c>
      <c r="C16" s="2" t="s">
        <v>52</v>
      </c>
      <c r="D16" s="12">
        <v>500000</v>
      </c>
      <c r="E16" s="12">
        <v>66650</v>
      </c>
      <c r="F16" s="15">
        <f t="shared" si="0"/>
        <v>566650</v>
      </c>
      <c r="G16" s="31">
        <v>50</v>
      </c>
      <c r="H16" s="18">
        <v>11333</v>
      </c>
      <c r="I16" s="31">
        <v>27</v>
      </c>
      <c r="J16" s="11">
        <f t="shared" si="1"/>
        <v>23</v>
      </c>
      <c r="K16" s="12">
        <f>(27*11333)</f>
        <v>305991</v>
      </c>
      <c r="L16" s="15">
        <f t="shared" si="3"/>
        <v>260659</v>
      </c>
      <c r="M16" s="8"/>
      <c r="N16" s="39" t="e">
        <f>#REF!-H16</f>
        <v>#REF!</v>
      </c>
    </row>
    <row r="17" spans="2:14">
      <c r="B17" s="14">
        <v>12</v>
      </c>
      <c r="C17" s="2" t="s">
        <v>49</v>
      </c>
      <c r="D17" s="12">
        <v>500000</v>
      </c>
      <c r="E17" s="12">
        <v>53320</v>
      </c>
      <c r="F17" s="15">
        <f t="shared" si="0"/>
        <v>553320</v>
      </c>
      <c r="G17" s="31">
        <v>40</v>
      </c>
      <c r="H17" s="12">
        <v>13833</v>
      </c>
      <c r="I17" s="8">
        <v>41</v>
      </c>
      <c r="J17" s="11">
        <f t="shared" si="1"/>
        <v>-1</v>
      </c>
      <c r="K17" s="12">
        <f>(41*13833)</f>
        <v>567153</v>
      </c>
      <c r="L17" s="15">
        <f t="shared" si="3"/>
        <v>-13833</v>
      </c>
      <c r="M17" s="8"/>
      <c r="N17" s="39" t="e">
        <f>#REF!-H17</f>
        <v>#REF!</v>
      </c>
    </row>
    <row r="18" spans="2:14">
      <c r="B18" s="14">
        <v>13</v>
      </c>
      <c r="C18" s="2" t="s">
        <v>46</v>
      </c>
      <c r="D18" s="12">
        <v>450000</v>
      </c>
      <c r="E18" s="16">
        <v>28792.799999999999</v>
      </c>
      <c r="F18" s="15">
        <f t="shared" si="0"/>
        <v>478792.8</v>
      </c>
      <c r="G18" s="31">
        <v>24</v>
      </c>
      <c r="H18" s="16">
        <v>19949.7</v>
      </c>
      <c r="I18" s="11">
        <v>20</v>
      </c>
      <c r="J18" s="11">
        <f t="shared" si="1"/>
        <v>4</v>
      </c>
      <c r="K18" s="12">
        <f>(20*19949.7)</f>
        <v>398994</v>
      </c>
      <c r="L18" s="15">
        <f t="shared" si="3"/>
        <v>79798.799999999988</v>
      </c>
      <c r="M18" s="8"/>
      <c r="N18" s="39" t="e">
        <f>#REF!-H18</f>
        <v>#REF!</v>
      </c>
    </row>
    <row r="19" spans="2:14">
      <c r="B19" s="14">
        <v>14</v>
      </c>
      <c r="C19" s="2" t="s">
        <v>127</v>
      </c>
      <c r="D19" s="15">
        <v>200000</v>
      </c>
      <c r="E19" s="15">
        <v>26660</v>
      </c>
      <c r="F19" s="15">
        <f t="shared" si="0"/>
        <v>226660</v>
      </c>
      <c r="G19" s="31">
        <v>40</v>
      </c>
      <c r="H19" s="15">
        <v>5666.5</v>
      </c>
      <c r="I19" s="8">
        <v>31</v>
      </c>
      <c r="J19" s="11">
        <f t="shared" si="1"/>
        <v>9</v>
      </c>
      <c r="K19" s="12">
        <f>(31*5666.5)</f>
        <v>175661.5</v>
      </c>
      <c r="L19" s="15">
        <f t="shared" si="3"/>
        <v>50998.5</v>
      </c>
      <c r="M19" s="8"/>
      <c r="N19" s="39" t="e">
        <f>#REF!-H19</f>
        <v>#REF!</v>
      </c>
    </row>
    <row r="20" spans="2:14">
      <c r="B20" s="14">
        <v>15</v>
      </c>
      <c r="C20" s="2" t="s">
        <v>129</v>
      </c>
      <c r="D20" s="15">
        <v>200000</v>
      </c>
      <c r="E20" s="15">
        <v>26660</v>
      </c>
      <c r="F20" s="15">
        <f t="shared" si="0"/>
        <v>226660</v>
      </c>
      <c r="G20" s="31">
        <v>40</v>
      </c>
      <c r="H20" s="15">
        <v>5666.5</v>
      </c>
      <c r="I20" s="8">
        <v>37</v>
      </c>
      <c r="J20" s="11">
        <f t="shared" si="1"/>
        <v>3</v>
      </c>
      <c r="K20" s="12">
        <f>(37*5666.5)</f>
        <v>209660.5</v>
      </c>
      <c r="L20" s="15">
        <f t="shared" si="3"/>
        <v>16999.5</v>
      </c>
      <c r="M20" s="8"/>
      <c r="N20" s="39" t="e">
        <f>#REF!-H20</f>
        <v>#REF!</v>
      </c>
    </row>
    <row r="21" spans="2:14">
      <c r="B21" s="14">
        <v>16</v>
      </c>
      <c r="C21" s="25" t="s">
        <v>105</v>
      </c>
      <c r="D21" s="12">
        <v>330000</v>
      </c>
      <c r="E21" s="16">
        <v>43989</v>
      </c>
      <c r="F21" s="15">
        <f t="shared" si="0"/>
        <v>373989</v>
      </c>
      <c r="G21" s="33">
        <v>50</v>
      </c>
      <c r="H21" s="16">
        <v>7479.78</v>
      </c>
      <c r="I21" s="8">
        <v>29</v>
      </c>
      <c r="J21" s="11">
        <f t="shared" si="1"/>
        <v>21</v>
      </c>
      <c r="K21" s="12">
        <f>(29*7479.78)</f>
        <v>216913.62</v>
      </c>
      <c r="L21" s="15">
        <f t="shared" si="3"/>
        <v>157075.38</v>
      </c>
      <c r="M21" s="8"/>
      <c r="N21" s="39" t="e">
        <f>#REF!-H21</f>
        <v>#REF!</v>
      </c>
    </row>
    <row r="22" spans="2:14">
      <c r="B22" s="14">
        <v>17</v>
      </c>
      <c r="C22" s="2" t="s">
        <v>130</v>
      </c>
      <c r="D22" s="15">
        <v>200000</v>
      </c>
      <c r="E22" s="15">
        <v>26660</v>
      </c>
      <c r="F22" s="15">
        <f t="shared" si="0"/>
        <v>226660</v>
      </c>
      <c r="G22" s="31">
        <v>40</v>
      </c>
      <c r="H22" s="15">
        <v>5666.5</v>
      </c>
      <c r="I22" s="8">
        <v>34</v>
      </c>
      <c r="J22" s="11">
        <f t="shared" si="1"/>
        <v>6</v>
      </c>
      <c r="K22" s="12">
        <f>(34*5666.5)</f>
        <v>192661</v>
      </c>
      <c r="L22" s="15">
        <f t="shared" si="3"/>
        <v>33999</v>
      </c>
      <c r="M22" s="8"/>
      <c r="N22" s="39" t="e">
        <f>#REF!-H22</f>
        <v>#REF!</v>
      </c>
    </row>
    <row r="23" spans="2:14">
      <c r="B23" s="14">
        <v>18</v>
      </c>
      <c r="C23" s="2" t="s">
        <v>215</v>
      </c>
      <c r="D23" s="12">
        <v>60000</v>
      </c>
      <c r="E23" s="12">
        <v>7998</v>
      </c>
      <c r="F23" s="15">
        <f t="shared" si="0"/>
        <v>67998</v>
      </c>
      <c r="G23" s="31">
        <v>40</v>
      </c>
      <c r="H23" s="12">
        <v>1699.95</v>
      </c>
      <c r="I23" s="8">
        <v>43</v>
      </c>
      <c r="J23" s="11">
        <f t="shared" si="1"/>
        <v>-3</v>
      </c>
      <c r="K23" s="12">
        <f>(43*1699.95)</f>
        <v>73097.850000000006</v>
      </c>
      <c r="L23" s="15">
        <f t="shared" si="3"/>
        <v>-5099.8500000000058</v>
      </c>
      <c r="M23" s="8"/>
      <c r="N23" s="39" t="e">
        <f>#REF!-H23</f>
        <v>#REF!</v>
      </c>
    </row>
    <row r="24" spans="2:14">
      <c r="B24" s="14">
        <v>19</v>
      </c>
      <c r="C24" s="2" t="s">
        <v>131</v>
      </c>
      <c r="D24" s="15">
        <v>200000</v>
      </c>
      <c r="E24" s="15">
        <v>26660</v>
      </c>
      <c r="F24" s="15">
        <f t="shared" si="0"/>
        <v>226660</v>
      </c>
      <c r="G24" s="32">
        <v>40</v>
      </c>
      <c r="H24" s="15">
        <v>5666.5</v>
      </c>
      <c r="I24" s="22">
        <v>43</v>
      </c>
      <c r="J24" s="11">
        <f t="shared" si="1"/>
        <v>-3</v>
      </c>
      <c r="K24" s="15">
        <f>(43*5666.5)</f>
        <v>243659.5</v>
      </c>
      <c r="L24" s="15">
        <f t="shared" si="3"/>
        <v>-16999.5</v>
      </c>
      <c r="M24" s="10"/>
      <c r="N24" s="39" t="e">
        <f>#REF!-H24</f>
        <v>#REF!</v>
      </c>
    </row>
    <row r="25" spans="2:14">
      <c r="B25" s="14">
        <v>20</v>
      </c>
      <c r="C25" s="2" t="s">
        <v>106</v>
      </c>
      <c r="D25" s="12">
        <v>330000</v>
      </c>
      <c r="E25" s="12">
        <v>43989</v>
      </c>
      <c r="F25" s="15">
        <f t="shared" si="0"/>
        <v>373989</v>
      </c>
      <c r="G25" s="31">
        <v>50</v>
      </c>
      <c r="H25" s="12">
        <v>7479.78</v>
      </c>
      <c r="I25" s="11">
        <v>20</v>
      </c>
      <c r="J25" s="11">
        <f t="shared" si="1"/>
        <v>30</v>
      </c>
      <c r="K25" s="16">
        <f>(20*7479.78)</f>
        <v>149595.6</v>
      </c>
      <c r="L25" s="15">
        <f t="shared" si="3"/>
        <v>224393.4</v>
      </c>
      <c r="M25" s="8"/>
      <c r="N25" s="39" t="e">
        <f>#REF!-H25</f>
        <v>#REF!</v>
      </c>
    </row>
    <row r="26" spans="2:14">
      <c r="B26" s="14">
        <v>21</v>
      </c>
      <c r="C26" s="2" t="s">
        <v>134</v>
      </c>
      <c r="D26" s="15">
        <v>200000</v>
      </c>
      <c r="E26" s="15">
        <v>26660</v>
      </c>
      <c r="F26" s="15">
        <f t="shared" si="0"/>
        <v>226660</v>
      </c>
      <c r="G26" s="31">
        <v>40</v>
      </c>
      <c r="H26" s="15">
        <v>5666.5</v>
      </c>
      <c r="I26" s="8">
        <v>34</v>
      </c>
      <c r="J26" s="11">
        <f t="shared" si="1"/>
        <v>6</v>
      </c>
      <c r="K26" s="12">
        <f>(34*5666.5)</f>
        <v>192661</v>
      </c>
      <c r="L26" s="15">
        <f t="shared" si="3"/>
        <v>33999</v>
      </c>
      <c r="M26" s="8"/>
      <c r="N26" s="39" t="e">
        <f>#REF!-H26</f>
        <v>#REF!</v>
      </c>
    </row>
    <row r="27" spans="2:14">
      <c r="B27" s="14">
        <v>22</v>
      </c>
      <c r="C27" s="25" t="s">
        <v>53</v>
      </c>
      <c r="D27" s="12">
        <v>500000</v>
      </c>
      <c r="E27" s="12">
        <v>66650</v>
      </c>
      <c r="F27" s="15">
        <f t="shared" si="0"/>
        <v>566650</v>
      </c>
      <c r="G27" s="31">
        <v>50</v>
      </c>
      <c r="H27" s="12">
        <v>11333</v>
      </c>
      <c r="I27" s="11">
        <v>20</v>
      </c>
      <c r="J27" s="11">
        <f t="shared" si="1"/>
        <v>30</v>
      </c>
      <c r="K27" s="12">
        <f>(20*11333)</f>
        <v>226660</v>
      </c>
      <c r="L27" s="15">
        <f t="shared" si="3"/>
        <v>339990</v>
      </c>
      <c r="M27" s="8"/>
      <c r="N27" s="39" t="e">
        <f>#REF!-H27</f>
        <v>#REF!</v>
      </c>
    </row>
    <row r="28" spans="2:14">
      <c r="B28" s="14">
        <v>23</v>
      </c>
      <c r="C28" s="2" t="s">
        <v>136</v>
      </c>
      <c r="D28" s="15">
        <v>200000</v>
      </c>
      <c r="E28" s="15">
        <v>26660</v>
      </c>
      <c r="F28" s="15">
        <f t="shared" si="0"/>
        <v>226660</v>
      </c>
      <c r="G28" s="32">
        <v>40</v>
      </c>
      <c r="H28" s="15">
        <v>5666.5</v>
      </c>
      <c r="I28" s="30">
        <v>45</v>
      </c>
      <c r="J28" s="11">
        <f t="shared" si="1"/>
        <v>-5</v>
      </c>
      <c r="K28" s="12">
        <f>(45*5666.5)</f>
        <v>254992.5</v>
      </c>
      <c r="L28" s="15">
        <f t="shared" si="3"/>
        <v>-28332.5</v>
      </c>
      <c r="M28" s="10"/>
      <c r="N28" s="39" t="e">
        <f>#REF!-H28</f>
        <v>#REF!</v>
      </c>
    </row>
    <row r="29" spans="2:14">
      <c r="B29" s="14">
        <v>24</v>
      </c>
      <c r="C29" s="2" t="s">
        <v>54</v>
      </c>
      <c r="D29" s="12">
        <v>500000</v>
      </c>
      <c r="E29" s="12">
        <v>66650</v>
      </c>
      <c r="F29" s="15">
        <f t="shared" si="0"/>
        <v>566650</v>
      </c>
      <c r="G29" s="31">
        <v>50</v>
      </c>
      <c r="H29" s="12">
        <v>11333</v>
      </c>
      <c r="I29" s="11">
        <v>29</v>
      </c>
      <c r="J29" s="11">
        <f t="shared" si="1"/>
        <v>21</v>
      </c>
      <c r="K29" s="12">
        <f>(29*11333)</f>
        <v>328657</v>
      </c>
      <c r="L29" s="15">
        <f t="shared" si="3"/>
        <v>237993</v>
      </c>
      <c r="M29" s="8"/>
      <c r="N29" s="39" t="e">
        <f>#REF!-H29</f>
        <v>#REF!</v>
      </c>
    </row>
    <row r="30" spans="2:14">
      <c r="B30" s="14">
        <v>25</v>
      </c>
      <c r="C30" s="2" t="s">
        <v>36</v>
      </c>
      <c r="D30" s="18">
        <v>500000</v>
      </c>
      <c r="E30" s="18">
        <v>66650</v>
      </c>
      <c r="F30" s="18">
        <v>566650</v>
      </c>
      <c r="G30" s="33">
        <v>50</v>
      </c>
      <c r="H30" s="16">
        <v>11333</v>
      </c>
      <c r="I30" s="8">
        <v>6</v>
      </c>
      <c r="J30" s="11">
        <f t="shared" si="1"/>
        <v>44</v>
      </c>
      <c r="K30" s="12">
        <f>(6*11333)</f>
        <v>67998</v>
      </c>
      <c r="L30" s="12">
        <f t="shared" si="3"/>
        <v>498652</v>
      </c>
      <c r="M30" s="1"/>
      <c r="N30" s="39" t="e">
        <f>#REF!-H30</f>
        <v>#REF!</v>
      </c>
    </row>
    <row r="31" spans="2:14">
      <c r="B31" s="14">
        <v>26</v>
      </c>
      <c r="C31" s="2" t="s">
        <v>55</v>
      </c>
      <c r="D31" s="12">
        <v>500000</v>
      </c>
      <c r="E31" s="12">
        <v>66650</v>
      </c>
      <c r="F31" s="15">
        <f>SUM(D31:E31)</f>
        <v>566650</v>
      </c>
      <c r="G31" s="31">
        <v>50</v>
      </c>
      <c r="H31" s="12">
        <v>11333</v>
      </c>
      <c r="I31" s="8">
        <v>41</v>
      </c>
      <c r="J31" s="11">
        <f t="shared" si="1"/>
        <v>9</v>
      </c>
      <c r="K31" s="12">
        <f>(41*11333)</f>
        <v>464653</v>
      </c>
      <c r="L31" s="15">
        <f t="shared" si="3"/>
        <v>101997</v>
      </c>
      <c r="M31" s="8"/>
      <c r="N31" s="39" t="e">
        <f>#REF!-H31</f>
        <v>#REF!</v>
      </c>
    </row>
    <row r="32" spans="2:14">
      <c r="B32" s="14">
        <v>27</v>
      </c>
      <c r="C32" s="2" t="s">
        <v>137</v>
      </c>
      <c r="D32" s="15">
        <v>200000</v>
      </c>
      <c r="E32" s="15">
        <v>26660</v>
      </c>
      <c r="F32" s="15">
        <f>SUM(D32:E32)</f>
        <v>226660</v>
      </c>
      <c r="G32" s="31">
        <v>40</v>
      </c>
      <c r="H32" s="15">
        <v>5666.5</v>
      </c>
      <c r="I32" s="8">
        <v>34</v>
      </c>
      <c r="J32" s="11">
        <f t="shared" si="1"/>
        <v>6</v>
      </c>
      <c r="K32" s="12">
        <f>(34*5666.5)</f>
        <v>192661</v>
      </c>
      <c r="L32" s="15">
        <f t="shared" si="3"/>
        <v>33999</v>
      </c>
      <c r="M32" s="8"/>
      <c r="N32" s="39" t="e">
        <f>#REF!-H32</f>
        <v>#REF!</v>
      </c>
    </row>
    <row r="33" spans="2:14">
      <c r="B33" s="14">
        <v>28</v>
      </c>
      <c r="C33" s="2" t="s">
        <v>56</v>
      </c>
      <c r="D33" s="12">
        <v>500000</v>
      </c>
      <c r="E33" s="12">
        <v>66650</v>
      </c>
      <c r="F33" s="15">
        <f>SUM(D33:E33)</f>
        <v>566650</v>
      </c>
      <c r="G33" s="31">
        <v>50</v>
      </c>
      <c r="H33" s="12">
        <v>11333</v>
      </c>
      <c r="I33" s="8">
        <v>41</v>
      </c>
      <c r="J33" s="11">
        <f t="shared" si="1"/>
        <v>9</v>
      </c>
      <c r="K33" s="12">
        <f>(41*11333)</f>
        <v>464653</v>
      </c>
      <c r="L33" s="15">
        <f t="shared" si="3"/>
        <v>101997</v>
      </c>
      <c r="M33" s="8"/>
      <c r="N33" s="39" t="e">
        <f>#REF!-H33</f>
        <v>#REF!</v>
      </c>
    </row>
    <row r="34" spans="2:14">
      <c r="B34" s="14">
        <v>29</v>
      </c>
      <c r="C34" s="63" t="s">
        <v>255</v>
      </c>
      <c r="D34" s="12">
        <v>450000</v>
      </c>
      <c r="E34" s="16">
        <v>59985</v>
      </c>
      <c r="F34" s="16">
        <v>509985</v>
      </c>
      <c r="G34" s="33">
        <v>50</v>
      </c>
      <c r="H34" s="16">
        <v>10199.700000000001</v>
      </c>
      <c r="I34" s="8">
        <v>5</v>
      </c>
      <c r="J34" s="11">
        <f>G34-I34</f>
        <v>45</v>
      </c>
      <c r="K34" s="12">
        <f>(5*10199)</f>
        <v>50995</v>
      </c>
      <c r="L34" s="12">
        <f>F34-K34</f>
        <v>458990</v>
      </c>
      <c r="M34" s="8"/>
      <c r="N34" s="39" t="e">
        <f>#REF!-H34</f>
        <v>#REF!</v>
      </c>
    </row>
    <row r="35" spans="2:14">
      <c r="B35" s="14">
        <v>30</v>
      </c>
      <c r="C35" s="2" t="s">
        <v>224</v>
      </c>
      <c r="D35" s="12">
        <v>450000</v>
      </c>
      <c r="E35" s="12">
        <v>59985</v>
      </c>
      <c r="F35" s="12">
        <v>509985</v>
      </c>
      <c r="G35" s="31">
        <v>50</v>
      </c>
      <c r="H35" s="18">
        <v>10199.700000000001</v>
      </c>
      <c r="I35" s="33">
        <v>20</v>
      </c>
      <c r="J35" s="11">
        <f t="shared" ref="J35:J66" si="4">G35-I35</f>
        <v>30</v>
      </c>
      <c r="K35" s="12">
        <f>(20*10199.7)</f>
        <v>203994</v>
      </c>
      <c r="L35" s="15">
        <f t="shared" ref="L35:L66" si="5">F35-K35</f>
        <v>305991</v>
      </c>
      <c r="M35" s="8"/>
      <c r="N35" s="39" t="e">
        <f>#REF!-H35</f>
        <v>#REF!</v>
      </c>
    </row>
    <row r="36" spans="2:14">
      <c r="B36" s="14">
        <v>31</v>
      </c>
      <c r="C36" s="2" t="s">
        <v>50</v>
      </c>
      <c r="D36" s="12">
        <v>500000</v>
      </c>
      <c r="E36" s="12">
        <v>53320</v>
      </c>
      <c r="F36" s="15">
        <f t="shared" ref="F36:F43" si="6">SUM(D36:E36)</f>
        <v>553320</v>
      </c>
      <c r="G36" s="31">
        <v>40</v>
      </c>
      <c r="H36" s="12">
        <v>13833</v>
      </c>
      <c r="I36" s="8">
        <v>41</v>
      </c>
      <c r="J36" s="11">
        <f t="shared" si="4"/>
        <v>-1</v>
      </c>
      <c r="K36" s="12">
        <f>(41*13833)</f>
        <v>567153</v>
      </c>
      <c r="L36" s="15">
        <f t="shared" si="5"/>
        <v>-13833</v>
      </c>
      <c r="M36" s="8"/>
      <c r="N36" s="39" t="e">
        <f>#REF!-H36</f>
        <v>#REF!</v>
      </c>
    </row>
    <row r="37" spans="2:14">
      <c r="B37" s="14">
        <v>32</v>
      </c>
      <c r="C37" s="2" t="s">
        <v>138</v>
      </c>
      <c r="D37" s="15">
        <v>200000</v>
      </c>
      <c r="E37" s="15">
        <v>26660</v>
      </c>
      <c r="F37" s="15">
        <f t="shared" si="6"/>
        <v>226660</v>
      </c>
      <c r="G37" s="31">
        <v>40</v>
      </c>
      <c r="H37" s="15">
        <v>5666.5</v>
      </c>
      <c r="I37" s="8">
        <v>34</v>
      </c>
      <c r="J37" s="11">
        <f t="shared" si="4"/>
        <v>6</v>
      </c>
      <c r="K37" s="12">
        <f>(34*5666.5)</f>
        <v>192661</v>
      </c>
      <c r="L37" s="15">
        <f t="shared" si="5"/>
        <v>33999</v>
      </c>
      <c r="M37" s="8"/>
      <c r="N37" s="39" t="e">
        <f>#REF!-H37</f>
        <v>#REF!</v>
      </c>
    </row>
    <row r="38" spans="2:14">
      <c r="B38" s="14">
        <v>33</v>
      </c>
      <c r="C38" s="2" t="s">
        <v>57</v>
      </c>
      <c r="D38" s="12">
        <v>500000</v>
      </c>
      <c r="E38" s="12">
        <v>66650</v>
      </c>
      <c r="F38" s="15">
        <f t="shared" si="6"/>
        <v>566650</v>
      </c>
      <c r="G38" s="31">
        <v>50</v>
      </c>
      <c r="H38" s="12">
        <v>11333</v>
      </c>
      <c r="I38" s="11">
        <v>20</v>
      </c>
      <c r="J38" s="11">
        <f t="shared" si="4"/>
        <v>30</v>
      </c>
      <c r="K38" s="12">
        <f>(20*11333)</f>
        <v>226660</v>
      </c>
      <c r="L38" s="15">
        <f t="shared" si="5"/>
        <v>339990</v>
      </c>
      <c r="M38" s="8"/>
      <c r="N38" s="39" t="e">
        <f>#REF!-H38</f>
        <v>#REF!</v>
      </c>
    </row>
    <row r="39" spans="2:14">
      <c r="B39" s="14">
        <v>34</v>
      </c>
      <c r="C39" s="2" t="s">
        <v>139</v>
      </c>
      <c r="D39" s="15">
        <v>200000</v>
      </c>
      <c r="E39" s="15">
        <v>26660</v>
      </c>
      <c r="F39" s="15">
        <f t="shared" si="6"/>
        <v>226660</v>
      </c>
      <c r="G39" s="31">
        <v>40</v>
      </c>
      <c r="H39" s="15">
        <v>5666.5</v>
      </c>
      <c r="I39" s="8">
        <v>34</v>
      </c>
      <c r="J39" s="11">
        <f t="shared" si="4"/>
        <v>6</v>
      </c>
      <c r="K39" s="12">
        <f>(34*5666.5)</f>
        <v>192661</v>
      </c>
      <c r="L39" s="15">
        <f t="shared" si="5"/>
        <v>33999</v>
      </c>
      <c r="M39" s="8"/>
      <c r="N39" s="39" t="e">
        <f>#REF!-H39</f>
        <v>#REF!</v>
      </c>
    </row>
    <row r="40" spans="2:14">
      <c r="B40" s="14">
        <v>35</v>
      </c>
      <c r="C40" s="2" t="s">
        <v>141</v>
      </c>
      <c r="D40" s="15">
        <v>200000</v>
      </c>
      <c r="E40" s="15">
        <v>26660</v>
      </c>
      <c r="F40" s="15">
        <f t="shared" si="6"/>
        <v>226660</v>
      </c>
      <c r="G40" s="31">
        <v>40</v>
      </c>
      <c r="H40" s="15">
        <v>5666.5</v>
      </c>
      <c r="I40" s="8">
        <v>34</v>
      </c>
      <c r="J40" s="11">
        <f t="shared" si="4"/>
        <v>6</v>
      </c>
      <c r="K40" s="12">
        <f>(34*5666.5)</f>
        <v>192661</v>
      </c>
      <c r="L40" s="15">
        <f t="shared" si="5"/>
        <v>33999</v>
      </c>
      <c r="M40" s="8"/>
      <c r="N40" s="39" t="e">
        <f>#REF!-H40</f>
        <v>#REF!</v>
      </c>
    </row>
    <row r="41" spans="2:14">
      <c r="B41" s="14">
        <v>36</v>
      </c>
      <c r="C41" s="2" t="s">
        <v>107</v>
      </c>
      <c r="D41" s="12">
        <v>330000</v>
      </c>
      <c r="E41" s="12">
        <v>43989</v>
      </c>
      <c r="F41" s="15">
        <f t="shared" si="6"/>
        <v>373989</v>
      </c>
      <c r="G41" s="31">
        <v>50</v>
      </c>
      <c r="H41" s="12">
        <v>7479.78</v>
      </c>
      <c r="I41" s="8">
        <v>41</v>
      </c>
      <c r="J41" s="11">
        <f t="shared" si="4"/>
        <v>9</v>
      </c>
      <c r="K41" s="12">
        <f>(41*11333)</f>
        <v>464653</v>
      </c>
      <c r="L41" s="15">
        <f t="shared" si="5"/>
        <v>-90664</v>
      </c>
      <c r="M41" s="8"/>
      <c r="N41" s="39" t="e">
        <f>#REF!-H41</f>
        <v>#REF!</v>
      </c>
    </row>
    <row r="42" spans="2:14">
      <c r="B42" s="14">
        <v>37</v>
      </c>
      <c r="C42" s="2" t="s">
        <v>108</v>
      </c>
      <c r="D42" s="12">
        <v>330000</v>
      </c>
      <c r="E42" s="12">
        <v>43989</v>
      </c>
      <c r="F42" s="15">
        <f t="shared" si="6"/>
        <v>373989</v>
      </c>
      <c r="G42" s="31">
        <v>50</v>
      </c>
      <c r="H42" s="12">
        <v>7479.78</v>
      </c>
      <c r="I42" s="8">
        <v>41</v>
      </c>
      <c r="J42" s="11">
        <f t="shared" si="4"/>
        <v>9</v>
      </c>
      <c r="K42" s="12">
        <f>(41*11333)</f>
        <v>464653</v>
      </c>
      <c r="L42" s="15">
        <f t="shared" si="5"/>
        <v>-90664</v>
      </c>
      <c r="M42" s="8"/>
      <c r="N42" s="39" t="e">
        <f>#REF!-H42</f>
        <v>#REF!</v>
      </c>
    </row>
    <row r="43" spans="2:14">
      <c r="B43" s="14">
        <v>38</v>
      </c>
      <c r="C43" s="2" t="s">
        <v>142</v>
      </c>
      <c r="D43" s="15">
        <v>200000</v>
      </c>
      <c r="E43" s="15">
        <v>26660</v>
      </c>
      <c r="F43" s="15">
        <f t="shared" si="6"/>
        <v>226660</v>
      </c>
      <c r="G43" s="31">
        <v>40</v>
      </c>
      <c r="H43" s="15">
        <v>5666.5</v>
      </c>
      <c r="I43" s="8">
        <v>34</v>
      </c>
      <c r="J43" s="11">
        <f t="shared" si="4"/>
        <v>6</v>
      </c>
      <c r="K43" s="12">
        <f>(34*5666.5)</f>
        <v>192661</v>
      </c>
      <c r="L43" s="15">
        <f t="shared" si="5"/>
        <v>33999</v>
      </c>
      <c r="M43" s="8"/>
      <c r="N43" s="39" t="e">
        <f>#REF!-H43</f>
        <v>#REF!</v>
      </c>
    </row>
    <row r="44" spans="2:14">
      <c r="B44" s="14">
        <v>39</v>
      </c>
      <c r="C44" s="2" t="s">
        <v>24</v>
      </c>
      <c r="D44" s="18">
        <v>500000</v>
      </c>
      <c r="E44" s="18">
        <v>66650</v>
      </c>
      <c r="F44" s="18">
        <v>566650</v>
      </c>
      <c r="G44" s="33">
        <v>50</v>
      </c>
      <c r="H44" s="16">
        <v>11333</v>
      </c>
      <c r="I44" s="8">
        <v>6</v>
      </c>
      <c r="J44" s="11">
        <f t="shared" si="4"/>
        <v>44</v>
      </c>
      <c r="K44" s="12">
        <f>(6*11333)</f>
        <v>67998</v>
      </c>
      <c r="L44" s="12">
        <f t="shared" si="5"/>
        <v>498652</v>
      </c>
      <c r="M44" s="1"/>
      <c r="N44" s="39" t="e">
        <f>#REF!-H44</f>
        <v>#REF!</v>
      </c>
    </row>
    <row r="45" spans="2:14">
      <c r="B45" s="14">
        <v>40</v>
      </c>
      <c r="C45" s="2" t="s">
        <v>192</v>
      </c>
      <c r="D45" s="12">
        <v>180000</v>
      </c>
      <c r="E45" s="12">
        <v>23994</v>
      </c>
      <c r="F45" s="15">
        <f>SUM(D45:E45)</f>
        <v>203994</v>
      </c>
      <c r="G45" s="31">
        <v>40</v>
      </c>
      <c r="H45" s="12">
        <v>5099.8500000000004</v>
      </c>
      <c r="I45" s="8">
        <v>31</v>
      </c>
      <c r="J45" s="11">
        <f t="shared" si="4"/>
        <v>9</v>
      </c>
      <c r="K45" s="12">
        <f>(31*5099.85)</f>
        <v>158095.35</v>
      </c>
      <c r="L45" s="15">
        <f t="shared" si="5"/>
        <v>45898.649999999994</v>
      </c>
      <c r="M45" s="8"/>
      <c r="N45" s="39" t="e">
        <f>#REF!-H45</f>
        <v>#REF!</v>
      </c>
    </row>
    <row r="46" spans="2:14">
      <c r="B46" s="14">
        <v>41</v>
      </c>
      <c r="C46" s="25" t="s">
        <v>94</v>
      </c>
      <c r="D46" s="12">
        <v>450000</v>
      </c>
      <c r="E46" s="12">
        <v>59985</v>
      </c>
      <c r="F46" s="15">
        <f>SUM(D46:E46)</f>
        <v>509985</v>
      </c>
      <c r="G46" s="31">
        <v>50</v>
      </c>
      <c r="H46" s="12">
        <v>10199.700000000001</v>
      </c>
      <c r="I46" s="8">
        <v>25</v>
      </c>
      <c r="J46" s="11">
        <f t="shared" si="4"/>
        <v>25</v>
      </c>
      <c r="K46" s="12">
        <f>(25*10199.7)</f>
        <v>254992.50000000003</v>
      </c>
      <c r="L46" s="15">
        <f t="shared" si="5"/>
        <v>254992.49999999997</v>
      </c>
      <c r="M46" s="8"/>
      <c r="N46" s="39" t="e">
        <f>#REF!-H46</f>
        <v>#REF!</v>
      </c>
    </row>
    <row r="47" spans="2:14">
      <c r="B47" s="14">
        <v>42</v>
      </c>
      <c r="C47" s="2" t="s">
        <v>25</v>
      </c>
      <c r="D47" s="18">
        <v>500000</v>
      </c>
      <c r="E47" s="18">
        <v>66650</v>
      </c>
      <c r="F47" s="18">
        <v>566650</v>
      </c>
      <c r="G47" s="33">
        <v>50</v>
      </c>
      <c r="H47" s="16">
        <v>11333</v>
      </c>
      <c r="I47" s="8">
        <v>6</v>
      </c>
      <c r="J47" s="11">
        <f t="shared" si="4"/>
        <v>44</v>
      </c>
      <c r="K47" s="12">
        <f>(6*11333)</f>
        <v>67998</v>
      </c>
      <c r="L47" s="12">
        <f t="shared" si="5"/>
        <v>498652</v>
      </c>
      <c r="M47" s="1"/>
      <c r="N47" s="39" t="e">
        <f>#REF!-H47</f>
        <v>#REF!</v>
      </c>
    </row>
    <row r="48" spans="2:14" ht="15.75">
      <c r="B48" s="14">
        <v>43</v>
      </c>
      <c r="C48" s="75" t="s">
        <v>261</v>
      </c>
      <c r="D48" s="18">
        <v>500000</v>
      </c>
      <c r="E48" s="18">
        <v>66650</v>
      </c>
      <c r="F48" s="18">
        <v>566650</v>
      </c>
      <c r="G48" s="33">
        <v>50</v>
      </c>
      <c r="H48" s="76">
        <v>11333</v>
      </c>
      <c r="I48" s="8">
        <v>26</v>
      </c>
      <c r="J48" s="11">
        <f t="shared" si="4"/>
        <v>24</v>
      </c>
      <c r="K48" s="12">
        <f>(26*11333)</f>
        <v>294658</v>
      </c>
      <c r="L48" s="12">
        <f t="shared" si="5"/>
        <v>271992</v>
      </c>
      <c r="M48" s="1"/>
      <c r="N48" s="39" t="e">
        <f>#REF!-H48</f>
        <v>#REF!</v>
      </c>
    </row>
    <row r="49" spans="2:14">
      <c r="B49" s="14">
        <v>44</v>
      </c>
      <c r="C49" s="25" t="s">
        <v>216</v>
      </c>
      <c r="D49" s="12">
        <v>60000</v>
      </c>
      <c r="E49" s="12">
        <v>7998</v>
      </c>
      <c r="F49" s="15">
        <f>SUM(D49:E49)</f>
        <v>67998</v>
      </c>
      <c r="G49" s="31">
        <v>40</v>
      </c>
      <c r="H49" s="24">
        <v>1699.95</v>
      </c>
      <c r="I49" s="8"/>
      <c r="J49" s="11">
        <f t="shared" si="4"/>
        <v>40</v>
      </c>
      <c r="K49" s="12"/>
      <c r="L49" s="15">
        <f t="shared" si="5"/>
        <v>67998</v>
      </c>
      <c r="M49" s="8"/>
      <c r="N49" s="39" t="e">
        <f>#REF!-H49</f>
        <v>#REF!</v>
      </c>
    </row>
    <row r="50" spans="2:14">
      <c r="B50" s="14">
        <v>45</v>
      </c>
      <c r="C50" s="2" t="s">
        <v>109</v>
      </c>
      <c r="D50" s="12">
        <v>330000</v>
      </c>
      <c r="E50" s="16">
        <v>43989</v>
      </c>
      <c r="F50" s="15">
        <f>SUM(D50:E50)</f>
        <v>373989</v>
      </c>
      <c r="G50" s="33">
        <v>50</v>
      </c>
      <c r="H50" s="16">
        <v>7479.78</v>
      </c>
      <c r="I50" s="11">
        <v>19</v>
      </c>
      <c r="J50" s="11">
        <f t="shared" si="4"/>
        <v>31</v>
      </c>
      <c r="K50" s="12">
        <f>(19*7479.78)</f>
        <v>142115.82</v>
      </c>
      <c r="L50" s="15">
        <f t="shared" si="5"/>
        <v>231873.18</v>
      </c>
      <c r="M50" s="8"/>
      <c r="N50" s="39" t="e">
        <f>#REF!-H50</f>
        <v>#REF!</v>
      </c>
    </row>
    <row r="51" spans="2:14">
      <c r="B51" s="14">
        <v>46</v>
      </c>
      <c r="C51" s="2" t="s">
        <v>144</v>
      </c>
      <c r="D51" s="15">
        <v>200000</v>
      </c>
      <c r="E51" s="15">
        <v>26660</v>
      </c>
      <c r="F51" s="15">
        <f>SUM(D51:E51)</f>
        <v>226660</v>
      </c>
      <c r="G51" s="31">
        <v>40</v>
      </c>
      <c r="H51" s="15">
        <v>5666.5</v>
      </c>
      <c r="I51" s="8">
        <v>37</v>
      </c>
      <c r="J51" s="11">
        <f t="shared" si="4"/>
        <v>3</v>
      </c>
      <c r="K51" s="12">
        <f>(37*5666.5)</f>
        <v>209660.5</v>
      </c>
      <c r="L51" s="15">
        <f t="shared" si="5"/>
        <v>16999.5</v>
      </c>
      <c r="M51" s="8"/>
      <c r="N51" s="39" t="e">
        <f>#REF!-H51</f>
        <v>#REF!</v>
      </c>
    </row>
    <row r="52" spans="2:14">
      <c r="B52" s="14">
        <v>47</v>
      </c>
      <c r="C52" s="2" t="s">
        <v>193</v>
      </c>
      <c r="D52" s="12">
        <v>180000</v>
      </c>
      <c r="E52" s="12">
        <v>23994</v>
      </c>
      <c r="F52" s="15">
        <f>SUM(D52:E52)</f>
        <v>203994</v>
      </c>
      <c r="G52" s="31">
        <v>40</v>
      </c>
      <c r="H52" s="12">
        <v>5099.8500000000004</v>
      </c>
      <c r="I52" s="8">
        <v>34</v>
      </c>
      <c r="J52" s="11">
        <f t="shared" si="4"/>
        <v>6</v>
      </c>
      <c r="K52" s="12">
        <f>(34*5099.85)</f>
        <v>173394.90000000002</v>
      </c>
      <c r="L52" s="15">
        <f t="shared" si="5"/>
        <v>30599.099999999977</v>
      </c>
      <c r="M52" s="8"/>
      <c r="N52" s="39" t="e">
        <f>#REF!-H52</f>
        <v>#REF!</v>
      </c>
    </row>
    <row r="53" spans="2:14">
      <c r="B53" s="14">
        <v>48</v>
      </c>
      <c r="C53" s="2" t="s">
        <v>58</v>
      </c>
      <c r="D53" s="12">
        <v>500000</v>
      </c>
      <c r="E53" s="12">
        <v>66650</v>
      </c>
      <c r="F53" s="15">
        <f>SUM(D53:E53)</f>
        <v>566650</v>
      </c>
      <c r="G53" s="33">
        <v>50</v>
      </c>
      <c r="H53" s="12">
        <v>11333</v>
      </c>
      <c r="I53" s="11">
        <v>19</v>
      </c>
      <c r="J53" s="11">
        <f t="shared" si="4"/>
        <v>31</v>
      </c>
      <c r="K53" s="12">
        <f>(19*11333)</f>
        <v>215327</v>
      </c>
      <c r="L53" s="15">
        <f t="shared" si="5"/>
        <v>351323</v>
      </c>
      <c r="M53" s="8"/>
      <c r="N53" s="39" t="e">
        <f>#REF!-H53</f>
        <v>#REF!</v>
      </c>
    </row>
    <row r="54" spans="2:14">
      <c r="B54" s="14">
        <v>49</v>
      </c>
      <c r="C54" s="2" t="s">
        <v>234</v>
      </c>
      <c r="D54" s="15">
        <v>200000</v>
      </c>
      <c r="E54" s="15">
        <v>26660</v>
      </c>
      <c r="F54" s="15">
        <v>226660</v>
      </c>
      <c r="G54" s="31">
        <v>40</v>
      </c>
      <c r="H54" s="18">
        <v>5666.5</v>
      </c>
      <c r="I54" s="31">
        <v>37</v>
      </c>
      <c r="J54" s="11">
        <f t="shared" si="4"/>
        <v>3</v>
      </c>
      <c r="K54" s="12">
        <f>(37*5666.5)</f>
        <v>209660.5</v>
      </c>
      <c r="L54" s="15">
        <f t="shared" si="5"/>
        <v>16999.5</v>
      </c>
      <c r="M54" s="8"/>
      <c r="N54" s="39" t="e">
        <f>#REF!-H54</f>
        <v>#REF!</v>
      </c>
    </row>
    <row r="55" spans="2:14">
      <c r="B55" s="14">
        <v>50</v>
      </c>
      <c r="C55" s="2" t="s">
        <v>59</v>
      </c>
      <c r="D55" s="12">
        <v>500000</v>
      </c>
      <c r="E55" s="12">
        <v>66650</v>
      </c>
      <c r="F55" s="15">
        <f>SUM(D55:E55)</f>
        <v>566650</v>
      </c>
      <c r="G55" s="31">
        <v>50</v>
      </c>
      <c r="H55" s="12">
        <v>11333</v>
      </c>
      <c r="I55" s="11">
        <v>29</v>
      </c>
      <c r="J55" s="11">
        <f t="shared" si="4"/>
        <v>21</v>
      </c>
      <c r="K55" s="12">
        <f>(29*11333)</f>
        <v>328657</v>
      </c>
      <c r="L55" s="15">
        <f t="shared" si="5"/>
        <v>237993</v>
      </c>
      <c r="M55" s="8"/>
      <c r="N55" s="39" t="e">
        <f>#REF!-H55</f>
        <v>#REF!</v>
      </c>
    </row>
    <row r="56" spans="2:14">
      <c r="B56" s="14">
        <v>51</v>
      </c>
      <c r="C56" s="2" t="s">
        <v>60</v>
      </c>
      <c r="D56" s="12">
        <v>500000</v>
      </c>
      <c r="E56" s="12">
        <v>66650</v>
      </c>
      <c r="F56" s="15">
        <f>SUM(D56:E56)</f>
        <v>566650</v>
      </c>
      <c r="G56" s="31">
        <v>50</v>
      </c>
      <c r="H56" s="12">
        <v>11333</v>
      </c>
      <c r="I56" s="11">
        <v>29</v>
      </c>
      <c r="J56" s="11">
        <f t="shared" si="4"/>
        <v>21</v>
      </c>
      <c r="K56" s="12">
        <f>(29*11333)</f>
        <v>328657</v>
      </c>
      <c r="L56" s="15">
        <f t="shared" si="5"/>
        <v>237993</v>
      </c>
      <c r="M56" s="8"/>
      <c r="N56" s="39" t="e">
        <f>#REF!-H56</f>
        <v>#REF!</v>
      </c>
    </row>
    <row r="57" spans="2:14">
      <c r="B57" s="14">
        <v>52</v>
      </c>
      <c r="C57" s="17" t="s">
        <v>31</v>
      </c>
      <c r="D57" s="20">
        <v>330000</v>
      </c>
      <c r="E57" s="20">
        <v>43989</v>
      </c>
      <c r="F57" s="20">
        <f>SUM(D57:E57)</f>
        <v>373989</v>
      </c>
      <c r="G57" s="33">
        <v>50</v>
      </c>
      <c r="H57" s="3">
        <v>7479.78</v>
      </c>
      <c r="I57" s="8">
        <v>6</v>
      </c>
      <c r="J57" s="11">
        <f t="shared" si="4"/>
        <v>44</v>
      </c>
      <c r="K57" s="3">
        <f>(6*7479.78)</f>
        <v>44878.68</v>
      </c>
      <c r="L57" s="12">
        <f t="shared" si="5"/>
        <v>329110.32</v>
      </c>
      <c r="M57" s="1"/>
      <c r="N57" s="39" t="e">
        <f>#REF!-H57</f>
        <v>#REF!</v>
      </c>
    </row>
    <row r="58" spans="2:14">
      <c r="B58" s="14">
        <v>53</v>
      </c>
      <c r="C58" s="2" t="s">
        <v>227</v>
      </c>
      <c r="D58" s="15">
        <v>200000</v>
      </c>
      <c r="E58" s="15">
        <v>26660</v>
      </c>
      <c r="F58" s="15">
        <v>226660</v>
      </c>
      <c r="G58" s="31">
        <v>40</v>
      </c>
      <c r="H58" s="18">
        <v>5666.5</v>
      </c>
      <c r="I58" s="31">
        <v>33</v>
      </c>
      <c r="J58" s="11">
        <f t="shared" si="4"/>
        <v>7</v>
      </c>
      <c r="K58" s="12">
        <f>(33*5666.5)</f>
        <v>186994.5</v>
      </c>
      <c r="L58" s="15">
        <f t="shared" si="5"/>
        <v>39665.5</v>
      </c>
      <c r="M58" s="8"/>
      <c r="N58" s="39" t="e">
        <f>#REF!-H58</f>
        <v>#REF!</v>
      </c>
    </row>
    <row r="59" spans="2:14">
      <c r="B59" s="14">
        <v>54</v>
      </c>
      <c r="C59" s="25" t="s">
        <v>110</v>
      </c>
      <c r="D59" s="12">
        <v>330000</v>
      </c>
      <c r="E59" s="16">
        <v>43989</v>
      </c>
      <c r="F59" s="15">
        <f t="shared" ref="F59:F64" si="7">SUM(D59:E59)</f>
        <v>373989</v>
      </c>
      <c r="G59" s="33">
        <v>50</v>
      </c>
      <c r="H59" s="16">
        <v>7479.78</v>
      </c>
      <c r="I59" s="8">
        <v>29</v>
      </c>
      <c r="J59" s="11">
        <f t="shared" si="4"/>
        <v>21</v>
      </c>
      <c r="K59" s="12">
        <f>(29*7479.78)</f>
        <v>216913.62</v>
      </c>
      <c r="L59" s="15">
        <f t="shared" si="5"/>
        <v>157075.38</v>
      </c>
      <c r="M59" s="8"/>
      <c r="N59" s="39" t="e">
        <f>#REF!-H59</f>
        <v>#REF!</v>
      </c>
    </row>
    <row r="60" spans="2:14">
      <c r="B60" s="14">
        <v>55</v>
      </c>
      <c r="C60" s="2" t="s">
        <v>147</v>
      </c>
      <c r="D60" s="12">
        <v>500000</v>
      </c>
      <c r="E60" s="12">
        <v>66650</v>
      </c>
      <c r="F60" s="15">
        <f t="shared" si="7"/>
        <v>566650</v>
      </c>
      <c r="G60" s="31">
        <v>50</v>
      </c>
      <c r="H60" s="24">
        <v>5666.5</v>
      </c>
      <c r="I60" s="11">
        <v>29</v>
      </c>
      <c r="J60" s="11">
        <f t="shared" si="4"/>
        <v>21</v>
      </c>
      <c r="K60" s="16">
        <f>(29*5666.5)</f>
        <v>164328.5</v>
      </c>
      <c r="L60" s="15">
        <f t="shared" si="5"/>
        <v>402321.5</v>
      </c>
      <c r="M60" s="8"/>
      <c r="N60" s="39" t="e">
        <f>#REF!-H60</f>
        <v>#REF!</v>
      </c>
    </row>
    <row r="61" spans="2:14">
      <c r="B61" s="14">
        <v>56</v>
      </c>
      <c r="C61" s="25" t="s">
        <v>187</v>
      </c>
      <c r="D61" s="41">
        <v>150000</v>
      </c>
      <c r="E61" s="41">
        <v>11997</v>
      </c>
      <c r="F61" s="41">
        <f t="shared" si="7"/>
        <v>161997</v>
      </c>
      <c r="G61" s="33">
        <v>30</v>
      </c>
      <c r="H61" s="41">
        <v>5399.9</v>
      </c>
      <c r="I61" s="11">
        <v>28</v>
      </c>
      <c r="J61" s="11">
        <f t="shared" si="4"/>
        <v>2</v>
      </c>
      <c r="K61" s="16">
        <f>(28*5399.9)</f>
        <v>151197.19999999998</v>
      </c>
      <c r="L61" s="41">
        <f t="shared" si="5"/>
        <v>10799.800000000017</v>
      </c>
      <c r="M61" s="8"/>
      <c r="N61" s="39" t="e">
        <f>#REF!-H61</f>
        <v>#REF!</v>
      </c>
    </row>
    <row r="62" spans="2:14">
      <c r="B62" s="14">
        <v>57</v>
      </c>
      <c r="C62" s="2" t="s">
        <v>149</v>
      </c>
      <c r="D62" s="15">
        <v>200000</v>
      </c>
      <c r="E62" s="15">
        <v>26660</v>
      </c>
      <c r="F62" s="15">
        <f t="shared" si="7"/>
        <v>226660</v>
      </c>
      <c r="G62" s="31">
        <v>40</v>
      </c>
      <c r="H62" s="15">
        <v>5666.5</v>
      </c>
      <c r="I62" s="8">
        <v>34</v>
      </c>
      <c r="J62" s="11">
        <f t="shared" si="4"/>
        <v>6</v>
      </c>
      <c r="K62" s="12">
        <f>(34*5666.5)</f>
        <v>192661</v>
      </c>
      <c r="L62" s="15">
        <f t="shared" si="5"/>
        <v>33999</v>
      </c>
      <c r="M62" s="8"/>
      <c r="N62" s="39" t="e">
        <f>#REF!-H62</f>
        <v>#REF!</v>
      </c>
    </row>
    <row r="63" spans="2:14">
      <c r="B63" s="14">
        <v>58</v>
      </c>
      <c r="C63" s="2" t="s">
        <v>150</v>
      </c>
      <c r="D63" s="15">
        <v>200000</v>
      </c>
      <c r="E63" s="15">
        <v>26660</v>
      </c>
      <c r="F63" s="15">
        <f t="shared" si="7"/>
        <v>226660</v>
      </c>
      <c r="G63" s="31">
        <v>40</v>
      </c>
      <c r="H63" s="15">
        <v>5666.5</v>
      </c>
      <c r="I63" s="8">
        <v>37</v>
      </c>
      <c r="J63" s="11">
        <f t="shared" si="4"/>
        <v>3</v>
      </c>
      <c r="K63" s="12">
        <f>(37*5666.5)</f>
        <v>209660.5</v>
      </c>
      <c r="L63" s="15">
        <f t="shared" si="5"/>
        <v>16999.5</v>
      </c>
      <c r="M63" s="8"/>
      <c r="N63" s="39" t="e">
        <f>#REF!-H63</f>
        <v>#REF!</v>
      </c>
    </row>
    <row r="64" spans="2:14">
      <c r="B64" s="14">
        <v>59</v>
      </c>
      <c r="C64" s="2" t="s">
        <v>12</v>
      </c>
      <c r="D64" s="12">
        <v>450000</v>
      </c>
      <c r="E64" s="12">
        <v>59985</v>
      </c>
      <c r="F64" s="15">
        <f t="shared" si="7"/>
        <v>509985</v>
      </c>
      <c r="G64" s="33">
        <v>50</v>
      </c>
      <c r="H64" s="16">
        <v>11333</v>
      </c>
      <c r="I64" s="31">
        <v>9</v>
      </c>
      <c r="J64" s="11">
        <f t="shared" si="4"/>
        <v>41</v>
      </c>
      <c r="K64" s="12">
        <f>(9*11333)</f>
        <v>101997</v>
      </c>
      <c r="L64" s="15">
        <f t="shared" si="5"/>
        <v>407988</v>
      </c>
      <c r="M64" s="8"/>
      <c r="N64" s="39" t="e">
        <f>#REF!-H64</f>
        <v>#REF!</v>
      </c>
    </row>
    <row r="65" spans="2:14">
      <c r="B65" s="14">
        <v>60</v>
      </c>
      <c r="C65" s="2" t="s">
        <v>250</v>
      </c>
      <c r="D65" s="15">
        <v>200000</v>
      </c>
      <c r="E65" s="15">
        <v>26660</v>
      </c>
      <c r="F65" s="15">
        <v>226660</v>
      </c>
      <c r="G65" s="31">
        <v>40</v>
      </c>
      <c r="H65" s="18">
        <v>5666.5</v>
      </c>
      <c r="I65" s="8">
        <v>32</v>
      </c>
      <c r="J65" s="11">
        <f t="shared" si="4"/>
        <v>8</v>
      </c>
      <c r="K65" s="12">
        <f>(32*5666.5)</f>
        <v>181328</v>
      </c>
      <c r="L65" s="15">
        <f t="shared" si="5"/>
        <v>45332</v>
      </c>
      <c r="M65" s="8" t="s">
        <v>251</v>
      </c>
      <c r="N65" s="39" t="e">
        <f>#REF!-H65</f>
        <v>#REF!</v>
      </c>
    </row>
    <row r="66" spans="2:14">
      <c r="B66" s="14">
        <v>61</v>
      </c>
      <c r="C66" s="2" t="s">
        <v>211</v>
      </c>
      <c r="D66" s="12">
        <v>150000</v>
      </c>
      <c r="E66" s="12">
        <v>19995</v>
      </c>
      <c r="F66" s="15">
        <f t="shared" ref="F66:F81" si="8">SUM(D66:E66)</f>
        <v>169995</v>
      </c>
      <c r="G66" s="31">
        <v>50</v>
      </c>
      <c r="H66" s="12">
        <v>3399.9</v>
      </c>
      <c r="I66" s="8">
        <v>27</v>
      </c>
      <c r="J66" s="11">
        <f t="shared" si="4"/>
        <v>23</v>
      </c>
      <c r="K66" s="12">
        <f>(27*3399.9)</f>
        <v>91797.3</v>
      </c>
      <c r="L66" s="15">
        <f t="shared" si="5"/>
        <v>78197.7</v>
      </c>
      <c r="M66" s="8"/>
      <c r="N66" s="39" t="e">
        <f>#REF!-H66</f>
        <v>#REF!</v>
      </c>
    </row>
    <row r="67" spans="2:14">
      <c r="B67" s="14">
        <v>62</v>
      </c>
      <c r="C67" s="2" t="s">
        <v>111</v>
      </c>
      <c r="D67" s="12">
        <v>330000</v>
      </c>
      <c r="E67" s="12">
        <v>43989</v>
      </c>
      <c r="F67" s="15">
        <f t="shared" si="8"/>
        <v>373989</v>
      </c>
      <c r="G67" s="31">
        <v>50</v>
      </c>
      <c r="H67" s="12">
        <v>7479.78</v>
      </c>
      <c r="I67" s="11">
        <v>20</v>
      </c>
      <c r="J67" s="11">
        <f t="shared" ref="J67:J98" si="9">G67-I67</f>
        <v>30</v>
      </c>
      <c r="K67" s="16">
        <f>(20*7479.78)</f>
        <v>149595.6</v>
      </c>
      <c r="L67" s="15">
        <f t="shared" ref="L67:L98" si="10">F67-K67</f>
        <v>224393.4</v>
      </c>
      <c r="M67" s="8"/>
      <c r="N67" s="39" t="e">
        <f>#REF!-H67</f>
        <v>#REF!</v>
      </c>
    </row>
    <row r="68" spans="2:14">
      <c r="B68" s="14">
        <v>63</v>
      </c>
      <c r="C68" s="2" t="s">
        <v>151</v>
      </c>
      <c r="D68" s="15">
        <v>200000</v>
      </c>
      <c r="E68" s="15">
        <v>26660</v>
      </c>
      <c r="F68" s="15">
        <f t="shared" si="8"/>
        <v>226660</v>
      </c>
      <c r="G68" s="31">
        <v>40</v>
      </c>
      <c r="H68" s="15">
        <v>5666.5</v>
      </c>
      <c r="I68" s="8">
        <v>35</v>
      </c>
      <c r="J68" s="11">
        <f t="shared" si="9"/>
        <v>5</v>
      </c>
      <c r="K68" s="12">
        <f>(35*5666.5)</f>
        <v>198327.5</v>
      </c>
      <c r="L68" s="15">
        <f t="shared" si="10"/>
        <v>28332.5</v>
      </c>
      <c r="M68" s="8"/>
      <c r="N68" s="39" t="e">
        <f>#REF!-H68</f>
        <v>#REF!</v>
      </c>
    </row>
    <row r="69" spans="2:14">
      <c r="B69" s="14">
        <v>64</v>
      </c>
      <c r="C69" s="2" t="s">
        <v>153</v>
      </c>
      <c r="D69" s="15">
        <v>200000</v>
      </c>
      <c r="E69" s="15">
        <v>26660</v>
      </c>
      <c r="F69" s="15">
        <f t="shared" si="8"/>
        <v>226660</v>
      </c>
      <c r="G69" s="31">
        <v>40</v>
      </c>
      <c r="H69" s="15">
        <v>5666.5</v>
      </c>
      <c r="I69" s="8">
        <v>34</v>
      </c>
      <c r="J69" s="11">
        <f t="shared" si="9"/>
        <v>6</v>
      </c>
      <c r="K69" s="12">
        <f>(34*5666.5)</f>
        <v>192661</v>
      </c>
      <c r="L69" s="15">
        <f t="shared" si="10"/>
        <v>33999</v>
      </c>
      <c r="M69" s="8"/>
      <c r="N69" s="39" t="e">
        <f>#REF!-H69</f>
        <v>#REF!</v>
      </c>
    </row>
    <row r="70" spans="2:14">
      <c r="B70" s="14">
        <v>65</v>
      </c>
      <c r="C70" s="2" t="s">
        <v>112</v>
      </c>
      <c r="D70" s="12">
        <v>330000</v>
      </c>
      <c r="E70" s="12">
        <v>43989</v>
      </c>
      <c r="F70" s="15">
        <f t="shared" si="8"/>
        <v>373989</v>
      </c>
      <c r="G70" s="31">
        <v>50</v>
      </c>
      <c r="H70" s="12">
        <v>7479.78</v>
      </c>
      <c r="I70" s="11">
        <v>20</v>
      </c>
      <c r="J70" s="11">
        <f t="shared" si="9"/>
        <v>30</v>
      </c>
      <c r="K70" s="16">
        <f>(20*7479.78)</f>
        <v>149595.6</v>
      </c>
      <c r="L70" s="15">
        <f t="shared" si="10"/>
        <v>224393.4</v>
      </c>
      <c r="M70" s="8"/>
      <c r="N70" s="39" t="e">
        <f>#REF!-H70</f>
        <v>#REF!</v>
      </c>
    </row>
    <row r="71" spans="2:14">
      <c r="B71" s="14">
        <v>66</v>
      </c>
      <c r="C71" s="2" t="s">
        <v>62</v>
      </c>
      <c r="D71" s="12">
        <v>500000</v>
      </c>
      <c r="E71" s="12">
        <v>66650</v>
      </c>
      <c r="F71" s="15">
        <f t="shared" si="8"/>
        <v>566650</v>
      </c>
      <c r="G71" s="33">
        <v>50</v>
      </c>
      <c r="H71" s="12">
        <v>11333</v>
      </c>
      <c r="I71" s="11">
        <v>19</v>
      </c>
      <c r="J71" s="11">
        <f t="shared" si="9"/>
        <v>31</v>
      </c>
      <c r="K71" s="12">
        <f>(19*11333)</f>
        <v>215327</v>
      </c>
      <c r="L71" s="15">
        <f t="shared" si="10"/>
        <v>351323</v>
      </c>
      <c r="M71" s="8"/>
      <c r="N71" s="39" t="e">
        <f>#REF!-H71</f>
        <v>#REF!</v>
      </c>
    </row>
    <row r="72" spans="2:14">
      <c r="B72" s="14">
        <v>67</v>
      </c>
      <c r="C72" s="2" t="s">
        <v>63</v>
      </c>
      <c r="D72" s="12">
        <v>500000</v>
      </c>
      <c r="E72" s="12">
        <v>66650</v>
      </c>
      <c r="F72" s="15">
        <f t="shared" si="8"/>
        <v>566650</v>
      </c>
      <c r="G72" s="31">
        <v>50</v>
      </c>
      <c r="H72" s="12">
        <v>11333</v>
      </c>
      <c r="I72" s="11">
        <v>20</v>
      </c>
      <c r="J72" s="11">
        <f t="shared" si="9"/>
        <v>30</v>
      </c>
      <c r="K72" s="12">
        <f>(20*11333)</f>
        <v>226660</v>
      </c>
      <c r="L72" s="15">
        <f t="shared" si="10"/>
        <v>339990</v>
      </c>
      <c r="M72" s="8"/>
      <c r="N72" s="39" t="e">
        <f>#REF!-H72</f>
        <v>#REF!</v>
      </c>
    </row>
    <row r="73" spans="2:14">
      <c r="B73" s="14">
        <v>68</v>
      </c>
      <c r="C73" s="2" t="s">
        <v>64</v>
      </c>
      <c r="D73" s="12">
        <v>500000</v>
      </c>
      <c r="E73" s="12">
        <v>66650</v>
      </c>
      <c r="F73" s="15">
        <f t="shared" si="8"/>
        <v>566650</v>
      </c>
      <c r="G73" s="33">
        <v>50</v>
      </c>
      <c r="H73" s="12">
        <v>11333</v>
      </c>
      <c r="I73" s="11">
        <v>19</v>
      </c>
      <c r="J73" s="11">
        <f t="shared" si="9"/>
        <v>31</v>
      </c>
      <c r="K73" s="12">
        <f>(19*11333)</f>
        <v>215327</v>
      </c>
      <c r="L73" s="15">
        <f t="shared" si="10"/>
        <v>351323</v>
      </c>
      <c r="M73" s="8"/>
      <c r="N73" s="39" t="e">
        <f>#REF!-H73</f>
        <v>#REF!</v>
      </c>
    </row>
    <row r="74" spans="2:14">
      <c r="B74" s="14">
        <v>69</v>
      </c>
      <c r="C74" s="2" t="s">
        <v>65</v>
      </c>
      <c r="D74" s="12">
        <v>500000</v>
      </c>
      <c r="E74" s="12">
        <v>66650</v>
      </c>
      <c r="F74" s="15">
        <f t="shared" si="8"/>
        <v>566650</v>
      </c>
      <c r="G74" s="31">
        <v>50</v>
      </c>
      <c r="H74" s="12">
        <v>11333</v>
      </c>
      <c r="I74" s="8">
        <v>27</v>
      </c>
      <c r="J74" s="11">
        <f t="shared" si="9"/>
        <v>23</v>
      </c>
      <c r="K74" s="12">
        <f>(27*11333)</f>
        <v>305991</v>
      </c>
      <c r="L74" s="15">
        <f t="shared" si="10"/>
        <v>260659</v>
      </c>
      <c r="M74" s="8"/>
      <c r="N74" s="39" t="e">
        <f>#REF!-H74</f>
        <v>#REF!</v>
      </c>
    </row>
    <row r="75" spans="2:14">
      <c r="B75" s="14">
        <v>70</v>
      </c>
      <c r="C75" s="2" t="s">
        <v>66</v>
      </c>
      <c r="D75" s="12">
        <v>500000</v>
      </c>
      <c r="E75" s="12">
        <v>66650</v>
      </c>
      <c r="F75" s="15">
        <f t="shared" si="8"/>
        <v>566650</v>
      </c>
      <c r="G75" s="31">
        <v>50</v>
      </c>
      <c r="H75" s="18">
        <v>11333</v>
      </c>
      <c r="I75" s="8">
        <v>9</v>
      </c>
      <c r="J75" s="11">
        <f t="shared" si="9"/>
        <v>41</v>
      </c>
      <c r="K75" s="12">
        <f>(9*11333)</f>
        <v>101997</v>
      </c>
      <c r="L75" s="15">
        <f t="shared" si="10"/>
        <v>464653</v>
      </c>
      <c r="M75" s="8"/>
      <c r="N75" s="39" t="e">
        <f>#REF!-H75</f>
        <v>#REF!</v>
      </c>
    </row>
    <row r="76" spans="2:14">
      <c r="B76" s="14">
        <v>71</v>
      </c>
      <c r="C76" s="2" t="s">
        <v>113</v>
      </c>
      <c r="D76" s="12">
        <v>330000</v>
      </c>
      <c r="E76" s="12">
        <v>43989</v>
      </c>
      <c r="F76" s="15">
        <f t="shared" si="8"/>
        <v>373989</v>
      </c>
      <c r="G76" s="31">
        <v>50</v>
      </c>
      <c r="H76" s="12">
        <v>7479.78</v>
      </c>
      <c r="I76" s="8">
        <v>41</v>
      </c>
      <c r="J76" s="11">
        <f t="shared" si="9"/>
        <v>9</v>
      </c>
      <c r="K76" s="12">
        <f>(41*11333)</f>
        <v>464653</v>
      </c>
      <c r="L76" s="15">
        <f t="shared" si="10"/>
        <v>-90664</v>
      </c>
      <c r="M76" s="8"/>
      <c r="N76" s="39" t="e">
        <f>#REF!-H76</f>
        <v>#REF!</v>
      </c>
    </row>
    <row r="77" spans="2:14">
      <c r="B77" s="14">
        <v>72</v>
      </c>
      <c r="C77" s="2" t="s">
        <v>203</v>
      </c>
      <c r="D77" s="12">
        <v>132000</v>
      </c>
      <c r="E77" s="12">
        <v>17595.599999999999</v>
      </c>
      <c r="F77" s="15">
        <f t="shared" si="8"/>
        <v>149595.6</v>
      </c>
      <c r="G77" s="31">
        <v>40</v>
      </c>
      <c r="H77" s="12">
        <v>3739.89</v>
      </c>
      <c r="I77" s="8">
        <v>34</v>
      </c>
      <c r="J77" s="11">
        <f t="shared" si="9"/>
        <v>6</v>
      </c>
      <c r="K77" s="12">
        <f>(34*3739.89)</f>
        <v>127156.26</v>
      </c>
      <c r="L77" s="15">
        <f t="shared" si="10"/>
        <v>22439.340000000011</v>
      </c>
      <c r="M77" s="8"/>
      <c r="N77" s="39" t="e">
        <f>#REF!-H77</f>
        <v>#REF!</v>
      </c>
    </row>
    <row r="78" spans="2:14">
      <c r="B78" s="14">
        <v>73</v>
      </c>
      <c r="C78" s="2" t="s">
        <v>195</v>
      </c>
      <c r="D78" s="12">
        <v>180000</v>
      </c>
      <c r="E78" s="12">
        <v>23994</v>
      </c>
      <c r="F78" s="15">
        <f t="shared" si="8"/>
        <v>203994</v>
      </c>
      <c r="G78" s="31">
        <v>40</v>
      </c>
      <c r="H78" s="12">
        <v>5099.8500000000004</v>
      </c>
      <c r="I78" s="8">
        <v>40</v>
      </c>
      <c r="J78" s="11">
        <f t="shared" si="9"/>
        <v>0</v>
      </c>
      <c r="K78" s="12">
        <f>(40*5099.85)</f>
        <v>203994</v>
      </c>
      <c r="L78" s="15">
        <f t="shared" si="10"/>
        <v>0</v>
      </c>
      <c r="M78" s="8"/>
      <c r="N78" s="39" t="e">
        <f>#REF!-H78</f>
        <v>#REF!</v>
      </c>
    </row>
    <row r="79" spans="2:14">
      <c r="B79" s="14">
        <v>74</v>
      </c>
      <c r="C79" s="2" t="s">
        <v>155</v>
      </c>
      <c r="D79" s="15">
        <v>200000</v>
      </c>
      <c r="E79" s="15">
        <v>26660</v>
      </c>
      <c r="F79" s="15">
        <f t="shared" si="8"/>
        <v>226660</v>
      </c>
      <c r="G79" s="31">
        <v>40</v>
      </c>
      <c r="H79" s="15">
        <v>5666.5</v>
      </c>
      <c r="I79" s="8">
        <v>34</v>
      </c>
      <c r="J79" s="11">
        <f t="shared" si="9"/>
        <v>6</v>
      </c>
      <c r="K79" s="15">
        <f>(34*5666.5)</f>
        <v>192661</v>
      </c>
      <c r="L79" s="15">
        <f t="shared" si="10"/>
        <v>33999</v>
      </c>
      <c r="M79" s="8"/>
      <c r="N79" s="39" t="e">
        <f>#REF!-H79</f>
        <v>#REF!</v>
      </c>
    </row>
    <row r="80" spans="2:14">
      <c r="B80" s="14">
        <v>75</v>
      </c>
      <c r="C80" s="2" t="s">
        <v>44</v>
      </c>
      <c r="D80" s="12">
        <v>450000</v>
      </c>
      <c r="E80" s="16">
        <v>59985</v>
      </c>
      <c r="F80" s="15">
        <f t="shared" si="8"/>
        <v>509985</v>
      </c>
      <c r="G80" s="33">
        <v>50</v>
      </c>
      <c r="H80" s="71">
        <v>10199.700000000001</v>
      </c>
      <c r="I80" s="8">
        <v>31</v>
      </c>
      <c r="J80" s="11">
        <f t="shared" si="9"/>
        <v>19</v>
      </c>
      <c r="K80" s="12">
        <f>(31*10199.7)</f>
        <v>316190.7</v>
      </c>
      <c r="L80" s="15">
        <f t="shared" si="10"/>
        <v>193794.3</v>
      </c>
      <c r="M80" s="8"/>
      <c r="N80" s="39" t="e">
        <f>#REF!-H80</f>
        <v>#REF!</v>
      </c>
    </row>
    <row r="81" spans="2:14">
      <c r="B81" s="14">
        <v>76</v>
      </c>
      <c r="C81" s="2" t="s">
        <v>68</v>
      </c>
      <c r="D81" s="12">
        <v>500000</v>
      </c>
      <c r="E81" s="12">
        <v>66650</v>
      </c>
      <c r="F81" s="15">
        <f t="shared" si="8"/>
        <v>566650</v>
      </c>
      <c r="G81" s="31">
        <v>50</v>
      </c>
      <c r="H81" s="12">
        <v>11333</v>
      </c>
      <c r="I81" s="8">
        <v>41</v>
      </c>
      <c r="J81" s="11">
        <f t="shared" si="9"/>
        <v>9</v>
      </c>
      <c r="K81" s="12">
        <f>(41*11333)</f>
        <v>464653</v>
      </c>
      <c r="L81" s="15">
        <f t="shared" si="10"/>
        <v>101997</v>
      </c>
      <c r="M81" s="8"/>
      <c r="N81" s="39" t="e">
        <f>#REF!-H81</f>
        <v>#REF!</v>
      </c>
    </row>
    <row r="82" spans="2:14">
      <c r="B82" s="14">
        <v>77</v>
      </c>
      <c r="C82" s="2" t="s">
        <v>28</v>
      </c>
      <c r="D82" s="18">
        <v>500000</v>
      </c>
      <c r="E82" s="18">
        <v>66650</v>
      </c>
      <c r="F82" s="18">
        <v>566650</v>
      </c>
      <c r="G82" s="33">
        <v>50</v>
      </c>
      <c r="H82" s="16">
        <v>11333</v>
      </c>
      <c r="I82" s="8">
        <v>5</v>
      </c>
      <c r="J82" s="11">
        <f t="shared" si="9"/>
        <v>45</v>
      </c>
      <c r="K82" s="12">
        <f>(5*11333)</f>
        <v>56665</v>
      </c>
      <c r="L82" s="12">
        <f t="shared" si="10"/>
        <v>509985</v>
      </c>
      <c r="M82" s="1"/>
      <c r="N82" s="39" t="e">
        <f>#REF!-H82</f>
        <v>#REF!</v>
      </c>
    </row>
    <row r="83" spans="2:14">
      <c r="B83" s="14">
        <v>78</v>
      </c>
      <c r="C83" s="2" t="s">
        <v>212</v>
      </c>
      <c r="D83" s="12">
        <v>150000</v>
      </c>
      <c r="E83" s="12">
        <v>19995</v>
      </c>
      <c r="F83" s="15">
        <f>SUM(D83:E83)</f>
        <v>169995</v>
      </c>
      <c r="G83" s="31">
        <v>50</v>
      </c>
      <c r="H83" s="12">
        <v>3399.9</v>
      </c>
      <c r="I83" s="8">
        <v>29</v>
      </c>
      <c r="J83" s="11">
        <f t="shared" si="9"/>
        <v>21</v>
      </c>
      <c r="K83" s="12">
        <f>(29*3399.9)</f>
        <v>98597.1</v>
      </c>
      <c r="L83" s="15">
        <f t="shared" si="10"/>
        <v>71397.899999999994</v>
      </c>
      <c r="M83" s="8"/>
      <c r="N83" s="39" t="e">
        <f>#REF!-H83</f>
        <v>#REF!</v>
      </c>
    </row>
    <row r="84" spans="2:14">
      <c r="B84" s="14">
        <v>79</v>
      </c>
      <c r="C84" s="2" t="s">
        <v>156</v>
      </c>
      <c r="D84" s="15">
        <v>200000</v>
      </c>
      <c r="E84" s="15">
        <v>26660</v>
      </c>
      <c r="F84" s="15">
        <f>SUM(D84:E84)</f>
        <v>226660</v>
      </c>
      <c r="G84" s="31">
        <v>40</v>
      </c>
      <c r="H84" s="70">
        <v>3739.89</v>
      </c>
      <c r="I84" s="8">
        <v>37</v>
      </c>
      <c r="J84" s="11">
        <f t="shared" si="9"/>
        <v>3</v>
      </c>
      <c r="K84" s="12">
        <f>(37*5666.5)</f>
        <v>209660.5</v>
      </c>
      <c r="L84" s="15">
        <f t="shared" si="10"/>
        <v>16999.5</v>
      </c>
      <c r="M84" s="8"/>
      <c r="N84" s="39" t="e">
        <f>#REF!-H84</f>
        <v>#REF!</v>
      </c>
    </row>
    <row r="85" spans="2:14">
      <c r="B85" s="14">
        <v>80</v>
      </c>
      <c r="C85" s="2" t="s">
        <v>157</v>
      </c>
      <c r="D85" s="15">
        <v>200000</v>
      </c>
      <c r="E85" s="15">
        <v>26660</v>
      </c>
      <c r="F85" s="15">
        <f>SUM(D85:E85)</f>
        <v>226660</v>
      </c>
      <c r="G85" s="31">
        <v>40</v>
      </c>
      <c r="H85" s="15">
        <v>5666.5</v>
      </c>
      <c r="I85" s="8">
        <v>37</v>
      </c>
      <c r="J85" s="11">
        <f t="shared" si="9"/>
        <v>3</v>
      </c>
      <c r="K85" s="12">
        <f>(37*5666.5)</f>
        <v>209660.5</v>
      </c>
      <c r="L85" s="15">
        <f t="shared" si="10"/>
        <v>16999.5</v>
      </c>
      <c r="M85" s="8"/>
      <c r="N85" s="39" t="e">
        <f>#REF!-H85</f>
        <v>#REF!</v>
      </c>
    </row>
    <row r="86" spans="2:14">
      <c r="B86" s="14">
        <v>81</v>
      </c>
      <c r="C86" s="2" t="s">
        <v>22</v>
      </c>
      <c r="D86" s="18">
        <v>500000</v>
      </c>
      <c r="E86" s="18">
        <v>66650</v>
      </c>
      <c r="F86" s="18">
        <v>566650</v>
      </c>
      <c r="G86" s="33">
        <v>50</v>
      </c>
      <c r="H86" s="16">
        <v>11333</v>
      </c>
      <c r="I86" s="8">
        <v>5</v>
      </c>
      <c r="J86" s="11">
        <f t="shared" si="9"/>
        <v>45</v>
      </c>
      <c r="K86" s="12">
        <f>(5*11333)</f>
        <v>56665</v>
      </c>
      <c r="L86" s="12">
        <f t="shared" si="10"/>
        <v>509985</v>
      </c>
      <c r="M86" s="8"/>
      <c r="N86" s="39" t="e">
        <f>#REF!-H86</f>
        <v>#REF!</v>
      </c>
    </row>
    <row r="87" spans="2:14">
      <c r="B87" s="14">
        <v>82</v>
      </c>
      <c r="C87" s="2" t="s">
        <v>158</v>
      </c>
      <c r="D87" s="15">
        <v>200000</v>
      </c>
      <c r="E87" s="15">
        <v>26660</v>
      </c>
      <c r="F87" s="15">
        <f>SUM(D87:E87)</f>
        <v>226660</v>
      </c>
      <c r="G87" s="31">
        <v>40</v>
      </c>
      <c r="H87" s="15">
        <v>5666.5</v>
      </c>
      <c r="I87" s="8">
        <v>37</v>
      </c>
      <c r="J87" s="11">
        <f t="shared" si="9"/>
        <v>3</v>
      </c>
      <c r="K87" s="12">
        <f>(37*5666.5)</f>
        <v>209660.5</v>
      </c>
      <c r="L87" s="15">
        <f t="shared" si="10"/>
        <v>16999.5</v>
      </c>
      <c r="M87" s="8"/>
      <c r="N87" s="39" t="e">
        <f>#REF!-H87</f>
        <v>#REF!</v>
      </c>
    </row>
    <row r="88" spans="2:14">
      <c r="B88" s="14">
        <v>83</v>
      </c>
      <c r="C88" s="2" t="s">
        <v>51</v>
      </c>
      <c r="D88" s="12">
        <v>500000</v>
      </c>
      <c r="E88" s="12">
        <v>53320</v>
      </c>
      <c r="F88" s="15">
        <f>SUM(D88:E88)</f>
        <v>553320</v>
      </c>
      <c r="G88" s="31">
        <v>40</v>
      </c>
      <c r="H88" s="12">
        <v>13833</v>
      </c>
      <c r="I88" s="8">
        <v>41</v>
      </c>
      <c r="J88" s="11">
        <f t="shared" si="9"/>
        <v>-1</v>
      </c>
      <c r="K88" s="12">
        <f>(41*13833)</f>
        <v>567153</v>
      </c>
      <c r="L88" s="15">
        <f t="shared" si="10"/>
        <v>-13833</v>
      </c>
      <c r="M88" s="8"/>
      <c r="N88" s="39" t="e">
        <f>#REF!-H88</f>
        <v>#REF!</v>
      </c>
    </row>
    <row r="89" spans="2:14">
      <c r="B89" s="14">
        <v>84</v>
      </c>
      <c r="C89" s="2" t="s">
        <v>159</v>
      </c>
      <c r="D89" s="15">
        <v>200000</v>
      </c>
      <c r="E89" s="15">
        <v>26660</v>
      </c>
      <c r="F89" s="15">
        <f>SUM(D89:E89)</f>
        <v>226660</v>
      </c>
      <c r="G89" s="31">
        <v>40</v>
      </c>
      <c r="H89" s="15">
        <v>5666.5</v>
      </c>
      <c r="I89" s="8">
        <v>28</v>
      </c>
      <c r="J89" s="11">
        <f t="shared" si="9"/>
        <v>12</v>
      </c>
      <c r="K89" s="12">
        <f>(28*5666.5)</f>
        <v>158662</v>
      </c>
      <c r="L89" s="15">
        <f t="shared" si="10"/>
        <v>67998</v>
      </c>
      <c r="M89" s="8"/>
      <c r="N89" s="39" t="e">
        <f>#REF!-H89</f>
        <v>#REF!</v>
      </c>
    </row>
    <row r="90" spans="2:14">
      <c r="B90" s="14">
        <v>85</v>
      </c>
      <c r="C90" s="2" t="s">
        <v>233</v>
      </c>
      <c r="D90" s="15">
        <v>200000</v>
      </c>
      <c r="E90" s="15">
        <v>26660</v>
      </c>
      <c r="F90" s="15">
        <v>226660</v>
      </c>
      <c r="G90" s="31">
        <v>40</v>
      </c>
      <c r="H90" s="18">
        <v>5666.5</v>
      </c>
      <c r="I90" s="31">
        <v>37</v>
      </c>
      <c r="J90" s="11">
        <f t="shared" si="9"/>
        <v>3</v>
      </c>
      <c r="K90" s="12">
        <f>(37*5666.5)</f>
        <v>209660.5</v>
      </c>
      <c r="L90" s="15">
        <f t="shared" si="10"/>
        <v>16999.5</v>
      </c>
      <c r="M90" s="8"/>
      <c r="N90" s="39" t="e">
        <f>#REF!-H90</f>
        <v>#REF!</v>
      </c>
    </row>
    <row r="91" spans="2:14">
      <c r="B91" s="14">
        <v>86</v>
      </c>
      <c r="C91" s="2" t="s">
        <v>160</v>
      </c>
      <c r="D91" s="15">
        <v>200000</v>
      </c>
      <c r="E91" s="15">
        <v>26660</v>
      </c>
      <c r="F91" s="15">
        <f>SUM(D91:E91)</f>
        <v>226660</v>
      </c>
      <c r="G91" s="31">
        <v>40</v>
      </c>
      <c r="H91" s="15">
        <v>5666.5</v>
      </c>
      <c r="I91" s="8">
        <v>37</v>
      </c>
      <c r="J91" s="11">
        <f t="shared" si="9"/>
        <v>3</v>
      </c>
      <c r="K91" s="12">
        <f>(37*5666.5)</f>
        <v>209660.5</v>
      </c>
      <c r="L91" s="15">
        <f t="shared" si="10"/>
        <v>16999.5</v>
      </c>
      <c r="M91" s="8"/>
      <c r="N91" s="39" t="e">
        <f>#REF!-H91</f>
        <v>#REF!</v>
      </c>
    </row>
    <row r="92" spans="2:14">
      <c r="B92" s="14">
        <v>87</v>
      </c>
      <c r="C92" s="2" t="s">
        <v>204</v>
      </c>
      <c r="D92" s="12">
        <v>132000</v>
      </c>
      <c r="E92" s="12">
        <v>17595.599999999999</v>
      </c>
      <c r="F92" s="15">
        <f>SUM(D92:E92)</f>
        <v>149595.6</v>
      </c>
      <c r="G92" s="31">
        <v>40</v>
      </c>
      <c r="H92" s="12">
        <v>3739.89</v>
      </c>
      <c r="I92" s="8">
        <v>34</v>
      </c>
      <c r="J92" s="11">
        <f t="shared" si="9"/>
        <v>6</v>
      </c>
      <c r="K92" s="12">
        <f>(34*3739.89)</f>
        <v>127156.26</v>
      </c>
      <c r="L92" s="15">
        <f t="shared" si="10"/>
        <v>22439.340000000011</v>
      </c>
      <c r="M92" s="8"/>
      <c r="N92" s="39" t="e">
        <f>#REF!-H92</f>
        <v>#REF!</v>
      </c>
    </row>
    <row r="93" spans="2:14">
      <c r="B93" s="14">
        <v>88</v>
      </c>
      <c r="C93" s="2" t="s">
        <v>223</v>
      </c>
      <c r="D93" s="12">
        <v>500000</v>
      </c>
      <c r="E93" s="12">
        <v>66650</v>
      </c>
      <c r="F93" s="12">
        <v>566650</v>
      </c>
      <c r="G93" s="31">
        <v>50</v>
      </c>
      <c r="H93" s="18">
        <v>11333</v>
      </c>
      <c r="I93" s="33">
        <v>20</v>
      </c>
      <c r="J93" s="11">
        <f t="shared" si="9"/>
        <v>30</v>
      </c>
      <c r="K93" s="12">
        <f>(20*11333)</f>
        <v>226660</v>
      </c>
      <c r="L93" s="15">
        <f t="shared" si="10"/>
        <v>339990</v>
      </c>
      <c r="M93" s="8"/>
      <c r="N93" s="39" t="e">
        <f>#REF!-H93</f>
        <v>#REF!</v>
      </c>
    </row>
    <row r="94" spans="2:14">
      <c r="B94" s="14">
        <v>89</v>
      </c>
      <c r="C94" s="2" t="s">
        <v>205</v>
      </c>
      <c r="D94" s="12">
        <v>132000</v>
      </c>
      <c r="E94" s="12">
        <v>17595.599999999999</v>
      </c>
      <c r="F94" s="15">
        <f>SUM(D94:E94)</f>
        <v>149595.6</v>
      </c>
      <c r="G94" s="31">
        <v>40</v>
      </c>
      <c r="H94" s="12">
        <v>3739.89</v>
      </c>
      <c r="I94" s="8">
        <v>37</v>
      </c>
      <c r="J94" s="11">
        <f t="shared" si="9"/>
        <v>3</v>
      </c>
      <c r="K94" s="12">
        <f>(37*3739.89)</f>
        <v>138375.93</v>
      </c>
      <c r="L94" s="15">
        <f t="shared" si="10"/>
        <v>11219.670000000013</v>
      </c>
      <c r="M94" s="8"/>
      <c r="N94" s="39" t="e">
        <f>#REF!-H94</f>
        <v>#REF!</v>
      </c>
    </row>
    <row r="95" spans="2:14">
      <c r="B95" s="14">
        <v>90</v>
      </c>
      <c r="C95" s="2" t="s">
        <v>232</v>
      </c>
      <c r="D95" s="15">
        <v>200000</v>
      </c>
      <c r="E95" s="15">
        <v>26660</v>
      </c>
      <c r="F95" s="15">
        <v>226660</v>
      </c>
      <c r="G95" s="31">
        <v>40</v>
      </c>
      <c r="H95" s="18">
        <v>5666.5</v>
      </c>
      <c r="I95" s="31">
        <v>34</v>
      </c>
      <c r="J95" s="11">
        <f t="shared" si="9"/>
        <v>6</v>
      </c>
      <c r="K95" s="12">
        <f>(34*5666.5)</f>
        <v>192661</v>
      </c>
      <c r="L95" s="15">
        <f t="shared" si="10"/>
        <v>33999</v>
      </c>
      <c r="M95" s="8"/>
      <c r="N95" s="39" t="e">
        <f>#REF!-H95</f>
        <v>#REF!</v>
      </c>
    </row>
    <row r="96" spans="2:14">
      <c r="B96" s="14">
        <v>91</v>
      </c>
      <c r="C96" s="2" t="s">
        <v>162</v>
      </c>
      <c r="D96" s="15">
        <v>200000</v>
      </c>
      <c r="E96" s="15">
        <v>26660</v>
      </c>
      <c r="F96" s="15">
        <f t="shared" ref="F96:F103" si="11">SUM(D96:E96)</f>
        <v>226660</v>
      </c>
      <c r="G96" s="31">
        <v>40</v>
      </c>
      <c r="H96" s="15">
        <v>5666.5</v>
      </c>
      <c r="I96" s="8">
        <v>36</v>
      </c>
      <c r="J96" s="11">
        <f t="shared" si="9"/>
        <v>4</v>
      </c>
      <c r="K96" s="12">
        <f>(36*5666.5)</f>
        <v>203994</v>
      </c>
      <c r="L96" s="15">
        <f t="shared" si="10"/>
        <v>22666</v>
      </c>
      <c r="M96" s="8"/>
      <c r="N96" s="39" t="e">
        <f>#REF!-H96</f>
        <v>#REF!</v>
      </c>
    </row>
    <row r="97" spans="2:14">
      <c r="B97" s="14">
        <v>92</v>
      </c>
      <c r="C97" s="2" t="s">
        <v>69</v>
      </c>
      <c r="D97" s="12">
        <v>500000</v>
      </c>
      <c r="E97" s="12">
        <v>66650</v>
      </c>
      <c r="F97" s="15">
        <f t="shared" si="11"/>
        <v>566650</v>
      </c>
      <c r="G97" s="31">
        <v>50</v>
      </c>
      <c r="H97" s="12">
        <v>11333</v>
      </c>
      <c r="I97" s="11">
        <v>20</v>
      </c>
      <c r="J97" s="11">
        <f t="shared" si="9"/>
        <v>30</v>
      </c>
      <c r="K97" s="12">
        <f>(20*11333)</f>
        <v>226660</v>
      </c>
      <c r="L97" s="15">
        <f t="shared" si="10"/>
        <v>339990</v>
      </c>
      <c r="M97" s="8"/>
      <c r="N97" s="39" t="e">
        <f>#REF!-H97</f>
        <v>#REF!</v>
      </c>
    </row>
    <row r="98" spans="2:14">
      <c r="B98" s="14">
        <v>93</v>
      </c>
      <c r="C98" s="2" t="s">
        <v>164</v>
      </c>
      <c r="D98" s="15">
        <v>200000</v>
      </c>
      <c r="E98" s="15">
        <v>26660</v>
      </c>
      <c r="F98" s="15">
        <f t="shared" si="11"/>
        <v>226660</v>
      </c>
      <c r="G98" s="31">
        <v>40</v>
      </c>
      <c r="H98" s="15">
        <v>5666.5</v>
      </c>
      <c r="I98" s="8">
        <v>34</v>
      </c>
      <c r="J98" s="11">
        <f t="shared" si="9"/>
        <v>6</v>
      </c>
      <c r="K98" s="12">
        <f>(34*5666.5)</f>
        <v>192661</v>
      </c>
      <c r="L98" s="15">
        <f t="shared" si="10"/>
        <v>33999</v>
      </c>
      <c r="M98" s="8"/>
      <c r="N98" s="39" t="e">
        <f>#REF!-H98</f>
        <v>#REF!</v>
      </c>
    </row>
    <row r="99" spans="2:14">
      <c r="B99" s="14">
        <v>94</v>
      </c>
      <c r="C99" s="2" t="s">
        <v>70</v>
      </c>
      <c r="D99" s="12">
        <v>500000</v>
      </c>
      <c r="E99" s="12">
        <v>66650</v>
      </c>
      <c r="F99" s="15">
        <f t="shared" si="11"/>
        <v>566650</v>
      </c>
      <c r="G99" s="31">
        <v>50</v>
      </c>
      <c r="H99" s="18">
        <v>11333</v>
      </c>
      <c r="I99" s="8">
        <v>25</v>
      </c>
      <c r="J99" s="11">
        <f t="shared" ref="J99:J130" si="12">G99-I99</f>
        <v>25</v>
      </c>
      <c r="K99" s="12">
        <f>(25*11333)</f>
        <v>283325</v>
      </c>
      <c r="L99" s="15">
        <f t="shared" ref="L99:L130" si="13">F99-K99</f>
        <v>283325</v>
      </c>
      <c r="M99" s="8"/>
      <c r="N99" s="39" t="e">
        <f>#REF!-H99</f>
        <v>#REF!</v>
      </c>
    </row>
    <row r="100" spans="2:14">
      <c r="B100" s="14">
        <v>95</v>
      </c>
      <c r="C100" s="2" t="s">
        <v>71</v>
      </c>
      <c r="D100" s="12">
        <v>500000</v>
      </c>
      <c r="E100" s="12">
        <v>66650</v>
      </c>
      <c r="F100" s="15">
        <f t="shared" si="11"/>
        <v>566650</v>
      </c>
      <c r="G100" s="31">
        <v>50</v>
      </c>
      <c r="H100" s="12">
        <v>11333</v>
      </c>
      <c r="I100" s="8">
        <v>41</v>
      </c>
      <c r="J100" s="11">
        <f t="shared" si="12"/>
        <v>9</v>
      </c>
      <c r="K100" s="12">
        <f>(41*11333)</f>
        <v>464653</v>
      </c>
      <c r="L100" s="15">
        <f t="shared" si="13"/>
        <v>101997</v>
      </c>
      <c r="M100" s="8"/>
      <c r="N100" s="39" t="e">
        <f>#REF!-H100</f>
        <v>#REF!</v>
      </c>
    </row>
    <row r="101" spans="2:14">
      <c r="B101" s="14">
        <v>96</v>
      </c>
      <c r="C101" s="2" t="s">
        <v>165</v>
      </c>
      <c r="D101" s="15">
        <v>200000</v>
      </c>
      <c r="E101" s="15">
        <v>26660</v>
      </c>
      <c r="F101" s="15">
        <f t="shared" si="11"/>
        <v>226660</v>
      </c>
      <c r="G101" s="31">
        <v>40</v>
      </c>
      <c r="H101" s="15">
        <v>5666.5</v>
      </c>
      <c r="I101" s="8">
        <v>34</v>
      </c>
      <c r="J101" s="11">
        <f t="shared" si="12"/>
        <v>6</v>
      </c>
      <c r="K101" s="12">
        <f>(34*5666.5)</f>
        <v>192661</v>
      </c>
      <c r="L101" s="15">
        <f t="shared" si="13"/>
        <v>33999</v>
      </c>
      <c r="M101" s="8"/>
      <c r="N101" s="39" t="e">
        <f>#REF!-H101</f>
        <v>#REF!</v>
      </c>
    </row>
    <row r="102" spans="2:14">
      <c r="B102" s="14">
        <v>97</v>
      </c>
      <c r="C102" s="2" t="s">
        <v>218</v>
      </c>
      <c r="D102" s="12">
        <v>60000</v>
      </c>
      <c r="E102" s="12">
        <v>7998</v>
      </c>
      <c r="F102" s="15">
        <f t="shared" si="11"/>
        <v>67998</v>
      </c>
      <c r="G102" s="31">
        <v>40</v>
      </c>
      <c r="H102" s="12">
        <v>1699.95</v>
      </c>
      <c r="I102" s="8">
        <v>34</v>
      </c>
      <c r="J102" s="11">
        <f t="shared" si="12"/>
        <v>6</v>
      </c>
      <c r="K102" s="12">
        <f>(34*1699.95)</f>
        <v>57798.3</v>
      </c>
      <c r="L102" s="15">
        <f t="shared" si="13"/>
        <v>10199.699999999997</v>
      </c>
      <c r="M102" s="8"/>
      <c r="N102" s="39" t="e">
        <f>#REF!-H102</f>
        <v>#REF!</v>
      </c>
    </row>
    <row r="103" spans="2:14">
      <c r="B103" s="14">
        <v>98</v>
      </c>
      <c r="C103" s="25" t="s">
        <v>166</v>
      </c>
      <c r="D103" s="15">
        <v>200000</v>
      </c>
      <c r="E103" s="15">
        <v>26660</v>
      </c>
      <c r="F103" s="15">
        <f t="shared" si="11"/>
        <v>226660</v>
      </c>
      <c r="G103" s="31">
        <v>40</v>
      </c>
      <c r="H103" s="15">
        <v>5666.5</v>
      </c>
      <c r="I103" s="8">
        <v>31</v>
      </c>
      <c r="J103" s="11">
        <f t="shared" si="12"/>
        <v>9</v>
      </c>
      <c r="K103" s="12">
        <f>(31*5666.5)</f>
        <v>175661.5</v>
      </c>
      <c r="L103" s="15">
        <f t="shared" si="13"/>
        <v>50998.5</v>
      </c>
      <c r="M103" s="8"/>
      <c r="N103" s="39" t="e">
        <f>#REF!-H103</f>
        <v>#REF!</v>
      </c>
    </row>
    <row r="104" spans="2:14">
      <c r="B104" s="14">
        <v>99</v>
      </c>
      <c r="C104" s="63" t="s">
        <v>256</v>
      </c>
      <c r="D104" s="12">
        <v>450000</v>
      </c>
      <c r="E104" s="16">
        <v>59985</v>
      </c>
      <c r="F104" s="16">
        <v>509985</v>
      </c>
      <c r="G104" s="33">
        <v>50</v>
      </c>
      <c r="H104" s="16">
        <v>10199.700000000001</v>
      </c>
      <c r="I104" s="8">
        <v>8</v>
      </c>
      <c r="J104" s="11">
        <f t="shared" si="12"/>
        <v>42</v>
      </c>
      <c r="K104" s="12">
        <f>(8*10199)</f>
        <v>81592</v>
      </c>
      <c r="L104" s="15">
        <f t="shared" si="13"/>
        <v>428393</v>
      </c>
      <c r="M104" s="8" t="s">
        <v>251</v>
      </c>
      <c r="N104" s="39" t="e">
        <f>#REF!-H104</f>
        <v>#REF!</v>
      </c>
    </row>
    <row r="105" spans="2:14">
      <c r="B105" s="14">
        <v>100</v>
      </c>
      <c r="C105" s="23" t="s">
        <v>72</v>
      </c>
      <c r="D105" s="12">
        <v>500000</v>
      </c>
      <c r="E105" s="12">
        <v>66650</v>
      </c>
      <c r="F105" s="15">
        <f>SUM(D105:E105)</f>
        <v>566650</v>
      </c>
      <c r="G105" s="31">
        <v>50</v>
      </c>
      <c r="H105" s="12">
        <v>11333</v>
      </c>
      <c r="I105" s="8">
        <v>41</v>
      </c>
      <c r="J105" s="11">
        <f t="shared" si="12"/>
        <v>9</v>
      </c>
      <c r="K105" s="12">
        <f>(41*11333)</f>
        <v>464653</v>
      </c>
      <c r="L105" s="15">
        <f t="shared" si="13"/>
        <v>101997</v>
      </c>
      <c r="M105" s="8"/>
      <c r="N105" s="39" t="e">
        <f>#REF!-H105</f>
        <v>#REF!</v>
      </c>
    </row>
    <row r="106" spans="2:14">
      <c r="B106" s="14">
        <v>101</v>
      </c>
      <c r="C106" s="2" t="s">
        <v>45</v>
      </c>
      <c r="D106" s="12">
        <v>500000</v>
      </c>
      <c r="E106" s="16">
        <v>33325</v>
      </c>
      <c r="F106" s="15">
        <f>SUM(D106:E106)</f>
        <v>533325</v>
      </c>
      <c r="G106" s="33">
        <v>25</v>
      </c>
      <c r="H106" s="16">
        <v>21333</v>
      </c>
      <c r="I106" s="11">
        <v>19</v>
      </c>
      <c r="J106" s="11">
        <f t="shared" si="12"/>
        <v>6</v>
      </c>
      <c r="K106" s="16">
        <f>(19*21333)</f>
        <v>405327</v>
      </c>
      <c r="L106" s="15">
        <f t="shared" si="13"/>
        <v>127998</v>
      </c>
      <c r="M106" s="8"/>
      <c r="N106" s="39" t="e">
        <f>#REF!-H106</f>
        <v>#REF!</v>
      </c>
    </row>
    <row r="107" spans="2:14">
      <c r="B107" s="14">
        <v>102</v>
      </c>
      <c r="C107" s="2" t="s">
        <v>167</v>
      </c>
      <c r="D107" s="15">
        <v>200000</v>
      </c>
      <c r="E107" s="15">
        <v>26660</v>
      </c>
      <c r="F107" s="15">
        <f>SUM(D107:E107)</f>
        <v>226660</v>
      </c>
      <c r="G107" s="31">
        <v>40</v>
      </c>
      <c r="H107" s="15">
        <v>5666.5</v>
      </c>
      <c r="I107" s="8">
        <v>34</v>
      </c>
      <c r="J107" s="11">
        <f t="shared" si="12"/>
        <v>6</v>
      </c>
      <c r="K107" s="12">
        <f>(34*5666.5)</f>
        <v>192661</v>
      </c>
      <c r="L107" s="15">
        <f t="shared" si="13"/>
        <v>33999</v>
      </c>
      <c r="M107" s="8"/>
      <c r="N107" s="39" t="e">
        <f>#REF!-H107</f>
        <v>#REF!</v>
      </c>
    </row>
    <row r="108" spans="2:14">
      <c r="B108" s="14">
        <v>103</v>
      </c>
      <c r="C108" s="2" t="s">
        <v>23</v>
      </c>
      <c r="D108" s="18">
        <v>500000</v>
      </c>
      <c r="E108" s="18">
        <v>66650</v>
      </c>
      <c r="F108" s="18">
        <v>566650</v>
      </c>
      <c r="G108" s="33">
        <v>50</v>
      </c>
      <c r="H108" s="16">
        <v>11333</v>
      </c>
      <c r="I108" s="8">
        <v>6</v>
      </c>
      <c r="J108" s="11">
        <f t="shared" si="12"/>
        <v>44</v>
      </c>
      <c r="K108" s="12">
        <f>(6*11333)</f>
        <v>67998</v>
      </c>
      <c r="L108" s="12">
        <f t="shared" si="13"/>
        <v>498652</v>
      </c>
      <c r="M108" s="8"/>
      <c r="N108" s="39" t="e">
        <f>#REF!-H108</f>
        <v>#REF!</v>
      </c>
    </row>
    <row r="109" spans="2:14">
      <c r="B109" s="14">
        <v>104</v>
      </c>
      <c r="C109" s="2" t="s">
        <v>168</v>
      </c>
      <c r="D109" s="15">
        <v>200000</v>
      </c>
      <c r="E109" s="15">
        <v>26660</v>
      </c>
      <c r="F109" s="15">
        <f>SUM(D109:E109)</f>
        <v>226660</v>
      </c>
      <c r="G109" s="31">
        <v>40</v>
      </c>
      <c r="H109" s="15">
        <v>5666.5</v>
      </c>
      <c r="I109" s="8">
        <v>34</v>
      </c>
      <c r="J109" s="11">
        <f t="shared" si="12"/>
        <v>6</v>
      </c>
      <c r="K109" s="12">
        <f>(34*5666.5)</f>
        <v>192661</v>
      </c>
      <c r="L109" s="15">
        <f t="shared" si="13"/>
        <v>33999</v>
      </c>
      <c r="M109" s="8"/>
      <c r="N109" s="39" t="e">
        <f>#REF!-H109</f>
        <v>#REF!</v>
      </c>
    </row>
    <row r="110" spans="2:14">
      <c r="B110" s="14">
        <v>105</v>
      </c>
      <c r="C110" s="2" t="s">
        <v>169</v>
      </c>
      <c r="D110" s="15">
        <v>200000</v>
      </c>
      <c r="E110" s="15">
        <v>26660</v>
      </c>
      <c r="F110" s="15">
        <f>SUM(D110:E110)</f>
        <v>226660</v>
      </c>
      <c r="G110" s="31">
        <v>40</v>
      </c>
      <c r="H110" s="15">
        <v>5666.5</v>
      </c>
      <c r="I110" s="8">
        <v>33</v>
      </c>
      <c r="J110" s="11">
        <f t="shared" si="12"/>
        <v>7</v>
      </c>
      <c r="K110" s="12">
        <f>(33*5666.5)</f>
        <v>186994.5</v>
      </c>
      <c r="L110" s="15">
        <f t="shared" si="13"/>
        <v>39665.5</v>
      </c>
      <c r="M110" s="8"/>
      <c r="N110" s="39" t="e">
        <f>#REF!-H110</f>
        <v>#REF!</v>
      </c>
    </row>
    <row r="111" spans="2:14">
      <c r="B111" s="14">
        <v>106</v>
      </c>
      <c r="C111" s="2" t="s">
        <v>42</v>
      </c>
      <c r="D111" s="12">
        <v>450000</v>
      </c>
      <c r="E111" s="16">
        <v>59985</v>
      </c>
      <c r="F111" s="16">
        <v>509985</v>
      </c>
      <c r="G111" s="33">
        <v>50</v>
      </c>
      <c r="H111" s="16">
        <v>10199.700000000001</v>
      </c>
      <c r="I111" s="8">
        <v>5</v>
      </c>
      <c r="J111" s="11">
        <f t="shared" si="12"/>
        <v>45</v>
      </c>
      <c r="K111" s="12">
        <f>(5*10199)</f>
        <v>50995</v>
      </c>
      <c r="L111" s="12">
        <f t="shared" si="13"/>
        <v>458990</v>
      </c>
      <c r="M111" s="1"/>
      <c r="N111" s="39" t="e">
        <f>#REF!-H111</f>
        <v>#REF!</v>
      </c>
    </row>
    <row r="112" spans="2:14">
      <c r="B112" s="14">
        <v>107</v>
      </c>
      <c r="C112" s="2" t="s">
        <v>228</v>
      </c>
      <c r="D112" s="15">
        <v>200000</v>
      </c>
      <c r="E112" s="15">
        <v>26660</v>
      </c>
      <c r="F112" s="15">
        <v>226660</v>
      </c>
      <c r="G112" s="31">
        <v>40</v>
      </c>
      <c r="H112" s="18">
        <v>5666.5</v>
      </c>
      <c r="I112" s="31">
        <v>34</v>
      </c>
      <c r="J112" s="11">
        <f t="shared" si="12"/>
        <v>6</v>
      </c>
      <c r="K112" s="12">
        <f>(34*5666.5)</f>
        <v>192661</v>
      </c>
      <c r="L112" s="15">
        <f t="shared" si="13"/>
        <v>33999</v>
      </c>
      <c r="M112" s="8"/>
      <c r="N112" s="39" t="e">
        <f>#REF!-H112</f>
        <v>#REF!</v>
      </c>
    </row>
    <row r="113" spans="2:14">
      <c r="B113" s="14">
        <v>108</v>
      </c>
      <c r="C113" s="2" t="s">
        <v>33</v>
      </c>
      <c r="D113" s="20">
        <v>150000</v>
      </c>
      <c r="E113" s="20">
        <v>19995</v>
      </c>
      <c r="F113" s="20">
        <f>SUM(D113:E113)</f>
        <v>169995</v>
      </c>
      <c r="G113" s="33">
        <v>50</v>
      </c>
      <c r="H113" s="3">
        <v>3399.9</v>
      </c>
      <c r="I113" s="8">
        <v>6</v>
      </c>
      <c r="J113" s="11">
        <f t="shared" si="12"/>
        <v>44</v>
      </c>
      <c r="K113" s="3">
        <f>(6*3399.9)</f>
        <v>20399.400000000001</v>
      </c>
      <c r="L113" s="12">
        <f t="shared" si="13"/>
        <v>149595.6</v>
      </c>
      <c r="M113" s="1"/>
      <c r="N113" s="39" t="e">
        <f>#REF!-H113</f>
        <v>#REF!</v>
      </c>
    </row>
    <row r="114" spans="2:14">
      <c r="B114" s="14">
        <v>109</v>
      </c>
      <c r="C114" s="2" t="s">
        <v>170</v>
      </c>
      <c r="D114" s="15">
        <v>200000</v>
      </c>
      <c r="E114" s="15">
        <v>26660</v>
      </c>
      <c r="F114" s="15">
        <f>SUM(D114:E114)</f>
        <v>226660</v>
      </c>
      <c r="G114" s="31">
        <v>40</v>
      </c>
      <c r="H114" s="15">
        <v>5666.5</v>
      </c>
      <c r="I114" s="8">
        <v>34</v>
      </c>
      <c r="J114" s="11">
        <f t="shared" si="12"/>
        <v>6</v>
      </c>
      <c r="K114" s="12">
        <f>(34*5666.5)</f>
        <v>192661</v>
      </c>
      <c r="L114" s="15">
        <f t="shared" si="13"/>
        <v>33999</v>
      </c>
      <c r="M114" s="8"/>
      <c r="N114" s="39" t="e">
        <f>#REF!-H114</f>
        <v>#REF!</v>
      </c>
    </row>
    <row r="115" spans="2:14">
      <c r="B115" s="14">
        <v>110</v>
      </c>
      <c r="C115" s="2" t="s">
        <v>171</v>
      </c>
      <c r="D115" s="15">
        <v>200000</v>
      </c>
      <c r="E115" s="15">
        <v>26660</v>
      </c>
      <c r="F115" s="15">
        <f>SUM(D115:E115)</f>
        <v>226660</v>
      </c>
      <c r="G115" s="31">
        <v>40</v>
      </c>
      <c r="H115" s="15">
        <v>5666.5</v>
      </c>
      <c r="I115" s="8">
        <v>34</v>
      </c>
      <c r="J115" s="11">
        <f t="shared" si="12"/>
        <v>6</v>
      </c>
      <c r="K115" s="12">
        <f>(33*5666.5)</f>
        <v>186994.5</v>
      </c>
      <c r="L115" s="15">
        <f t="shared" si="13"/>
        <v>39665.5</v>
      </c>
      <c r="M115" s="8"/>
      <c r="N115" s="39" t="e">
        <f>#REF!-H115</f>
        <v>#REF!</v>
      </c>
    </row>
    <row r="116" spans="2:14">
      <c r="B116" s="14">
        <v>111</v>
      </c>
      <c r="C116" s="2" t="s">
        <v>240</v>
      </c>
      <c r="D116" s="16">
        <v>132000</v>
      </c>
      <c r="E116" s="16">
        <v>17595.599999999999</v>
      </c>
      <c r="F116" s="16">
        <v>149595.6</v>
      </c>
      <c r="G116" s="45">
        <v>40</v>
      </c>
      <c r="H116" s="19">
        <v>3739.89</v>
      </c>
      <c r="I116" s="33"/>
      <c r="J116" s="11">
        <f t="shared" si="12"/>
        <v>40</v>
      </c>
      <c r="K116" s="12"/>
      <c r="L116" s="15">
        <f t="shared" si="13"/>
        <v>149595.6</v>
      </c>
      <c r="M116" s="8"/>
      <c r="N116" s="39" t="e">
        <f>#REF!-H116</f>
        <v>#REF!</v>
      </c>
    </row>
    <row r="117" spans="2:14">
      <c r="B117" s="14">
        <v>112</v>
      </c>
      <c r="C117" s="2" t="s">
        <v>206</v>
      </c>
      <c r="D117" s="12">
        <v>132000</v>
      </c>
      <c r="E117" s="12">
        <v>17595.599999999999</v>
      </c>
      <c r="F117" s="15">
        <f>SUM(D117:E117)</f>
        <v>149595.6</v>
      </c>
      <c r="G117" s="31">
        <v>40</v>
      </c>
      <c r="H117" s="12">
        <v>3739.89</v>
      </c>
      <c r="I117" s="8">
        <v>33</v>
      </c>
      <c r="J117" s="11">
        <f t="shared" si="12"/>
        <v>7</v>
      </c>
      <c r="K117" s="16">
        <f>(33*3739.89)</f>
        <v>123416.37</v>
      </c>
      <c r="L117" s="15">
        <f t="shared" si="13"/>
        <v>26179.23000000001</v>
      </c>
      <c r="M117" s="8"/>
      <c r="N117" s="39" t="e">
        <f>#REF!-H117</f>
        <v>#REF!</v>
      </c>
    </row>
    <row r="118" spans="2:14">
      <c r="B118" s="14">
        <v>113</v>
      </c>
      <c r="C118" s="2" t="s">
        <v>73</v>
      </c>
      <c r="D118" s="12">
        <v>500000</v>
      </c>
      <c r="E118" s="12">
        <v>66650</v>
      </c>
      <c r="F118" s="15">
        <f>SUM(D118:E118)</f>
        <v>566650</v>
      </c>
      <c r="G118" s="31">
        <v>50</v>
      </c>
      <c r="H118" s="12">
        <v>11333</v>
      </c>
      <c r="I118" s="11">
        <v>29</v>
      </c>
      <c r="J118" s="11">
        <f t="shared" si="12"/>
        <v>21</v>
      </c>
      <c r="K118" s="16">
        <f>(29*11333)</f>
        <v>328657</v>
      </c>
      <c r="L118" s="15">
        <f t="shared" si="13"/>
        <v>237993</v>
      </c>
      <c r="M118" s="8"/>
      <c r="N118" s="39" t="e">
        <f>#REF!-H118</f>
        <v>#REF!</v>
      </c>
    </row>
    <row r="119" spans="2:14">
      <c r="B119" s="14">
        <v>114</v>
      </c>
      <c r="C119" s="2" t="s">
        <v>173</v>
      </c>
      <c r="D119" s="15">
        <v>200000</v>
      </c>
      <c r="E119" s="15">
        <v>26660</v>
      </c>
      <c r="F119" s="15">
        <f>SUM(D119:E119)</f>
        <v>226660</v>
      </c>
      <c r="G119" s="31">
        <v>40</v>
      </c>
      <c r="H119" s="52">
        <v>5666.5</v>
      </c>
      <c r="I119" s="8">
        <v>37</v>
      </c>
      <c r="J119" s="11">
        <f t="shared" si="12"/>
        <v>3</v>
      </c>
      <c r="K119" s="12">
        <f>(37*5666.5)</f>
        <v>209660.5</v>
      </c>
      <c r="L119" s="15">
        <f t="shared" si="13"/>
        <v>16999.5</v>
      </c>
      <c r="M119" s="8"/>
      <c r="N119" s="39" t="e">
        <f>#REF!-H119</f>
        <v>#REF!</v>
      </c>
    </row>
    <row r="120" spans="2:14">
      <c r="B120" s="14">
        <v>115</v>
      </c>
      <c r="C120" s="2" t="s">
        <v>74</v>
      </c>
      <c r="D120" s="12">
        <v>500000</v>
      </c>
      <c r="E120" s="12">
        <v>66650</v>
      </c>
      <c r="F120" s="15">
        <f>SUM(D120:E120)</f>
        <v>566650</v>
      </c>
      <c r="G120" s="31">
        <v>50</v>
      </c>
      <c r="H120" s="12">
        <v>11333</v>
      </c>
      <c r="I120" s="8">
        <v>41</v>
      </c>
      <c r="J120" s="11">
        <f t="shared" si="12"/>
        <v>9</v>
      </c>
      <c r="K120" s="12">
        <f>(41*11333)</f>
        <v>464653</v>
      </c>
      <c r="L120" s="15">
        <f t="shared" si="13"/>
        <v>101997</v>
      </c>
      <c r="M120" s="8"/>
      <c r="N120" s="39" t="e">
        <f>#REF!-H120</f>
        <v>#REF!</v>
      </c>
    </row>
    <row r="121" spans="2:14">
      <c r="B121" s="14">
        <v>116</v>
      </c>
      <c r="C121" s="25" t="s">
        <v>213</v>
      </c>
      <c r="D121" s="12">
        <v>150000</v>
      </c>
      <c r="E121" s="12">
        <v>19995</v>
      </c>
      <c r="F121" s="15">
        <f>SUM(D121:E121)</f>
        <v>169995</v>
      </c>
      <c r="G121" s="31">
        <v>50</v>
      </c>
      <c r="H121" s="12">
        <v>3399.9</v>
      </c>
      <c r="I121" s="8">
        <v>29</v>
      </c>
      <c r="J121" s="11">
        <f t="shared" si="12"/>
        <v>21</v>
      </c>
      <c r="K121" s="12">
        <f>(29*3399.9)</f>
        <v>98597.1</v>
      </c>
      <c r="L121" s="15">
        <f t="shared" si="13"/>
        <v>71397.899999999994</v>
      </c>
      <c r="M121" s="8"/>
      <c r="N121" s="39" t="e">
        <f>#REF!-H121</f>
        <v>#REF!</v>
      </c>
    </row>
    <row r="122" spans="2:14">
      <c r="B122" s="14">
        <v>117</v>
      </c>
      <c r="C122" s="2" t="s">
        <v>37</v>
      </c>
      <c r="D122" s="18">
        <v>500000</v>
      </c>
      <c r="E122" s="18">
        <v>66650</v>
      </c>
      <c r="F122" s="18">
        <v>566650</v>
      </c>
      <c r="G122" s="33">
        <v>50</v>
      </c>
      <c r="H122" s="16">
        <v>11333</v>
      </c>
      <c r="I122" s="8">
        <v>6</v>
      </c>
      <c r="J122" s="11">
        <f t="shared" si="12"/>
        <v>44</v>
      </c>
      <c r="K122" s="12">
        <f>(6*11333)</f>
        <v>67998</v>
      </c>
      <c r="L122" s="12">
        <f t="shared" si="13"/>
        <v>498652</v>
      </c>
      <c r="M122" s="1"/>
      <c r="N122" s="39" t="e">
        <f>#REF!-H122</f>
        <v>#REF!</v>
      </c>
    </row>
    <row r="123" spans="2:14">
      <c r="B123" s="14">
        <v>118</v>
      </c>
      <c r="C123" s="2" t="s">
        <v>75</v>
      </c>
      <c r="D123" s="12">
        <v>500000</v>
      </c>
      <c r="E123" s="12">
        <v>66650</v>
      </c>
      <c r="F123" s="15">
        <f>SUM(D123:E123)</f>
        <v>566650</v>
      </c>
      <c r="G123" s="33">
        <v>50</v>
      </c>
      <c r="H123" s="12">
        <v>11333</v>
      </c>
      <c r="I123" s="11">
        <v>19</v>
      </c>
      <c r="J123" s="11">
        <f t="shared" si="12"/>
        <v>31</v>
      </c>
      <c r="K123" s="12">
        <f>(19*11333)</f>
        <v>215327</v>
      </c>
      <c r="L123" s="15">
        <f t="shared" si="13"/>
        <v>351323</v>
      </c>
      <c r="M123" s="8"/>
      <c r="N123" s="39" t="e">
        <f>#REF!-H123</f>
        <v>#REF!</v>
      </c>
    </row>
    <row r="124" spans="2:14">
      <c r="B124" s="14">
        <v>119</v>
      </c>
      <c r="C124" s="2" t="s">
        <v>222</v>
      </c>
      <c r="D124" s="12">
        <v>500000</v>
      </c>
      <c r="E124" s="12">
        <v>66650</v>
      </c>
      <c r="F124" s="12">
        <v>566650</v>
      </c>
      <c r="G124" s="31">
        <v>50</v>
      </c>
      <c r="H124" s="18">
        <v>11333</v>
      </c>
      <c r="I124" s="33">
        <v>19</v>
      </c>
      <c r="J124" s="11">
        <f t="shared" si="12"/>
        <v>31</v>
      </c>
      <c r="K124" s="12">
        <f>(19*11333)</f>
        <v>215327</v>
      </c>
      <c r="L124" s="15">
        <f t="shared" si="13"/>
        <v>351323</v>
      </c>
      <c r="M124" s="8"/>
      <c r="N124" s="39" t="e">
        <f>#REF!-H124</f>
        <v>#REF!</v>
      </c>
    </row>
    <row r="125" spans="2:14">
      <c r="B125" s="14">
        <v>120</v>
      </c>
      <c r="C125" s="2" t="s">
        <v>76</v>
      </c>
      <c r="D125" s="12">
        <v>500000</v>
      </c>
      <c r="E125" s="12">
        <v>66650</v>
      </c>
      <c r="F125" s="15">
        <f>SUM(D125:E125)</f>
        <v>566650</v>
      </c>
      <c r="G125" s="33">
        <v>50</v>
      </c>
      <c r="H125" s="12">
        <v>11333</v>
      </c>
      <c r="I125" s="11">
        <v>19</v>
      </c>
      <c r="J125" s="11">
        <f t="shared" si="12"/>
        <v>31</v>
      </c>
      <c r="K125" s="12">
        <f>(19*11333)</f>
        <v>215327</v>
      </c>
      <c r="L125" s="15">
        <f t="shared" si="13"/>
        <v>351323</v>
      </c>
      <c r="M125" s="8"/>
      <c r="N125" s="39" t="e">
        <f>#REF!-H125</f>
        <v>#REF!</v>
      </c>
    </row>
    <row r="126" spans="2:14">
      <c r="B126" s="14">
        <v>121</v>
      </c>
      <c r="C126" s="2" t="s">
        <v>96</v>
      </c>
      <c r="D126" s="12">
        <v>450000</v>
      </c>
      <c r="E126" s="16">
        <v>59985</v>
      </c>
      <c r="F126" s="15">
        <f>SUM(D126:E126)</f>
        <v>509985</v>
      </c>
      <c r="G126" s="33">
        <v>50</v>
      </c>
      <c r="H126" s="16">
        <v>10199.700000000001</v>
      </c>
      <c r="I126" s="8">
        <v>25</v>
      </c>
      <c r="J126" s="11">
        <f t="shared" si="12"/>
        <v>25</v>
      </c>
      <c r="K126" s="12">
        <f>(25*10199.7)</f>
        <v>254992.50000000003</v>
      </c>
      <c r="L126" s="15">
        <f t="shared" si="13"/>
        <v>254992.49999999997</v>
      </c>
      <c r="M126" s="8"/>
      <c r="N126" s="39" t="e">
        <f>#REF!-H126</f>
        <v>#REF!</v>
      </c>
    </row>
    <row r="127" spans="2:14">
      <c r="B127" s="14">
        <v>122</v>
      </c>
      <c r="C127" s="2" t="s">
        <v>77</v>
      </c>
      <c r="D127" s="12">
        <v>500000</v>
      </c>
      <c r="E127" s="12">
        <v>66650</v>
      </c>
      <c r="F127" s="15">
        <f>SUM(D127:E127)</f>
        <v>566650</v>
      </c>
      <c r="G127" s="31">
        <v>50</v>
      </c>
      <c r="H127" s="12">
        <v>11333</v>
      </c>
      <c r="I127" s="11">
        <v>20</v>
      </c>
      <c r="J127" s="11">
        <f t="shared" si="12"/>
        <v>30</v>
      </c>
      <c r="K127" s="12">
        <f>(20*11333)</f>
        <v>226660</v>
      </c>
      <c r="L127" s="15">
        <f t="shared" si="13"/>
        <v>339990</v>
      </c>
      <c r="M127" s="8"/>
      <c r="N127" s="39" t="e">
        <f>#REF!-H127</f>
        <v>#REF!</v>
      </c>
    </row>
    <row r="128" spans="2:14">
      <c r="B128" s="14">
        <v>123</v>
      </c>
      <c r="C128" s="2" t="s">
        <v>78</v>
      </c>
      <c r="D128" s="12">
        <v>500000</v>
      </c>
      <c r="E128" s="12">
        <v>66650</v>
      </c>
      <c r="F128" s="15">
        <f>SUM(D128:E128)</f>
        <v>566650</v>
      </c>
      <c r="G128" s="31">
        <v>50</v>
      </c>
      <c r="H128" s="12">
        <v>11333</v>
      </c>
      <c r="I128" s="8">
        <v>41</v>
      </c>
      <c r="J128" s="11">
        <f t="shared" si="12"/>
        <v>9</v>
      </c>
      <c r="K128" s="12">
        <f>(41*11333)</f>
        <v>464653</v>
      </c>
      <c r="L128" s="15">
        <f t="shared" si="13"/>
        <v>101997</v>
      </c>
      <c r="M128" s="8"/>
      <c r="N128" s="39" t="e">
        <f>#REF!-H128</f>
        <v>#REF!</v>
      </c>
    </row>
    <row r="129" spans="2:14">
      <c r="B129" s="14">
        <v>124</v>
      </c>
      <c r="C129" s="2" t="s">
        <v>21</v>
      </c>
      <c r="D129" s="18">
        <v>500000</v>
      </c>
      <c r="E129" s="18">
        <v>66650</v>
      </c>
      <c r="F129" s="18">
        <v>566650</v>
      </c>
      <c r="G129" s="33">
        <v>50</v>
      </c>
      <c r="H129" s="16">
        <v>11333</v>
      </c>
      <c r="I129" s="8">
        <v>6</v>
      </c>
      <c r="J129" s="11">
        <f t="shared" si="12"/>
        <v>44</v>
      </c>
      <c r="K129" s="12">
        <f>(6*11333)</f>
        <v>67998</v>
      </c>
      <c r="L129" s="12">
        <f t="shared" si="13"/>
        <v>498652</v>
      </c>
      <c r="M129" s="8"/>
      <c r="N129" s="39" t="e">
        <f>#REF!-H129</f>
        <v>#REF!</v>
      </c>
    </row>
    <row r="130" spans="2:14">
      <c r="B130" s="14">
        <v>125</v>
      </c>
      <c r="C130" s="2" t="s">
        <v>79</v>
      </c>
      <c r="D130" s="12">
        <v>500000</v>
      </c>
      <c r="E130" s="12">
        <v>66650</v>
      </c>
      <c r="F130" s="15">
        <f>SUM(D130:E130)</f>
        <v>566650</v>
      </c>
      <c r="G130" s="31">
        <v>50</v>
      </c>
      <c r="H130" s="12">
        <v>11333</v>
      </c>
      <c r="I130" s="11">
        <v>20</v>
      </c>
      <c r="J130" s="11">
        <f t="shared" si="12"/>
        <v>30</v>
      </c>
      <c r="K130" s="12">
        <f>(20*11333)</f>
        <v>226660</v>
      </c>
      <c r="L130" s="15">
        <f t="shared" si="13"/>
        <v>339990</v>
      </c>
      <c r="M130" s="8"/>
      <c r="N130" s="39" t="e">
        <f>#REF!-H130</f>
        <v>#REF!</v>
      </c>
    </row>
    <row r="131" spans="2:14">
      <c r="B131" s="14">
        <v>126</v>
      </c>
      <c r="C131" s="2" t="s">
        <v>27</v>
      </c>
      <c r="D131" s="18">
        <v>500000</v>
      </c>
      <c r="E131" s="18">
        <v>66650</v>
      </c>
      <c r="F131" s="18">
        <v>566650</v>
      </c>
      <c r="G131" s="33">
        <v>50</v>
      </c>
      <c r="H131" s="16">
        <v>11333</v>
      </c>
      <c r="I131" s="8">
        <v>6</v>
      </c>
      <c r="J131" s="11">
        <f t="shared" ref="J131:J162" si="14">G131-I131</f>
        <v>44</v>
      </c>
      <c r="K131" s="12">
        <f>(6*11333)</f>
        <v>67998</v>
      </c>
      <c r="L131" s="12">
        <f t="shared" ref="L131:L162" si="15">F131-K131</f>
        <v>498652</v>
      </c>
      <c r="M131" s="1"/>
      <c r="N131" s="39" t="e">
        <f>#REF!-H131</f>
        <v>#REF!</v>
      </c>
    </row>
    <row r="132" spans="2:14">
      <c r="B132" s="14">
        <v>127</v>
      </c>
      <c r="C132" s="2" t="s">
        <v>97</v>
      </c>
      <c r="D132" s="12">
        <v>450000</v>
      </c>
      <c r="E132" s="12">
        <v>59985</v>
      </c>
      <c r="F132" s="15">
        <f>SUM(D132:E132)</f>
        <v>509985</v>
      </c>
      <c r="G132" s="31">
        <v>50</v>
      </c>
      <c r="H132" s="12">
        <v>10199.700000000001</v>
      </c>
      <c r="I132" s="11">
        <v>20</v>
      </c>
      <c r="J132" s="11">
        <f t="shared" si="14"/>
        <v>30</v>
      </c>
      <c r="K132" s="12">
        <f>(20*10199.7)</f>
        <v>203994</v>
      </c>
      <c r="L132" s="15">
        <f t="shared" si="15"/>
        <v>305991</v>
      </c>
      <c r="M132" s="8"/>
      <c r="N132" s="39" t="e">
        <f>#REF!-H132</f>
        <v>#REF!</v>
      </c>
    </row>
    <row r="133" spans="2:14">
      <c r="B133" s="14">
        <v>128</v>
      </c>
      <c r="C133" s="2" t="s">
        <v>80</v>
      </c>
      <c r="D133" s="12">
        <v>500000</v>
      </c>
      <c r="E133" s="12">
        <v>66650</v>
      </c>
      <c r="F133" s="15">
        <f>SUM(D133:E133)</f>
        <v>566650</v>
      </c>
      <c r="G133" s="31">
        <v>50</v>
      </c>
      <c r="H133" s="12">
        <v>11333</v>
      </c>
      <c r="I133" s="8">
        <v>41</v>
      </c>
      <c r="J133" s="11">
        <f t="shared" si="14"/>
        <v>9</v>
      </c>
      <c r="K133" s="12">
        <f>(41*11333)</f>
        <v>464653</v>
      </c>
      <c r="L133" s="15">
        <f t="shared" si="15"/>
        <v>101997</v>
      </c>
      <c r="M133" s="8"/>
      <c r="N133" s="39" t="e">
        <f>#REF!-H133</f>
        <v>#REF!</v>
      </c>
    </row>
    <row r="134" spans="2:14">
      <c r="B134" s="14">
        <v>129</v>
      </c>
      <c r="C134" s="2" t="s">
        <v>176</v>
      </c>
      <c r="D134" s="15">
        <v>200000</v>
      </c>
      <c r="E134" s="15">
        <v>26660</v>
      </c>
      <c r="F134" s="15">
        <f>SUM(D134:E134)</f>
        <v>226660</v>
      </c>
      <c r="G134" s="31">
        <v>40</v>
      </c>
      <c r="H134" s="15">
        <v>5666.5</v>
      </c>
      <c r="I134" s="8">
        <v>34</v>
      </c>
      <c r="J134" s="11">
        <f t="shared" si="14"/>
        <v>6</v>
      </c>
      <c r="K134" s="12">
        <f>(34*5666.5)</f>
        <v>192661</v>
      </c>
      <c r="L134" s="15">
        <f t="shared" si="15"/>
        <v>33999</v>
      </c>
      <c r="M134" s="8"/>
      <c r="N134" s="39" t="e">
        <f>#REF!-H134</f>
        <v>#REF!</v>
      </c>
    </row>
    <row r="135" spans="2:14">
      <c r="B135" s="14">
        <v>130</v>
      </c>
      <c r="C135" s="2" t="s">
        <v>229</v>
      </c>
      <c r="D135" s="15">
        <v>200000</v>
      </c>
      <c r="E135" s="15">
        <v>26660</v>
      </c>
      <c r="F135" s="15">
        <v>226660</v>
      </c>
      <c r="G135" s="31">
        <v>40</v>
      </c>
      <c r="H135" s="18">
        <v>5666.5</v>
      </c>
      <c r="I135" s="31">
        <v>33</v>
      </c>
      <c r="J135" s="11">
        <f t="shared" si="14"/>
        <v>7</v>
      </c>
      <c r="K135" s="12">
        <f>(33*5666.5)</f>
        <v>186994.5</v>
      </c>
      <c r="L135" s="15">
        <f t="shared" si="15"/>
        <v>39665.5</v>
      </c>
      <c r="M135" s="8"/>
      <c r="N135" s="39" t="e">
        <f>#REF!-H135</f>
        <v>#REF!</v>
      </c>
    </row>
    <row r="136" spans="2:14">
      <c r="B136" s="14">
        <v>131</v>
      </c>
      <c r="C136" s="2" t="s">
        <v>81</v>
      </c>
      <c r="D136" s="12">
        <v>500000</v>
      </c>
      <c r="E136" s="12">
        <v>66650</v>
      </c>
      <c r="F136" s="15">
        <f>SUM(D136:E136)</f>
        <v>566650</v>
      </c>
      <c r="G136" s="31">
        <v>50</v>
      </c>
      <c r="H136" s="12">
        <v>11333</v>
      </c>
      <c r="I136" s="8">
        <v>27</v>
      </c>
      <c r="J136" s="11">
        <f t="shared" si="14"/>
        <v>23</v>
      </c>
      <c r="K136" s="12">
        <f>(27*11333)</f>
        <v>305991</v>
      </c>
      <c r="L136" s="15">
        <f t="shared" si="15"/>
        <v>260659</v>
      </c>
      <c r="M136" s="8"/>
      <c r="N136" s="39" t="e">
        <f>#REF!-H136</f>
        <v>#REF!</v>
      </c>
    </row>
    <row r="137" spans="2:14">
      <c r="B137" s="14">
        <v>132</v>
      </c>
      <c r="C137" s="23" t="s">
        <v>82</v>
      </c>
      <c r="D137" s="12">
        <v>500000</v>
      </c>
      <c r="E137" s="12">
        <v>66650</v>
      </c>
      <c r="F137" s="15">
        <f>SUM(D137:E137)</f>
        <v>566650</v>
      </c>
      <c r="G137" s="31">
        <v>50</v>
      </c>
      <c r="H137" s="12">
        <v>11333</v>
      </c>
      <c r="I137" s="8">
        <v>41</v>
      </c>
      <c r="J137" s="11">
        <f t="shared" si="14"/>
        <v>9</v>
      </c>
      <c r="K137" s="12">
        <f>(41*11333)</f>
        <v>464653</v>
      </c>
      <c r="L137" s="15">
        <f t="shared" si="15"/>
        <v>101997</v>
      </c>
      <c r="M137" s="8"/>
      <c r="N137" s="39" t="e">
        <f>#REF!-H137</f>
        <v>#REF!</v>
      </c>
    </row>
    <row r="138" spans="2:14">
      <c r="B138" s="14">
        <v>133</v>
      </c>
      <c r="C138" s="2" t="s">
        <v>177</v>
      </c>
      <c r="D138" s="15">
        <v>200000</v>
      </c>
      <c r="E138" s="15">
        <v>26660</v>
      </c>
      <c r="F138" s="15">
        <f>SUM(D138:E138)</f>
        <v>226660</v>
      </c>
      <c r="G138" s="31">
        <v>40</v>
      </c>
      <c r="H138" s="15">
        <v>5666.5</v>
      </c>
      <c r="I138" s="8">
        <v>33</v>
      </c>
      <c r="J138" s="11">
        <f t="shared" si="14"/>
        <v>7</v>
      </c>
      <c r="K138" s="12">
        <f>(33*5666.5)</f>
        <v>186994.5</v>
      </c>
      <c r="L138" s="15">
        <f t="shared" si="15"/>
        <v>39665.5</v>
      </c>
      <c r="M138" s="8"/>
      <c r="N138" s="39" t="e">
        <f>#REF!-H138</f>
        <v>#REF!</v>
      </c>
    </row>
    <row r="139" spans="2:14">
      <c r="B139" s="14">
        <v>134</v>
      </c>
      <c r="C139" s="2" t="s">
        <v>26</v>
      </c>
      <c r="D139" s="18">
        <v>500000</v>
      </c>
      <c r="E139" s="18">
        <v>66650</v>
      </c>
      <c r="F139" s="18">
        <v>566650</v>
      </c>
      <c r="G139" s="33">
        <v>50</v>
      </c>
      <c r="H139" s="16">
        <v>11333</v>
      </c>
      <c r="I139" s="8">
        <v>6</v>
      </c>
      <c r="J139" s="11">
        <f t="shared" si="14"/>
        <v>44</v>
      </c>
      <c r="K139" s="12">
        <f>(6*11333)</f>
        <v>67998</v>
      </c>
      <c r="L139" s="12">
        <f t="shared" si="15"/>
        <v>498652</v>
      </c>
      <c r="M139" s="1"/>
      <c r="N139" s="39" t="e">
        <f>#REF!-H139</f>
        <v>#REF!</v>
      </c>
    </row>
    <row r="140" spans="2:14">
      <c r="B140" s="14">
        <v>135</v>
      </c>
      <c r="C140" s="2" t="s">
        <v>98</v>
      </c>
      <c r="D140" s="12">
        <v>450000</v>
      </c>
      <c r="E140" s="16">
        <v>59985</v>
      </c>
      <c r="F140" s="15">
        <f>SUM(D140:E140)</f>
        <v>509985</v>
      </c>
      <c r="G140" s="33">
        <v>50</v>
      </c>
      <c r="H140" s="38">
        <v>10199.700000000001</v>
      </c>
      <c r="I140" s="8">
        <v>6</v>
      </c>
      <c r="J140" s="11">
        <f t="shared" si="14"/>
        <v>44</v>
      </c>
      <c r="K140" s="12">
        <f>(6*10199.7)</f>
        <v>61198.200000000004</v>
      </c>
      <c r="L140" s="15">
        <f t="shared" si="15"/>
        <v>448786.8</v>
      </c>
      <c r="M140" s="8"/>
      <c r="N140" s="39" t="e">
        <f>#REF!-H140</f>
        <v>#REF!</v>
      </c>
    </row>
    <row r="141" spans="2:14">
      <c r="B141" s="14">
        <v>136</v>
      </c>
      <c r="C141" s="2" t="s">
        <v>99</v>
      </c>
      <c r="D141" s="12">
        <v>450000</v>
      </c>
      <c r="E141" s="16">
        <v>59985</v>
      </c>
      <c r="F141" s="15">
        <f>SUM(D141:E141)</f>
        <v>509985</v>
      </c>
      <c r="G141" s="33">
        <v>50</v>
      </c>
      <c r="H141" s="16">
        <v>10199.700000000001</v>
      </c>
      <c r="I141" s="8">
        <v>29</v>
      </c>
      <c r="J141" s="11">
        <f t="shared" si="14"/>
        <v>21</v>
      </c>
      <c r="K141" s="12">
        <f>(29*10199.7)</f>
        <v>295791.30000000005</v>
      </c>
      <c r="L141" s="15">
        <f t="shared" si="15"/>
        <v>214193.69999999995</v>
      </c>
      <c r="M141" s="8"/>
      <c r="N141" s="39" t="e">
        <f>#REF!-H141</f>
        <v>#REF!</v>
      </c>
    </row>
    <row r="142" spans="2:14">
      <c r="B142" s="14">
        <v>137</v>
      </c>
      <c r="C142" s="2" t="s">
        <v>17</v>
      </c>
      <c r="D142" s="18">
        <v>500000</v>
      </c>
      <c r="E142" s="18">
        <v>66650</v>
      </c>
      <c r="F142" s="18">
        <v>566650</v>
      </c>
      <c r="G142" s="33">
        <v>50</v>
      </c>
      <c r="H142" s="16">
        <v>11333</v>
      </c>
      <c r="I142" s="8">
        <v>6</v>
      </c>
      <c r="J142" s="11">
        <f t="shared" si="14"/>
        <v>44</v>
      </c>
      <c r="K142" s="12">
        <f>(6*11333)</f>
        <v>67998</v>
      </c>
      <c r="L142" s="12">
        <f t="shared" si="15"/>
        <v>498652</v>
      </c>
      <c r="M142" s="8"/>
      <c r="N142" s="39" t="e">
        <f>#REF!-H142</f>
        <v>#REF!</v>
      </c>
    </row>
    <row r="143" spans="2:14">
      <c r="B143" s="14">
        <v>138</v>
      </c>
      <c r="C143" s="2" t="s">
        <v>230</v>
      </c>
      <c r="D143" s="15">
        <v>200000</v>
      </c>
      <c r="E143" s="15">
        <v>26660</v>
      </c>
      <c r="F143" s="15">
        <v>226660</v>
      </c>
      <c r="G143" s="31">
        <v>40</v>
      </c>
      <c r="H143" s="18">
        <v>5666.5</v>
      </c>
      <c r="I143" s="31">
        <v>33</v>
      </c>
      <c r="J143" s="11">
        <f t="shared" si="14"/>
        <v>7</v>
      </c>
      <c r="K143" s="12">
        <f>(33*5666.5)</f>
        <v>186994.5</v>
      </c>
      <c r="L143" s="15">
        <f t="shared" si="15"/>
        <v>39665.5</v>
      </c>
      <c r="M143" s="8"/>
      <c r="N143" s="39" t="e">
        <f>#REF!-H143</f>
        <v>#REF!</v>
      </c>
    </row>
    <row r="144" spans="2:14">
      <c r="B144" s="14">
        <v>139</v>
      </c>
      <c r="C144" s="2" t="s">
        <v>83</v>
      </c>
      <c r="D144" s="12">
        <v>500000</v>
      </c>
      <c r="E144" s="12">
        <v>66650</v>
      </c>
      <c r="F144" s="15">
        <f>SUM(D144:E144)</f>
        <v>566650</v>
      </c>
      <c r="G144" s="31">
        <v>50</v>
      </c>
      <c r="H144" s="12">
        <v>11333</v>
      </c>
      <c r="I144" s="8">
        <v>25</v>
      </c>
      <c r="J144" s="11">
        <f t="shared" si="14"/>
        <v>25</v>
      </c>
      <c r="K144" s="12">
        <f>(25*11333)</f>
        <v>283325</v>
      </c>
      <c r="L144" s="15">
        <f t="shared" si="15"/>
        <v>283325</v>
      </c>
      <c r="M144" s="8"/>
      <c r="N144" s="39" t="e">
        <f>#REF!-H144</f>
        <v>#REF!</v>
      </c>
    </row>
    <row r="145" spans="2:14">
      <c r="B145" s="14">
        <v>140</v>
      </c>
      <c r="C145" s="2" t="s">
        <v>41</v>
      </c>
      <c r="D145" s="12">
        <v>450000</v>
      </c>
      <c r="E145" s="16">
        <v>59985</v>
      </c>
      <c r="F145" s="16">
        <v>509985</v>
      </c>
      <c r="G145" s="33">
        <v>50</v>
      </c>
      <c r="H145" s="16">
        <v>10199.700000000001</v>
      </c>
      <c r="I145" s="8">
        <v>5</v>
      </c>
      <c r="J145" s="11">
        <f t="shared" si="14"/>
        <v>45</v>
      </c>
      <c r="K145" s="12">
        <f>(5*10199)</f>
        <v>50995</v>
      </c>
      <c r="L145" s="12">
        <f t="shared" si="15"/>
        <v>458990</v>
      </c>
      <c r="M145" s="1"/>
      <c r="N145" s="39" t="e">
        <f>#REF!-H145</f>
        <v>#REF!</v>
      </c>
    </row>
    <row r="146" spans="2:14">
      <c r="B146" s="14">
        <v>141</v>
      </c>
      <c r="C146" s="2" t="s">
        <v>84</v>
      </c>
      <c r="D146" s="12">
        <v>500000</v>
      </c>
      <c r="E146" s="12">
        <v>66650</v>
      </c>
      <c r="F146" s="15">
        <f>SUM(D146:E146)</f>
        <v>566650</v>
      </c>
      <c r="G146" s="31">
        <v>50</v>
      </c>
      <c r="H146" s="12">
        <v>11333</v>
      </c>
      <c r="I146" s="11">
        <v>20</v>
      </c>
      <c r="J146" s="11">
        <f t="shared" si="14"/>
        <v>30</v>
      </c>
      <c r="K146" s="12">
        <f>(20*11333)</f>
        <v>226660</v>
      </c>
      <c r="L146" s="15">
        <f t="shared" si="15"/>
        <v>339990</v>
      </c>
      <c r="M146" s="8"/>
      <c r="N146" s="39" t="e">
        <f>#REF!-H146</f>
        <v>#REF!</v>
      </c>
    </row>
    <row r="147" spans="2:14">
      <c r="B147" s="14">
        <v>142</v>
      </c>
      <c r="C147" s="23" t="s">
        <v>238</v>
      </c>
      <c r="D147" s="12">
        <v>132000</v>
      </c>
      <c r="E147" s="12">
        <v>17595.599999999999</v>
      </c>
      <c r="F147" s="12">
        <v>149595.6</v>
      </c>
      <c r="G147" s="30">
        <v>40</v>
      </c>
      <c r="H147" s="18">
        <v>3739.89</v>
      </c>
      <c r="I147" s="30">
        <v>43</v>
      </c>
      <c r="J147" s="11">
        <f t="shared" si="14"/>
        <v>-3</v>
      </c>
      <c r="K147" s="12">
        <f>(43*3739.89)</f>
        <v>160815.26999999999</v>
      </c>
      <c r="L147" s="15">
        <f t="shared" si="15"/>
        <v>-11219.669999999984</v>
      </c>
      <c r="M147" s="10"/>
      <c r="N147" s="39" t="e">
        <f>#REF!-H147</f>
        <v>#REF!</v>
      </c>
    </row>
    <row r="148" spans="2:14">
      <c r="B148" s="14">
        <v>143</v>
      </c>
      <c r="C148" s="2" t="s">
        <v>236</v>
      </c>
      <c r="D148" s="12">
        <v>180000</v>
      </c>
      <c r="E148" s="12">
        <v>23994</v>
      </c>
      <c r="F148" s="12">
        <v>203994</v>
      </c>
      <c r="G148" s="30">
        <v>40</v>
      </c>
      <c r="H148" s="18">
        <v>5099.8500000000004</v>
      </c>
      <c r="I148" s="30">
        <v>43</v>
      </c>
      <c r="J148" s="11">
        <f t="shared" si="14"/>
        <v>-3</v>
      </c>
      <c r="K148" s="12">
        <f>(43*5099.85)</f>
        <v>219293.55000000002</v>
      </c>
      <c r="L148" s="15">
        <f t="shared" si="15"/>
        <v>-15299.550000000017</v>
      </c>
      <c r="M148" s="10"/>
      <c r="N148" s="39" t="e">
        <f>#REF!-H148</f>
        <v>#REF!</v>
      </c>
    </row>
    <row r="149" spans="2:14">
      <c r="B149" s="14">
        <v>144</v>
      </c>
      <c r="C149" s="2" t="s">
        <v>32</v>
      </c>
      <c r="D149" s="20">
        <v>330000</v>
      </c>
      <c r="E149" s="20">
        <v>43989</v>
      </c>
      <c r="F149" s="20">
        <f>SUM(D149:E149)</f>
        <v>373989</v>
      </c>
      <c r="G149" s="33">
        <v>50</v>
      </c>
      <c r="H149" s="3">
        <v>7479.78</v>
      </c>
      <c r="I149" s="8">
        <v>6</v>
      </c>
      <c r="J149" s="11">
        <f t="shared" si="14"/>
        <v>44</v>
      </c>
      <c r="K149" s="3">
        <f>(6*7479.78)</f>
        <v>44878.68</v>
      </c>
      <c r="L149" s="12">
        <f t="shared" si="15"/>
        <v>329110.32</v>
      </c>
      <c r="M149" s="1"/>
      <c r="N149" s="39" t="e">
        <f>#REF!-H149</f>
        <v>#REF!</v>
      </c>
    </row>
    <row r="150" spans="2:14">
      <c r="B150" s="14">
        <v>145</v>
      </c>
      <c r="C150" s="2" t="s">
        <v>179</v>
      </c>
      <c r="D150" s="15">
        <v>200000</v>
      </c>
      <c r="E150" s="15">
        <v>26660</v>
      </c>
      <c r="F150" s="15">
        <f>SUM(D150:E150)</f>
        <v>226660</v>
      </c>
      <c r="G150" s="31">
        <v>40</v>
      </c>
      <c r="H150" s="15">
        <v>5666.5</v>
      </c>
      <c r="I150" s="8">
        <v>33</v>
      </c>
      <c r="J150" s="11">
        <f t="shared" si="14"/>
        <v>7</v>
      </c>
      <c r="K150" s="12">
        <f>(33*5666.5)</f>
        <v>186994.5</v>
      </c>
      <c r="L150" s="15">
        <f t="shared" si="15"/>
        <v>39665.5</v>
      </c>
      <c r="M150" s="8"/>
      <c r="N150" s="39" t="e">
        <f>#REF!-H150</f>
        <v>#REF!</v>
      </c>
    </row>
    <row r="151" spans="2:14">
      <c r="B151" s="14">
        <v>146</v>
      </c>
      <c r="C151" s="2" t="s">
        <v>85</v>
      </c>
      <c r="D151" s="12">
        <v>500000</v>
      </c>
      <c r="E151" s="12">
        <v>66650</v>
      </c>
      <c r="F151" s="15">
        <f>SUM(D151:E151)</f>
        <v>566650</v>
      </c>
      <c r="G151" s="31">
        <v>50</v>
      </c>
      <c r="H151" s="12">
        <v>11333</v>
      </c>
      <c r="I151" s="11">
        <v>20</v>
      </c>
      <c r="J151" s="11">
        <f t="shared" si="14"/>
        <v>30</v>
      </c>
      <c r="K151" s="12">
        <f>(20*11333)</f>
        <v>226660</v>
      </c>
      <c r="L151" s="15">
        <f t="shared" si="15"/>
        <v>339990</v>
      </c>
      <c r="M151" s="8"/>
      <c r="N151" s="39" t="e">
        <f>#REF!-H151</f>
        <v>#REF!</v>
      </c>
    </row>
    <row r="152" spans="2:14">
      <c r="B152" s="14">
        <v>147</v>
      </c>
      <c r="C152" s="2" t="s">
        <v>114</v>
      </c>
      <c r="D152" s="12">
        <v>330000</v>
      </c>
      <c r="E152" s="12">
        <v>43989</v>
      </c>
      <c r="F152" s="15">
        <f>SUM(D152:E152)</f>
        <v>373989</v>
      </c>
      <c r="G152" s="31">
        <v>50</v>
      </c>
      <c r="H152" s="12">
        <v>7479.78</v>
      </c>
      <c r="I152" s="8">
        <v>27</v>
      </c>
      <c r="J152" s="11">
        <f t="shared" si="14"/>
        <v>23</v>
      </c>
      <c r="K152" s="12">
        <f>(27*7479.78)</f>
        <v>201954.06</v>
      </c>
      <c r="L152" s="15">
        <f t="shared" si="15"/>
        <v>172034.94</v>
      </c>
      <c r="M152" s="8"/>
      <c r="N152" s="39" t="e">
        <f>#REF!-H152</f>
        <v>#REF!</v>
      </c>
    </row>
    <row r="153" spans="2:14">
      <c r="B153" s="14">
        <v>148</v>
      </c>
      <c r="C153" s="2" t="s">
        <v>226</v>
      </c>
      <c r="D153" s="15">
        <v>200000</v>
      </c>
      <c r="E153" s="15">
        <v>26660</v>
      </c>
      <c r="F153" s="15">
        <v>226660</v>
      </c>
      <c r="G153" s="31">
        <v>40</v>
      </c>
      <c r="H153" s="18">
        <v>5666.5</v>
      </c>
      <c r="I153" s="31">
        <v>37</v>
      </c>
      <c r="J153" s="11">
        <f t="shared" si="14"/>
        <v>3</v>
      </c>
      <c r="K153" s="12">
        <f>(37*5666.5)</f>
        <v>209660.5</v>
      </c>
      <c r="L153" s="15">
        <f t="shared" si="15"/>
        <v>16999.5</v>
      </c>
      <c r="M153" s="8"/>
      <c r="N153" s="39" t="e">
        <f>#REF!-H153</f>
        <v>#REF!</v>
      </c>
    </row>
    <row r="154" spans="2:14">
      <c r="B154" s="14">
        <v>149</v>
      </c>
      <c r="C154" s="4" t="s">
        <v>207</v>
      </c>
      <c r="D154" s="12">
        <v>132000</v>
      </c>
      <c r="E154" s="12">
        <v>17595.599999999999</v>
      </c>
      <c r="F154" s="15">
        <f t="shared" ref="F154:F168" si="16">SUM(D154:E154)</f>
        <v>149595.6</v>
      </c>
      <c r="G154" s="31">
        <v>40</v>
      </c>
      <c r="H154" s="12">
        <v>3739.89</v>
      </c>
      <c r="I154" s="8">
        <v>35</v>
      </c>
      <c r="J154" s="11">
        <f t="shared" si="14"/>
        <v>5</v>
      </c>
      <c r="K154" s="12">
        <f>(35*3739.89)</f>
        <v>130896.15</v>
      </c>
      <c r="L154" s="15">
        <f t="shared" si="15"/>
        <v>18699.450000000012</v>
      </c>
      <c r="M154" s="8"/>
      <c r="N154" s="39" t="e">
        <f>#REF!-H154</f>
        <v>#REF!</v>
      </c>
    </row>
    <row r="155" spans="2:14">
      <c r="B155" s="14">
        <v>150</v>
      </c>
      <c r="C155" s="4" t="s">
        <v>100</v>
      </c>
      <c r="D155" s="12">
        <v>450000</v>
      </c>
      <c r="E155" s="16">
        <v>59985</v>
      </c>
      <c r="F155" s="15">
        <f t="shared" si="16"/>
        <v>509985</v>
      </c>
      <c r="G155" s="33">
        <v>50</v>
      </c>
      <c r="H155" s="16">
        <v>10199.700000000001</v>
      </c>
      <c r="I155" s="11">
        <v>19</v>
      </c>
      <c r="J155" s="11">
        <f t="shared" si="14"/>
        <v>31</v>
      </c>
      <c r="K155" s="12">
        <f>(19*10199.7)</f>
        <v>193794.30000000002</v>
      </c>
      <c r="L155" s="15">
        <f t="shared" si="15"/>
        <v>316190.69999999995</v>
      </c>
      <c r="M155" s="8"/>
      <c r="N155" s="39" t="e">
        <f>#REF!-H155</f>
        <v>#REF!</v>
      </c>
    </row>
    <row r="156" spans="2:14">
      <c r="B156" s="14">
        <v>151</v>
      </c>
      <c r="C156" s="4" t="s">
        <v>181</v>
      </c>
      <c r="D156" s="15">
        <v>200000</v>
      </c>
      <c r="E156" s="15">
        <v>26660</v>
      </c>
      <c r="F156" s="15">
        <f t="shared" si="16"/>
        <v>226660</v>
      </c>
      <c r="G156" s="31">
        <v>40</v>
      </c>
      <c r="H156" s="15">
        <v>5666.5</v>
      </c>
      <c r="I156" s="8">
        <v>37</v>
      </c>
      <c r="J156" s="11">
        <f t="shared" si="14"/>
        <v>3</v>
      </c>
      <c r="K156" s="12">
        <f>(37*5666.5)</f>
        <v>209660.5</v>
      </c>
      <c r="L156" s="15">
        <f t="shared" si="15"/>
        <v>16999.5</v>
      </c>
      <c r="M156" s="8"/>
      <c r="N156" s="39" t="e">
        <f>#REF!-H156</f>
        <v>#REF!</v>
      </c>
    </row>
    <row r="157" spans="2:14">
      <c r="B157" s="14">
        <v>152</v>
      </c>
      <c r="C157" s="4" t="s">
        <v>102</v>
      </c>
      <c r="D157" s="12">
        <v>450000</v>
      </c>
      <c r="E157" s="12">
        <v>59985</v>
      </c>
      <c r="F157" s="15">
        <f t="shared" si="16"/>
        <v>509985</v>
      </c>
      <c r="G157" s="31">
        <v>50</v>
      </c>
      <c r="H157" s="12">
        <v>10199.700000000001</v>
      </c>
      <c r="I157" s="11">
        <v>20</v>
      </c>
      <c r="J157" s="11">
        <f t="shared" si="14"/>
        <v>30</v>
      </c>
      <c r="K157" s="12">
        <f>(20*10199.7)</f>
        <v>203994</v>
      </c>
      <c r="L157" s="15">
        <f t="shared" si="15"/>
        <v>305991</v>
      </c>
      <c r="M157" s="8"/>
      <c r="N157" s="39" t="e">
        <f>#REF!-H157</f>
        <v>#REF!</v>
      </c>
    </row>
    <row r="158" spans="2:14">
      <c r="B158" s="14">
        <v>153</v>
      </c>
      <c r="C158" s="2" t="s">
        <v>35</v>
      </c>
      <c r="D158" s="20">
        <v>150000</v>
      </c>
      <c r="E158" s="20">
        <v>19995</v>
      </c>
      <c r="F158" s="20">
        <f t="shared" si="16"/>
        <v>169995</v>
      </c>
      <c r="G158" s="33">
        <v>50</v>
      </c>
      <c r="H158" s="3">
        <v>3399.9</v>
      </c>
      <c r="I158" s="8">
        <v>6</v>
      </c>
      <c r="J158" s="11">
        <f t="shared" si="14"/>
        <v>44</v>
      </c>
      <c r="K158" s="3">
        <f>(6*3399.9)</f>
        <v>20399.400000000001</v>
      </c>
      <c r="L158" s="12">
        <f t="shared" si="15"/>
        <v>149595.6</v>
      </c>
      <c r="M158" s="1"/>
      <c r="N158" s="39" t="e">
        <f>#REF!-H158</f>
        <v>#REF!</v>
      </c>
    </row>
    <row r="159" spans="2:14">
      <c r="B159" s="14">
        <v>154</v>
      </c>
      <c r="C159" s="2" t="s">
        <v>115</v>
      </c>
      <c r="D159" s="12">
        <v>330000</v>
      </c>
      <c r="E159" s="12">
        <v>43989</v>
      </c>
      <c r="F159" s="15">
        <f t="shared" si="16"/>
        <v>373989</v>
      </c>
      <c r="G159" s="31">
        <v>50</v>
      </c>
      <c r="H159" s="12">
        <v>7479.78</v>
      </c>
      <c r="I159" s="8">
        <v>27</v>
      </c>
      <c r="J159" s="11">
        <f t="shared" si="14"/>
        <v>23</v>
      </c>
      <c r="K159" s="12">
        <f>(27*7479.78)</f>
        <v>201954.06</v>
      </c>
      <c r="L159" s="15">
        <f t="shared" si="15"/>
        <v>172034.94</v>
      </c>
      <c r="M159" s="8"/>
      <c r="N159" s="39" t="e">
        <f>#REF!-H159</f>
        <v>#REF!</v>
      </c>
    </row>
    <row r="160" spans="2:14">
      <c r="B160" s="14">
        <v>155</v>
      </c>
      <c r="C160" s="2" t="s">
        <v>86</v>
      </c>
      <c r="D160" s="12">
        <v>500000</v>
      </c>
      <c r="E160" s="12">
        <v>66650</v>
      </c>
      <c r="F160" s="15">
        <f t="shared" si="16"/>
        <v>566650</v>
      </c>
      <c r="G160" s="33">
        <v>50</v>
      </c>
      <c r="H160" s="12">
        <v>11333</v>
      </c>
      <c r="I160" s="11">
        <v>19</v>
      </c>
      <c r="J160" s="11">
        <f t="shared" si="14"/>
        <v>31</v>
      </c>
      <c r="K160" s="16">
        <f>(19*11333)</f>
        <v>215327</v>
      </c>
      <c r="L160" s="15">
        <f t="shared" si="15"/>
        <v>351323</v>
      </c>
      <c r="M160" s="8"/>
      <c r="N160" s="39" t="e">
        <f>#REF!-H160</f>
        <v>#REF!</v>
      </c>
    </row>
    <row r="161" spans="2:14" ht="15.75">
      <c r="B161" s="14">
        <v>156</v>
      </c>
      <c r="C161" s="73" t="s">
        <v>260</v>
      </c>
      <c r="D161" s="12">
        <v>500000</v>
      </c>
      <c r="E161" s="12">
        <v>66650</v>
      </c>
      <c r="F161" s="15">
        <f t="shared" si="16"/>
        <v>566650</v>
      </c>
      <c r="G161" s="33">
        <v>50</v>
      </c>
      <c r="H161" s="12">
        <v>11333</v>
      </c>
      <c r="I161" s="11">
        <v>24</v>
      </c>
      <c r="J161" s="11">
        <f t="shared" si="14"/>
        <v>26</v>
      </c>
      <c r="K161" s="16">
        <f>(24*11333)</f>
        <v>271992</v>
      </c>
      <c r="L161" s="15">
        <f t="shared" si="15"/>
        <v>294658</v>
      </c>
      <c r="M161" s="8" t="s">
        <v>251</v>
      </c>
      <c r="N161" s="39" t="e">
        <f>#REF!-H161</f>
        <v>#REF!</v>
      </c>
    </row>
    <row r="162" spans="2:14">
      <c r="B162" s="14">
        <v>157</v>
      </c>
      <c r="C162" s="2" t="s">
        <v>249</v>
      </c>
      <c r="D162" s="12">
        <v>180000</v>
      </c>
      <c r="E162" s="12">
        <v>23994</v>
      </c>
      <c r="F162" s="15">
        <f t="shared" si="16"/>
        <v>203994</v>
      </c>
      <c r="G162" s="31">
        <v>40</v>
      </c>
      <c r="H162" s="12">
        <v>5099.8500000000004</v>
      </c>
      <c r="I162" s="8">
        <v>42</v>
      </c>
      <c r="J162" s="11">
        <f t="shared" si="14"/>
        <v>-2</v>
      </c>
      <c r="K162" s="12">
        <f>(42*5099.85)</f>
        <v>214193.7</v>
      </c>
      <c r="L162" s="15">
        <f t="shared" si="15"/>
        <v>-10199.700000000012</v>
      </c>
      <c r="M162" s="8" t="s">
        <v>251</v>
      </c>
      <c r="N162" s="39" t="e">
        <f>#REF!-H162</f>
        <v>#REF!</v>
      </c>
    </row>
    <row r="163" spans="2:14">
      <c r="B163" s="14">
        <v>158</v>
      </c>
      <c r="C163" s="4" t="s">
        <v>116</v>
      </c>
      <c r="D163" s="12">
        <v>330000</v>
      </c>
      <c r="E163" s="12">
        <v>43989</v>
      </c>
      <c r="F163" s="15">
        <f t="shared" si="16"/>
        <v>373989</v>
      </c>
      <c r="G163" s="31">
        <v>50</v>
      </c>
      <c r="H163" s="12">
        <v>7479.78</v>
      </c>
      <c r="I163" s="8">
        <v>27</v>
      </c>
      <c r="J163" s="11">
        <f t="shared" ref="J163:J186" si="17">G163-I163</f>
        <v>23</v>
      </c>
      <c r="K163" s="12">
        <f>(27*7479.78)</f>
        <v>201954.06</v>
      </c>
      <c r="L163" s="15">
        <f t="shared" ref="L163:L186" si="18">F163-K163</f>
        <v>172034.94</v>
      </c>
      <c r="M163" s="8"/>
      <c r="N163" s="39" t="e">
        <f>#REF!-H163</f>
        <v>#REF!</v>
      </c>
    </row>
    <row r="164" spans="2:14">
      <c r="B164" s="14">
        <v>159</v>
      </c>
      <c r="C164" s="28" t="s">
        <v>47</v>
      </c>
      <c r="D164" s="12">
        <v>500000</v>
      </c>
      <c r="E164" s="16">
        <v>47992</v>
      </c>
      <c r="F164" s="15">
        <f t="shared" si="16"/>
        <v>547992</v>
      </c>
      <c r="G164" s="33">
        <v>36</v>
      </c>
      <c r="H164" s="16">
        <v>15222</v>
      </c>
      <c r="I164" s="11">
        <v>19</v>
      </c>
      <c r="J164" s="11">
        <f t="shared" si="17"/>
        <v>17</v>
      </c>
      <c r="K164" s="16">
        <f>(19*15222)</f>
        <v>289218</v>
      </c>
      <c r="L164" s="15">
        <f t="shared" si="18"/>
        <v>258774</v>
      </c>
      <c r="M164" s="8"/>
      <c r="N164" s="39" t="e">
        <f>#REF!-H164</f>
        <v>#REF!</v>
      </c>
    </row>
    <row r="165" spans="2:14">
      <c r="B165" s="14">
        <v>160</v>
      </c>
      <c r="C165" s="4" t="s">
        <v>87</v>
      </c>
      <c r="D165" s="12">
        <v>500000</v>
      </c>
      <c r="E165" s="12">
        <v>66650</v>
      </c>
      <c r="F165" s="15">
        <f t="shared" si="16"/>
        <v>566650</v>
      </c>
      <c r="G165" s="31">
        <v>50</v>
      </c>
      <c r="H165" s="12">
        <v>11333</v>
      </c>
      <c r="I165" s="8">
        <v>41</v>
      </c>
      <c r="J165" s="11">
        <f t="shared" si="17"/>
        <v>9</v>
      </c>
      <c r="K165" s="12">
        <f>(41*11333)</f>
        <v>464653</v>
      </c>
      <c r="L165" s="15">
        <f t="shared" si="18"/>
        <v>101997</v>
      </c>
      <c r="M165" s="8"/>
      <c r="N165" s="39" t="e">
        <f>#REF!-H165</f>
        <v>#REF!</v>
      </c>
    </row>
    <row r="166" spans="2:14">
      <c r="B166" s="14">
        <v>161</v>
      </c>
      <c r="C166" s="4" t="s">
        <v>103</v>
      </c>
      <c r="D166" s="12">
        <v>450000</v>
      </c>
      <c r="E166" s="16">
        <v>59985</v>
      </c>
      <c r="F166" s="15">
        <f t="shared" si="16"/>
        <v>509985</v>
      </c>
      <c r="G166" s="33">
        <v>50</v>
      </c>
      <c r="H166" s="16">
        <v>10199.700000000001</v>
      </c>
      <c r="I166" s="8">
        <v>20</v>
      </c>
      <c r="J166" s="11">
        <f t="shared" si="17"/>
        <v>30</v>
      </c>
      <c r="K166" s="12">
        <f>(20*10199.7)</f>
        <v>203994</v>
      </c>
      <c r="L166" s="15">
        <f t="shared" si="18"/>
        <v>305991</v>
      </c>
      <c r="M166" s="8"/>
      <c r="N166" s="39" t="e">
        <f>#REF!-H166</f>
        <v>#REF!</v>
      </c>
    </row>
    <row r="167" spans="2:14">
      <c r="B167" s="14">
        <v>162</v>
      </c>
      <c r="C167" s="4" t="s">
        <v>88</v>
      </c>
      <c r="D167" s="12">
        <v>500000</v>
      </c>
      <c r="E167" s="12">
        <v>66650</v>
      </c>
      <c r="F167" s="15">
        <f t="shared" si="16"/>
        <v>566650</v>
      </c>
      <c r="G167" s="31">
        <v>50</v>
      </c>
      <c r="H167" s="12">
        <v>11333</v>
      </c>
      <c r="I167" s="11">
        <v>20</v>
      </c>
      <c r="J167" s="11">
        <f t="shared" si="17"/>
        <v>30</v>
      </c>
      <c r="K167" s="12">
        <f>(20*11333)</f>
        <v>226660</v>
      </c>
      <c r="L167" s="15">
        <f t="shared" si="18"/>
        <v>339990</v>
      </c>
      <c r="M167" s="8"/>
      <c r="N167" s="39" t="e">
        <f>#REF!-H167</f>
        <v>#REF!</v>
      </c>
    </row>
    <row r="168" spans="2:14">
      <c r="B168" s="14">
        <v>163</v>
      </c>
      <c r="C168" s="4" t="s">
        <v>104</v>
      </c>
      <c r="D168" s="12">
        <v>450000</v>
      </c>
      <c r="E168" s="12">
        <v>59985</v>
      </c>
      <c r="F168" s="15">
        <f t="shared" si="16"/>
        <v>509985</v>
      </c>
      <c r="G168" s="31">
        <v>50</v>
      </c>
      <c r="H168" s="12">
        <v>10199.700000000001</v>
      </c>
      <c r="I168" s="11">
        <v>20</v>
      </c>
      <c r="J168" s="11">
        <f t="shared" si="17"/>
        <v>30</v>
      </c>
      <c r="K168" s="12">
        <f>(20*10199.7)</f>
        <v>203994</v>
      </c>
      <c r="L168" s="15">
        <f t="shared" si="18"/>
        <v>305991</v>
      </c>
      <c r="M168" s="8"/>
      <c r="N168" s="39" t="e">
        <f>#REF!-H168</f>
        <v>#REF!</v>
      </c>
    </row>
    <row r="169" spans="2:14">
      <c r="B169" s="14">
        <v>164</v>
      </c>
      <c r="C169" s="4" t="s">
        <v>38</v>
      </c>
      <c r="D169" s="18">
        <v>500000</v>
      </c>
      <c r="E169" s="18">
        <v>66650</v>
      </c>
      <c r="F169" s="18">
        <v>566650</v>
      </c>
      <c r="G169" s="33">
        <v>50</v>
      </c>
      <c r="H169" s="16">
        <v>11333</v>
      </c>
      <c r="I169" s="8">
        <v>6</v>
      </c>
      <c r="J169" s="11">
        <f t="shared" si="17"/>
        <v>44</v>
      </c>
      <c r="K169" s="12">
        <f>(6*11333)</f>
        <v>67998</v>
      </c>
      <c r="L169" s="12">
        <f t="shared" si="18"/>
        <v>498652</v>
      </c>
      <c r="M169" s="1"/>
      <c r="N169" s="39" t="e">
        <f>#REF!-H169</f>
        <v>#REF!</v>
      </c>
    </row>
    <row r="170" spans="2:14">
      <c r="B170" s="14">
        <v>165</v>
      </c>
      <c r="C170" s="4" t="s">
        <v>89</v>
      </c>
      <c r="D170" s="12">
        <v>500000</v>
      </c>
      <c r="E170" s="12">
        <v>66650</v>
      </c>
      <c r="F170" s="15">
        <f>SUM(D170:E170)</f>
        <v>566650</v>
      </c>
      <c r="G170" s="31">
        <v>50</v>
      </c>
      <c r="H170" s="12">
        <v>11333</v>
      </c>
      <c r="I170" s="8">
        <v>27</v>
      </c>
      <c r="J170" s="11">
        <f t="shared" si="17"/>
        <v>23</v>
      </c>
      <c r="K170" s="12">
        <f>(27*11333)</f>
        <v>305991</v>
      </c>
      <c r="L170" s="15">
        <f t="shared" si="18"/>
        <v>260659</v>
      </c>
      <c r="M170" s="8"/>
      <c r="N170" s="39" t="e">
        <f>#REF!-H170</f>
        <v>#REF!</v>
      </c>
    </row>
    <row r="171" spans="2:14">
      <c r="B171" s="14">
        <v>166</v>
      </c>
      <c r="C171" s="2" t="s">
        <v>117</v>
      </c>
      <c r="D171" s="12">
        <v>330000</v>
      </c>
      <c r="E171" s="12">
        <v>43989</v>
      </c>
      <c r="F171" s="15">
        <f>SUM(D171:E171)</f>
        <v>373989</v>
      </c>
      <c r="G171" s="31">
        <v>50</v>
      </c>
      <c r="H171" s="12">
        <v>7479.78</v>
      </c>
      <c r="I171" s="11">
        <v>28</v>
      </c>
      <c r="J171" s="11">
        <f t="shared" si="17"/>
        <v>22</v>
      </c>
      <c r="K171" s="16">
        <f>(28*7479.78)</f>
        <v>209433.84</v>
      </c>
      <c r="L171" s="15">
        <f t="shared" si="18"/>
        <v>164555.16</v>
      </c>
      <c r="M171" s="8"/>
      <c r="N171" s="39" t="e">
        <f>#REF!-H171</f>
        <v>#REF!</v>
      </c>
    </row>
    <row r="172" spans="2:14">
      <c r="B172" s="14">
        <v>167</v>
      </c>
      <c r="C172" s="2" t="s">
        <v>184</v>
      </c>
      <c r="D172" s="15">
        <v>200000</v>
      </c>
      <c r="E172" s="15">
        <v>26660</v>
      </c>
      <c r="F172" s="15">
        <f>SUM(D172:E172)</f>
        <v>226660</v>
      </c>
      <c r="G172" s="31">
        <v>40</v>
      </c>
      <c r="H172" s="15">
        <v>5666.5</v>
      </c>
      <c r="I172" s="8">
        <v>37</v>
      </c>
      <c r="J172" s="11">
        <f t="shared" si="17"/>
        <v>3</v>
      </c>
      <c r="K172" s="12">
        <f>(37*5666.5)</f>
        <v>209660.5</v>
      </c>
      <c r="L172" s="15">
        <f t="shared" si="18"/>
        <v>16999.5</v>
      </c>
      <c r="M172" s="8"/>
      <c r="N172" s="39" t="e">
        <f>#REF!-H172</f>
        <v>#REF!</v>
      </c>
    </row>
    <row r="173" spans="2:14">
      <c r="B173" s="14">
        <v>168</v>
      </c>
      <c r="C173" s="2" t="s">
        <v>30</v>
      </c>
      <c r="D173" s="20">
        <v>330000</v>
      </c>
      <c r="E173" s="20">
        <v>43989</v>
      </c>
      <c r="F173" s="20">
        <f>SUM(D173:E173)</f>
        <v>373989</v>
      </c>
      <c r="G173" s="33">
        <v>50</v>
      </c>
      <c r="H173" s="3">
        <v>7479.78</v>
      </c>
      <c r="I173" s="8">
        <v>6</v>
      </c>
      <c r="J173" s="11">
        <f t="shared" si="17"/>
        <v>44</v>
      </c>
      <c r="K173" s="3">
        <f>(6*7479.78)</f>
        <v>44878.68</v>
      </c>
      <c r="L173" s="12">
        <f t="shared" si="18"/>
        <v>329110.32</v>
      </c>
      <c r="M173" s="1"/>
      <c r="N173" s="39" t="e">
        <f>#REF!-H173</f>
        <v>#REF!</v>
      </c>
    </row>
    <row r="174" spans="2:14">
      <c r="B174" s="14">
        <v>169</v>
      </c>
      <c r="C174" s="2" t="s">
        <v>29</v>
      </c>
      <c r="D174" s="18">
        <v>450000</v>
      </c>
      <c r="E174" s="19">
        <v>59985</v>
      </c>
      <c r="F174" s="19">
        <v>509985</v>
      </c>
      <c r="G174" s="33">
        <v>50</v>
      </c>
      <c r="H174" s="16">
        <v>10199.700000000001</v>
      </c>
      <c r="I174" s="8">
        <v>6</v>
      </c>
      <c r="J174" s="11">
        <f t="shared" si="17"/>
        <v>44</v>
      </c>
      <c r="K174" s="12">
        <f>(6*10199)</f>
        <v>61194</v>
      </c>
      <c r="L174" s="12">
        <f t="shared" si="18"/>
        <v>448791</v>
      </c>
      <c r="M174" s="1"/>
      <c r="N174" s="39" t="e">
        <f>#REF!-H174</f>
        <v>#REF!</v>
      </c>
    </row>
    <row r="175" spans="2:14">
      <c r="B175" s="14">
        <v>170</v>
      </c>
      <c r="C175" s="26" t="s">
        <v>118</v>
      </c>
      <c r="D175" s="12">
        <v>330000</v>
      </c>
      <c r="E175" s="12">
        <v>43989</v>
      </c>
      <c r="F175" s="15">
        <f>SUM(D175:E175)</f>
        <v>373989</v>
      </c>
      <c r="G175" s="31">
        <v>50</v>
      </c>
      <c r="H175" s="12">
        <v>7479.78</v>
      </c>
      <c r="I175" s="8">
        <v>26</v>
      </c>
      <c r="J175" s="11">
        <f t="shared" si="17"/>
        <v>24</v>
      </c>
      <c r="K175" s="12">
        <f>(26*7479.78)</f>
        <v>194474.28</v>
      </c>
      <c r="L175" s="15">
        <f t="shared" si="18"/>
        <v>179514.72</v>
      </c>
      <c r="M175" s="8"/>
      <c r="N175" s="39" t="e">
        <f>#REF!-H175</f>
        <v>#REF!</v>
      </c>
    </row>
    <row r="176" spans="2:14">
      <c r="B176" s="14">
        <v>171</v>
      </c>
      <c r="C176" s="2" t="s">
        <v>90</v>
      </c>
      <c r="D176" s="12">
        <v>500000</v>
      </c>
      <c r="E176" s="12">
        <v>66650</v>
      </c>
      <c r="F176" s="15">
        <f>SUM(D176:E176)</f>
        <v>566650</v>
      </c>
      <c r="G176" s="31">
        <v>50</v>
      </c>
      <c r="H176" s="12">
        <v>11333</v>
      </c>
      <c r="I176" s="8">
        <v>40</v>
      </c>
      <c r="J176" s="11">
        <f t="shared" si="17"/>
        <v>10</v>
      </c>
      <c r="K176" s="12">
        <f>(40*11333)</f>
        <v>453320</v>
      </c>
      <c r="L176" s="15">
        <f t="shared" si="18"/>
        <v>113330</v>
      </c>
      <c r="M176" s="8"/>
      <c r="N176" s="39" t="e">
        <f>#REF!-H176</f>
        <v>#REF!</v>
      </c>
    </row>
    <row r="177" spans="2:14">
      <c r="B177" s="14">
        <v>172</v>
      </c>
      <c r="C177" s="2" t="s">
        <v>91</v>
      </c>
      <c r="D177" s="12">
        <v>500000</v>
      </c>
      <c r="E177" s="12">
        <v>66650</v>
      </c>
      <c r="F177" s="15">
        <f>SUM(D177:E177)</f>
        <v>566650</v>
      </c>
      <c r="G177" s="33">
        <v>50</v>
      </c>
      <c r="H177" s="12">
        <v>11333</v>
      </c>
      <c r="I177" s="11">
        <v>19</v>
      </c>
      <c r="J177" s="11">
        <f t="shared" si="17"/>
        <v>31</v>
      </c>
      <c r="K177" s="16">
        <f>(19*11333)</f>
        <v>215327</v>
      </c>
      <c r="L177" s="15">
        <f t="shared" si="18"/>
        <v>351323</v>
      </c>
      <c r="M177" s="8"/>
      <c r="N177" s="39" t="e">
        <f>#REF!-H177</f>
        <v>#REF!</v>
      </c>
    </row>
    <row r="178" spans="2:14">
      <c r="B178" s="14">
        <v>173</v>
      </c>
      <c r="C178" s="2" t="s">
        <v>92</v>
      </c>
      <c r="D178" s="12">
        <v>500000</v>
      </c>
      <c r="E178" s="12">
        <v>66650</v>
      </c>
      <c r="F178" s="15">
        <f>SUM(D178:E178)</f>
        <v>566650</v>
      </c>
      <c r="G178" s="31">
        <v>50</v>
      </c>
      <c r="H178" s="12">
        <v>11333</v>
      </c>
      <c r="I178" s="8">
        <v>27</v>
      </c>
      <c r="J178" s="11">
        <f t="shared" si="17"/>
        <v>23</v>
      </c>
      <c r="K178" s="12">
        <f>(27*11333)</f>
        <v>305991</v>
      </c>
      <c r="L178" s="15">
        <f t="shared" si="18"/>
        <v>260659</v>
      </c>
      <c r="M178" s="8"/>
      <c r="N178" s="39" t="e">
        <f>#REF!-H178</f>
        <v>#REF!</v>
      </c>
    </row>
    <row r="179" spans="2:14">
      <c r="B179" s="14">
        <v>174</v>
      </c>
      <c r="C179" s="2" t="s">
        <v>119</v>
      </c>
      <c r="D179" s="12">
        <v>330000</v>
      </c>
      <c r="E179" s="16">
        <v>43989</v>
      </c>
      <c r="F179" s="15">
        <f>SUM(D179:E179)</f>
        <v>373989</v>
      </c>
      <c r="G179" s="33">
        <v>50</v>
      </c>
      <c r="H179" s="16">
        <v>7479.78</v>
      </c>
      <c r="I179" s="11">
        <v>19</v>
      </c>
      <c r="J179" s="11">
        <f t="shared" si="17"/>
        <v>31</v>
      </c>
      <c r="K179" s="12">
        <f>(19*7479.78)</f>
        <v>142115.82</v>
      </c>
      <c r="L179" s="15">
        <f t="shared" si="18"/>
        <v>231873.18</v>
      </c>
      <c r="M179" s="8"/>
      <c r="N179" s="39" t="e">
        <f>#REF!-H179</f>
        <v>#REF!</v>
      </c>
    </row>
    <row r="180" spans="2:14">
      <c r="B180" s="14">
        <v>175</v>
      </c>
      <c r="C180" s="2" t="s">
        <v>39</v>
      </c>
      <c r="D180" s="12">
        <v>500000</v>
      </c>
      <c r="E180" s="12">
        <v>66650</v>
      </c>
      <c r="F180" s="12">
        <v>566650</v>
      </c>
      <c r="G180" s="33">
        <v>50</v>
      </c>
      <c r="H180" s="16">
        <v>11333</v>
      </c>
      <c r="I180" s="8">
        <v>6</v>
      </c>
      <c r="J180" s="11">
        <f t="shared" si="17"/>
        <v>44</v>
      </c>
      <c r="K180" s="12">
        <f>(6*11333)</f>
        <v>67998</v>
      </c>
      <c r="L180" s="12">
        <f t="shared" si="18"/>
        <v>498652</v>
      </c>
      <c r="M180" s="1"/>
      <c r="N180" s="39" t="e">
        <f>#REF!-H180</f>
        <v>#REF!</v>
      </c>
    </row>
    <row r="181" spans="2:14">
      <c r="B181" s="14">
        <v>176</v>
      </c>
      <c r="C181" s="2" t="s">
        <v>48</v>
      </c>
      <c r="D181" s="12">
        <v>500000</v>
      </c>
      <c r="E181" s="16">
        <v>47992</v>
      </c>
      <c r="F181" s="15">
        <f>SUM(D181:E181)</f>
        <v>547992</v>
      </c>
      <c r="G181" s="33">
        <v>36</v>
      </c>
      <c r="H181" s="16">
        <v>15222</v>
      </c>
      <c r="I181" s="11">
        <v>19</v>
      </c>
      <c r="J181" s="11">
        <f t="shared" si="17"/>
        <v>17</v>
      </c>
      <c r="K181" s="16">
        <f>(19*15222)</f>
        <v>289218</v>
      </c>
      <c r="L181" s="15">
        <f t="shared" si="18"/>
        <v>258774</v>
      </c>
      <c r="M181" s="8"/>
      <c r="N181" s="39" t="e">
        <f>#REF!-H181</f>
        <v>#REF!</v>
      </c>
    </row>
    <row r="182" spans="2:14">
      <c r="B182" s="14">
        <v>177</v>
      </c>
      <c r="C182" s="2" t="s">
        <v>185</v>
      </c>
      <c r="D182" s="15">
        <v>200000</v>
      </c>
      <c r="E182" s="15">
        <v>26660</v>
      </c>
      <c r="F182" s="15">
        <f>SUM(D182:E182)</f>
        <v>226660</v>
      </c>
      <c r="G182" s="31">
        <v>40</v>
      </c>
      <c r="H182" s="15">
        <v>5666.5</v>
      </c>
      <c r="I182" s="8">
        <v>34</v>
      </c>
      <c r="J182" s="11">
        <f t="shared" si="17"/>
        <v>6</v>
      </c>
      <c r="K182" s="12">
        <f>(34*5666.5)</f>
        <v>192661</v>
      </c>
      <c r="L182" s="15">
        <f t="shared" si="18"/>
        <v>33999</v>
      </c>
      <c r="M182" s="8"/>
      <c r="N182" s="39" t="e">
        <f>#REF!-H182</f>
        <v>#REF!</v>
      </c>
    </row>
    <row r="183" spans="2:14">
      <c r="B183" s="14">
        <v>178</v>
      </c>
      <c r="C183" s="2" t="s">
        <v>241</v>
      </c>
      <c r="D183" s="12">
        <v>60000</v>
      </c>
      <c r="E183" s="12">
        <v>7998</v>
      </c>
      <c r="F183" s="15">
        <f>SUM(D183:E183)</f>
        <v>67998</v>
      </c>
      <c r="G183" s="31">
        <v>40</v>
      </c>
      <c r="H183" s="12">
        <v>1699.95</v>
      </c>
      <c r="I183" s="33">
        <v>33</v>
      </c>
      <c r="J183" s="11">
        <f t="shared" si="17"/>
        <v>7</v>
      </c>
      <c r="K183" s="12">
        <f>(33*1699.95)</f>
        <v>56098.35</v>
      </c>
      <c r="L183" s="15">
        <f t="shared" si="18"/>
        <v>11899.650000000001</v>
      </c>
      <c r="M183" s="8"/>
      <c r="N183" s="39" t="e">
        <f>#REF!-H183</f>
        <v>#REF!</v>
      </c>
    </row>
    <row r="184" spans="2:14">
      <c r="B184" s="14">
        <v>179</v>
      </c>
      <c r="C184" s="2" t="s">
        <v>93</v>
      </c>
      <c r="D184" s="12">
        <v>500000</v>
      </c>
      <c r="E184" s="12">
        <v>66650</v>
      </c>
      <c r="F184" s="15">
        <f>SUM(D184:E184)</f>
        <v>566650</v>
      </c>
      <c r="G184" s="31">
        <v>50</v>
      </c>
      <c r="H184" s="12">
        <v>11333</v>
      </c>
      <c r="I184" s="8">
        <v>41</v>
      </c>
      <c r="J184" s="11">
        <f t="shared" si="17"/>
        <v>9</v>
      </c>
      <c r="K184" s="12">
        <f>(41*11333)</f>
        <v>464653</v>
      </c>
      <c r="L184" s="15">
        <f t="shared" si="18"/>
        <v>101997</v>
      </c>
      <c r="M184" s="8"/>
      <c r="N184" s="39" t="e">
        <f>#REF!-H184</f>
        <v>#REF!</v>
      </c>
    </row>
    <row r="185" spans="2:14">
      <c r="B185" s="14">
        <v>180</v>
      </c>
      <c r="C185" s="2" t="s">
        <v>231</v>
      </c>
      <c r="D185" s="15">
        <v>200000</v>
      </c>
      <c r="E185" s="15">
        <v>26660</v>
      </c>
      <c r="F185" s="15">
        <v>226660</v>
      </c>
      <c r="G185" s="31">
        <v>40</v>
      </c>
      <c r="H185" s="18">
        <v>5666.5</v>
      </c>
      <c r="I185" s="31">
        <v>34</v>
      </c>
      <c r="J185" s="11">
        <f t="shared" si="17"/>
        <v>6</v>
      </c>
      <c r="K185" s="12">
        <f>(34*5666.5)</f>
        <v>192661</v>
      </c>
      <c r="L185" s="15">
        <f t="shared" si="18"/>
        <v>33999</v>
      </c>
      <c r="M185" s="8"/>
      <c r="N185" s="39" t="e">
        <f>#REF!-H185</f>
        <v>#REF!</v>
      </c>
    </row>
    <row r="186" spans="2:14">
      <c r="B186" s="14">
        <v>181</v>
      </c>
      <c r="C186" s="2" t="s">
        <v>186</v>
      </c>
      <c r="D186" s="15">
        <v>200000</v>
      </c>
      <c r="E186" s="15">
        <v>26660</v>
      </c>
      <c r="F186" s="15">
        <f>SUM(D186:E186)</f>
        <v>226660</v>
      </c>
      <c r="G186" s="31">
        <v>40</v>
      </c>
      <c r="H186" s="15">
        <v>5666.5</v>
      </c>
      <c r="I186" s="8">
        <v>34</v>
      </c>
      <c r="J186" s="11">
        <f t="shared" si="17"/>
        <v>6</v>
      </c>
      <c r="K186" s="12">
        <f>(34*5666.5)</f>
        <v>192661</v>
      </c>
      <c r="L186" s="15">
        <f t="shared" si="18"/>
        <v>33999</v>
      </c>
      <c r="M186" s="8"/>
      <c r="N186" s="39" t="e">
        <f>#REF!-H186</f>
        <v>#REF!</v>
      </c>
    </row>
    <row r="187" spans="2:14">
      <c r="B187" s="14"/>
      <c r="C187" s="23"/>
      <c r="D187" s="34">
        <f ca="1">SUM(D6:D209)</f>
        <v>59948000</v>
      </c>
      <c r="E187" s="34">
        <f ca="1">SUM(E6:E209)</f>
        <v>7795498.6399999987</v>
      </c>
      <c r="F187" s="34">
        <f ca="1">SUM(F6:F209)</f>
        <v>67743498.640000015</v>
      </c>
      <c r="G187" s="34"/>
      <c r="H187" s="34">
        <f>SUM(H6:H186)</f>
        <v>1492272.1699999997</v>
      </c>
      <c r="I187" s="13"/>
      <c r="J187" s="13"/>
      <c r="K187" s="34">
        <f ca="1">SUM(K6:K203)</f>
        <v>29605419.560000002</v>
      </c>
      <c r="L187" s="34">
        <f ca="1">SUM(L6:L203)</f>
        <v>24414866.48</v>
      </c>
      <c r="M187" s="8"/>
    </row>
    <row r="195" spans="2:14">
      <c r="B195" s="14">
        <v>75</v>
      </c>
      <c r="C195" s="2" t="s">
        <v>194</v>
      </c>
      <c r="D195" s="12">
        <v>180000</v>
      </c>
      <c r="E195" s="12">
        <v>23994</v>
      </c>
      <c r="F195" s="15">
        <f>SUM(D195:E195)</f>
        <v>203994</v>
      </c>
      <c r="G195" s="30">
        <v>40</v>
      </c>
      <c r="H195" s="12">
        <v>5099.8500000000004</v>
      </c>
      <c r="I195" s="22">
        <v>43</v>
      </c>
      <c r="J195" s="11">
        <f t="shared" ref="J195:J209" si="19">G195-I195</f>
        <v>-3</v>
      </c>
      <c r="K195" s="12">
        <f>(43*5099.85)</f>
        <v>219293.55000000002</v>
      </c>
      <c r="L195" s="15">
        <f t="shared" ref="L195:L209" si="20">F195-K195</f>
        <v>-15299.550000000017</v>
      </c>
      <c r="M195" s="10"/>
      <c r="N195" s="39" t="e">
        <f>#REF!-H195</f>
        <v>#REF!</v>
      </c>
    </row>
    <row r="196" spans="2:14">
      <c r="B196" s="14">
        <v>81</v>
      </c>
      <c r="C196" s="2" t="s">
        <v>237</v>
      </c>
      <c r="D196" s="12">
        <v>132000</v>
      </c>
      <c r="E196" s="12">
        <v>17595.599999999999</v>
      </c>
      <c r="F196" s="12">
        <v>149595.6</v>
      </c>
      <c r="G196" s="30">
        <v>40</v>
      </c>
      <c r="H196" s="18">
        <v>3739.89</v>
      </c>
      <c r="I196" s="33">
        <v>31</v>
      </c>
      <c r="J196" s="11">
        <f t="shared" si="19"/>
        <v>9</v>
      </c>
      <c r="K196" s="12">
        <f>(31*3739.89)</f>
        <v>115936.59</v>
      </c>
      <c r="L196" s="15">
        <f t="shared" si="20"/>
        <v>33659.010000000009</v>
      </c>
      <c r="M196" s="8"/>
      <c r="N196" s="39" t="e">
        <f>#REF!-H196</f>
        <v>#REF!</v>
      </c>
    </row>
    <row r="197" spans="2:14">
      <c r="B197" s="14">
        <v>80</v>
      </c>
      <c r="C197" s="2" t="s">
        <v>152</v>
      </c>
      <c r="D197" s="15">
        <v>200000</v>
      </c>
      <c r="E197" s="15">
        <v>26660</v>
      </c>
      <c r="F197" s="15">
        <f>SUM(D197:E197)</f>
        <v>226660</v>
      </c>
      <c r="G197" s="32">
        <v>40</v>
      </c>
      <c r="H197" s="15">
        <v>5666.5</v>
      </c>
      <c r="I197" s="22">
        <v>43</v>
      </c>
      <c r="J197" s="11">
        <f t="shared" si="19"/>
        <v>-3</v>
      </c>
      <c r="K197" s="15">
        <f>(43*5666.5)</f>
        <v>243659.5</v>
      </c>
      <c r="L197" s="15">
        <f t="shared" si="20"/>
        <v>-16999.5</v>
      </c>
      <c r="M197" s="10"/>
      <c r="N197" s="39" t="e">
        <f>#REF!-H197</f>
        <v>#REF!</v>
      </c>
    </row>
    <row r="198" spans="2:14">
      <c r="B198" s="14">
        <v>92</v>
      </c>
      <c r="C198" s="2" t="s">
        <v>154</v>
      </c>
      <c r="D198" s="15">
        <v>200000</v>
      </c>
      <c r="E198" s="15">
        <v>26660</v>
      </c>
      <c r="F198" s="15">
        <f>SUM(D198:E198)</f>
        <v>226660</v>
      </c>
      <c r="G198" s="32">
        <v>40</v>
      </c>
      <c r="H198" s="15">
        <v>5666.5</v>
      </c>
      <c r="I198" s="22">
        <v>43</v>
      </c>
      <c r="J198" s="11">
        <f t="shared" si="19"/>
        <v>-3</v>
      </c>
      <c r="K198" s="15">
        <f>(43*5666.5)</f>
        <v>243659.5</v>
      </c>
      <c r="L198" s="15">
        <f t="shared" si="20"/>
        <v>-16999.5</v>
      </c>
      <c r="M198" s="10"/>
      <c r="N198" s="39" t="e">
        <f>#REF!-H198</f>
        <v>#REF!</v>
      </c>
    </row>
    <row r="199" spans="2:14">
      <c r="B199" s="14">
        <v>8</v>
      </c>
      <c r="C199" s="2" t="s">
        <v>235</v>
      </c>
      <c r="D199" s="12">
        <v>180000</v>
      </c>
      <c r="E199" s="12">
        <v>23994</v>
      </c>
      <c r="F199" s="12">
        <v>203994</v>
      </c>
      <c r="G199" s="30">
        <v>40</v>
      </c>
      <c r="H199" s="18">
        <v>5099.8500000000004</v>
      </c>
      <c r="I199" s="30">
        <v>43</v>
      </c>
      <c r="J199" s="11">
        <f t="shared" si="19"/>
        <v>-3</v>
      </c>
      <c r="K199" s="12">
        <f>(43*5099.85)</f>
        <v>219293.55000000002</v>
      </c>
      <c r="L199" s="15">
        <f t="shared" si="20"/>
        <v>-15299.550000000017</v>
      </c>
      <c r="M199" s="10"/>
      <c r="N199" s="39" t="e">
        <f>#REF!-H199</f>
        <v>#REF!</v>
      </c>
    </row>
    <row r="200" spans="2:14">
      <c r="B200" s="14">
        <v>111</v>
      </c>
      <c r="C200" s="2" t="s">
        <v>163</v>
      </c>
      <c r="D200" s="15">
        <v>200000</v>
      </c>
      <c r="E200" s="15">
        <v>26660</v>
      </c>
      <c r="F200" s="15">
        <f t="shared" ref="F200:F208" si="21">SUM(D200:E200)</f>
        <v>226660</v>
      </c>
      <c r="G200" s="32">
        <v>40</v>
      </c>
      <c r="H200" s="15">
        <v>5666.5</v>
      </c>
      <c r="I200" s="22">
        <v>43</v>
      </c>
      <c r="J200" s="11">
        <f t="shared" si="19"/>
        <v>-3</v>
      </c>
      <c r="K200" s="15">
        <f>(43*5666.5)</f>
        <v>243659.5</v>
      </c>
      <c r="L200" s="15">
        <f t="shared" si="20"/>
        <v>-16999.5</v>
      </c>
      <c r="M200" s="10"/>
      <c r="N200" s="39" t="e">
        <f>#REF!-H200</f>
        <v>#REF!</v>
      </c>
    </row>
    <row r="201" spans="2:14">
      <c r="B201" s="14">
        <v>148</v>
      </c>
      <c r="C201" s="2" t="s">
        <v>175</v>
      </c>
      <c r="D201" s="15">
        <v>200000</v>
      </c>
      <c r="E201" s="15">
        <v>26660</v>
      </c>
      <c r="F201" s="15">
        <f t="shared" si="21"/>
        <v>226660</v>
      </c>
      <c r="G201" s="32">
        <v>40</v>
      </c>
      <c r="H201" s="15">
        <v>5666.5</v>
      </c>
      <c r="I201" s="22">
        <v>43</v>
      </c>
      <c r="J201" s="11">
        <f t="shared" si="19"/>
        <v>-3</v>
      </c>
      <c r="K201" s="15">
        <f>(43*5666.5)</f>
        <v>243659.5</v>
      </c>
      <c r="L201" s="15">
        <f t="shared" si="20"/>
        <v>-16999.5</v>
      </c>
      <c r="M201" s="10"/>
      <c r="N201" s="39" t="e">
        <f>#REF!-H201</f>
        <v>#REF!</v>
      </c>
    </row>
    <row r="202" spans="2:14">
      <c r="B202" s="14">
        <v>161</v>
      </c>
      <c r="C202" s="2" t="s">
        <v>178</v>
      </c>
      <c r="D202" s="15">
        <v>200000</v>
      </c>
      <c r="E202" s="15">
        <v>26660</v>
      </c>
      <c r="F202" s="15">
        <f t="shared" si="21"/>
        <v>226660</v>
      </c>
      <c r="G202" s="31">
        <v>40</v>
      </c>
      <c r="H202" s="15">
        <v>5666.5</v>
      </c>
      <c r="I202" s="8">
        <v>40</v>
      </c>
      <c r="J202" s="11">
        <f t="shared" si="19"/>
        <v>0</v>
      </c>
      <c r="K202" s="12">
        <f>(40*5666.5)</f>
        <v>226660</v>
      </c>
      <c r="L202" s="15">
        <f t="shared" si="20"/>
        <v>0</v>
      </c>
      <c r="M202" s="8"/>
      <c r="N202" s="39" t="e">
        <f>#REF!-H202</f>
        <v>#REF!</v>
      </c>
    </row>
    <row r="203" spans="2:14">
      <c r="B203" s="14">
        <v>171</v>
      </c>
      <c r="C203" s="2" t="s">
        <v>180</v>
      </c>
      <c r="D203" s="15">
        <v>200000</v>
      </c>
      <c r="E203" s="15">
        <v>26660</v>
      </c>
      <c r="F203" s="15">
        <f t="shared" si="21"/>
        <v>226660</v>
      </c>
      <c r="G203" s="32">
        <v>40</v>
      </c>
      <c r="H203" s="15">
        <v>5666.5</v>
      </c>
      <c r="I203" s="22">
        <v>43</v>
      </c>
      <c r="J203" s="11">
        <f t="shared" si="19"/>
        <v>-3</v>
      </c>
      <c r="K203" s="15">
        <f>(43*5666.5)</f>
        <v>243659.5</v>
      </c>
      <c r="L203" s="15">
        <f t="shared" si="20"/>
        <v>-16999.5</v>
      </c>
      <c r="M203" s="10"/>
      <c r="N203" s="39" t="e">
        <f>#REF!-H203</f>
        <v>#REF!</v>
      </c>
    </row>
    <row r="204" spans="2:14">
      <c r="B204" s="14">
        <v>173</v>
      </c>
      <c r="C204" s="4" t="s">
        <v>219</v>
      </c>
      <c r="D204" s="12">
        <v>60000</v>
      </c>
      <c r="E204" s="12">
        <v>7998</v>
      </c>
      <c r="F204" s="15">
        <f t="shared" si="21"/>
        <v>67998</v>
      </c>
      <c r="G204" s="31">
        <v>40</v>
      </c>
      <c r="H204" s="12">
        <v>1699.95</v>
      </c>
      <c r="I204" s="8">
        <v>34</v>
      </c>
      <c r="J204" s="11">
        <f t="shared" si="19"/>
        <v>6</v>
      </c>
      <c r="K204" s="12">
        <f>(34*1699.95)</f>
        <v>57798.3</v>
      </c>
      <c r="L204" s="15">
        <f t="shared" si="20"/>
        <v>10199.699999999997</v>
      </c>
      <c r="M204" s="8"/>
      <c r="N204" s="39" t="e">
        <f>#REF!-H204</f>
        <v>#REF!</v>
      </c>
    </row>
    <row r="205" spans="2:14">
      <c r="B205" s="14">
        <v>176</v>
      </c>
      <c r="C205" s="2" t="s">
        <v>101</v>
      </c>
      <c r="D205" s="12">
        <v>450000</v>
      </c>
      <c r="E205" s="16">
        <v>59985</v>
      </c>
      <c r="F205" s="15">
        <f t="shared" si="21"/>
        <v>509985</v>
      </c>
      <c r="G205" s="33">
        <v>50</v>
      </c>
      <c r="H205" s="16">
        <v>10199.700000000001</v>
      </c>
      <c r="I205" s="8">
        <v>19</v>
      </c>
      <c r="J205" s="11">
        <f t="shared" si="19"/>
        <v>31</v>
      </c>
      <c r="K205" s="12">
        <f>(19*10199.7)</f>
        <v>193794.30000000002</v>
      </c>
      <c r="L205" s="15">
        <f t="shared" si="20"/>
        <v>316190.69999999995</v>
      </c>
      <c r="M205" s="8"/>
      <c r="N205" s="39" t="e">
        <f>#REF!-H205</f>
        <v>#REF!</v>
      </c>
    </row>
    <row r="206" spans="2:14">
      <c r="B206" s="14">
        <v>180</v>
      </c>
      <c r="C206" s="4" t="s">
        <v>209</v>
      </c>
      <c r="D206" s="12">
        <v>132000</v>
      </c>
      <c r="E206" s="12">
        <v>17595.599999999999</v>
      </c>
      <c r="F206" s="15">
        <f t="shared" si="21"/>
        <v>149595.6</v>
      </c>
      <c r="G206" s="30">
        <v>40</v>
      </c>
      <c r="H206" s="12">
        <v>3739.89</v>
      </c>
      <c r="I206" s="22">
        <v>43</v>
      </c>
      <c r="J206" s="11">
        <f t="shared" si="19"/>
        <v>-3</v>
      </c>
      <c r="K206" s="12">
        <f>(43*3739.89)</f>
        <v>160815.26999999999</v>
      </c>
      <c r="L206" s="15">
        <f t="shared" si="20"/>
        <v>-11219.669999999984</v>
      </c>
      <c r="M206" s="8"/>
      <c r="N206" s="39" t="e">
        <f>#REF!-H206</f>
        <v>#REF!</v>
      </c>
    </row>
    <row r="207" spans="2:14">
      <c r="B207" s="14">
        <v>189</v>
      </c>
      <c r="C207" s="4" t="s">
        <v>183</v>
      </c>
      <c r="D207" s="15">
        <v>200000</v>
      </c>
      <c r="E207" s="15">
        <v>26660</v>
      </c>
      <c r="F207" s="15">
        <f t="shared" si="21"/>
        <v>226660</v>
      </c>
      <c r="G207" s="32">
        <v>40</v>
      </c>
      <c r="H207" s="15">
        <v>5666.5</v>
      </c>
      <c r="I207" s="22">
        <v>43</v>
      </c>
      <c r="J207" s="11">
        <f t="shared" si="19"/>
        <v>-3</v>
      </c>
      <c r="K207" s="15">
        <f>(43*5666.5)</f>
        <v>243659.5</v>
      </c>
      <c r="L207" s="15">
        <f t="shared" si="20"/>
        <v>-16999.5</v>
      </c>
      <c r="M207" s="10"/>
      <c r="N207" s="39" t="e">
        <f>#REF!-H207</f>
        <v>#REF!</v>
      </c>
    </row>
    <row r="208" spans="2:14">
      <c r="B208" s="14">
        <v>202</v>
      </c>
      <c r="C208" s="2" t="s">
        <v>210</v>
      </c>
      <c r="D208" s="12">
        <v>132000</v>
      </c>
      <c r="E208" s="12">
        <v>17595.599999999999</v>
      </c>
      <c r="F208" s="15">
        <f t="shared" si="21"/>
        <v>149595.6</v>
      </c>
      <c r="G208" s="30">
        <v>40</v>
      </c>
      <c r="H208" s="12">
        <v>3739.89</v>
      </c>
      <c r="I208" s="22">
        <v>43</v>
      </c>
      <c r="J208" s="11">
        <f t="shared" si="19"/>
        <v>-3</v>
      </c>
      <c r="K208" s="12">
        <f>(43*3739.89)</f>
        <v>160815.26999999999</v>
      </c>
      <c r="L208" s="15">
        <f t="shared" si="20"/>
        <v>-11219.669999999984</v>
      </c>
      <c r="M208" s="8"/>
      <c r="N208" s="39" t="e">
        <f>#REF!-H208</f>
        <v>#REF!</v>
      </c>
    </row>
    <row r="209" spans="2:14">
      <c r="B209" s="14">
        <v>213</v>
      </c>
      <c r="C209" s="2" t="s">
        <v>243</v>
      </c>
      <c r="D209" s="12">
        <v>60000</v>
      </c>
      <c r="E209" s="12">
        <v>7998</v>
      </c>
      <c r="F209" s="12">
        <v>67998</v>
      </c>
      <c r="G209" s="31">
        <v>40</v>
      </c>
      <c r="H209" s="18">
        <v>1699.95</v>
      </c>
      <c r="I209" s="31">
        <v>43</v>
      </c>
      <c r="J209" s="11">
        <f t="shared" si="19"/>
        <v>-3</v>
      </c>
      <c r="K209" s="12">
        <f>(43*1699.95)</f>
        <v>73097.850000000006</v>
      </c>
      <c r="L209" s="15">
        <f t="shared" si="20"/>
        <v>-5099.8500000000058</v>
      </c>
      <c r="M209" s="8"/>
      <c r="N209" s="39" t="e">
        <f>#REF!-H209</f>
        <v>#REF!</v>
      </c>
    </row>
    <row r="213" spans="2:14">
      <c r="B213" s="65"/>
      <c r="C213" s="66"/>
      <c r="D213" s="67"/>
      <c r="E213" s="67"/>
      <c r="F213" s="67"/>
      <c r="G213" s="67"/>
      <c r="H213" s="67"/>
      <c r="I213" s="68"/>
      <c r="J213" s="68"/>
      <c r="K213" s="67"/>
      <c r="L213" s="67"/>
      <c r="M213" s="69"/>
    </row>
    <row r="214" spans="2:14">
      <c r="B214" s="65"/>
      <c r="C214" s="66"/>
      <c r="D214" s="67"/>
      <c r="E214" s="67"/>
      <c r="F214" s="67"/>
      <c r="G214" s="67"/>
      <c r="H214" s="67"/>
      <c r="I214" s="68"/>
      <c r="J214" s="68"/>
      <c r="K214" s="67"/>
      <c r="L214" s="67"/>
      <c r="M214" s="69"/>
    </row>
    <row r="215" spans="2:14">
      <c r="B215" s="65"/>
      <c r="C215" s="66"/>
      <c r="D215" s="67"/>
      <c r="E215" s="67"/>
      <c r="F215" s="67"/>
      <c r="G215" s="67"/>
      <c r="H215" s="67"/>
      <c r="I215" s="68"/>
      <c r="J215" s="68"/>
      <c r="K215" s="67"/>
      <c r="L215" s="67"/>
      <c r="M215" s="69"/>
    </row>
    <row r="217" spans="2:14" ht="20.25">
      <c r="B217" s="54" t="s">
        <v>245</v>
      </c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</row>
    <row r="218" spans="2:14" ht="18">
      <c r="B218" s="53" t="s">
        <v>246</v>
      </c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</row>
    <row r="219" spans="2:14" ht="18">
      <c r="B219" s="55" t="s">
        <v>252</v>
      </c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7"/>
    </row>
    <row r="220" spans="2:14" ht="36">
      <c r="B220" s="49" t="s">
        <v>0</v>
      </c>
      <c r="C220" s="49" t="s">
        <v>1</v>
      </c>
      <c r="D220" s="50" t="s">
        <v>2</v>
      </c>
      <c r="E220" s="50" t="s">
        <v>3</v>
      </c>
      <c r="F220" s="49" t="s">
        <v>4</v>
      </c>
      <c r="G220" s="50" t="s">
        <v>5</v>
      </c>
      <c r="H220" s="51" t="s">
        <v>6</v>
      </c>
      <c r="I220" s="50" t="s">
        <v>7</v>
      </c>
      <c r="J220" s="51" t="s">
        <v>8</v>
      </c>
      <c r="K220" s="50" t="s">
        <v>9</v>
      </c>
      <c r="L220" s="51" t="s">
        <v>10</v>
      </c>
      <c r="M220" s="51" t="s">
        <v>11</v>
      </c>
      <c r="N220" s="44"/>
    </row>
    <row r="221" spans="2:14">
      <c r="B221" s="14">
        <v>1</v>
      </c>
      <c r="C221" s="2" t="s">
        <v>40</v>
      </c>
      <c r="D221" s="12">
        <v>450000</v>
      </c>
      <c r="E221" s="16">
        <v>59985</v>
      </c>
      <c r="F221" s="16">
        <v>509985</v>
      </c>
      <c r="G221" s="33">
        <v>50</v>
      </c>
      <c r="H221" s="16">
        <v>10199.700000000001</v>
      </c>
      <c r="I221" s="8">
        <v>5</v>
      </c>
      <c r="J221" s="11">
        <f>G221-I221</f>
        <v>45</v>
      </c>
      <c r="K221" s="12">
        <f>(5*10199)</f>
        <v>50995</v>
      </c>
      <c r="L221" s="12">
        <f>F221-K221</f>
        <v>458990</v>
      </c>
      <c r="M221" s="1"/>
    </row>
    <row r="222" spans="2:14">
      <c r="C222" s="2" t="s">
        <v>158</v>
      </c>
    </row>
    <row r="225" spans="2:14" s="44" customFormat="1" ht="35.25" customHeight="1"/>
    <row r="226" spans="2:14">
      <c r="B226" s="14">
        <v>15</v>
      </c>
      <c r="C226" s="2" t="s">
        <v>242</v>
      </c>
      <c r="D226" s="12">
        <v>60000</v>
      </c>
      <c r="E226" s="12">
        <v>7998</v>
      </c>
      <c r="F226" s="15">
        <f>SUM(D226:E226)</f>
        <v>67998</v>
      </c>
      <c r="G226" s="31">
        <v>40</v>
      </c>
      <c r="H226" s="12">
        <v>1699.95</v>
      </c>
      <c r="I226" s="33">
        <v>40</v>
      </c>
      <c r="J226" s="11">
        <f>G226-I226</f>
        <v>0</v>
      </c>
      <c r="K226" s="12">
        <f>(40*1699.95)</f>
        <v>67998</v>
      </c>
      <c r="L226" s="15">
        <f>F226-K226</f>
        <v>0</v>
      </c>
      <c r="M226" s="8"/>
    </row>
    <row r="229" spans="2:14">
      <c r="B229" s="14">
        <v>20</v>
      </c>
      <c r="C229" s="2" t="s">
        <v>225</v>
      </c>
      <c r="D229" s="15">
        <v>200000</v>
      </c>
      <c r="E229" s="15">
        <v>26660</v>
      </c>
      <c r="F229" s="15">
        <v>226660</v>
      </c>
      <c r="G229" s="32">
        <v>40</v>
      </c>
      <c r="H229" s="18">
        <v>5666.5</v>
      </c>
      <c r="I229" s="30">
        <v>42</v>
      </c>
      <c r="J229" s="11">
        <f>G229-I229</f>
        <v>-2</v>
      </c>
      <c r="K229" s="15">
        <f>(42*5666.5)</f>
        <v>237993</v>
      </c>
      <c r="L229" s="15">
        <f>F229-K229</f>
        <v>-11333</v>
      </c>
      <c r="M229" s="10"/>
    </row>
    <row r="230" spans="2:14">
      <c r="B230" s="14">
        <v>25</v>
      </c>
      <c r="C230" s="2" t="s">
        <v>34</v>
      </c>
      <c r="D230" s="20">
        <v>150000</v>
      </c>
      <c r="E230" s="20">
        <v>19995</v>
      </c>
      <c r="F230" s="20">
        <f>SUM(D230:E230)</f>
        <v>169995</v>
      </c>
      <c r="G230" s="33">
        <v>50</v>
      </c>
      <c r="H230" s="3">
        <v>3399.9</v>
      </c>
      <c r="I230" s="8">
        <v>5</v>
      </c>
      <c r="J230" s="11">
        <f>G230-I230</f>
        <v>45</v>
      </c>
      <c r="K230" s="3">
        <f>(5*3399.9)</f>
        <v>16999.5</v>
      </c>
      <c r="L230" s="12">
        <f>F230-K230</f>
        <v>152995.5</v>
      </c>
      <c r="M230" s="1"/>
    </row>
    <row r="232" spans="2:14">
      <c r="B232" s="14"/>
      <c r="C232" s="29"/>
      <c r="D232" s="34">
        <f>SUM(D221:D231)</f>
        <v>860000</v>
      </c>
      <c r="E232" s="34">
        <f>SUM(E221:E230)</f>
        <v>114638</v>
      </c>
      <c r="F232" s="34">
        <f>SUM(F221:F230)</f>
        <v>974638</v>
      </c>
      <c r="G232" s="42"/>
      <c r="H232" s="34">
        <f>SUM(H221:H231)</f>
        <v>20966.050000000003</v>
      </c>
      <c r="I232" s="40"/>
      <c r="J232" s="35"/>
      <c r="K232" s="34">
        <f>SUM(K221:K230)</f>
        <v>373985.5</v>
      </c>
      <c r="L232" s="36">
        <f>SUM(L221:L230)</f>
        <v>600652.5</v>
      </c>
      <c r="M232" s="8"/>
    </row>
    <row r="233" spans="2:14">
      <c r="B233" s="14"/>
      <c r="C233" s="29"/>
      <c r="D233" s="34">
        <f ca="1">D187+D232</f>
        <v>60808000</v>
      </c>
      <c r="E233" s="34">
        <f ca="1">E187+E232</f>
        <v>7910136.6399999987</v>
      </c>
      <c r="F233" s="34">
        <f ca="1">F187+F232</f>
        <v>68718136.640000015</v>
      </c>
      <c r="G233" s="42"/>
      <c r="H233" s="34">
        <f>H187+H232</f>
        <v>1513238.2199999997</v>
      </c>
      <c r="I233" s="33"/>
      <c r="J233" s="33"/>
      <c r="K233" s="34">
        <f ca="1">K187+K232</f>
        <v>29958439.710000001</v>
      </c>
      <c r="L233" s="34">
        <f ca="1">L187+L232</f>
        <v>25036484.330000002</v>
      </c>
      <c r="M233" s="8"/>
    </row>
    <row r="235" spans="2:14">
      <c r="B235" s="14">
        <v>29</v>
      </c>
      <c r="C235" s="2" t="s">
        <v>133</v>
      </c>
      <c r="D235" s="15">
        <v>200000</v>
      </c>
      <c r="E235" s="15">
        <v>26660</v>
      </c>
      <c r="F235" s="15">
        <f t="shared" ref="F235:F243" si="22">SUM(D235:E235)</f>
        <v>226660</v>
      </c>
      <c r="G235" s="31">
        <v>40</v>
      </c>
      <c r="H235" s="15">
        <v>5666.5</v>
      </c>
      <c r="I235" s="8">
        <v>38</v>
      </c>
      <c r="J235" s="8">
        <v>3</v>
      </c>
      <c r="K235" s="12">
        <f>(38*5666.5)</f>
        <v>215327</v>
      </c>
      <c r="L235" s="15">
        <f t="shared" ref="L235:L266" si="23">F235-K235</f>
        <v>11333</v>
      </c>
      <c r="M235" s="8"/>
      <c r="N235" s="39" t="e">
        <f>#REF!-H235</f>
        <v>#REF!</v>
      </c>
    </row>
    <row r="236" spans="2:14">
      <c r="B236" s="14">
        <v>85</v>
      </c>
      <c r="C236" s="25" t="s">
        <v>67</v>
      </c>
      <c r="D236" s="12">
        <v>500000</v>
      </c>
      <c r="E236" s="12">
        <v>66650</v>
      </c>
      <c r="F236" s="15">
        <f t="shared" si="22"/>
        <v>566650</v>
      </c>
      <c r="G236" s="31">
        <v>50</v>
      </c>
      <c r="H236" s="18">
        <v>11333</v>
      </c>
      <c r="I236" s="8">
        <v>21</v>
      </c>
      <c r="J236" s="8">
        <v>30</v>
      </c>
      <c r="K236" s="12">
        <f>(21*11333)</f>
        <v>237993</v>
      </c>
      <c r="L236" s="15">
        <f t="shared" si="23"/>
        <v>328657</v>
      </c>
      <c r="M236" s="8"/>
      <c r="N236" s="39" t="e">
        <f>#REF!-H236</f>
        <v>#REF!</v>
      </c>
    </row>
    <row r="237" spans="2:14">
      <c r="B237" s="14">
        <v>104</v>
      </c>
      <c r="C237" s="2" t="s">
        <v>161</v>
      </c>
      <c r="D237" s="15">
        <v>200000</v>
      </c>
      <c r="E237" s="15">
        <v>26660</v>
      </c>
      <c r="F237" s="15">
        <f t="shared" si="22"/>
        <v>226660</v>
      </c>
      <c r="G237" s="32">
        <v>40</v>
      </c>
      <c r="H237" s="15">
        <v>5666.5</v>
      </c>
      <c r="I237" s="22">
        <v>39</v>
      </c>
      <c r="J237" s="21">
        <v>2</v>
      </c>
      <c r="K237" s="15">
        <f>(39*5666.5)</f>
        <v>220993.5</v>
      </c>
      <c r="L237" s="15">
        <f t="shared" si="23"/>
        <v>5666.5</v>
      </c>
      <c r="M237" s="10"/>
      <c r="N237" s="39" t="e">
        <f>#REF!-H237</f>
        <v>#REF!</v>
      </c>
    </row>
    <row r="238" spans="2:14">
      <c r="B238" s="14">
        <v>127</v>
      </c>
      <c r="C238" s="2" t="s">
        <v>196</v>
      </c>
      <c r="D238" s="12">
        <v>180000</v>
      </c>
      <c r="E238" s="12">
        <v>23994</v>
      </c>
      <c r="F238" s="15">
        <f t="shared" si="22"/>
        <v>203994</v>
      </c>
      <c r="G238" s="31">
        <v>40</v>
      </c>
      <c r="H238" s="12">
        <v>5099.8500000000004</v>
      </c>
      <c r="I238" s="8">
        <v>34</v>
      </c>
      <c r="J238" s="8">
        <v>8</v>
      </c>
      <c r="K238" s="12">
        <f>(34*5099.85)</f>
        <v>173394.90000000002</v>
      </c>
      <c r="L238" s="15">
        <f t="shared" si="23"/>
        <v>30599.099999999977</v>
      </c>
      <c r="M238" s="8"/>
      <c r="N238" s="39" t="e">
        <f>#REF!-H238</f>
        <v>#REF!</v>
      </c>
    </row>
    <row r="239" spans="2:14">
      <c r="B239" s="14">
        <v>3</v>
      </c>
      <c r="C239" s="2" t="s">
        <v>200</v>
      </c>
      <c r="D239" s="12">
        <v>132000</v>
      </c>
      <c r="E239" s="12">
        <v>17595.599999999999</v>
      </c>
      <c r="F239" s="15">
        <f t="shared" si="22"/>
        <v>149595.6</v>
      </c>
      <c r="G239" s="31">
        <v>40</v>
      </c>
      <c r="H239" s="12">
        <v>3739.89</v>
      </c>
      <c r="I239" s="8">
        <v>40</v>
      </c>
      <c r="J239" s="11">
        <f t="shared" ref="J239:J266" si="24">G239-I239</f>
        <v>0</v>
      </c>
      <c r="K239" s="12">
        <f>(40*3739.89)</f>
        <v>149595.6</v>
      </c>
      <c r="L239" s="15">
        <f t="shared" si="23"/>
        <v>0</v>
      </c>
      <c r="M239" s="8"/>
      <c r="N239" s="39" t="e">
        <f>#REF!-H239</f>
        <v>#REF!</v>
      </c>
    </row>
    <row r="240" spans="2:14">
      <c r="B240" s="14">
        <v>10</v>
      </c>
      <c r="C240" s="2" t="s">
        <v>125</v>
      </c>
      <c r="D240" s="15">
        <v>200000</v>
      </c>
      <c r="E240" s="15">
        <v>26660</v>
      </c>
      <c r="F240" s="15">
        <f t="shared" si="22"/>
        <v>226660</v>
      </c>
      <c r="G240" s="31">
        <v>40</v>
      </c>
      <c r="H240" s="15">
        <v>5666.5</v>
      </c>
      <c r="I240" s="8">
        <v>40</v>
      </c>
      <c r="J240" s="11">
        <f t="shared" si="24"/>
        <v>0</v>
      </c>
      <c r="K240" s="12">
        <f>(40*5666.5)</f>
        <v>226660</v>
      </c>
      <c r="L240" s="15">
        <f t="shared" si="23"/>
        <v>0</v>
      </c>
      <c r="M240" s="8"/>
      <c r="N240" s="39" t="e">
        <f>#REF!-H240</f>
        <v>#REF!</v>
      </c>
    </row>
    <row r="241" spans="2:14">
      <c r="B241" s="14">
        <v>20</v>
      </c>
      <c r="C241" s="2" t="s">
        <v>128</v>
      </c>
      <c r="D241" s="15">
        <v>200000</v>
      </c>
      <c r="E241" s="15">
        <v>26660</v>
      </c>
      <c r="F241" s="15">
        <f t="shared" si="22"/>
        <v>226660</v>
      </c>
      <c r="G241" s="32">
        <v>40</v>
      </c>
      <c r="H241" s="15">
        <v>5666.5</v>
      </c>
      <c r="I241" s="22">
        <v>42</v>
      </c>
      <c r="J241" s="11">
        <f t="shared" si="24"/>
        <v>-2</v>
      </c>
      <c r="K241" s="15">
        <f>(42*5666.5)</f>
        <v>237993</v>
      </c>
      <c r="L241" s="15">
        <f t="shared" si="23"/>
        <v>-11333</v>
      </c>
      <c r="M241" s="10"/>
      <c r="N241" s="39" t="e">
        <f>#REF!-H241</f>
        <v>#REF!</v>
      </c>
    </row>
    <row r="242" spans="2:14">
      <c r="B242" s="14">
        <v>27</v>
      </c>
      <c r="C242" s="2" t="s">
        <v>132</v>
      </c>
      <c r="D242" s="15">
        <v>200000</v>
      </c>
      <c r="E242" s="15">
        <v>26660</v>
      </c>
      <c r="F242" s="15">
        <f t="shared" si="22"/>
        <v>226660</v>
      </c>
      <c r="G242" s="31">
        <v>40</v>
      </c>
      <c r="H242" s="15">
        <v>5666.5</v>
      </c>
      <c r="I242" s="8">
        <v>40</v>
      </c>
      <c r="J242" s="11">
        <f t="shared" si="24"/>
        <v>0</v>
      </c>
      <c r="K242" s="12">
        <f>(40*5666.5)</f>
        <v>226660</v>
      </c>
      <c r="L242" s="15">
        <f t="shared" si="23"/>
        <v>0</v>
      </c>
      <c r="M242" s="8"/>
      <c r="N242" s="39" t="e">
        <f>#REF!-H242</f>
        <v>#REF!</v>
      </c>
    </row>
    <row r="243" spans="2:14">
      <c r="B243" s="14">
        <v>30</v>
      </c>
      <c r="C243" s="2" t="s">
        <v>135</v>
      </c>
      <c r="D243" s="15">
        <v>200000</v>
      </c>
      <c r="E243" s="15">
        <v>26660</v>
      </c>
      <c r="F243" s="15">
        <f t="shared" si="22"/>
        <v>226660</v>
      </c>
      <c r="G243" s="31">
        <v>40</v>
      </c>
      <c r="H243" s="15">
        <v>5666.5</v>
      </c>
      <c r="I243" s="8">
        <v>33</v>
      </c>
      <c r="J243" s="11">
        <f t="shared" si="24"/>
        <v>7</v>
      </c>
      <c r="K243" s="12">
        <f>(33*5666.5)</f>
        <v>186994.5</v>
      </c>
      <c r="L243" s="15">
        <f t="shared" si="23"/>
        <v>39665.5</v>
      </c>
      <c r="M243" s="8"/>
      <c r="N243" s="39" t="e">
        <f>#REF!-H243</f>
        <v>#REF!</v>
      </c>
    </row>
    <row r="244" spans="2:14">
      <c r="B244" s="14">
        <v>43</v>
      </c>
      <c r="C244" s="2" t="s">
        <v>239</v>
      </c>
      <c r="D244" s="12">
        <v>132000</v>
      </c>
      <c r="E244" s="12">
        <v>17595.599999999999</v>
      </c>
      <c r="F244" s="12">
        <v>149595.6</v>
      </c>
      <c r="G244" s="30">
        <v>40</v>
      </c>
      <c r="H244" s="18">
        <v>3739.89</v>
      </c>
      <c r="I244" s="33">
        <v>43</v>
      </c>
      <c r="J244" s="11">
        <f t="shared" si="24"/>
        <v>-3</v>
      </c>
      <c r="K244" s="12">
        <f>(43*3739.89)</f>
        <v>160815.26999999999</v>
      </c>
      <c r="L244" s="15">
        <f t="shared" si="23"/>
        <v>-11219.669999999984</v>
      </c>
      <c r="M244" s="8"/>
      <c r="N244" s="39" t="e">
        <f>#REF!-H244</f>
        <v>#REF!</v>
      </c>
    </row>
    <row r="245" spans="2:14">
      <c r="B245" s="14">
        <v>45</v>
      </c>
      <c r="C245" s="2" t="s">
        <v>140</v>
      </c>
      <c r="D245" s="15">
        <v>200000</v>
      </c>
      <c r="E245" s="15">
        <v>26660</v>
      </c>
      <c r="F245" s="15">
        <f>SUM(D245:E245)</f>
        <v>226660</v>
      </c>
      <c r="G245" s="31">
        <v>40</v>
      </c>
      <c r="H245" s="15">
        <v>5666.5</v>
      </c>
      <c r="I245" s="8">
        <v>29</v>
      </c>
      <c r="J245" s="11">
        <f t="shared" si="24"/>
        <v>11</v>
      </c>
      <c r="K245" s="12">
        <f>(29*5666.5)</f>
        <v>164328.5</v>
      </c>
      <c r="L245" s="15">
        <f t="shared" si="23"/>
        <v>62331.5</v>
      </c>
      <c r="M245" s="8"/>
      <c r="N245" s="39" t="e">
        <f>#REF!-H245</f>
        <v>#REF!</v>
      </c>
    </row>
    <row r="246" spans="2:14">
      <c r="B246" s="14">
        <v>50</v>
      </c>
      <c r="C246" s="2" t="s">
        <v>143</v>
      </c>
      <c r="D246" s="15">
        <v>200000</v>
      </c>
      <c r="E246" s="15">
        <v>26660</v>
      </c>
      <c r="F246" s="15">
        <f>SUM(D246:E246)</f>
        <v>226660</v>
      </c>
      <c r="G246" s="31">
        <v>40</v>
      </c>
      <c r="H246" s="15">
        <v>5666.5</v>
      </c>
      <c r="I246" s="8">
        <v>40</v>
      </c>
      <c r="J246" s="11">
        <f t="shared" si="24"/>
        <v>0</v>
      </c>
      <c r="K246" s="12">
        <f>(40*5666.5)</f>
        <v>226660</v>
      </c>
      <c r="L246" s="15">
        <f t="shared" si="23"/>
        <v>0</v>
      </c>
      <c r="M246" s="8"/>
      <c r="N246" s="39" t="e">
        <f>#REF!-H246</f>
        <v>#REF!</v>
      </c>
    </row>
    <row r="247" spans="2:14">
      <c r="B247" s="14">
        <v>97</v>
      </c>
      <c r="C247" s="2" t="s">
        <v>217</v>
      </c>
      <c r="D247" s="12">
        <v>60000</v>
      </c>
      <c r="E247" s="12">
        <v>7998</v>
      </c>
      <c r="F247" s="15">
        <f>SUM(D247:E247)</f>
        <v>67998</v>
      </c>
      <c r="G247" s="31">
        <v>40</v>
      </c>
      <c r="H247" s="12">
        <v>1699.95</v>
      </c>
      <c r="I247" s="8">
        <v>43</v>
      </c>
      <c r="J247" s="11">
        <f t="shared" si="24"/>
        <v>-3</v>
      </c>
      <c r="K247" s="12">
        <f>(43*1699.95)</f>
        <v>73097.850000000006</v>
      </c>
      <c r="L247" s="15">
        <f t="shared" si="23"/>
        <v>-5099.8500000000058</v>
      </c>
      <c r="M247" s="8"/>
      <c r="N247" s="39" t="e">
        <f>#REF!-H247</f>
        <v>#REF!</v>
      </c>
    </row>
    <row r="248" spans="2:14">
      <c r="B248" s="14">
        <v>99</v>
      </c>
      <c r="C248" s="2" t="s">
        <v>221</v>
      </c>
      <c r="D248" s="12">
        <v>330000</v>
      </c>
      <c r="E248" s="12">
        <v>21975</v>
      </c>
      <c r="F248" s="12">
        <v>351975</v>
      </c>
      <c r="G248" s="31">
        <v>25</v>
      </c>
      <c r="H248" s="18">
        <v>14079</v>
      </c>
      <c r="I248" s="33">
        <v>28</v>
      </c>
      <c r="J248" s="11">
        <f t="shared" si="24"/>
        <v>-3</v>
      </c>
      <c r="K248" s="16">
        <f>(28*14079)</f>
        <v>394212</v>
      </c>
      <c r="L248" s="15">
        <f t="shared" si="23"/>
        <v>-42237</v>
      </c>
      <c r="M248" s="8"/>
      <c r="N248" s="39" t="e">
        <f>#REF!-H248</f>
        <v>#REF!</v>
      </c>
    </row>
    <row r="249" spans="2:14">
      <c r="B249" s="14">
        <v>129</v>
      </c>
      <c r="C249" s="2" t="s">
        <v>95</v>
      </c>
      <c r="D249" s="12">
        <v>450000</v>
      </c>
      <c r="E249" s="12">
        <v>59985</v>
      </c>
      <c r="F249" s="15">
        <f>SUM(D249:E249)</f>
        <v>509985</v>
      </c>
      <c r="G249" s="31">
        <v>50</v>
      </c>
      <c r="H249" s="12">
        <v>10199.700000000001</v>
      </c>
      <c r="I249" s="8">
        <v>26</v>
      </c>
      <c r="J249" s="11">
        <f t="shared" si="24"/>
        <v>24</v>
      </c>
      <c r="K249" s="12">
        <f>(26*10199.7)</f>
        <v>265192.2</v>
      </c>
      <c r="L249" s="15">
        <f t="shared" si="23"/>
        <v>244792.8</v>
      </c>
      <c r="M249" s="8"/>
      <c r="N249" s="39" t="e">
        <f>#REF!-H249</f>
        <v>#REF!</v>
      </c>
    </row>
    <row r="250" spans="2:14">
      <c r="B250" s="14">
        <v>131</v>
      </c>
      <c r="C250" s="2" t="s">
        <v>172</v>
      </c>
      <c r="D250" s="15">
        <v>200000</v>
      </c>
      <c r="E250" s="15">
        <v>26660</v>
      </c>
      <c r="F250" s="15">
        <f>SUM(D250:E250)</f>
        <v>226660</v>
      </c>
      <c r="G250" s="31">
        <v>40</v>
      </c>
      <c r="H250" s="15">
        <v>5666.5</v>
      </c>
      <c r="I250" s="8">
        <v>40</v>
      </c>
      <c r="J250" s="11">
        <f t="shared" si="24"/>
        <v>0</v>
      </c>
      <c r="K250" s="12">
        <f>(40*5666.5)</f>
        <v>226660</v>
      </c>
      <c r="L250" s="15">
        <f t="shared" si="23"/>
        <v>0</v>
      </c>
      <c r="M250" s="8"/>
      <c r="N250" s="39" t="e">
        <f>#REF!-H250</f>
        <v>#REF!</v>
      </c>
    </row>
    <row r="251" spans="2:14">
      <c r="B251" s="14">
        <v>141</v>
      </c>
      <c r="C251" s="2" t="s">
        <v>197</v>
      </c>
      <c r="D251" s="12">
        <v>180000</v>
      </c>
      <c r="E251" s="12">
        <v>23994</v>
      </c>
      <c r="F251" s="15">
        <f>SUM(D251:E251)</f>
        <v>203994</v>
      </c>
      <c r="G251" s="31">
        <v>40</v>
      </c>
      <c r="H251" s="12">
        <v>5099.8500000000004</v>
      </c>
      <c r="I251" s="8">
        <v>40</v>
      </c>
      <c r="J251" s="11">
        <f t="shared" si="24"/>
        <v>0</v>
      </c>
      <c r="K251" s="12">
        <f>(40*5099.85)</f>
        <v>203994</v>
      </c>
      <c r="L251" s="15">
        <f t="shared" si="23"/>
        <v>0</v>
      </c>
      <c r="M251" s="8"/>
      <c r="N251" s="39" t="e">
        <f>#REF!-H251</f>
        <v>#REF!</v>
      </c>
    </row>
    <row r="252" spans="2:14">
      <c r="B252" s="14">
        <v>142</v>
      </c>
      <c r="C252" s="2" t="s">
        <v>16</v>
      </c>
      <c r="D252" s="12">
        <v>450000</v>
      </c>
      <c r="E252" s="12">
        <v>59985</v>
      </c>
      <c r="F252" s="12">
        <v>509985</v>
      </c>
      <c r="G252" s="33">
        <v>50</v>
      </c>
      <c r="H252" s="19">
        <v>11333</v>
      </c>
      <c r="I252" s="31">
        <v>8</v>
      </c>
      <c r="J252" s="11">
        <f t="shared" si="24"/>
        <v>42</v>
      </c>
      <c r="K252" s="12">
        <f>(8*11333)</f>
        <v>90664</v>
      </c>
      <c r="L252" s="15">
        <f t="shared" si="23"/>
        <v>419321</v>
      </c>
      <c r="M252" s="8"/>
      <c r="N252" s="39" t="e">
        <f>#REF!-H252</f>
        <v>#REF!</v>
      </c>
    </row>
    <row r="253" spans="2:14">
      <c r="B253" s="14">
        <v>144</v>
      </c>
      <c r="C253" s="2" t="s">
        <v>174</v>
      </c>
      <c r="D253" s="15">
        <v>200000</v>
      </c>
      <c r="E253" s="15">
        <v>26660</v>
      </c>
      <c r="F253" s="15">
        <f t="shared" ref="F253:F266" si="25">SUM(D253:E253)</f>
        <v>226660</v>
      </c>
      <c r="G253" s="31">
        <v>40</v>
      </c>
      <c r="H253" s="15">
        <v>5666.5</v>
      </c>
      <c r="I253" s="8">
        <v>40</v>
      </c>
      <c r="J253" s="11">
        <f t="shared" si="24"/>
        <v>0</v>
      </c>
      <c r="K253" s="12">
        <f>(40*5666.5)</f>
        <v>226660</v>
      </c>
      <c r="L253" s="15">
        <f t="shared" si="23"/>
        <v>0</v>
      </c>
      <c r="M253" s="8"/>
      <c r="N253" s="39" t="e">
        <f>#REF!-H253</f>
        <v>#REF!</v>
      </c>
    </row>
    <row r="254" spans="2:14">
      <c r="B254" s="14">
        <v>159</v>
      </c>
      <c r="C254" s="2" t="s">
        <v>198</v>
      </c>
      <c r="D254" s="12">
        <v>180000</v>
      </c>
      <c r="E254" s="12">
        <v>23994</v>
      </c>
      <c r="F254" s="15">
        <f t="shared" si="25"/>
        <v>203994</v>
      </c>
      <c r="G254" s="30">
        <v>40</v>
      </c>
      <c r="H254" s="12">
        <v>5099.8500000000004</v>
      </c>
      <c r="I254" s="22">
        <v>42</v>
      </c>
      <c r="J254" s="11">
        <f t="shared" si="24"/>
        <v>-2</v>
      </c>
      <c r="K254" s="12">
        <f>(42*5099.85)</f>
        <v>214193.7</v>
      </c>
      <c r="L254" s="15">
        <f t="shared" si="23"/>
        <v>-10199.700000000012</v>
      </c>
      <c r="M254" s="10"/>
      <c r="N254" s="39" t="e">
        <f>#REF!-H254</f>
        <v>#REF!</v>
      </c>
    </row>
    <row r="255" spans="2:14">
      <c r="B255" s="14">
        <v>178</v>
      </c>
      <c r="C255" s="4" t="s">
        <v>208</v>
      </c>
      <c r="D255" s="12">
        <v>132000</v>
      </c>
      <c r="E255" s="12">
        <v>17595.599999999999</v>
      </c>
      <c r="F255" s="15">
        <f t="shared" si="25"/>
        <v>149595.6</v>
      </c>
      <c r="G255" s="30">
        <v>40</v>
      </c>
      <c r="H255" s="12">
        <v>3739.89</v>
      </c>
      <c r="I255" s="22">
        <v>42</v>
      </c>
      <c r="J255" s="11">
        <f t="shared" si="24"/>
        <v>-2</v>
      </c>
      <c r="K255" s="12">
        <f>(42*3739.89)</f>
        <v>157075.38</v>
      </c>
      <c r="L255" s="15">
        <f t="shared" si="23"/>
        <v>-7479.7799999999988</v>
      </c>
      <c r="M255" s="8"/>
      <c r="N255" s="39" t="e">
        <f>#REF!-H255</f>
        <v>#REF!</v>
      </c>
    </row>
    <row r="256" spans="2:14">
      <c r="B256" s="14">
        <v>179</v>
      </c>
      <c r="C256" s="4" t="s">
        <v>220</v>
      </c>
      <c r="D256" s="12">
        <v>60000</v>
      </c>
      <c r="E256" s="12">
        <v>7998</v>
      </c>
      <c r="F256" s="15">
        <f t="shared" si="25"/>
        <v>67998</v>
      </c>
      <c r="G256" s="31">
        <v>40</v>
      </c>
      <c r="H256" s="12">
        <v>1699.95</v>
      </c>
      <c r="I256" s="8">
        <v>39</v>
      </c>
      <c r="J256" s="11">
        <f t="shared" si="24"/>
        <v>1</v>
      </c>
      <c r="K256" s="12">
        <f>(39*1699.89)</f>
        <v>66295.710000000006</v>
      </c>
      <c r="L256" s="15">
        <f t="shared" si="23"/>
        <v>1702.2899999999936</v>
      </c>
      <c r="M256" s="8"/>
      <c r="N256" s="39" t="e">
        <f>#REF!-H256</f>
        <v>#REF!</v>
      </c>
    </row>
    <row r="257" spans="2:14">
      <c r="B257" s="14">
        <v>188</v>
      </c>
      <c r="C257" s="4" t="s">
        <v>182</v>
      </c>
      <c r="D257" s="15">
        <v>200000</v>
      </c>
      <c r="E257" s="15">
        <v>26660</v>
      </c>
      <c r="F257" s="15">
        <f t="shared" si="25"/>
        <v>226660</v>
      </c>
      <c r="G257" s="31">
        <v>40</v>
      </c>
      <c r="H257" s="15">
        <v>5666.5</v>
      </c>
      <c r="I257" s="8">
        <v>40</v>
      </c>
      <c r="J257" s="11">
        <f t="shared" si="24"/>
        <v>0</v>
      </c>
      <c r="K257" s="12">
        <f>(40*5666.5)</f>
        <v>226660</v>
      </c>
      <c r="L257" s="15">
        <f t="shared" si="23"/>
        <v>0</v>
      </c>
      <c r="M257" s="8"/>
      <c r="N257" s="39" t="e">
        <f>#REF!-H257</f>
        <v>#REF!</v>
      </c>
    </row>
    <row r="258" spans="2:14">
      <c r="B258" s="14">
        <v>12</v>
      </c>
      <c r="C258" s="2" t="s">
        <v>190</v>
      </c>
      <c r="D258" s="12">
        <v>180000</v>
      </c>
      <c r="E258" s="12">
        <v>23994</v>
      </c>
      <c r="F258" s="15">
        <f t="shared" si="25"/>
        <v>203994</v>
      </c>
      <c r="G258" s="30">
        <v>40</v>
      </c>
      <c r="H258" s="12">
        <v>5099.8500000000004</v>
      </c>
      <c r="I258" s="22">
        <v>43</v>
      </c>
      <c r="J258" s="11">
        <f t="shared" si="24"/>
        <v>-3</v>
      </c>
      <c r="K258" s="12">
        <f>(43*5099.85)</f>
        <v>219293.55000000002</v>
      </c>
      <c r="L258" s="15">
        <f t="shared" si="23"/>
        <v>-15299.550000000017</v>
      </c>
      <c r="M258" s="10"/>
      <c r="N258" s="39" t="e">
        <f>#REF!-H258</f>
        <v>#REF!</v>
      </c>
    </row>
    <row r="259" spans="2:14">
      <c r="B259" s="14">
        <v>14</v>
      </c>
      <c r="C259" s="2" t="s">
        <v>191</v>
      </c>
      <c r="D259" s="12">
        <v>180000</v>
      </c>
      <c r="E259" s="12">
        <v>23994</v>
      </c>
      <c r="F259" s="15">
        <f t="shared" si="25"/>
        <v>203994</v>
      </c>
      <c r="G259" s="30">
        <v>40</v>
      </c>
      <c r="H259" s="12">
        <v>5099.8500000000004</v>
      </c>
      <c r="I259" s="22">
        <v>43</v>
      </c>
      <c r="J259" s="11">
        <f t="shared" si="24"/>
        <v>-3</v>
      </c>
      <c r="K259" s="12">
        <f>(43*5099.85)</f>
        <v>219293.55000000002</v>
      </c>
      <c r="L259" s="15">
        <f t="shared" si="23"/>
        <v>-15299.550000000017</v>
      </c>
      <c r="M259" s="10"/>
      <c r="N259" s="39" t="e">
        <f>#REF!-H259</f>
        <v>#REF!</v>
      </c>
    </row>
    <row r="260" spans="2:14">
      <c r="B260" s="14">
        <v>17</v>
      </c>
      <c r="C260" s="2" t="s">
        <v>126</v>
      </c>
      <c r="D260" s="15">
        <v>200000</v>
      </c>
      <c r="E260" s="15">
        <v>26660</v>
      </c>
      <c r="F260" s="15">
        <f t="shared" si="25"/>
        <v>226660</v>
      </c>
      <c r="G260" s="32">
        <v>40</v>
      </c>
      <c r="H260" s="15">
        <v>5666.5</v>
      </c>
      <c r="I260" s="22">
        <v>43</v>
      </c>
      <c r="J260" s="11">
        <f t="shared" si="24"/>
        <v>-3</v>
      </c>
      <c r="K260" s="15">
        <f>(43*5666.5)</f>
        <v>243659.5</v>
      </c>
      <c r="L260" s="15">
        <f t="shared" si="23"/>
        <v>-16999.5</v>
      </c>
      <c r="M260" s="10"/>
      <c r="N260" s="39" t="e">
        <f>#REF!-H260</f>
        <v>#REF!</v>
      </c>
    </row>
    <row r="261" spans="2:14">
      <c r="B261" s="14">
        <v>23</v>
      </c>
      <c r="C261" s="2" t="s">
        <v>214</v>
      </c>
      <c r="D261" s="12">
        <v>60000</v>
      </c>
      <c r="E261" s="12">
        <v>7998</v>
      </c>
      <c r="F261" s="15">
        <f t="shared" si="25"/>
        <v>67998</v>
      </c>
      <c r="G261" s="31">
        <v>40</v>
      </c>
      <c r="H261" s="12">
        <v>1699.95</v>
      </c>
      <c r="I261" s="8">
        <v>43</v>
      </c>
      <c r="J261" s="11">
        <f t="shared" si="24"/>
        <v>-3</v>
      </c>
      <c r="K261" s="12">
        <f>(43*1699.95)</f>
        <v>73097.850000000006</v>
      </c>
      <c r="L261" s="15">
        <f t="shared" si="23"/>
        <v>-5099.8500000000058</v>
      </c>
      <c r="M261" s="8"/>
      <c r="N261" s="39" t="e">
        <f>#REF!-H261</f>
        <v>#REF!</v>
      </c>
    </row>
    <row r="262" spans="2:14">
      <c r="B262" s="14">
        <v>32</v>
      </c>
      <c r="C262" s="2" t="s">
        <v>202</v>
      </c>
      <c r="D262" s="12">
        <v>132000</v>
      </c>
      <c r="E262" s="12">
        <v>17595.599999999999</v>
      </c>
      <c r="F262" s="15">
        <f t="shared" si="25"/>
        <v>149595.6</v>
      </c>
      <c r="G262" s="31">
        <v>40</v>
      </c>
      <c r="H262" s="12">
        <v>3739.89</v>
      </c>
      <c r="I262" s="8">
        <v>31</v>
      </c>
      <c r="J262" s="11">
        <f t="shared" si="24"/>
        <v>9</v>
      </c>
      <c r="K262" s="12">
        <f>(31*3739.89)</f>
        <v>115936.59</v>
      </c>
      <c r="L262" s="15">
        <f t="shared" si="23"/>
        <v>33659.010000000009</v>
      </c>
      <c r="M262" s="8"/>
      <c r="N262" s="39" t="e">
        <f>#REF!-H262</f>
        <v>#REF!</v>
      </c>
    </row>
    <row r="263" spans="2:14">
      <c r="B263" s="14">
        <v>63</v>
      </c>
      <c r="C263" s="2" t="s">
        <v>145</v>
      </c>
      <c r="D263" s="15">
        <v>200000</v>
      </c>
      <c r="E263" s="15">
        <v>26660</v>
      </c>
      <c r="F263" s="15">
        <f t="shared" si="25"/>
        <v>226660</v>
      </c>
      <c r="G263" s="32">
        <v>40</v>
      </c>
      <c r="H263" s="15">
        <v>5666.5</v>
      </c>
      <c r="I263" s="22">
        <v>43</v>
      </c>
      <c r="J263" s="11">
        <f t="shared" si="24"/>
        <v>-3</v>
      </c>
      <c r="K263" s="15">
        <f>(43*5666.5)</f>
        <v>243659.5</v>
      </c>
      <c r="L263" s="15">
        <f t="shared" si="23"/>
        <v>-16999.5</v>
      </c>
      <c r="M263" s="10"/>
      <c r="N263" s="39" t="e">
        <f>#REF!-H263</f>
        <v>#REF!</v>
      </c>
    </row>
    <row r="264" spans="2:14">
      <c r="B264" s="14">
        <v>64</v>
      </c>
      <c r="C264" s="2" t="s">
        <v>146</v>
      </c>
      <c r="D264" s="15">
        <v>200000</v>
      </c>
      <c r="E264" s="15">
        <v>26660</v>
      </c>
      <c r="F264" s="15">
        <f t="shared" si="25"/>
        <v>226660</v>
      </c>
      <c r="G264" s="32">
        <v>40</v>
      </c>
      <c r="H264" s="15">
        <v>5666.5</v>
      </c>
      <c r="I264" s="22">
        <v>43</v>
      </c>
      <c r="J264" s="11">
        <f t="shared" si="24"/>
        <v>-3</v>
      </c>
      <c r="K264" s="15">
        <f>(43*5666.5)</f>
        <v>243659.5</v>
      </c>
      <c r="L264" s="15">
        <f t="shared" si="23"/>
        <v>-16999.5</v>
      </c>
      <c r="M264" s="10"/>
      <c r="N264" s="39" t="e">
        <f>#REF!-H264</f>
        <v>#REF!</v>
      </c>
    </row>
    <row r="265" spans="2:14">
      <c r="B265" s="14">
        <v>67</v>
      </c>
      <c r="C265" s="2" t="s">
        <v>61</v>
      </c>
      <c r="D265" s="12">
        <v>500000</v>
      </c>
      <c r="E265" s="12">
        <v>66650</v>
      </c>
      <c r="F265" s="15">
        <f t="shared" si="25"/>
        <v>566650</v>
      </c>
      <c r="G265" s="31">
        <v>50</v>
      </c>
      <c r="H265" s="12">
        <v>11333</v>
      </c>
      <c r="I265" s="11">
        <v>29</v>
      </c>
      <c r="J265" s="11">
        <f t="shared" si="24"/>
        <v>21</v>
      </c>
      <c r="K265" s="12">
        <f>(29*11333)</f>
        <v>328657</v>
      </c>
      <c r="L265" s="15">
        <f t="shared" si="23"/>
        <v>237993</v>
      </c>
      <c r="M265" s="8"/>
      <c r="N265" s="39" t="e">
        <f>#REF!-H265</f>
        <v>#REF!</v>
      </c>
    </row>
    <row r="266" spans="2:14">
      <c r="B266" s="14">
        <v>71</v>
      </c>
      <c r="C266" s="23" t="s">
        <v>148</v>
      </c>
      <c r="D266" s="15">
        <v>200000</v>
      </c>
      <c r="E266" s="15">
        <v>26660</v>
      </c>
      <c r="F266" s="15">
        <f t="shared" si="25"/>
        <v>226660</v>
      </c>
      <c r="G266" s="31">
        <v>40</v>
      </c>
      <c r="H266" s="15">
        <v>5666.5</v>
      </c>
      <c r="I266" s="8">
        <v>31</v>
      </c>
      <c r="J266" s="11">
        <f t="shared" si="24"/>
        <v>9</v>
      </c>
      <c r="K266" s="72">
        <f>(31*5666.5)</f>
        <v>175661.5</v>
      </c>
      <c r="L266" s="15">
        <f t="shared" si="23"/>
        <v>50998.5</v>
      </c>
      <c r="M266" s="8"/>
      <c r="N266" s="39" t="e">
        <f>#REF!-H266</f>
        <v>#REF!</v>
      </c>
    </row>
  </sheetData>
  <mergeCells count="2">
    <mergeCell ref="B3:M3"/>
    <mergeCell ref="B4:M4"/>
  </mergeCells>
  <conditionalFormatting sqref="C238">
    <cfRule type="duplicateValues" dxfId="4936" priority="438" stopIfTrue="1"/>
    <cfRule type="duplicateValues" dxfId="4935" priority="439" stopIfTrue="1"/>
  </conditionalFormatting>
  <conditionalFormatting sqref="C238">
    <cfRule type="duplicateValues" dxfId="4934" priority="437" stopIfTrue="1"/>
  </conditionalFormatting>
  <conditionalFormatting sqref="C10">
    <cfRule type="duplicateValues" dxfId="4933" priority="435" stopIfTrue="1"/>
    <cfRule type="duplicateValues" dxfId="4932" priority="436" stopIfTrue="1"/>
  </conditionalFormatting>
  <conditionalFormatting sqref="C10">
    <cfRule type="duplicateValues" dxfId="4931" priority="434" stopIfTrue="1"/>
  </conditionalFormatting>
  <conditionalFormatting sqref="C12">
    <cfRule type="duplicateValues" dxfId="4930" priority="432" stopIfTrue="1"/>
    <cfRule type="duplicateValues" dxfId="4929" priority="433" stopIfTrue="1"/>
  </conditionalFormatting>
  <conditionalFormatting sqref="C12">
    <cfRule type="duplicateValues" dxfId="4928" priority="431" stopIfTrue="1"/>
  </conditionalFormatting>
  <conditionalFormatting sqref="C13">
    <cfRule type="duplicateValues" dxfId="4927" priority="429" stopIfTrue="1"/>
    <cfRule type="duplicateValues" dxfId="4926" priority="430" stopIfTrue="1"/>
  </conditionalFormatting>
  <conditionalFormatting sqref="C13">
    <cfRule type="duplicateValues" dxfId="4925" priority="428" stopIfTrue="1"/>
  </conditionalFormatting>
  <conditionalFormatting sqref="C14">
    <cfRule type="duplicateValues" dxfId="4924" priority="426" stopIfTrue="1"/>
    <cfRule type="duplicateValues" dxfId="4923" priority="427" stopIfTrue="1"/>
  </conditionalFormatting>
  <conditionalFormatting sqref="C14">
    <cfRule type="duplicateValues" dxfId="4922" priority="425" stopIfTrue="1"/>
  </conditionalFormatting>
  <conditionalFormatting sqref="C258">
    <cfRule type="duplicateValues" dxfId="4921" priority="423" stopIfTrue="1"/>
    <cfRule type="duplicateValues" dxfId="4920" priority="424" stopIfTrue="1"/>
  </conditionalFormatting>
  <conditionalFormatting sqref="C258">
    <cfRule type="duplicateValues" dxfId="4919" priority="422" stopIfTrue="1"/>
  </conditionalFormatting>
  <conditionalFormatting sqref="C15">
    <cfRule type="duplicateValues" dxfId="4918" priority="420" stopIfTrue="1"/>
    <cfRule type="duplicateValues" dxfId="4917" priority="421" stopIfTrue="1"/>
  </conditionalFormatting>
  <conditionalFormatting sqref="C15">
    <cfRule type="duplicateValues" dxfId="4916" priority="419" stopIfTrue="1"/>
  </conditionalFormatting>
  <conditionalFormatting sqref="C259">
    <cfRule type="duplicateValues" dxfId="4915" priority="417" stopIfTrue="1"/>
    <cfRule type="duplicateValues" dxfId="4914" priority="418" stopIfTrue="1"/>
  </conditionalFormatting>
  <conditionalFormatting sqref="C259">
    <cfRule type="duplicateValues" dxfId="4913" priority="416" stopIfTrue="1"/>
  </conditionalFormatting>
  <conditionalFormatting sqref="C16">
    <cfRule type="duplicateValues" dxfId="4912" priority="414" stopIfTrue="1"/>
    <cfRule type="duplicateValues" dxfId="4911" priority="415" stopIfTrue="1"/>
  </conditionalFormatting>
  <conditionalFormatting sqref="C16">
    <cfRule type="duplicateValues" dxfId="4910" priority="413" stopIfTrue="1"/>
  </conditionalFormatting>
  <conditionalFormatting sqref="C17">
    <cfRule type="duplicateValues" dxfId="4909" priority="411" stopIfTrue="1"/>
    <cfRule type="duplicateValues" dxfId="4908" priority="412" stopIfTrue="1"/>
  </conditionalFormatting>
  <conditionalFormatting sqref="C17">
    <cfRule type="duplicateValues" dxfId="4907" priority="410" stopIfTrue="1"/>
  </conditionalFormatting>
  <conditionalFormatting sqref="C260">
    <cfRule type="duplicateValues" dxfId="4906" priority="408" stopIfTrue="1"/>
    <cfRule type="duplicateValues" dxfId="4905" priority="409" stopIfTrue="1"/>
  </conditionalFormatting>
  <conditionalFormatting sqref="C260">
    <cfRule type="duplicateValues" dxfId="4904" priority="407" stopIfTrue="1"/>
  </conditionalFormatting>
  <conditionalFormatting sqref="C18">
    <cfRule type="duplicateValues" dxfId="4903" priority="405" stopIfTrue="1"/>
    <cfRule type="duplicateValues" dxfId="4902" priority="406" stopIfTrue="1"/>
  </conditionalFormatting>
  <conditionalFormatting sqref="C18">
    <cfRule type="duplicateValues" dxfId="4901" priority="404" stopIfTrue="1"/>
  </conditionalFormatting>
  <conditionalFormatting sqref="C19">
    <cfRule type="duplicateValues" dxfId="4900" priority="402" stopIfTrue="1"/>
    <cfRule type="duplicateValues" dxfId="4899" priority="403" stopIfTrue="1"/>
  </conditionalFormatting>
  <conditionalFormatting sqref="C19">
    <cfRule type="duplicateValues" dxfId="4898" priority="401" stopIfTrue="1"/>
  </conditionalFormatting>
  <conditionalFormatting sqref="C241">
    <cfRule type="duplicateValues" dxfId="4897" priority="399" stopIfTrue="1"/>
    <cfRule type="duplicateValues" dxfId="4896" priority="400" stopIfTrue="1"/>
  </conditionalFormatting>
  <conditionalFormatting sqref="C241">
    <cfRule type="duplicateValues" dxfId="4895" priority="398" stopIfTrue="1"/>
  </conditionalFormatting>
  <conditionalFormatting sqref="C20">
    <cfRule type="duplicateValues" dxfId="4894" priority="396" stopIfTrue="1"/>
    <cfRule type="duplicateValues" dxfId="4893" priority="397" stopIfTrue="1"/>
  </conditionalFormatting>
  <conditionalFormatting sqref="C20">
    <cfRule type="duplicateValues" dxfId="4892" priority="395" stopIfTrue="1"/>
  </conditionalFormatting>
  <conditionalFormatting sqref="C261">
    <cfRule type="duplicateValues" dxfId="4891" priority="393" stopIfTrue="1"/>
    <cfRule type="duplicateValues" dxfId="4890" priority="394" stopIfTrue="1"/>
  </conditionalFormatting>
  <conditionalFormatting sqref="C261">
    <cfRule type="duplicateValues" dxfId="4889" priority="392" stopIfTrue="1"/>
  </conditionalFormatting>
  <conditionalFormatting sqref="C22">
    <cfRule type="duplicateValues" dxfId="4888" priority="390" stopIfTrue="1"/>
    <cfRule type="duplicateValues" dxfId="4887" priority="391" stopIfTrue="1"/>
  </conditionalFormatting>
  <conditionalFormatting sqref="C22">
    <cfRule type="duplicateValues" dxfId="4886" priority="389" stopIfTrue="1"/>
  </conditionalFormatting>
  <conditionalFormatting sqref="C23">
    <cfRule type="duplicateValues" dxfId="4885" priority="387" stopIfTrue="1"/>
    <cfRule type="duplicateValues" dxfId="4884" priority="388" stopIfTrue="1"/>
  </conditionalFormatting>
  <conditionalFormatting sqref="C23">
    <cfRule type="duplicateValues" dxfId="4883" priority="386" stopIfTrue="1"/>
  </conditionalFormatting>
  <conditionalFormatting sqref="C242">
    <cfRule type="duplicateValues" dxfId="4882" priority="384" stopIfTrue="1"/>
    <cfRule type="duplicateValues" dxfId="4881" priority="385" stopIfTrue="1"/>
  </conditionalFormatting>
  <conditionalFormatting sqref="C242">
    <cfRule type="duplicateValues" dxfId="4880" priority="383" stopIfTrue="1"/>
  </conditionalFormatting>
  <conditionalFormatting sqref="C25">
    <cfRule type="duplicateValues" dxfId="4879" priority="381" stopIfTrue="1"/>
    <cfRule type="duplicateValues" dxfId="4878" priority="382" stopIfTrue="1"/>
  </conditionalFormatting>
  <conditionalFormatting sqref="C25">
    <cfRule type="duplicateValues" dxfId="4877" priority="380" stopIfTrue="1"/>
  </conditionalFormatting>
  <conditionalFormatting sqref="C235">
    <cfRule type="duplicateValues" dxfId="4876" priority="378" stopIfTrue="1"/>
    <cfRule type="duplicateValues" dxfId="4875" priority="379" stopIfTrue="1"/>
  </conditionalFormatting>
  <conditionalFormatting sqref="C235">
    <cfRule type="duplicateValues" dxfId="4874" priority="377" stopIfTrue="1"/>
  </conditionalFormatting>
  <conditionalFormatting sqref="C243">
    <cfRule type="duplicateValues" dxfId="4873" priority="375" stopIfTrue="1"/>
    <cfRule type="duplicateValues" dxfId="4872" priority="376" stopIfTrue="1"/>
  </conditionalFormatting>
  <conditionalFormatting sqref="C243">
    <cfRule type="duplicateValues" dxfId="4871" priority="374" stopIfTrue="1"/>
  </conditionalFormatting>
  <conditionalFormatting sqref="C27">
    <cfRule type="duplicateValues" dxfId="4870" priority="372" stopIfTrue="1"/>
    <cfRule type="duplicateValues" dxfId="4869" priority="373" stopIfTrue="1"/>
  </conditionalFormatting>
  <conditionalFormatting sqref="C27">
    <cfRule type="duplicateValues" dxfId="4868" priority="371" stopIfTrue="1"/>
  </conditionalFormatting>
  <conditionalFormatting sqref="C29">
    <cfRule type="duplicateValues" dxfId="4867" priority="369" stopIfTrue="1"/>
    <cfRule type="duplicateValues" dxfId="4866" priority="370" stopIfTrue="1"/>
  </conditionalFormatting>
  <conditionalFormatting sqref="C29">
    <cfRule type="duplicateValues" dxfId="4865" priority="368" stopIfTrue="1"/>
  </conditionalFormatting>
  <conditionalFormatting sqref="C30">
    <cfRule type="duplicateValues" dxfId="4864" priority="366" stopIfTrue="1"/>
    <cfRule type="duplicateValues" dxfId="4863" priority="367" stopIfTrue="1"/>
  </conditionalFormatting>
  <conditionalFormatting sqref="C30">
    <cfRule type="duplicateValues" dxfId="4862" priority="365" stopIfTrue="1"/>
  </conditionalFormatting>
  <conditionalFormatting sqref="C31">
    <cfRule type="duplicateValues" dxfId="4861" priority="363" stopIfTrue="1"/>
    <cfRule type="duplicateValues" dxfId="4860" priority="364" stopIfTrue="1"/>
  </conditionalFormatting>
  <conditionalFormatting sqref="C31">
    <cfRule type="duplicateValues" dxfId="4859" priority="362" stopIfTrue="1"/>
  </conditionalFormatting>
  <conditionalFormatting sqref="C36">
    <cfRule type="duplicateValues" dxfId="4858" priority="360" stopIfTrue="1"/>
    <cfRule type="duplicateValues" dxfId="4857" priority="361" stopIfTrue="1"/>
  </conditionalFormatting>
  <conditionalFormatting sqref="C36">
    <cfRule type="duplicateValues" dxfId="4856" priority="359" stopIfTrue="1"/>
  </conditionalFormatting>
  <conditionalFormatting sqref="C37">
    <cfRule type="duplicateValues" dxfId="4855" priority="357" stopIfTrue="1"/>
    <cfRule type="duplicateValues" dxfId="4854" priority="358" stopIfTrue="1"/>
  </conditionalFormatting>
  <conditionalFormatting sqref="C37">
    <cfRule type="duplicateValues" dxfId="4853" priority="356" stopIfTrue="1"/>
  </conditionalFormatting>
  <conditionalFormatting sqref="C38">
    <cfRule type="duplicateValues" dxfId="4852" priority="354" stopIfTrue="1"/>
    <cfRule type="duplicateValues" dxfId="4851" priority="355" stopIfTrue="1"/>
  </conditionalFormatting>
  <conditionalFormatting sqref="C38">
    <cfRule type="duplicateValues" dxfId="4850" priority="353" stopIfTrue="1"/>
  </conditionalFormatting>
  <conditionalFormatting sqref="C244">
    <cfRule type="duplicateValues" dxfId="4849" priority="351" stopIfTrue="1"/>
    <cfRule type="duplicateValues" dxfId="4848" priority="352" stopIfTrue="1"/>
  </conditionalFormatting>
  <conditionalFormatting sqref="C244">
    <cfRule type="duplicateValues" dxfId="4847" priority="350" stopIfTrue="1"/>
  </conditionalFormatting>
  <conditionalFormatting sqref="C39">
    <cfRule type="duplicateValues" dxfId="4846" priority="348" stopIfTrue="1"/>
    <cfRule type="duplicateValues" dxfId="4845" priority="349" stopIfTrue="1"/>
  </conditionalFormatting>
  <conditionalFormatting sqref="C39">
    <cfRule type="duplicateValues" dxfId="4844" priority="347" stopIfTrue="1"/>
  </conditionalFormatting>
  <conditionalFormatting sqref="C245">
    <cfRule type="duplicateValues" dxfId="4843" priority="345" stopIfTrue="1"/>
    <cfRule type="duplicateValues" dxfId="4842" priority="346" stopIfTrue="1"/>
  </conditionalFormatting>
  <conditionalFormatting sqref="C245">
    <cfRule type="duplicateValues" dxfId="4841" priority="344" stopIfTrue="1"/>
  </conditionalFormatting>
  <conditionalFormatting sqref="C40">
    <cfRule type="duplicateValues" dxfId="4840" priority="342" stopIfTrue="1"/>
    <cfRule type="duplicateValues" dxfId="4839" priority="343" stopIfTrue="1"/>
  </conditionalFormatting>
  <conditionalFormatting sqref="C40">
    <cfRule type="duplicateValues" dxfId="4838" priority="341" stopIfTrue="1"/>
  </conditionalFormatting>
  <conditionalFormatting sqref="C41">
    <cfRule type="duplicateValues" dxfId="4837" priority="339" stopIfTrue="1"/>
    <cfRule type="duplicateValues" dxfId="4836" priority="340" stopIfTrue="1"/>
  </conditionalFormatting>
  <conditionalFormatting sqref="C41">
    <cfRule type="duplicateValues" dxfId="4835" priority="338" stopIfTrue="1"/>
  </conditionalFormatting>
  <conditionalFormatting sqref="C42">
    <cfRule type="duplicateValues" dxfId="4834" priority="336" stopIfTrue="1"/>
    <cfRule type="duplicateValues" dxfId="4833" priority="337" stopIfTrue="1"/>
  </conditionalFormatting>
  <conditionalFormatting sqref="C42">
    <cfRule type="duplicateValues" dxfId="4832" priority="335" stopIfTrue="1"/>
  </conditionalFormatting>
  <conditionalFormatting sqref="C43">
    <cfRule type="duplicateValues" dxfId="4831" priority="333" stopIfTrue="1"/>
    <cfRule type="duplicateValues" dxfId="4830" priority="334" stopIfTrue="1"/>
  </conditionalFormatting>
  <conditionalFormatting sqref="C43">
    <cfRule type="duplicateValues" dxfId="4829" priority="332" stopIfTrue="1"/>
  </conditionalFormatting>
  <conditionalFormatting sqref="C246">
    <cfRule type="duplicateValues" dxfId="4828" priority="330" stopIfTrue="1"/>
    <cfRule type="duplicateValues" dxfId="4827" priority="331" stopIfTrue="1"/>
  </conditionalFormatting>
  <conditionalFormatting sqref="C246">
    <cfRule type="duplicateValues" dxfId="4826" priority="329" stopIfTrue="1"/>
  </conditionalFormatting>
  <conditionalFormatting sqref="C45">
    <cfRule type="duplicateValues" dxfId="4825" priority="327" stopIfTrue="1"/>
    <cfRule type="duplicateValues" dxfId="4824" priority="328" stopIfTrue="1"/>
  </conditionalFormatting>
  <conditionalFormatting sqref="C45">
    <cfRule type="duplicateValues" dxfId="4823" priority="326" stopIfTrue="1"/>
  </conditionalFormatting>
  <conditionalFormatting sqref="C46">
    <cfRule type="duplicateValues" dxfId="4822" priority="324" stopIfTrue="1"/>
    <cfRule type="duplicateValues" dxfId="4821" priority="325" stopIfTrue="1"/>
  </conditionalFormatting>
  <conditionalFormatting sqref="C46">
    <cfRule type="duplicateValues" dxfId="4820" priority="323" stopIfTrue="1"/>
  </conditionalFormatting>
  <conditionalFormatting sqref="C47">
    <cfRule type="duplicateValues" dxfId="4819" priority="321" stopIfTrue="1"/>
    <cfRule type="duplicateValues" dxfId="4818" priority="322" stopIfTrue="1"/>
  </conditionalFormatting>
  <conditionalFormatting sqref="C47">
    <cfRule type="duplicateValues" dxfId="4817" priority="320" stopIfTrue="1"/>
  </conditionalFormatting>
  <conditionalFormatting sqref="C49">
    <cfRule type="duplicateValues" dxfId="4816" priority="318" stopIfTrue="1"/>
    <cfRule type="duplicateValues" dxfId="4815" priority="319" stopIfTrue="1"/>
  </conditionalFormatting>
  <conditionalFormatting sqref="C49">
    <cfRule type="duplicateValues" dxfId="4814" priority="317" stopIfTrue="1"/>
  </conditionalFormatting>
  <conditionalFormatting sqref="C52">
    <cfRule type="duplicateValues" dxfId="4813" priority="315" stopIfTrue="1"/>
    <cfRule type="duplicateValues" dxfId="4812" priority="316" stopIfTrue="1"/>
  </conditionalFormatting>
  <conditionalFormatting sqref="C52">
    <cfRule type="duplicateValues" dxfId="4811" priority="314" stopIfTrue="1"/>
  </conditionalFormatting>
  <conditionalFormatting sqref="C53">
    <cfRule type="duplicateValues" dxfId="4810" priority="312" stopIfTrue="1"/>
    <cfRule type="duplicateValues" dxfId="4809" priority="313" stopIfTrue="1"/>
  </conditionalFormatting>
  <conditionalFormatting sqref="C53">
    <cfRule type="duplicateValues" dxfId="4808" priority="311" stopIfTrue="1"/>
  </conditionalFormatting>
  <conditionalFormatting sqref="C55">
    <cfRule type="duplicateValues" dxfId="4807" priority="309" stopIfTrue="1"/>
    <cfRule type="duplicateValues" dxfId="4806" priority="310" stopIfTrue="1"/>
  </conditionalFormatting>
  <conditionalFormatting sqref="C55">
    <cfRule type="duplicateValues" dxfId="4805" priority="308" stopIfTrue="1"/>
  </conditionalFormatting>
  <conditionalFormatting sqref="C56">
    <cfRule type="duplicateValues" dxfId="4804" priority="306" stopIfTrue="1"/>
    <cfRule type="duplicateValues" dxfId="4803" priority="307" stopIfTrue="1"/>
  </conditionalFormatting>
  <conditionalFormatting sqref="C56">
    <cfRule type="duplicateValues" dxfId="4802" priority="305" stopIfTrue="1"/>
  </conditionalFormatting>
  <conditionalFormatting sqref="C263">
    <cfRule type="duplicateValues" dxfId="4801" priority="303" stopIfTrue="1"/>
    <cfRule type="duplicateValues" dxfId="4800" priority="304" stopIfTrue="1"/>
  </conditionalFormatting>
  <conditionalFormatting sqref="C263">
    <cfRule type="duplicateValues" dxfId="4799" priority="302" stopIfTrue="1"/>
  </conditionalFormatting>
  <conditionalFormatting sqref="C57">
    <cfRule type="duplicateValues" dxfId="4798" priority="300" stopIfTrue="1"/>
    <cfRule type="duplicateValues" dxfId="4797" priority="301" stopIfTrue="1"/>
  </conditionalFormatting>
  <conditionalFormatting sqref="C57">
    <cfRule type="duplicateValues" dxfId="4796" priority="299" stopIfTrue="1"/>
  </conditionalFormatting>
  <conditionalFormatting sqref="C58">
    <cfRule type="duplicateValues" dxfId="4795" priority="297" stopIfTrue="1"/>
    <cfRule type="duplicateValues" dxfId="4794" priority="298" stopIfTrue="1"/>
  </conditionalFormatting>
  <conditionalFormatting sqref="C58">
    <cfRule type="duplicateValues" dxfId="4793" priority="296" stopIfTrue="1"/>
  </conditionalFormatting>
  <conditionalFormatting sqref="C59">
    <cfRule type="duplicateValues" dxfId="4792" priority="294" stopIfTrue="1"/>
    <cfRule type="duplicateValues" dxfId="4791" priority="295" stopIfTrue="1"/>
  </conditionalFormatting>
  <conditionalFormatting sqref="C59">
    <cfRule type="duplicateValues" dxfId="4790" priority="293" stopIfTrue="1"/>
  </conditionalFormatting>
  <conditionalFormatting sqref="C60">
    <cfRule type="duplicateValues" dxfId="4789" priority="291" stopIfTrue="1"/>
    <cfRule type="duplicateValues" dxfId="4788" priority="292" stopIfTrue="1"/>
  </conditionalFormatting>
  <conditionalFormatting sqref="C60">
    <cfRule type="duplicateValues" dxfId="4787" priority="290" stopIfTrue="1"/>
  </conditionalFormatting>
  <conditionalFormatting sqref="C61">
    <cfRule type="duplicateValues" dxfId="4786" priority="288" stopIfTrue="1"/>
    <cfRule type="duplicateValues" dxfId="4785" priority="289" stopIfTrue="1"/>
  </conditionalFormatting>
  <conditionalFormatting sqref="C61">
    <cfRule type="duplicateValues" dxfId="4784" priority="287" stopIfTrue="1"/>
  </conditionalFormatting>
  <conditionalFormatting sqref="C62">
    <cfRule type="duplicateValues" dxfId="4783" priority="285" stopIfTrue="1"/>
    <cfRule type="duplicateValues" dxfId="4782" priority="286" stopIfTrue="1"/>
  </conditionalFormatting>
  <conditionalFormatting sqref="C62">
    <cfRule type="duplicateValues" dxfId="4781" priority="284" stopIfTrue="1"/>
  </conditionalFormatting>
  <conditionalFormatting sqref="C63">
    <cfRule type="duplicateValues" dxfId="4780" priority="282" stopIfTrue="1"/>
    <cfRule type="duplicateValues" dxfId="4779" priority="283" stopIfTrue="1"/>
  </conditionalFormatting>
  <conditionalFormatting sqref="C63">
    <cfRule type="duplicateValues" dxfId="4778" priority="281" stopIfTrue="1"/>
  </conditionalFormatting>
  <conditionalFormatting sqref="C64">
    <cfRule type="duplicateValues" dxfId="4777" priority="279" stopIfTrue="1"/>
    <cfRule type="duplicateValues" dxfId="4776" priority="280" stopIfTrue="1"/>
  </conditionalFormatting>
  <conditionalFormatting sqref="C64">
    <cfRule type="duplicateValues" dxfId="4775" priority="278" stopIfTrue="1"/>
  </conditionalFormatting>
  <conditionalFormatting sqref="C195">
    <cfRule type="duplicateValues" dxfId="4774" priority="276" stopIfTrue="1"/>
    <cfRule type="duplicateValues" dxfId="4773" priority="277" stopIfTrue="1"/>
  </conditionalFormatting>
  <conditionalFormatting sqref="C195">
    <cfRule type="duplicateValues" dxfId="4772" priority="275" stopIfTrue="1"/>
  </conditionalFormatting>
  <conditionalFormatting sqref="C65">
    <cfRule type="duplicateValues" dxfId="4771" priority="273" stopIfTrue="1"/>
    <cfRule type="duplicateValues" dxfId="4770" priority="274" stopIfTrue="1"/>
  </conditionalFormatting>
  <conditionalFormatting sqref="C65">
    <cfRule type="duplicateValues" dxfId="4769" priority="272" stopIfTrue="1"/>
  </conditionalFormatting>
  <conditionalFormatting sqref="C66">
    <cfRule type="duplicateValues" dxfId="4768" priority="270" stopIfTrue="1"/>
    <cfRule type="duplicateValues" dxfId="4767" priority="271" stopIfTrue="1"/>
  </conditionalFormatting>
  <conditionalFormatting sqref="C66">
    <cfRule type="duplicateValues" dxfId="4766" priority="269" stopIfTrue="1"/>
  </conditionalFormatting>
  <conditionalFormatting sqref="C67">
    <cfRule type="duplicateValues" dxfId="4765" priority="267" stopIfTrue="1"/>
    <cfRule type="duplicateValues" dxfId="4764" priority="268" stopIfTrue="1"/>
  </conditionalFormatting>
  <conditionalFormatting sqref="C67">
    <cfRule type="duplicateValues" dxfId="4763" priority="266" stopIfTrue="1"/>
  </conditionalFormatting>
  <conditionalFormatting sqref="C68">
    <cfRule type="duplicateValues" dxfId="4762" priority="264" stopIfTrue="1"/>
    <cfRule type="duplicateValues" dxfId="4761" priority="265" stopIfTrue="1"/>
  </conditionalFormatting>
  <conditionalFormatting sqref="C68">
    <cfRule type="duplicateValues" dxfId="4760" priority="263" stopIfTrue="1"/>
  </conditionalFormatting>
  <conditionalFormatting sqref="C197">
    <cfRule type="duplicateValues" dxfId="4759" priority="261" stopIfTrue="1"/>
    <cfRule type="duplicateValues" dxfId="4758" priority="262" stopIfTrue="1"/>
  </conditionalFormatting>
  <conditionalFormatting sqref="C197">
    <cfRule type="duplicateValues" dxfId="4757" priority="260" stopIfTrue="1"/>
  </conditionalFormatting>
  <conditionalFormatting sqref="C196">
    <cfRule type="duplicateValues" dxfId="4756" priority="258" stopIfTrue="1"/>
    <cfRule type="duplicateValues" dxfId="4755" priority="259" stopIfTrue="1"/>
  </conditionalFormatting>
  <conditionalFormatting sqref="C196">
    <cfRule type="duplicateValues" dxfId="4754" priority="257" stopIfTrue="1"/>
  </conditionalFormatting>
  <conditionalFormatting sqref="C69">
    <cfRule type="duplicateValues" dxfId="4753" priority="255" stopIfTrue="1"/>
    <cfRule type="duplicateValues" dxfId="4752" priority="256" stopIfTrue="1"/>
  </conditionalFormatting>
  <conditionalFormatting sqref="C69">
    <cfRule type="duplicateValues" dxfId="4751" priority="254" stopIfTrue="1"/>
  </conditionalFormatting>
  <conditionalFormatting sqref="C70">
    <cfRule type="duplicateValues" dxfId="4750" priority="252" stopIfTrue="1"/>
    <cfRule type="duplicateValues" dxfId="4749" priority="253" stopIfTrue="1"/>
  </conditionalFormatting>
  <conditionalFormatting sqref="C70">
    <cfRule type="duplicateValues" dxfId="4748" priority="251" stopIfTrue="1"/>
  </conditionalFormatting>
  <conditionalFormatting sqref="C236">
    <cfRule type="duplicateValues" dxfId="4747" priority="249" stopIfTrue="1"/>
    <cfRule type="duplicateValues" dxfId="4746" priority="250" stopIfTrue="1"/>
  </conditionalFormatting>
  <conditionalFormatting sqref="C236">
    <cfRule type="duplicateValues" dxfId="4745" priority="248" stopIfTrue="1"/>
  </conditionalFormatting>
  <conditionalFormatting sqref="C71">
    <cfRule type="duplicateValues" dxfId="4744" priority="246" stopIfTrue="1"/>
    <cfRule type="duplicateValues" dxfId="4743" priority="247" stopIfTrue="1"/>
  </conditionalFormatting>
  <conditionalFormatting sqref="C71">
    <cfRule type="duplicateValues" dxfId="4742" priority="245" stopIfTrue="1"/>
  </conditionalFormatting>
  <conditionalFormatting sqref="C72">
    <cfRule type="duplicateValues" dxfId="4741" priority="243" stopIfTrue="1"/>
    <cfRule type="duplicateValues" dxfId="4740" priority="244" stopIfTrue="1"/>
  </conditionalFormatting>
  <conditionalFormatting sqref="C72">
    <cfRule type="duplicateValues" dxfId="4739" priority="242" stopIfTrue="1"/>
  </conditionalFormatting>
  <conditionalFormatting sqref="C74">
    <cfRule type="duplicateValues" dxfId="4738" priority="240" stopIfTrue="1"/>
    <cfRule type="duplicateValues" dxfId="4737" priority="241" stopIfTrue="1"/>
  </conditionalFormatting>
  <conditionalFormatting sqref="C74">
    <cfRule type="duplicateValues" dxfId="4736" priority="239" stopIfTrue="1"/>
  </conditionalFormatting>
  <conditionalFormatting sqref="C75">
    <cfRule type="duplicateValues" dxfId="4735" priority="237" stopIfTrue="1"/>
    <cfRule type="duplicateValues" dxfId="4734" priority="238" stopIfTrue="1"/>
  </conditionalFormatting>
  <conditionalFormatting sqref="C75">
    <cfRule type="duplicateValues" dxfId="4733" priority="236" stopIfTrue="1"/>
  </conditionalFormatting>
  <conditionalFormatting sqref="C76">
    <cfRule type="duplicateValues" dxfId="4732" priority="234" stopIfTrue="1"/>
    <cfRule type="duplicateValues" dxfId="4731" priority="235" stopIfTrue="1"/>
  </conditionalFormatting>
  <conditionalFormatting sqref="C76">
    <cfRule type="duplicateValues" dxfId="4730" priority="233" stopIfTrue="1"/>
  </conditionalFormatting>
  <conditionalFormatting sqref="C198">
    <cfRule type="duplicateValues" dxfId="4729" priority="231" stopIfTrue="1"/>
    <cfRule type="duplicateValues" dxfId="4728" priority="232" stopIfTrue="1"/>
  </conditionalFormatting>
  <conditionalFormatting sqref="C198">
    <cfRule type="duplicateValues" dxfId="4727" priority="230" stopIfTrue="1"/>
  </conditionalFormatting>
  <conditionalFormatting sqref="C79">
    <cfRule type="duplicateValues" dxfId="4726" priority="228" stopIfTrue="1"/>
    <cfRule type="duplicateValues" dxfId="4725" priority="229" stopIfTrue="1"/>
  </conditionalFormatting>
  <conditionalFormatting sqref="C79">
    <cfRule type="duplicateValues" dxfId="4724" priority="227" stopIfTrue="1"/>
  </conditionalFormatting>
  <conditionalFormatting sqref="C80">
    <cfRule type="duplicateValues" dxfId="4723" priority="225" stopIfTrue="1"/>
    <cfRule type="duplicateValues" dxfId="4722" priority="226" stopIfTrue="1"/>
  </conditionalFormatting>
  <conditionalFormatting sqref="C80">
    <cfRule type="duplicateValues" dxfId="4721" priority="224" stopIfTrue="1"/>
  </conditionalFormatting>
  <conditionalFormatting sqref="C185">
    <cfRule type="duplicateValues" dxfId="4720" priority="222" stopIfTrue="1"/>
    <cfRule type="duplicateValues" dxfId="4719" priority="223" stopIfTrue="1"/>
  </conditionalFormatting>
  <conditionalFormatting sqref="C185">
    <cfRule type="duplicateValues" dxfId="4718" priority="221" stopIfTrue="1"/>
  </conditionalFormatting>
  <conditionalFormatting sqref="C81">
    <cfRule type="duplicateValues" dxfId="4717" priority="219" stopIfTrue="1"/>
    <cfRule type="duplicateValues" dxfId="4716" priority="220" stopIfTrue="1"/>
  </conditionalFormatting>
  <conditionalFormatting sqref="C81">
    <cfRule type="duplicateValues" dxfId="4715" priority="218" stopIfTrue="1"/>
  </conditionalFormatting>
  <conditionalFormatting sqref="C82">
    <cfRule type="duplicateValues" dxfId="4714" priority="216" stopIfTrue="1"/>
    <cfRule type="duplicateValues" dxfId="4713" priority="217" stopIfTrue="1"/>
  </conditionalFormatting>
  <conditionalFormatting sqref="C82">
    <cfRule type="duplicateValues" dxfId="4712" priority="215" stopIfTrue="1"/>
  </conditionalFormatting>
  <conditionalFormatting sqref="C247">
    <cfRule type="duplicateValues" dxfId="4711" priority="213" stopIfTrue="1"/>
    <cfRule type="duplicateValues" dxfId="4710" priority="214" stopIfTrue="1"/>
  </conditionalFormatting>
  <conditionalFormatting sqref="C247">
    <cfRule type="duplicateValues" dxfId="4709" priority="212" stopIfTrue="1"/>
  </conditionalFormatting>
  <conditionalFormatting sqref="C83">
    <cfRule type="duplicateValues" dxfId="4708" priority="210" stopIfTrue="1"/>
    <cfRule type="duplicateValues" dxfId="4707" priority="211" stopIfTrue="1"/>
  </conditionalFormatting>
  <conditionalFormatting sqref="C83">
    <cfRule type="duplicateValues" dxfId="4706" priority="209" stopIfTrue="1"/>
  </conditionalFormatting>
  <conditionalFormatting sqref="C248">
    <cfRule type="duplicateValues" dxfId="4705" priority="207" stopIfTrue="1"/>
    <cfRule type="duplicateValues" dxfId="4704" priority="208" stopIfTrue="1"/>
  </conditionalFormatting>
  <conditionalFormatting sqref="C248">
    <cfRule type="duplicateValues" dxfId="4703" priority="206" stopIfTrue="1"/>
  </conditionalFormatting>
  <conditionalFormatting sqref="C84">
    <cfRule type="duplicateValues" dxfId="4702" priority="204" stopIfTrue="1"/>
    <cfRule type="duplicateValues" dxfId="4701" priority="205" stopIfTrue="1"/>
  </conditionalFormatting>
  <conditionalFormatting sqref="C84">
    <cfRule type="duplicateValues" dxfId="4700" priority="203" stopIfTrue="1"/>
  </conditionalFormatting>
  <conditionalFormatting sqref="C237">
    <cfRule type="duplicateValues" dxfId="4699" priority="201" stopIfTrue="1"/>
    <cfRule type="duplicateValues" dxfId="4698" priority="202" stopIfTrue="1"/>
  </conditionalFormatting>
  <conditionalFormatting sqref="C237">
    <cfRule type="duplicateValues" dxfId="4697" priority="200" stopIfTrue="1"/>
  </conditionalFormatting>
  <conditionalFormatting sqref="C85">
    <cfRule type="duplicateValues" dxfId="4696" priority="198" stopIfTrue="1"/>
    <cfRule type="duplicateValues" dxfId="4695" priority="199" stopIfTrue="1"/>
  </conditionalFormatting>
  <conditionalFormatting sqref="C85">
    <cfRule type="duplicateValues" dxfId="4694" priority="197" stopIfTrue="1"/>
  </conditionalFormatting>
  <conditionalFormatting sqref="C87">
    <cfRule type="duplicateValues" dxfId="4693" priority="195" stopIfTrue="1"/>
    <cfRule type="duplicateValues" dxfId="4692" priority="196" stopIfTrue="1"/>
  </conditionalFormatting>
  <conditionalFormatting sqref="C87">
    <cfRule type="duplicateValues" dxfId="4691" priority="194" stopIfTrue="1"/>
  </conditionalFormatting>
  <conditionalFormatting sqref="C88">
    <cfRule type="duplicateValues" dxfId="4690" priority="192" stopIfTrue="1"/>
    <cfRule type="duplicateValues" dxfId="4689" priority="193" stopIfTrue="1"/>
  </conditionalFormatting>
  <conditionalFormatting sqref="C88">
    <cfRule type="duplicateValues" dxfId="4688" priority="191" stopIfTrue="1"/>
  </conditionalFormatting>
  <conditionalFormatting sqref="C89">
    <cfRule type="duplicateValues" dxfId="4687" priority="189" stopIfTrue="1"/>
    <cfRule type="duplicateValues" dxfId="4686" priority="190" stopIfTrue="1"/>
  </conditionalFormatting>
  <conditionalFormatting sqref="C89">
    <cfRule type="duplicateValues" dxfId="4685" priority="188" stopIfTrue="1"/>
  </conditionalFormatting>
  <conditionalFormatting sqref="C90">
    <cfRule type="duplicateValues" dxfId="4684" priority="186" stopIfTrue="1"/>
    <cfRule type="duplicateValues" dxfId="4683" priority="187" stopIfTrue="1"/>
  </conditionalFormatting>
  <conditionalFormatting sqref="C90">
    <cfRule type="duplicateValues" dxfId="4682" priority="185" stopIfTrue="1"/>
  </conditionalFormatting>
  <conditionalFormatting sqref="C91">
    <cfRule type="duplicateValues" dxfId="4681" priority="183" stopIfTrue="1"/>
    <cfRule type="duplicateValues" dxfId="4680" priority="184" stopIfTrue="1"/>
  </conditionalFormatting>
  <conditionalFormatting sqref="C91">
    <cfRule type="duplicateValues" dxfId="4679" priority="182" stopIfTrue="1"/>
  </conditionalFormatting>
  <conditionalFormatting sqref="C92">
    <cfRule type="duplicateValues" dxfId="4678" priority="180" stopIfTrue="1"/>
    <cfRule type="duplicateValues" dxfId="4677" priority="181" stopIfTrue="1"/>
  </conditionalFormatting>
  <conditionalFormatting sqref="C92">
    <cfRule type="duplicateValues" dxfId="4676" priority="179" stopIfTrue="1"/>
  </conditionalFormatting>
  <conditionalFormatting sqref="C94">
    <cfRule type="duplicateValues" dxfId="4675" priority="177" stopIfTrue="1"/>
    <cfRule type="duplicateValues" dxfId="4674" priority="178" stopIfTrue="1"/>
  </conditionalFormatting>
  <conditionalFormatting sqref="C94">
    <cfRule type="duplicateValues" dxfId="4673" priority="176" stopIfTrue="1"/>
  </conditionalFormatting>
  <conditionalFormatting sqref="C96">
    <cfRule type="duplicateValues" dxfId="4672" priority="174" stopIfTrue="1"/>
    <cfRule type="duplicateValues" dxfId="4671" priority="175" stopIfTrue="1"/>
  </conditionalFormatting>
  <conditionalFormatting sqref="C96">
    <cfRule type="duplicateValues" dxfId="4670" priority="173" stopIfTrue="1"/>
  </conditionalFormatting>
  <conditionalFormatting sqref="C200">
    <cfRule type="duplicateValues" dxfId="4669" priority="171" stopIfTrue="1"/>
    <cfRule type="duplicateValues" dxfId="4668" priority="172" stopIfTrue="1"/>
  </conditionalFormatting>
  <conditionalFormatting sqref="C200">
    <cfRule type="duplicateValues" dxfId="4667" priority="170" stopIfTrue="1"/>
  </conditionalFormatting>
  <conditionalFormatting sqref="C97">
    <cfRule type="duplicateValues" dxfId="4666" priority="168" stopIfTrue="1"/>
    <cfRule type="duplicateValues" dxfId="4665" priority="169" stopIfTrue="1"/>
  </conditionalFormatting>
  <conditionalFormatting sqref="C97">
    <cfRule type="duplicateValues" dxfId="4664" priority="167" stopIfTrue="1"/>
  </conditionalFormatting>
  <conditionalFormatting sqref="C99">
    <cfRule type="duplicateValues" dxfId="4663" priority="165" stopIfTrue="1"/>
    <cfRule type="duplicateValues" dxfId="4662" priority="166" stopIfTrue="1"/>
  </conditionalFormatting>
  <conditionalFormatting sqref="C99">
    <cfRule type="duplicateValues" dxfId="4661" priority="164" stopIfTrue="1"/>
  </conditionalFormatting>
  <conditionalFormatting sqref="C100">
    <cfRule type="duplicateValues" dxfId="4660" priority="162" stopIfTrue="1"/>
    <cfRule type="duplicateValues" dxfId="4659" priority="163" stopIfTrue="1"/>
  </conditionalFormatting>
  <conditionalFormatting sqref="C100">
    <cfRule type="duplicateValues" dxfId="4658" priority="161" stopIfTrue="1"/>
  </conditionalFormatting>
  <conditionalFormatting sqref="C209">
    <cfRule type="duplicateValues" dxfId="4657" priority="159" stopIfTrue="1"/>
    <cfRule type="duplicateValues" dxfId="4656" priority="160" stopIfTrue="1"/>
  </conditionalFormatting>
  <conditionalFormatting sqref="C209">
    <cfRule type="duplicateValues" dxfId="4655" priority="158" stopIfTrue="1"/>
  </conditionalFormatting>
  <conditionalFormatting sqref="C102">
    <cfRule type="duplicateValues" dxfId="4654" priority="156" stopIfTrue="1"/>
    <cfRule type="duplicateValues" dxfId="4653" priority="157" stopIfTrue="1"/>
  </conditionalFormatting>
  <conditionalFormatting sqref="C102">
    <cfRule type="duplicateValues" dxfId="4652" priority="155" stopIfTrue="1"/>
  </conditionalFormatting>
  <conditionalFormatting sqref="C105">
    <cfRule type="duplicateValues" dxfId="4651" priority="153" stopIfTrue="1"/>
    <cfRule type="duplicateValues" dxfId="4650" priority="154" stopIfTrue="1"/>
  </conditionalFormatting>
  <conditionalFormatting sqref="C105">
    <cfRule type="duplicateValues" dxfId="4649" priority="152" stopIfTrue="1"/>
  </conditionalFormatting>
  <conditionalFormatting sqref="C106">
    <cfRule type="duplicateValues" dxfId="4648" priority="150" stopIfTrue="1"/>
    <cfRule type="duplicateValues" dxfId="4647" priority="151" stopIfTrue="1"/>
  </conditionalFormatting>
  <conditionalFormatting sqref="C106">
    <cfRule type="duplicateValues" dxfId="4646" priority="149" stopIfTrue="1"/>
  </conditionalFormatting>
  <conditionalFormatting sqref="C107">
    <cfRule type="duplicateValues" dxfId="4645" priority="147" stopIfTrue="1"/>
    <cfRule type="duplicateValues" dxfId="4644" priority="148" stopIfTrue="1"/>
  </conditionalFormatting>
  <conditionalFormatting sqref="C107">
    <cfRule type="duplicateValues" dxfId="4643" priority="146" stopIfTrue="1"/>
  </conditionalFormatting>
  <conditionalFormatting sqref="C108">
    <cfRule type="duplicateValues" dxfId="4642" priority="144" stopIfTrue="1"/>
    <cfRule type="duplicateValues" dxfId="4641" priority="145" stopIfTrue="1"/>
  </conditionalFormatting>
  <conditionalFormatting sqref="C108">
    <cfRule type="duplicateValues" dxfId="4640" priority="143" stopIfTrue="1"/>
  </conditionalFormatting>
  <conditionalFormatting sqref="C109">
    <cfRule type="duplicateValues" dxfId="4639" priority="141" stopIfTrue="1"/>
    <cfRule type="duplicateValues" dxfId="4638" priority="142" stopIfTrue="1"/>
  </conditionalFormatting>
  <conditionalFormatting sqref="C109">
    <cfRule type="duplicateValues" dxfId="4637" priority="140" stopIfTrue="1"/>
  </conditionalFormatting>
  <conditionalFormatting sqref="C110">
    <cfRule type="duplicateValues" dxfId="4636" priority="138" stopIfTrue="1"/>
    <cfRule type="duplicateValues" dxfId="4635" priority="139" stopIfTrue="1"/>
  </conditionalFormatting>
  <conditionalFormatting sqref="C110">
    <cfRule type="duplicateValues" dxfId="4634" priority="137" stopIfTrue="1"/>
  </conditionalFormatting>
  <conditionalFormatting sqref="C239">
    <cfRule type="duplicateValues" dxfId="4633" priority="135" stopIfTrue="1"/>
    <cfRule type="duplicateValues" dxfId="4632" priority="136" stopIfTrue="1"/>
  </conditionalFormatting>
  <conditionalFormatting sqref="C239">
    <cfRule type="duplicateValues" dxfId="4631" priority="134" stopIfTrue="1"/>
  </conditionalFormatting>
  <conditionalFormatting sqref="C172">
    <cfRule type="duplicateValues" dxfId="4630" priority="132" stopIfTrue="1"/>
    <cfRule type="duplicateValues" dxfId="4629" priority="133" stopIfTrue="1"/>
  </conditionalFormatting>
  <conditionalFormatting sqref="C172">
    <cfRule type="duplicateValues" dxfId="4628" priority="131" stopIfTrue="1"/>
  </conditionalFormatting>
  <conditionalFormatting sqref="C174">
    <cfRule type="duplicateValues" dxfId="4627" priority="129" stopIfTrue="1"/>
    <cfRule type="duplicateValues" dxfId="4626" priority="130" stopIfTrue="1"/>
  </conditionalFormatting>
  <conditionalFormatting sqref="C174">
    <cfRule type="duplicateValues" dxfId="4625" priority="128" stopIfTrue="1"/>
  </conditionalFormatting>
  <conditionalFormatting sqref="C175">
    <cfRule type="duplicateValues" dxfId="4624" priority="126" stopIfTrue="1"/>
    <cfRule type="duplicateValues" dxfId="4623" priority="127" stopIfTrue="1"/>
  </conditionalFormatting>
  <conditionalFormatting sqref="C175">
    <cfRule type="duplicateValues" dxfId="4622" priority="125" stopIfTrue="1"/>
  </conditionalFormatting>
  <conditionalFormatting sqref="C176">
    <cfRule type="duplicateValues" dxfId="4621" priority="123" stopIfTrue="1"/>
    <cfRule type="duplicateValues" dxfId="4620" priority="124" stopIfTrue="1"/>
  </conditionalFormatting>
  <conditionalFormatting sqref="C176">
    <cfRule type="duplicateValues" dxfId="4619" priority="122" stopIfTrue="1"/>
  </conditionalFormatting>
  <conditionalFormatting sqref="C199">
    <cfRule type="duplicateValues" dxfId="4618" priority="120" stopIfTrue="1"/>
    <cfRule type="duplicateValues" dxfId="4617" priority="121" stopIfTrue="1"/>
  </conditionalFormatting>
  <conditionalFormatting sqref="C199">
    <cfRule type="duplicateValues" dxfId="4616" priority="119" stopIfTrue="1"/>
  </conditionalFormatting>
  <conditionalFormatting sqref="C86">
    <cfRule type="duplicateValues" dxfId="4615" priority="117" stopIfTrue="1"/>
    <cfRule type="duplicateValues" dxfId="4614" priority="118" stopIfTrue="1"/>
  </conditionalFormatting>
  <conditionalFormatting sqref="C86">
    <cfRule type="duplicateValues" dxfId="4613" priority="116" stopIfTrue="1"/>
  </conditionalFormatting>
  <conditionalFormatting sqref="C208">
    <cfRule type="duplicateValues" dxfId="4612" priority="114" stopIfTrue="1"/>
    <cfRule type="duplicateValues" dxfId="4611" priority="115" stopIfTrue="1"/>
  </conditionalFormatting>
  <conditionalFormatting sqref="C208">
    <cfRule type="duplicateValues" dxfId="4610" priority="113" stopIfTrue="1"/>
  </conditionalFormatting>
  <conditionalFormatting sqref="C93">
    <cfRule type="duplicateValues" dxfId="4609" priority="111" stopIfTrue="1"/>
    <cfRule type="duplicateValues" dxfId="4608" priority="112" stopIfTrue="1"/>
  </conditionalFormatting>
  <conditionalFormatting sqref="C93">
    <cfRule type="duplicateValues" dxfId="4607" priority="110" stopIfTrue="1"/>
  </conditionalFormatting>
  <conditionalFormatting sqref="C177">
    <cfRule type="duplicateValues" dxfId="4606" priority="108" stopIfTrue="1"/>
    <cfRule type="duplicateValues" dxfId="4605" priority="109" stopIfTrue="1"/>
  </conditionalFormatting>
  <conditionalFormatting sqref="C177">
    <cfRule type="duplicateValues" dxfId="4604" priority="107" stopIfTrue="1"/>
  </conditionalFormatting>
  <conditionalFormatting sqref="C111">
    <cfRule type="duplicateValues" dxfId="4603" priority="105" stopIfTrue="1"/>
    <cfRule type="duplicateValues" dxfId="4602" priority="106" stopIfTrue="1"/>
  </conditionalFormatting>
  <conditionalFormatting sqref="C111">
    <cfRule type="duplicateValues" dxfId="4601" priority="104" stopIfTrue="1"/>
  </conditionalFormatting>
  <conditionalFormatting sqref="C226">
    <cfRule type="duplicateValues" dxfId="4600" priority="102" stopIfTrue="1"/>
    <cfRule type="duplicateValues" dxfId="4599" priority="103" stopIfTrue="1"/>
  </conditionalFormatting>
  <conditionalFormatting sqref="C226">
    <cfRule type="duplicateValues" dxfId="4598" priority="101" stopIfTrue="1"/>
  </conditionalFormatting>
  <conditionalFormatting sqref="C116">
    <cfRule type="duplicateValues" dxfId="4597" priority="99" stopIfTrue="1"/>
    <cfRule type="duplicateValues" dxfId="4596" priority="100" stopIfTrue="1"/>
  </conditionalFormatting>
  <conditionalFormatting sqref="C116">
    <cfRule type="duplicateValues" dxfId="4595" priority="98" stopIfTrue="1"/>
  </conditionalFormatting>
  <conditionalFormatting sqref="C179">
    <cfRule type="duplicateValues" dxfId="4594" priority="96" stopIfTrue="1"/>
    <cfRule type="duplicateValues" dxfId="4593" priority="97" stopIfTrue="1"/>
  </conditionalFormatting>
  <conditionalFormatting sqref="C179">
    <cfRule type="duplicateValues" dxfId="4592" priority="95" stopIfTrue="1"/>
  </conditionalFormatting>
  <conditionalFormatting sqref="C114">
    <cfRule type="duplicateValues" dxfId="4591" priority="93" stopIfTrue="1"/>
    <cfRule type="duplicateValues" dxfId="4590" priority="94" stopIfTrue="1"/>
  </conditionalFormatting>
  <conditionalFormatting sqref="C114">
    <cfRule type="duplicateValues" dxfId="4589" priority="92" stopIfTrue="1"/>
  </conditionalFormatting>
  <conditionalFormatting sqref="C152">
    <cfRule type="duplicateValues" dxfId="4588" priority="84" stopIfTrue="1"/>
    <cfRule type="duplicateValues" dxfId="4587" priority="85" stopIfTrue="1"/>
  </conditionalFormatting>
  <conditionalFormatting sqref="C152">
    <cfRule type="duplicateValues" dxfId="4586" priority="83" stopIfTrue="1"/>
  </conditionalFormatting>
  <conditionalFormatting sqref="C204">
    <cfRule type="duplicateValues" dxfId="4585" priority="81" stopIfTrue="1"/>
    <cfRule type="duplicateValues" dxfId="4584" priority="82" stopIfTrue="1"/>
  </conditionalFormatting>
  <conditionalFormatting sqref="C204">
    <cfRule type="duplicateValues" dxfId="4583" priority="80" stopIfTrue="1"/>
  </conditionalFormatting>
  <conditionalFormatting sqref="C154">
    <cfRule type="duplicateValues" dxfId="4582" priority="78" stopIfTrue="1"/>
    <cfRule type="duplicateValues" dxfId="4581" priority="79" stopIfTrue="1"/>
  </conditionalFormatting>
  <conditionalFormatting sqref="C154">
    <cfRule type="duplicateValues" dxfId="4580" priority="77" stopIfTrue="1"/>
  </conditionalFormatting>
  <conditionalFormatting sqref="C155">
    <cfRule type="duplicateValues" dxfId="4579" priority="75" stopIfTrue="1"/>
    <cfRule type="duplicateValues" dxfId="4578" priority="76" stopIfTrue="1"/>
  </conditionalFormatting>
  <conditionalFormatting sqref="C155">
    <cfRule type="duplicateValues" dxfId="4577" priority="74" stopIfTrue="1"/>
  </conditionalFormatting>
  <conditionalFormatting sqref="C205">
    <cfRule type="duplicateValues" dxfId="4576" priority="72" stopIfTrue="1"/>
    <cfRule type="duplicateValues" dxfId="4575" priority="73" stopIfTrue="1"/>
  </conditionalFormatting>
  <conditionalFormatting sqref="C205">
    <cfRule type="duplicateValues" dxfId="4574" priority="71" stopIfTrue="1"/>
  </conditionalFormatting>
  <conditionalFormatting sqref="C156">
    <cfRule type="duplicateValues" dxfId="4573" priority="69" stopIfTrue="1"/>
    <cfRule type="duplicateValues" dxfId="4572" priority="70" stopIfTrue="1"/>
  </conditionalFormatting>
  <conditionalFormatting sqref="C156">
    <cfRule type="duplicateValues" dxfId="4571" priority="68" stopIfTrue="1"/>
  </conditionalFormatting>
  <conditionalFormatting sqref="C255">
    <cfRule type="duplicateValues" dxfId="4570" priority="66" stopIfTrue="1"/>
    <cfRule type="duplicateValues" dxfId="4569" priority="67" stopIfTrue="1"/>
  </conditionalFormatting>
  <conditionalFormatting sqref="C255">
    <cfRule type="duplicateValues" dxfId="4568" priority="65" stopIfTrue="1"/>
  </conditionalFormatting>
  <conditionalFormatting sqref="C256">
    <cfRule type="duplicateValues" dxfId="4567" priority="63" stopIfTrue="1"/>
    <cfRule type="duplicateValues" dxfId="4566" priority="64" stopIfTrue="1"/>
  </conditionalFormatting>
  <conditionalFormatting sqref="C256">
    <cfRule type="duplicateValues" dxfId="4565" priority="62" stopIfTrue="1"/>
  </conditionalFormatting>
  <conditionalFormatting sqref="C206">
    <cfRule type="duplicateValues" dxfId="4564" priority="60" stopIfTrue="1"/>
    <cfRule type="duplicateValues" dxfId="4563" priority="61" stopIfTrue="1"/>
  </conditionalFormatting>
  <conditionalFormatting sqref="C206">
    <cfRule type="duplicateValues" dxfId="4562" priority="59" stopIfTrue="1"/>
  </conditionalFormatting>
  <conditionalFormatting sqref="C157">
    <cfRule type="duplicateValues" dxfId="4561" priority="57" stopIfTrue="1"/>
    <cfRule type="duplicateValues" dxfId="4560" priority="58" stopIfTrue="1"/>
  </conditionalFormatting>
  <conditionalFormatting sqref="C157">
    <cfRule type="duplicateValues" dxfId="4559" priority="56" stopIfTrue="1"/>
  </conditionalFormatting>
  <conditionalFormatting sqref="C158">
    <cfRule type="duplicateValues" dxfId="4558" priority="54" stopIfTrue="1"/>
    <cfRule type="duplicateValues" dxfId="4557" priority="55" stopIfTrue="1"/>
  </conditionalFormatting>
  <conditionalFormatting sqref="C158">
    <cfRule type="duplicateValues" dxfId="4556" priority="53" stopIfTrue="1"/>
  </conditionalFormatting>
  <conditionalFormatting sqref="C159">
    <cfRule type="duplicateValues" dxfId="4555" priority="51" stopIfTrue="1"/>
    <cfRule type="duplicateValues" dxfId="4554" priority="52" stopIfTrue="1"/>
  </conditionalFormatting>
  <conditionalFormatting sqref="C159">
    <cfRule type="duplicateValues" dxfId="4553" priority="50" stopIfTrue="1"/>
  </conditionalFormatting>
  <conditionalFormatting sqref="C160">
    <cfRule type="duplicateValues" dxfId="4552" priority="48" stopIfTrue="1"/>
    <cfRule type="duplicateValues" dxfId="4551" priority="49" stopIfTrue="1"/>
  </conditionalFormatting>
  <conditionalFormatting sqref="C160">
    <cfRule type="duplicateValues" dxfId="4550" priority="47" stopIfTrue="1"/>
  </conditionalFormatting>
  <conditionalFormatting sqref="C162">
    <cfRule type="duplicateValues" dxfId="4549" priority="45" stopIfTrue="1"/>
    <cfRule type="duplicateValues" dxfId="4548" priority="46" stopIfTrue="1"/>
  </conditionalFormatting>
  <conditionalFormatting sqref="C162">
    <cfRule type="duplicateValues" dxfId="4547" priority="44" stopIfTrue="1"/>
  </conditionalFormatting>
  <conditionalFormatting sqref="C163">
    <cfRule type="duplicateValues" dxfId="4546" priority="42" stopIfTrue="1"/>
    <cfRule type="duplicateValues" dxfId="4545" priority="43" stopIfTrue="1"/>
  </conditionalFormatting>
  <conditionalFormatting sqref="C163">
    <cfRule type="duplicateValues" dxfId="4544" priority="41" stopIfTrue="1"/>
  </conditionalFormatting>
  <conditionalFormatting sqref="C164">
    <cfRule type="duplicateValues" dxfId="4543" priority="39" stopIfTrue="1"/>
    <cfRule type="duplicateValues" dxfId="4542" priority="40" stopIfTrue="1"/>
  </conditionalFormatting>
  <conditionalFormatting sqref="C164">
    <cfRule type="duplicateValues" dxfId="4541" priority="38" stopIfTrue="1"/>
  </conditionalFormatting>
  <conditionalFormatting sqref="C257">
    <cfRule type="duplicateValues" dxfId="4540" priority="36" stopIfTrue="1"/>
    <cfRule type="duplicateValues" dxfId="4539" priority="37" stopIfTrue="1"/>
  </conditionalFormatting>
  <conditionalFormatting sqref="C257">
    <cfRule type="duplicateValues" dxfId="4538" priority="35" stopIfTrue="1"/>
  </conditionalFormatting>
  <conditionalFormatting sqref="C207">
    <cfRule type="duplicateValues" dxfId="4537" priority="33" stopIfTrue="1"/>
    <cfRule type="duplicateValues" dxfId="4536" priority="34" stopIfTrue="1"/>
  </conditionalFormatting>
  <conditionalFormatting sqref="C207">
    <cfRule type="duplicateValues" dxfId="4535" priority="32" stopIfTrue="1"/>
  </conditionalFormatting>
  <conditionalFormatting sqref="C165">
    <cfRule type="duplicateValues" dxfId="4534" priority="30" stopIfTrue="1"/>
    <cfRule type="duplicateValues" dxfId="4533" priority="31" stopIfTrue="1"/>
  </conditionalFormatting>
  <conditionalFormatting sqref="C165">
    <cfRule type="duplicateValues" dxfId="4532" priority="29" stopIfTrue="1"/>
  </conditionalFormatting>
  <conditionalFormatting sqref="C166">
    <cfRule type="duplicateValues" dxfId="4531" priority="27" stopIfTrue="1"/>
    <cfRule type="duplicateValues" dxfId="4530" priority="28" stopIfTrue="1"/>
  </conditionalFormatting>
  <conditionalFormatting sqref="C166">
    <cfRule type="duplicateValues" dxfId="4529" priority="26" stopIfTrue="1"/>
  </conditionalFormatting>
  <conditionalFormatting sqref="C124">
    <cfRule type="duplicateValues" dxfId="4528" priority="24" stopIfTrue="1"/>
    <cfRule type="duplicateValues" dxfId="4527" priority="25" stopIfTrue="1"/>
  </conditionalFormatting>
  <conditionalFormatting sqref="C124">
    <cfRule type="duplicateValues" dxfId="4526" priority="23" stopIfTrue="1"/>
  </conditionalFormatting>
  <conditionalFormatting sqref="C167">
    <cfRule type="duplicateValues" dxfId="4525" priority="21" stopIfTrue="1"/>
    <cfRule type="duplicateValues" dxfId="4524" priority="22" stopIfTrue="1"/>
  </conditionalFormatting>
  <conditionalFormatting sqref="C167">
    <cfRule type="duplicateValues" dxfId="4523" priority="20" stopIfTrue="1"/>
  </conditionalFormatting>
  <conditionalFormatting sqref="C168">
    <cfRule type="duplicateValues" dxfId="4522" priority="18" stopIfTrue="1"/>
    <cfRule type="duplicateValues" dxfId="4521" priority="19" stopIfTrue="1"/>
  </conditionalFormatting>
  <conditionalFormatting sqref="C168">
    <cfRule type="duplicateValues" dxfId="4520" priority="17" stopIfTrue="1"/>
  </conditionalFormatting>
  <conditionalFormatting sqref="C3">
    <cfRule type="duplicateValues" dxfId="4519" priority="16"/>
  </conditionalFormatting>
  <conditionalFormatting sqref="C169">
    <cfRule type="duplicateValues" dxfId="4518" priority="13" stopIfTrue="1"/>
    <cfRule type="duplicateValues" dxfId="4517" priority="14" stopIfTrue="1"/>
  </conditionalFormatting>
  <conditionalFormatting sqref="C169">
    <cfRule type="duplicateValues" dxfId="4516" priority="15" stopIfTrue="1"/>
  </conditionalFormatting>
  <conditionalFormatting sqref="C217:C220">
    <cfRule type="duplicateValues" dxfId="4515" priority="11" stopIfTrue="1"/>
    <cfRule type="duplicateValues" dxfId="4514" priority="12" stopIfTrue="1"/>
  </conditionalFormatting>
  <conditionalFormatting sqref="C217:C220">
    <cfRule type="duplicateValues" dxfId="4513" priority="10" stopIfTrue="1"/>
  </conditionalFormatting>
  <conditionalFormatting sqref="C217:C218">
    <cfRule type="duplicateValues" dxfId="4512" priority="9"/>
  </conditionalFormatting>
  <conditionalFormatting sqref="C217:C218">
    <cfRule type="duplicateValues" dxfId="4511" priority="7" stopIfTrue="1"/>
    <cfRule type="duplicateValues" dxfId="4510" priority="8" stopIfTrue="1"/>
  </conditionalFormatting>
  <conditionalFormatting sqref="C220">
    <cfRule type="duplicateValues" dxfId="4509" priority="6"/>
  </conditionalFormatting>
  <conditionalFormatting sqref="C170">
    <cfRule type="duplicateValues" dxfId="4508" priority="440" stopIfTrue="1"/>
    <cfRule type="duplicateValues" dxfId="4507" priority="441" stopIfTrue="1"/>
  </conditionalFormatting>
  <conditionalFormatting sqref="C170">
    <cfRule type="duplicateValues" dxfId="4506" priority="442" stopIfTrue="1"/>
  </conditionalFormatting>
  <conditionalFormatting sqref="C222">
    <cfRule type="duplicateValues" dxfId="4505" priority="2" stopIfTrue="1"/>
    <cfRule type="duplicateValues" dxfId="4504" priority="3" stopIfTrue="1"/>
  </conditionalFormatting>
  <conditionalFormatting sqref="C222">
    <cfRule type="duplicateValues" dxfId="4503" priority="1" stopIfTrue="1"/>
  </conditionalFormatting>
  <conditionalFormatting sqref="C222">
    <cfRule type="duplicateValues" dxfId="4502" priority="4"/>
  </conditionalFormatting>
  <conditionalFormatting sqref="C222">
    <cfRule type="duplicateValues" dxfId="4501" priority="5"/>
  </conditionalFormatting>
  <conditionalFormatting sqref="C171:C187 C217:C221 C1:C2 C4:C33 C213:C215 C35:C47 C226 C229:C230 C105:C160 C49:C103 C232:C1048576 C162:C168 C195:C209">
    <cfRule type="duplicateValues" dxfId="4500" priority="3088"/>
  </conditionalFormatting>
  <conditionalFormatting sqref="C217:C221 C105:C160 C213:C215 C1:C33 C35:C47 C226 C229:C230 C49:C103 C232:C1048576 C162:C187 C195:C209">
    <cfRule type="duplicateValues" dxfId="4499" priority="3102"/>
  </conditionalFormatting>
  <conditionalFormatting sqref="C186 C249:C254 C153 C115 C117:C123 C125:C151 C201:C203">
    <cfRule type="duplicateValues" dxfId="4498" priority="3103" stopIfTrue="1"/>
    <cfRule type="duplicateValues" dxfId="4497" priority="3104" stopIfTrue="1"/>
  </conditionalFormatting>
  <conditionalFormatting sqref="C186 C249:C254 C153 C115 C117:C123 C125:C151 C201:C203">
    <cfRule type="duplicateValues" dxfId="4496" priority="3119" stopIfTrue="1"/>
  </conditionalFormatting>
  <conditionalFormatting sqref="C186:C187 C217:C220 C153 C213:C215 C113 C115 C117:C123 C125:C151 C201:C203 C249:C254">
    <cfRule type="duplicateValues" dxfId="4495" priority="3127" stopIfTrue="1"/>
    <cfRule type="duplicateValues" dxfId="4494" priority="3128" stopIfTrue="1"/>
  </conditionalFormatting>
  <conditionalFormatting sqref="C186:C187 C217:C220 C153 C213:C215 C113 C115 C117:C123 C125:C151 C201:C203 C249:C254">
    <cfRule type="duplicateValues" dxfId="4493" priority="3151" stopIfTrue="1"/>
  </conditionalFormatting>
  <conditionalFormatting sqref="C181:C184 C232:C233 C152 C229:C230 C124 C154:C160 C255:C257 C162:C168 C204:C207">
    <cfRule type="duplicateValues" dxfId="4492" priority="3152" stopIfTrue="1"/>
    <cfRule type="duplicateValues" dxfId="4491" priority="3153" stopIfTrue="1"/>
  </conditionalFormatting>
  <conditionalFormatting sqref="C181:C184 C232:C233 C152 C229:C230 C124 C154:C160 C255:C257 C162:C168 C204:C207">
    <cfRule type="duplicateValues" dxfId="4490" priority="3168" stopIfTrue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3:N277"/>
  <sheetViews>
    <sheetView topLeftCell="A225" workbookViewId="0">
      <selection activeCell="C237" sqref="C237"/>
    </sheetView>
  </sheetViews>
  <sheetFormatPr defaultRowHeight="15"/>
  <cols>
    <col min="1" max="1" width="11.28515625" customWidth="1"/>
    <col min="2" max="2" width="6.85546875" customWidth="1"/>
    <col min="3" max="3" width="36.85546875" customWidth="1"/>
    <col min="4" max="4" width="13.5703125" customWidth="1"/>
    <col min="5" max="5" width="12.85546875" customWidth="1"/>
    <col min="6" max="6" width="14" customWidth="1"/>
    <col min="7" max="7" width="10.140625" style="43" customWidth="1"/>
    <col min="8" max="8" width="13.5703125" customWidth="1"/>
    <col min="9" max="10" width="10.85546875" customWidth="1"/>
    <col min="11" max="11" width="14.5703125" customWidth="1"/>
    <col min="12" max="12" width="15" customWidth="1"/>
    <col min="13" max="13" width="10.28515625" customWidth="1"/>
    <col min="14" max="14" width="11.28515625" bestFit="1" customWidth="1"/>
  </cols>
  <sheetData>
    <row r="3" spans="1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B4" s="418" t="s">
        <v>267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104" customFormat="1" ht="54.75" customHeight="1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1:14" ht="15.75">
      <c r="A6" s="73"/>
      <c r="B6" s="14">
        <v>1</v>
      </c>
      <c r="C6" s="2" t="s">
        <v>121</v>
      </c>
      <c r="D6" s="15">
        <v>200000</v>
      </c>
      <c r="E6" s="15">
        <v>26660</v>
      </c>
      <c r="F6" s="15">
        <f t="shared" ref="F6:F31" si="0">SUM(D6:E6)</f>
        <v>226660</v>
      </c>
      <c r="G6" s="31">
        <v>40</v>
      </c>
      <c r="H6" s="15">
        <v>5666.5</v>
      </c>
      <c r="I6" s="8">
        <v>34</v>
      </c>
      <c r="J6" s="11">
        <f t="shared" ref="J6:J35" si="1">G6-I6</f>
        <v>6</v>
      </c>
      <c r="K6" s="16">
        <f>(34*5666.5)</f>
        <v>192661</v>
      </c>
      <c r="L6" s="15">
        <f t="shared" ref="L6:L11" si="2">F6-K6</f>
        <v>33999</v>
      </c>
      <c r="M6" s="8"/>
      <c r="N6" s="39" t="e">
        <f>#REF!-H6</f>
        <v>#REF!</v>
      </c>
    </row>
    <row r="7" spans="1:14" ht="15.75">
      <c r="A7" s="73"/>
      <c r="B7" s="14">
        <v>2</v>
      </c>
      <c r="C7" s="2" t="s">
        <v>199</v>
      </c>
      <c r="D7" s="12">
        <v>132000</v>
      </c>
      <c r="E7" s="12">
        <v>17595.599999999999</v>
      </c>
      <c r="F7" s="15">
        <f t="shared" si="0"/>
        <v>149595.6</v>
      </c>
      <c r="G7" s="31">
        <v>40</v>
      </c>
      <c r="H7" s="12">
        <v>3739.89</v>
      </c>
      <c r="I7" s="8">
        <v>27</v>
      </c>
      <c r="J7" s="11">
        <f t="shared" si="1"/>
        <v>13</v>
      </c>
      <c r="K7" s="12">
        <f>(27*3739.89)</f>
        <v>100977.03</v>
      </c>
      <c r="L7" s="15">
        <f t="shared" si="2"/>
        <v>48618.570000000007</v>
      </c>
      <c r="M7" s="8"/>
      <c r="N7" s="39" t="e">
        <f>#REF!-H7</f>
        <v>#REF!</v>
      </c>
    </row>
    <row r="8" spans="1:14" ht="15.75">
      <c r="A8" s="73"/>
      <c r="B8" s="14">
        <v>3</v>
      </c>
      <c r="C8" s="2" t="s">
        <v>122</v>
      </c>
      <c r="D8" s="15">
        <v>200000</v>
      </c>
      <c r="E8" s="15">
        <v>26660</v>
      </c>
      <c r="F8" s="15">
        <f t="shared" si="0"/>
        <v>226660</v>
      </c>
      <c r="G8" s="31">
        <v>40</v>
      </c>
      <c r="H8" s="15">
        <v>5666.5</v>
      </c>
      <c r="I8" s="8">
        <v>25</v>
      </c>
      <c r="J8" s="11">
        <f t="shared" si="1"/>
        <v>15</v>
      </c>
      <c r="K8" s="12">
        <f>(35*5666.5)</f>
        <v>198327.5</v>
      </c>
      <c r="L8" s="15">
        <f t="shared" si="2"/>
        <v>28332.5</v>
      </c>
      <c r="M8" s="8"/>
      <c r="N8" s="39" t="e">
        <f>#REF!-H8</f>
        <v>#REF!</v>
      </c>
    </row>
    <row r="9" spans="1:14" ht="15.75">
      <c r="A9" s="73"/>
      <c r="B9" s="14">
        <v>4</v>
      </c>
      <c r="C9" s="2" t="s">
        <v>188</v>
      </c>
      <c r="D9" s="12">
        <v>180000</v>
      </c>
      <c r="E9" s="12">
        <v>23994</v>
      </c>
      <c r="F9" s="15">
        <f t="shared" si="0"/>
        <v>203994</v>
      </c>
      <c r="G9" s="31">
        <v>40</v>
      </c>
      <c r="H9" s="12">
        <v>5099.8500000000004</v>
      </c>
      <c r="I9" s="8">
        <v>35</v>
      </c>
      <c r="J9" s="11">
        <f t="shared" si="1"/>
        <v>5</v>
      </c>
      <c r="K9" s="12">
        <f>(35*5099.85)</f>
        <v>178494.75</v>
      </c>
      <c r="L9" s="15">
        <f t="shared" si="2"/>
        <v>25499.25</v>
      </c>
      <c r="M9" s="8"/>
      <c r="N9" s="39" t="e">
        <f>#REF!-H9</f>
        <v>#REF!</v>
      </c>
    </row>
    <row r="10" spans="1:14" ht="15.75">
      <c r="A10" s="73"/>
      <c r="B10" s="14">
        <v>5</v>
      </c>
      <c r="C10" s="4" t="s">
        <v>189</v>
      </c>
      <c r="D10" s="12">
        <v>180000</v>
      </c>
      <c r="E10" s="12">
        <v>23994</v>
      </c>
      <c r="F10" s="15">
        <f t="shared" si="0"/>
        <v>203994</v>
      </c>
      <c r="G10" s="31">
        <v>40</v>
      </c>
      <c r="H10" s="12">
        <v>5099.8500000000004</v>
      </c>
      <c r="I10" s="8">
        <v>32</v>
      </c>
      <c r="J10" s="11">
        <f t="shared" si="1"/>
        <v>8</v>
      </c>
      <c r="K10" s="12">
        <f>(32*5099.85)</f>
        <v>163195.20000000001</v>
      </c>
      <c r="L10" s="15">
        <f t="shared" si="2"/>
        <v>40798.799999999988</v>
      </c>
      <c r="M10" s="8"/>
      <c r="N10" s="39" t="e">
        <f>#REF!-H10</f>
        <v>#REF!</v>
      </c>
    </row>
    <row r="11" spans="1:14" ht="15.75">
      <c r="A11" s="73"/>
      <c r="B11" s="14">
        <v>6</v>
      </c>
      <c r="C11" s="2" t="s">
        <v>123</v>
      </c>
      <c r="D11" s="15">
        <v>200000</v>
      </c>
      <c r="E11" s="15">
        <v>26660</v>
      </c>
      <c r="F11" s="15">
        <f t="shared" si="0"/>
        <v>226660</v>
      </c>
      <c r="G11" s="31">
        <v>40</v>
      </c>
      <c r="H11" s="15">
        <v>5666.5</v>
      </c>
      <c r="I11" s="8">
        <v>35</v>
      </c>
      <c r="J11" s="11">
        <f t="shared" si="1"/>
        <v>5</v>
      </c>
      <c r="K11" s="12">
        <f>(35*5666.5)</f>
        <v>198327.5</v>
      </c>
      <c r="L11" s="15">
        <f t="shared" si="2"/>
        <v>28332.5</v>
      </c>
      <c r="M11" s="8"/>
      <c r="N11" s="39" t="e">
        <f>#REF!-H11</f>
        <v>#REF!</v>
      </c>
    </row>
    <row r="12" spans="1:14" ht="15.75">
      <c r="A12" s="73"/>
      <c r="B12" s="14">
        <v>7</v>
      </c>
      <c r="C12" s="2" t="s">
        <v>124</v>
      </c>
      <c r="D12" s="15">
        <v>200000</v>
      </c>
      <c r="E12" s="15">
        <v>26660</v>
      </c>
      <c r="F12" s="15">
        <f t="shared" si="0"/>
        <v>226660</v>
      </c>
      <c r="G12" s="31">
        <v>40</v>
      </c>
      <c r="H12" s="15">
        <v>5666.5</v>
      </c>
      <c r="I12" s="8">
        <v>38</v>
      </c>
      <c r="J12" s="11">
        <f t="shared" si="1"/>
        <v>2</v>
      </c>
      <c r="K12" s="12">
        <f>(38*5666.5)</f>
        <v>215327</v>
      </c>
      <c r="L12" s="15">
        <f>G10</f>
        <v>40</v>
      </c>
      <c r="M12" s="8"/>
      <c r="N12" s="39" t="e">
        <f>#REF!-H12</f>
        <v>#REF!</v>
      </c>
    </row>
    <row r="13" spans="1:14" ht="15.75">
      <c r="A13" s="73"/>
      <c r="B13" s="14">
        <v>8</v>
      </c>
      <c r="C13" s="2" t="s">
        <v>120</v>
      </c>
      <c r="D13" s="12">
        <v>330000</v>
      </c>
      <c r="E13" s="16">
        <v>21114.720000000001</v>
      </c>
      <c r="F13" s="15">
        <f t="shared" si="0"/>
        <v>351114.72</v>
      </c>
      <c r="G13" s="31">
        <v>24</v>
      </c>
      <c r="H13" s="24">
        <v>6649.9</v>
      </c>
      <c r="I13" s="11">
        <v>21</v>
      </c>
      <c r="J13" s="11">
        <f t="shared" si="1"/>
        <v>3</v>
      </c>
      <c r="K13" s="16">
        <f>(21*6649.9)</f>
        <v>139647.9</v>
      </c>
      <c r="L13" s="15">
        <f t="shared" ref="L13:L35" si="3">F13-K13</f>
        <v>211466.81999999998</v>
      </c>
      <c r="M13" s="8"/>
      <c r="N13" s="39" t="e">
        <f>#REF!-H13</f>
        <v>#REF!</v>
      </c>
    </row>
    <row r="14" spans="1:14" ht="15.75">
      <c r="A14" s="73"/>
      <c r="B14" s="14">
        <v>9</v>
      </c>
      <c r="C14" s="2" t="s">
        <v>190</v>
      </c>
      <c r="D14" s="12">
        <v>180000</v>
      </c>
      <c r="E14" s="12">
        <v>23994</v>
      </c>
      <c r="F14" s="15">
        <f t="shared" si="0"/>
        <v>203994</v>
      </c>
      <c r="G14" s="30">
        <v>40</v>
      </c>
      <c r="H14" s="12">
        <v>5099.8500000000004</v>
      </c>
      <c r="I14" s="22">
        <v>43</v>
      </c>
      <c r="J14" s="11">
        <f t="shared" si="1"/>
        <v>-3</v>
      </c>
      <c r="K14" s="12">
        <f>(43*5099.85)</f>
        <v>219293.55000000002</v>
      </c>
      <c r="L14" s="15">
        <f t="shared" si="3"/>
        <v>-15299.550000000017</v>
      </c>
      <c r="M14" s="10"/>
      <c r="N14" s="39" t="e">
        <f>#REF!-H14</f>
        <v>#REF!</v>
      </c>
    </row>
    <row r="15" spans="1:14" ht="15.75">
      <c r="A15" s="73"/>
      <c r="B15" s="14">
        <v>10</v>
      </c>
      <c r="C15" s="2" t="s">
        <v>201</v>
      </c>
      <c r="D15" s="12">
        <v>132000</v>
      </c>
      <c r="E15" s="12">
        <v>17595.599999999999</v>
      </c>
      <c r="F15" s="15">
        <f t="shared" si="0"/>
        <v>149595.6</v>
      </c>
      <c r="G15" s="31">
        <v>40</v>
      </c>
      <c r="H15" s="12">
        <v>3739.89</v>
      </c>
      <c r="I15" s="8">
        <v>35</v>
      </c>
      <c r="J15" s="11">
        <f t="shared" si="1"/>
        <v>5</v>
      </c>
      <c r="K15" s="12">
        <f>(35*3739.89)</f>
        <v>130896.15</v>
      </c>
      <c r="L15" s="15">
        <f t="shared" si="3"/>
        <v>18699.450000000012</v>
      </c>
      <c r="M15" s="8"/>
      <c r="N15" s="39" t="e">
        <f>#REF!-H15</f>
        <v>#REF!</v>
      </c>
    </row>
    <row r="16" spans="1:14" ht="15.75">
      <c r="A16" s="73"/>
      <c r="B16" s="14">
        <v>11</v>
      </c>
      <c r="C16" s="2" t="s">
        <v>191</v>
      </c>
      <c r="D16" s="12">
        <v>180000</v>
      </c>
      <c r="E16" s="12">
        <v>23994</v>
      </c>
      <c r="F16" s="15">
        <f t="shared" si="0"/>
        <v>203994</v>
      </c>
      <c r="G16" s="30">
        <v>40</v>
      </c>
      <c r="H16" s="12">
        <v>5099.8500000000004</v>
      </c>
      <c r="I16" s="22">
        <v>43</v>
      </c>
      <c r="J16" s="11">
        <f t="shared" si="1"/>
        <v>-3</v>
      </c>
      <c r="K16" s="12">
        <f>(43*5099.85)</f>
        <v>219293.55000000002</v>
      </c>
      <c r="L16" s="15">
        <f t="shared" si="3"/>
        <v>-15299.550000000017</v>
      </c>
      <c r="M16" s="10"/>
      <c r="N16" s="39" t="e">
        <f>#REF!-H16</f>
        <v>#REF!</v>
      </c>
    </row>
    <row r="17" spans="1:14" ht="15.75">
      <c r="A17" s="73"/>
      <c r="B17" s="14">
        <v>12</v>
      </c>
      <c r="C17" s="2" t="s">
        <v>52</v>
      </c>
      <c r="D17" s="12">
        <v>500000</v>
      </c>
      <c r="E17" s="12">
        <v>66650</v>
      </c>
      <c r="F17" s="15">
        <f t="shared" si="0"/>
        <v>566650</v>
      </c>
      <c r="G17" s="31">
        <v>50</v>
      </c>
      <c r="H17" s="18">
        <v>11333</v>
      </c>
      <c r="I17" s="31">
        <v>28</v>
      </c>
      <c r="J17" s="11">
        <f t="shared" si="1"/>
        <v>22</v>
      </c>
      <c r="K17" s="12">
        <f>(28*11333)</f>
        <v>317324</v>
      </c>
      <c r="L17" s="15">
        <f t="shared" si="3"/>
        <v>249326</v>
      </c>
      <c r="M17" s="8"/>
      <c r="N17" s="39" t="e">
        <f>#REF!-H17</f>
        <v>#REF!</v>
      </c>
    </row>
    <row r="18" spans="1:14" ht="15.75">
      <c r="A18" s="73"/>
      <c r="B18" s="14">
        <v>13</v>
      </c>
      <c r="C18" s="2" t="s">
        <v>49</v>
      </c>
      <c r="D18" s="12">
        <v>500000</v>
      </c>
      <c r="E18" s="12">
        <v>53320</v>
      </c>
      <c r="F18" s="15">
        <f t="shared" si="0"/>
        <v>553320</v>
      </c>
      <c r="G18" s="31">
        <v>40</v>
      </c>
      <c r="H18" s="12">
        <v>13833</v>
      </c>
      <c r="I18" s="8">
        <v>42</v>
      </c>
      <c r="J18" s="11">
        <f t="shared" si="1"/>
        <v>-2</v>
      </c>
      <c r="K18" s="12">
        <f>(42*13833)</f>
        <v>580986</v>
      </c>
      <c r="L18" s="15">
        <f t="shared" si="3"/>
        <v>-27666</v>
      </c>
      <c r="M18" s="8"/>
      <c r="N18" s="39" t="e">
        <f>#REF!-H18</f>
        <v>#REF!</v>
      </c>
    </row>
    <row r="19" spans="1:14" ht="15.75">
      <c r="A19" s="73"/>
      <c r="B19" s="14">
        <v>14</v>
      </c>
      <c r="C19" s="2" t="s">
        <v>126</v>
      </c>
      <c r="D19" s="15">
        <v>200000</v>
      </c>
      <c r="E19" s="15">
        <v>26660</v>
      </c>
      <c r="F19" s="15">
        <f t="shared" si="0"/>
        <v>226660</v>
      </c>
      <c r="G19" s="32">
        <v>40</v>
      </c>
      <c r="H19" s="15">
        <v>5666.5</v>
      </c>
      <c r="I19" s="22">
        <v>44</v>
      </c>
      <c r="J19" s="11">
        <f t="shared" si="1"/>
        <v>-4</v>
      </c>
      <c r="K19" s="15">
        <f>(44*5666.5)</f>
        <v>249326</v>
      </c>
      <c r="L19" s="15">
        <f t="shared" si="3"/>
        <v>-22666</v>
      </c>
      <c r="M19" s="10"/>
      <c r="N19" s="39" t="e">
        <f>#REF!-H19</f>
        <v>#REF!</v>
      </c>
    </row>
    <row r="20" spans="1:14" ht="15.75">
      <c r="A20" s="73"/>
      <c r="B20" s="14">
        <v>15</v>
      </c>
      <c r="C20" s="2" t="s">
        <v>46</v>
      </c>
      <c r="D20" s="12">
        <v>450000</v>
      </c>
      <c r="E20" s="16">
        <v>28792.799999999999</v>
      </c>
      <c r="F20" s="15">
        <f t="shared" si="0"/>
        <v>478792.8</v>
      </c>
      <c r="G20" s="31">
        <v>24</v>
      </c>
      <c r="H20" s="16">
        <v>19949.7</v>
      </c>
      <c r="I20" s="11">
        <v>21</v>
      </c>
      <c r="J20" s="11">
        <f t="shared" si="1"/>
        <v>3</v>
      </c>
      <c r="K20" s="12">
        <f>(21*19949.7)</f>
        <v>418943.7</v>
      </c>
      <c r="L20" s="15">
        <f t="shared" si="3"/>
        <v>59849.099999999977</v>
      </c>
      <c r="M20" s="8"/>
      <c r="N20" s="39" t="e">
        <f>#REF!-H20</f>
        <v>#REF!</v>
      </c>
    </row>
    <row r="21" spans="1:14" ht="15.75">
      <c r="A21" s="73"/>
      <c r="B21" s="14">
        <v>16</v>
      </c>
      <c r="C21" s="2" t="s">
        <v>127</v>
      </c>
      <c r="D21" s="15">
        <v>200000</v>
      </c>
      <c r="E21" s="15">
        <v>26660</v>
      </c>
      <c r="F21" s="15">
        <f t="shared" si="0"/>
        <v>226660</v>
      </c>
      <c r="G21" s="31">
        <v>40</v>
      </c>
      <c r="H21" s="15">
        <v>5666.5</v>
      </c>
      <c r="I21" s="8">
        <v>32</v>
      </c>
      <c r="J21" s="11">
        <f t="shared" si="1"/>
        <v>8</v>
      </c>
      <c r="K21" s="12">
        <f>(32*5666.5)</f>
        <v>181328</v>
      </c>
      <c r="L21" s="15">
        <f t="shared" si="3"/>
        <v>45332</v>
      </c>
      <c r="M21" s="8"/>
      <c r="N21" s="39" t="e">
        <f>#REF!-H21</f>
        <v>#REF!</v>
      </c>
    </row>
    <row r="22" spans="1:14" ht="15.75">
      <c r="A22" s="73"/>
      <c r="B22" s="14">
        <v>17</v>
      </c>
      <c r="C22" s="25" t="s">
        <v>105</v>
      </c>
      <c r="D22" s="12">
        <v>330000</v>
      </c>
      <c r="E22" s="16">
        <v>43989</v>
      </c>
      <c r="F22" s="15">
        <f t="shared" si="0"/>
        <v>373989</v>
      </c>
      <c r="G22" s="33">
        <v>50</v>
      </c>
      <c r="H22" s="16">
        <v>7479.78</v>
      </c>
      <c r="I22" s="8">
        <v>30</v>
      </c>
      <c r="J22" s="11">
        <f t="shared" si="1"/>
        <v>20</v>
      </c>
      <c r="K22" s="12">
        <f>(30*7479.78)</f>
        <v>224393.4</v>
      </c>
      <c r="L22" s="15">
        <f t="shared" si="3"/>
        <v>149595.6</v>
      </c>
      <c r="M22" s="8"/>
      <c r="N22" s="39" t="e">
        <f>#REF!-H22</f>
        <v>#REF!</v>
      </c>
    </row>
    <row r="23" spans="1:14" ht="15.75">
      <c r="A23" s="73"/>
      <c r="B23" s="14">
        <v>18</v>
      </c>
      <c r="C23" s="2" t="s">
        <v>214</v>
      </c>
      <c r="D23" s="12">
        <v>60000</v>
      </c>
      <c r="E23" s="12">
        <v>7998</v>
      </c>
      <c r="F23" s="15">
        <f t="shared" si="0"/>
        <v>67998</v>
      </c>
      <c r="G23" s="31">
        <v>40</v>
      </c>
      <c r="H23" s="12">
        <v>1699.95</v>
      </c>
      <c r="I23" s="8">
        <v>44</v>
      </c>
      <c r="J23" s="11">
        <f t="shared" si="1"/>
        <v>-4</v>
      </c>
      <c r="K23" s="12">
        <f>(44*1699.95)</f>
        <v>74797.8</v>
      </c>
      <c r="L23" s="15">
        <f t="shared" si="3"/>
        <v>-6799.8000000000029</v>
      </c>
      <c r="M23" s="8"/>
      <c r="N23" s="39" t="e">
        <f>#REF!-H23</f>
        <v>#REF!</v>
      </c>
    </row>
    <row r="24" spans="1:14" ht="15.75">
      <c r="A24" s="73"/>
      <c r="B24" s="14">
        <v>19</v>
      </c>
      <c r="C24" s="2" t="s">
        <v>130</v>
      </c>
      <c r="D24" s="15">
        <v>200000</v>
      </c>
      <c r="E24" s="15">
        <v>26660</v>
      </c>
      <c r="F24" s="15">
        <f t="shared" si="0"/>
        <v>226660</v>
      </c>
      <c r="G24" s="31">
        <v>40</v>
      </c>
      <c r="H24" s="15">
        <v>5666.5</v>
      </c>
      <c r="I24" s="8">
        <v>35</v>
      </c>
      <c r="J24" s="11">
        <f t="shared" si="1"/>
        <v>5</v>
      </c>
      <c r="K24" s="12">
        <f>(35*5666.5)</f>
        <v>198327.5</v>
      </c>
      <c r="L24" s="15">
        <f t="shared" si="3"/>
        <v>28332.5</v>
      </c>
      <c r="M24" s="8"/>
      <c r="N24" s="39" t="e">
        <f>#REF!-H24</f>
        <v>#REF!</v>
      </c>
    </row>
    <row r="25" spans="1:14" ht="15.75">
      <c r="A25" s="73"/>
      <c r="B25" s="14">
        <v>20</v>
      </c>
      <c r="C25" s="2" t="s">
        <v>131</v>
      </c>
      <c r="D25" s="15">
        <v>200000</v>
      </c>
      <c r="E25" s="15">
        <v>26660</v>
      </c>
      <c r="F25" s="15">
        <f t="shared" si="0"/>
        <v>226660</v>
      </c>
      <c r="G25" s="32">
        <v>40</v>
      </c>
      <c r="H25" s="15">
        <v>5666.5</v>
      </c>
      <c r="I25" s="22">
        <v>44</v>
      </c>
      <c r="J25" s="11">
        <f t="shared" si="1"/>
        <v>-4</v>
      </c>
      <c r="K25" s="15">
        <f>(44*5666.5)</f>
        <v>249326</v>
      </c>
      <c r="L25" s="15">
        <f t="shared" si="3"/>
        <v>-22666</v>
      </c>
      <c r="M25" s="10"/>
      <c r="N25" s="39" t="e">
        <f>#REF!-H25</f>
        <v>#REF!</v>
      </c>
    </row>
    <row r="26" spans="1:14" ht="15.75">
      <c r="A26" s="73"/>
      <c r="B26" s="14">
        <v>21</v>
      </c>
      <c r="C26" s="2" t="s">
        <v>106</v>
      </c>
      <c r="D26" s="12">
        <v>330000</v>
      </c>
      <c r="E26" s="12">
        <v>43989</v>
      </c>
      <c r="F26" s="15">
        <f t="shared" si="0"/>
        <v>373989</v>
      </c>
      <c r="G26" s="31">
        <v>50</v>
      </c>
      <c r="H26" s="12">
        <v>7479.78</v>
      </c>
      <c r="I26" s="11">
        <v>21</v>
      </c>
      <c r="J26" s="11">
        <f t="shared" si="1"/>
        <v>29</v>
      </c>
      <c r="K26" s="16">
        <f>(21*7479.78)</f>
        <v>157075.38</v>
      </c>
      <c r="L26" s="15">
        <f t="shared" si="3"/>
        <v>216913.62</v>
      </c>
      <c r="M26" s="8"/>
      <c r="N26" s="39" t="e">
        <f>#REF!-H26</f>
        <v>#REF!</v>
      </c>
    </row>
    <row r="27" spans="1:14" ht="15.75">
      <c r="A27" s="73"/>
      <c r="B27" s="14">
        <v>22</v>
      </c>
      <c r="C27" s="2" t="s">
        <v>134</v>
      </c>
      <c r="D27" s="15">
        <v>200000</v>
      </c>
      <c r="E27" s="15">
        <v>26660</v>
      </c>
      <c r="F27" s="15">
        <f t="shared" si="0"/>
        <v>226660</v>
      </c>
      <c r="G27" s="31">
        <v>40</v>
      </c>
      <c r="H27" s="15">
        <v>5666.5</v>
      </c>
      <c r="I27" s="8">
        <v>35</v>
      </c>
      <c r="J27" s="11">
        <f t="shared" si="1"/>
        <v>5</v>
      </c>
      <c r="K27" s="12">
        <f>(35*5666.5)</f>
        <v>198327.5</v>
      </c>
      <c r="L27" s="15">
        <f t="shared" si="3"/>
        <v>28332.5</v>
      </c>
      <c r="M27" s="8"/>
      <c r="N27" s="39" t="e">
        <f>#REF!-H27</f>
        <v>#REF!</v>
      </c>
    </row>
    <row r="28" spans="1:14" ht="15.75">
      <c r="A28" s="73"/>
      <c r="B28" s="14">
        <v>23</v>
      </c>
      <c r="C28" s="25" t="s">
        <v>53</v>
      </c>
      <c r="D28" s="12">
        <v>500000</v>
      </c>
      <c r="E28" s="12">
        <v>66650</v>
      </c>
      <c r="F28" s="15">
        <f t="shared" si="0"/>
        <v>566650</v>
      </c>
      <c r="G28" s="31">
        <v>50</v>
      </c>
      <c r="H28" s="12">
        <v>11333</v>
      </c>
      <c r="I28" s="11">
        <v>21</v>
      </c>
      <c r="J28" s="11">
        <f t="shared" si="1"/>
        <v>29</v>
      </c>
      <c r="K28" s="12">
        <f>(21*11333)</f>
        <v>237993</v>
      </c>
      <c r="L28" s="15">
        <f t="shared" si="3"/>
        <v>328657</v>
      </c>
      <c r="M28" s="8"/>
      <c r="N28" s="39" t="e">
        <f>#REF!-H28</f>
        <v>#REF!</v>
      </c>
    </row>
    <row r="29" spans="1:14" ht="15.75">
      <c r="A29" s="73"/>
      <c r="B29" s="14">
        <v>24</v>
      </c>
      <c r="C29" s="2" t="s">
        <v>202</v>
      </c>
      <c r="D29" s="12">
        <v>132000</v>
      </c>
      <c r="E29" s="12">
        <v>17595.599999999999</v>
      </c>
      <c r="F29" s="15">
        <f t="shared" si="0"/>
        <v>149595.6</v>
      </c>
      <c r="G29" s="31">
        <v>40</v>
      </c>
      <c r="H29" s="12">
        <v>3739.89</v>
      </c>
      <c r="I29" s="8">
        <v>32</v>
      </c>
      <c r="J29" s="11">
        <f t="shared" si="1"/>
        <v>8</v>
      </c>
      <c r="K29" s="12">
        <f>(32*3739.89)</f>
        <v>119676.48</v>
      </c>
      <c r="L29" s="15">
        <f t="shared" si="3"/>
        <v>29919.12000000001</v>
      </c>
      <c r="M29" s="8"/>
      <c r="N29" s="39" t="e">
        <f>#REF!-H29</f>
        <v>#REF!</v>
      </c>
    </row>
    <row r="30" spans="1:14" ht="15.75">
      <c r="A30" s="73"/>
      <c r="B30" s="14">
        <v>25</v>
      </c>
      <c r="C30" s="2" t="s">
        <v>136</v>
      </c>
      <c r="D30" s="15">
        <v>200000</v>
      </c>
      <c r="E30" s="15">
        <v>26660</v>
      </c>
      <c r="F30" s="15">
        <f t="shared" si="0"/>
        <v>226660</v>
      </c>
      <c r="G30" s="32">
        <v>40</v>
      </c>
      <c r="H30" s="15">
        <v>5666.5</v>
      </c>
      <c r="I30" s="30">
        <v>45</v>
      </c>
      <c r="J30" s="11">
        <f t="shared" si="1"/>
        <v>-5</v>
      </c>
      <c r="K30" s="12">
        <f>(45*5666.5)</f>
        <v>254992.5</v>
      </c>
      <c r="L30" s="15">
        <f t="shared" si="3"/>
        <v>-28332.5</v>
      </c>
      <c r="M30" s="10"/>
      <c r="N30" s="39" t="e">
        <f>#REF!-H30</f>
        <v>#REF!</v>
      </c>
    </row>
    <row r="31" spans="1:14" ht="15.75">
      <c r="A31" s="73"/>
      <c r="B31" s="14">
        <v>26</v>
      </c>
      <c r="C31" s="2" t="s">
        <v>54</v>
      </c>
      <c r="D31" s="12">
        <v>500000</v>
      </c>
      <c r="E31" s="12">
        <v>66650</v>
      </c>
      <c r="F31" s="15">
        <f t="shared" si="0"/>
        <v>566650</v>
      </c>
      <c r="G31" s="31">
        <v>50</v>
      </c>
      <c r="H31" s="12">
        <v>11333</v>
      </c>
      <c r="I31" s="11">
        <v>30</v>
      </c>
      <c r="J31" s="11">
        <f t="shared" si="1"/>
        <v>20</v>
      </c>
      <c r="K31" s="12">
        <f>(30*11333)</f>
        <v>339990</v>
      </c>
      <c r="L31" s="15">
        <f t="shared" si="3"/>
        <v>226660</v>
      </c>
      <c r="M31" s="8"/>
      <c r="N31" s="39" t="e">
        <f>#REF!-H31</f>
        <v>#REF!</v>
      </c>
    </row>
    <row r="32" spans="1:14" ht="15.75">
      <c r="A32" s="73"/>
      <c r="B32" s="14">
        <v>27</v>
      </c>
      <c r="C32" s="2" t="s">
        <v>36</v>
      </c>
      <c r="D32" s="18">
        <v>500000</v>
      </c>
      <c r="E32" s="18">
        <v>66650</v>
      </c>
      <c r="F32" s="18">
        <v>566650</v>
      </c>
      <c r="G32" s="33">
        <v>50</v>
      </c>
      <c r="H32" s="16">
        <v>11333</v>
      </c>
      <c r="I32" s="8">
        <v>7</v>
      </c>
      <c r="J32" s="11">
        <f t="shared" si="1"/>
        <v>43</v>
      </c>
      <c r="K32" s="12">
        <f>(7*11333)</f>
        <v>79331</v>
      </c>
      <c r="L32" s="12">
        <f t="shared" si="3"/>
        <v>487319</v>
      </c>
      <c r="M32" s="1"/>
      <c r="N32" s="39" t="e">
        <f>#REF!-H32</f>
        <v>#REF!</v>
      </c>
    </row>
    <row r="33" spans="1:14" ht="15.75">
      <c r="A33" s="73"/>
      <c r="B33" s="14">
        <v>28</v>
      </c>
      <c r="C33" s="2" t="s">
        <v>55</v>
      </c>
      <c r="D33" s="12">
        <v>500000</v>
      </c>
      <c r="E33" s="12">
        <v>66650</v>
      </c>
      <c r="F33" s="15">
        <f>SUM(D33:E33)</f>
        <v>566650</v>
      </c>
      <c r="G33" s="31">
        <v>50</v>
      </c>
      <c r="H33" s="12">
        <v>11333</v>
      </c>
      <c r="I33" s="8">
        <v>42</v>
      </c>
      <c r="J33" s="11">
        <f t="shared" si="1"/>
        <v>8</v>
      </c>
      <c r="K33" s="12">
        <f>(42*11333)</f>
        <v>475986</v>
      </c>
      <c r="L33" s="15">
        <f t="shared" si="3"/>
        <v>90664</v>
      </c>
      <c r="M33" s="8"/>
      <c r="N33" s="39" t="e">
        <f>#REF!-H33</f>
        <v>#REF!</v>
      </c>
    </row>
    <row r="34" spans="1:14" ht="15.75">
      <c r="A34" s="73"/>
      <c r="B34" s="14">
        <v>29</v>
      </c>
      <c r="C34" s="2" t="s">
        <v>137</v>
      </c>
      <c r="D34" s="15">
        <v>200000</v>
      </c>
      <c r="E34" s="15">
        <v>26660</v>
      </c>
      <c r="F34" s="15">
        <f>SUM(D34:E34)</f>
        <v>226660</v>
      </c>
      <c r="G34" s="31">
        <v>40</v>
      </c>
      <c r="H34" s="15">
        <v>5666.5</v>
      </c>
      <c r="I34" s="8">
        <v>35</v>
      </c>
      <c r="J34" s="11">
        <f t="shared" si="1"/>
        <v>5</v>
      </c>
      <c r="K34" s="12">
        <f>(35*5666.5)</f>
        <v>198327.5</v>
      </c>
      <c r="L34" s="15">
        <f t="shared" si="3"/>
        <v>28332.5</v>
      </c>
      <c r="M34" s="8"/>
      <c r="N34" s="39" t="e">
        <f>#REF!-H34</f>
        <v>#REF!</v>
      </c>
    </row>
    <row r="35" spans="1:14" ht="15.75">
      <c r="A35" s="73"/>
      <c r="B35" s="14">
        <v>30</v>
      </c>
      <c r="C35" s="73" t="s">
        <v>263</v>
      </c>
      <c r="D35" s="12">
        <v>330000</v>
      </c>
      <c r="E35" s="12">
        <v>43989</v>
      </c>
      <c r="F35" s="15">
        <f>SUM(D35:E35)</f>
        <v>373989</v>
      </c>
      <c r="G35" s="31">
        <v>50</v>
      </c>
      <c r="H35" s="74">
        <v>7479.78</v>
      </c>
      <c r="I35" s="8">
        <v>30</v>
      </c>
      <c r="J35" s="11">
        <f t="shared" si="1"/>
        <v>20</v>
      </c>
      <c r="K35" s="12">
        <f>(30*7479.78)</f>
        <v>224393.4</v>
      </c>
      <c r="L35" s="15">
        <f t="shared" si="3"/>
        <v>149595.6</v>
      </c>
      <c r="M35" s="8" t="s">
        <v>251</v>
      </c>
      <c r="N35" s="39" t="e">
        <f>#REF!-H35</f>
        <v>#REF!</v>
      </c>
    </row>
    <row r="36" spans="1:14" ht="15.75">
      <c r="A36" s="73"/>
      <c r="B36" s="14">
        <v>31</v>
      </c>
      <c r="C36" s="2" t="s">
        <v>56</v>
      </c>
      <c r="D36" s="12">
        <v>500000</v>
      </c>
      <c r="E36" s="12">
        <v>66650</v>
      </c>
      <c r="F36" s="15">
        <f>SUM(D36:E36)</f>
        <v>566650</v>
      </c>
      <c r="G36" s="31">
        <v>50</v>
      </c>
      <c r="H36" s="12">
        <v>11333</v>
      </c>
      <c r="I36" s="8">
        <v>42</v>
      </c>
      <c r="J36" s="11">
        <f t="shared" ref="J36:J41" si="4">G36-I36</f>
        <v>8</v>
      </c>
      <c r="K36" s="12">
        <f>(42*11333)</f>
        <v>475986</v>
      </c>
      <c r="L36" s="15">
        <f t="shared" ref="L36:L41" si="5">F36-K36</f>
        <v>90664</v>
      </c>
      <c r="M36" s="8"/>
      <c r="N36" s="39" t="e">
        <f>#REF!-H36</f>
        <v>#REF!</v>
      </c>
    </row>
    <row r="37" spans="1:14" ht="15.75">
      <c r="A37" s="73"/>
      <c r="B37" s="14">
        <v>32</v>
      </c>
      <c r="C37" s="63" t="s">
        <v>255</v>
      </c>
      <c r="D37" s="12">
        <v>450000</v>
      </c>
      <c r="E37" s="16">
        <v>59985</v>
      </c>
      <c r="F37" s="16">
        <v>509985</v>
      </c>
      <c r="G37" s="33">
        <v>50</v>
      </c>
      <c r="H37" s="16">
        <v>10199.700000000001</v>
      </c>
      <c r="I37" s="8">
        <v>6</v>
      </c>
      <c r="J37" s="11">
        <f t="shared" si="4"/>
        <v>44</v>
      </c>
      <c r="K37" s="12">
        <f>(6*10199)</f>
        <v>61194</v>
      </c>
      <c r="L37" s="12">
        <f t="shared" si="5"/>
        <v>448791</v>
      </c>
      <c r="M37" s="8"/>
      <c r="N37" s="39" t="e">
        <f>#REF!-H37</f>
        <v>#REF!</v>
      </c>
    </row>
    <row r="38" spans="1:14" ht="15.75">
      <c r="A38" s="73"/>
      <c r="B38" s="14">
        <v>33</v>
      </c>
      <c r="C38" s="2" t="s">
        <v>224</v>
      </c>
      <c r="D38" s="12">
        <v>450000</v>
      </c>
      <c r="E38" s="12">
        <v>59985</v>
      </c>
      <c r="F38" s="12">
        <v>509985</v>
      </c>
      <c r="G38" s="31">
        <v>50</v>
      </c>
      <c r="H38" s="18">
        <v>10199.700000000001</v>
      </c>
      <c r="I38" s="33">
        <v>21</v>
      </c>
      <c r="J38" s="11">
        <f t="shared" si="4"/>
        <v>29</v>
      </c>
      <c r="K38" s="12">
        <f>(21*10199.7)</f>
        <v>214193.7</v>
      </c>
      <c r="L38" s="15">
        <f t="shared" si="5"/>
        <v>295791.3</v>
      </c>
      <c r="M38" s="8"/>
      <c r="N38" s="39" t="e">
        <f>#REF!-H38</f>
        <v>#REF!</v>
      </c>
    </row>
    <row r="39" spans="1:14" ht="15.75">
      <c r="A39" s="73"/>
      <c r="B39" s="14">
        <v>34</v>
      </c>
      <c r="C39" s="2" t="s">
        <v>50</v>
      </c>
      <c r="D39" s="12">
        <v>500000</v>
      </c>
      <c r="E39" s="12">
        <v>53320</v>
      </c>
      <c r="F39" s="15">
        <f t="shared" ref="F39:F47" si="6">SUM(D39:E39)</f>
        <v>553320</v>
      </c>
      <c r="G39" s="31">
        <v>40</v>
      </c>
      <c r="H39" s="12">
        <v>13833</v>
      </c>
      <c r="I39" s="8">
        <v>42</v>
      </c>
      <c r="J39" s="11">
        <f t="shared" si="4"/>
        <v>-2</v>
      </c>
      <c r="K39" s="12">
        <f>(42*13833)</f>
        <v>580986</v>
      </c>
      <c r="L39" s="15">
        <f t="shared" si="5"/>
        <v>-27666</v>
      </c>
      <c r="M39" s="8"/>
      <c r="N39" s="39" t="e">
        <f>#REF!-H39</f>
        <v>#REF!</v>
      </c>
    </row>
    <row r="40" spans="1:14" ht="15.75">
      <c r="A40" s="73"/>
      <c r="B40" s="14">
        <v>35</v>
      </c>
      <c r="C40" s="2" t="s">
        <v>138</v>
      </c>
      <c r="D40" s="15">
        <v>200000</v>
      </c>
      <c r="E40" s="15">
        <v>26660</v>
      </c>
      <c r="F40" s="15">
        <f t="shared" si="6"/>
        <v>226660</v>
      </c>
      <c r="G40" s="31">
        <v>40</v>
      </c>
      <c r="H40" s="15">
        <v>5666.5</v>
      </c>
      <c r="I40" s="8">
        <v>35</v>
      </c>
      <c r="J40" s="11">
        <f t="shared" si="4"/>
        <v>5</v>
      </c>
      <c r="K40" s="12">
        <f>(35*5666.5)</f>
        <v>198327.5</v>
      </c>
      <c r="L40" s="15">
        <f t="shared" si="5"/>
        <v>28332.5</v>
      </c>
      <c r="M40" s="8"/>
      <c r="N40" s="39" t="e">
        <f>#REF!-H40</f>
        <v>#REF!</v>
      </c>
    </row>
    <row r="41" spans="1:14" ht="15.75">
      <c r="A41" s="73"/>
      <c r="B41" s="14">
        <v>36</v>
      </c>
      <c r="C41" s="2" t="s">
        <v>57</v>
      </c>
      <c r="D41" s="12">
        <v>500000</v>
      </c>
      <c r="E41" s="12">
        <v>66650</v>
      </c>
      <c r="F41" s="15">
        <f t="shared" si="6"/>
        <v>566650</v>
      </c>
      <c r="G41" s="31">
        <v>50</v>
      </c>
      <c r="H41" s="12">
        <v>11333</v>
      </c>
      <c r="I41" s="11">
        <v>21</v>
      </c>
      <c r="J41" s="11">
        <f t="shared" si="4"/>
        <v>29</v>
      </c>
      <c r="K41" s="12">
        <f>(21*11333)</f>
        <v>237993</v>
      </c>
      <c r="L41" s="15">
        <f t="shared" si="5"/>
        <v>328657</v>
      </c>
      <c r="M41" s="8"/>
      <c r="N41" s="39" t="e">
        <f>#REF!-H41</f>
        <v>#REF!</v>
      </c>
    </row>
    <row r="42" spans="1:14" ht="15.75">
      <c r="A42" s="73"/>
      <c r="B42" s="14">
        <v>37</v>
      </c>
      <c r="C42" s="73" t="s">
        <v>265</v>
      </c>
      <c r="D42" s="12">
        <v>60000</v>
      </c>
      <c r="E42" s="12">
        <v>7998</v>
      </c>
      <c r="F42" s="15">
        <f t="shared" si="6"/>
        <v>67998</v>
      </c>
      <c r="G42" s="31">
        <v>40</v>
      </c>
      <c r="H42" s="74">
        <v>1699.95</v>
      </c>
      <c r="I42" s="11"/>
      <c r="J42" s="11"/>
      <c r="K42" s="12"/>
      <c r="L42" s="15"/>
      <c r="M42" s="8"/>
      <c r="N42" s="39" t="e">
        <f>#REF!-H42</f>
        <v>#REF!</v>
      </c>
    </row>
    <row r="43" spans="1:14" ht="15.75">
      <c r="A43" s="73"/>
      <c r="B43" s="14">
        <v>38</v>
      </c>
      <c r="C43" s="2" t="s">
        <v>139</v>
      </c>
      <c r="D43" s="15">
        <v>200000</v>
      </c>
      <c r="E43" s="15">
        <v>26660</v>
      </c>
      <c r="F43" s="15">
        <f t="shared" si="6"/>
        <v>226660</v>
      </c>
      <c r="G43" s="31">
        <v>40</v>
      </c>
      <c r="H43" s="15">
        <v>5666.5</v>
      </c>
      <c r="I43" s="8">
        <v>35</v>
      </c>
      <c r="J43" s="11">
        <f t="shared" ref="J43:J51" si="7">G43-I43</f>
        <v>5</v>
      </c>
      <c r="K43" s="12">
        <f>(35*5666.5)</f>
        <v>198327.5</v>
      </c>
      <c r="L43" s="15">
        <f t="shared" ref="L43:L75" si="8">F43-K43</f>
        <v>28332.5</v>
      </c>
      <c r="M43" s="8"/>
      <c r="N43" s="39" t="e">
        <f>#REF!-H43</f>
        <v>#REF!</v>
      </c>
    </row>
    <row r="44" spans="1:14" ht="15.75">
      <c r="A44" s="73"/>
      <c r="B44" s="14">
        <v>39</v>
      </c>
      <c r="C44" s="2" t="s">
        <v>141</v>
      </c>
      <c r="D44" s="15">
        <v>200000</v>
      </c>
      <c r="E44" s="15">
        <v>26660</v>
      </c>
      <c r="F44" s="15">
        <f t="shared" si="6"/>
        <v>226660</v>
      </c>
      <c r="G44" s="31">
        <v>40</v>
      </c>
      <c r="H44" s="15">
        <v>5666.5</v>
      </c>
      <c r="I44" s="8">
        <v>35</v>
      </c>
      <c r="J44" s="11">
        <f t="shared" si="7"/>
        <v>5</v>
      </c>
      <c r="K44" s="12">
        <f>(35*5666.5)</f>
        <v>198327.5</v>
      </c>
      <c r="L44" s="15">
        <f t="shared" si="8"/>
        <v>28332.5</v>
      </c>
      <c r="M44" s="8"/>
      <c r="N44" s="39" t="e">
        <f>#REF!-H44</f>
        <v>#REF!</v>
      </c>
    </row>
    <row r="45" spans="1:14" ht="15.75">
      <c r="A45" s="73"/>
      <c r="B45" s="14">
        <v>40</v>
      </c>
      <c r="C45" s="2" t="s">
        <v>107</v>
      </c>
      <c r="D45" s="12">
        <v>330000</v>
      </c>
      <c r="E45" s="12">
        <v>43989</v>
      </c>
      <c r="F45" s="15">
        <f t="shared" si="6"/>
        <v>373989</v>
      </c>
      <c r="G45" s="31">
        <v>50</v>
      </c>
      <c r="H45" s="12">
        <v>7479.78</v>
      </c>
      <c r="I45" s="8">
        <v>42</v>
      </c>
      <c r="J45" s="11">
        <f t="shared" si="7"/>
        <v>8</v>
      </c>
      <c r="K45" s="12">
        <f>(42*11333)</f>
        <v>475986</v>
      </c>
      <c r="L45" s="15">
        <f t="shared" si="8"/>
        <v>-101997</v>
      </c>
      <c r="M45" s="8"/>
      <c r="N45" s="39" t="e">
        <f>#REF!-H45</f>
        <v>#REF!</v>
      </c>
    </row>
    <row r="46" spans="1:14" ht="15.75">
      <c r="A46" s="73"/>
      <c r="B46" s="14">
        <v>41</v>
      </c>
      <c r="C46" s="2" t="s">
        <v>108</v>
      </c>
      <c r="D46" s="12">
        <v>330000</v>
      </c>
      <c r="E46" s="12">
        <v>43989</v>
      </c>
      <c r="F46" s="15">
        <f t="shared" si="6"/>
        <v>373989</v>
      </c>
      <c r="G46" s="31">
        <v>50</v>
      </c>
      <c r="H46" s="12">
        <v>7479.78</v>
      </c>
      <c r="I46" s="8">
        <v>42</v>
      </c>
      <c r="J46" s="11">
        <f t="shared" si="7"/>
        <v>8</v>
      </c>
      <c r="K46" s="12">
        <f>(42*11333)</f>
        <v>475986</v>
      </c>
      <c r="L46" s="15">
        <f t="shared" si="8"/>
        <v>-101997</v>
      </c>
      <c r="M46" s="8"/>
      <c r="N46" s="39" t="e">
        <f>#REF!-H46</f>
        <v>#REF!</v>
      </c>
    </row>
    <row r="47" spans="1:14" ht="15.75">
      <c r="A47" s="73"/>
      <c r="B47" s="14">
        <v>42</v>
      </c>
      <c r="C47" s="2" t="s">
        <v>142</v>
      </c>
      <c r="D47" s="15">
        <v>200000</v>
      </c>
      <c r="E47" s="15">
        <v>26660</v>
      </c>
      <c r="F47" s="15">
        <f t="shared" si="6"/>
        <v>226660</v>
      </c>
      <c r="G47" s="31">
        <v>40</v>
      </c>
      <c r="H47" s="15">
        <v>5666.5</v>
      </c>
      <c r="I47" s="8">
        <v>35</v>
      </c>
      <c r="J47" s="11">
        <f t="shared" si="7"/>
        <v>5</v>
      </c>
      <c r="K47" s="12">
        <f>(54*5666.5)</f>
        <v>305991</v>
      </c>
      <c r="L47" s="15">
        <f t="shared" si="8"/>
        <v>-79331</v>
      </c>
      <c r="M47" s="8"/>
      <c r="N47" s="39" t="e">
        <f>#REF!-H47</f>
        <v>#REF!</v>
      </c>
    </row>
    <row r="48" spans="1:14" ht="15.75">
      <c r="A48" s="73"/>
      <c r="B48" s="14">
        <v>43</v>
      </c>
      <c r="C48" s="2" t="s">
        <v>24</v>
      </c>
      <c r="D48" s="18">
        <v>500000</v>
      </c>
      <c r="E48" s="18">
        <v>66650</v>
      </c>
      <c r="F48" s="18">
        <v>566650</v>
      </c>
      <c r="G48" s="33">
        <v>50</v>
      </c>
      <c r="H48" s="16">
        <v>11333</v>
      </c>
      <c r="I48" s="8">
        <v>7</v>
      </c>
      <c r="J48" s="11">
        <f t="shared" si="7"/>
        <v>43</v>
      </c>
      <c r="K48" s="12">
        <f>(7*11333)</f>
        <v>79331</v>
      </c>
      <c r="L48" s="12">
        <f t="shared" si="8"/>
        <v>487319</v>
      </c>
      <c r="M48" s="1"/>
      <c r="N48" s="39" t="e">
        <f>#REF!-H48</f>
        <v>#REF!</v>
      </c>
    </row>
    <row r="49" spans="1:14" ht="15.75">
      <c r="A49" s="73"/>
      <c r="B49" s="14">
        <v>44</v>
      </c>
      <c r="C49" s="2" t="s">
        <v>192</v>
      </c>
      <c r="D49" s="12">
        <v>180000</v>
      </c>
      <c r="E49" s="12">
        <v>23994</v>
      </c>
      <c r="F49" s="15">
        <f>SUM(D49:E49)</f>
        <v>203994</v>
      </c>
      <c r="G49" s="31">
        <v>40</v>
      </c>
      <c r="H49" s="12">
        <v>5099.8500000000004</v>
      </c>
      <c r="I49" s="8">
        <v>32</v>
      </c>
      <c r="J49" s="11">
        <f t="shared" si="7"/>
        <v>8</v>
      </c>
      <c r="K49" s="12">
        <f>(32*5099.85)</f>
        <v>163195.20000000001</v>
      </c>
      <c r="L49" s="15">
        <f t="shared" si="8"/>
        <v>40798.799999999988</v>
      </c>
      <c r="M49" s="8"/>
      <c r="N49" s="39" t="e">
        <f>#REF!-H49</f>
        <v>#REF!</v>
      </c>
    </row>
    <row r="50" spans="1:14" ht="15.75">
      <c r="A50" s="73"/>
      <c r="B50" s="14">
        <v>45</v>
      </c>
      <c r="C50" s="25" t="s">
        <v>94</v>
      </c>
      <c r="D50" s="12">
        <v>450000</v>
      </c>
      <c r="E50" s="12">
        <v>59985</v>
      </c>
      <c r="F50" s="15">
        <f>SUM(D50:E50)</f>
        <v>509985</v>
      </c>
      <c r="G50" s="31">
        <v>50</v>
      </c>
      <c r="H50" s="12">
        <v>10199.700000000001</v>
      </c>
      <c r="I50" s="8">
        <v>26</v>
      </c>
      <c r="J50" s="11">
        <f t="shared" si="7"/>
        <v>24</v>
      </c>
      <c r="K50" s="12">
        <f>(26*10199.7)</f>
        <v>265192.2</v>
      </c>
      <c r="L50" s="15">
        <f t="shared" si="8"/>
        <v>244792.8</v>
      </c>
      <c r="M50" s="8"/>
      <c r="N50" s="39" t="e">
        <f>#REF!-H50</f>
        <v>#REF!</v>
      </c>
    </row>
    <row r="51" spans="1:14" ht="15.75">
      <c r="A51" s="73"/>
      <c r="B51" s="14">
        <v>46</v>
      </c>
      <c r="C51" s="2" t="s">
        <v>25</v>
      </c>
      <c r="D51" s="18">
        <v>500000</v>
      </c>
      <c r="E51" s="18">
        <v>66650</v>
      </c>
      <c r="F51" s="18">
        <v>566650</v>
      </c>
      <c r="G51" s="33">
        <v>50</v>
      </c>
      <c r="H51" s="16">
        <v>11333</v>
      </c>
      <c r="I51" s="8">
        <v>7</v>
      </c>
      <c r="J51" s="11">
        <f t="shared" si="7"/>
        <v>43</v>
      </c>
      <c r="K51" s="12">
        <f>(7*11333)</f>
        <v>79331</v>
      </c>
      <c r="L51" s="12">
        <f t="shared" si="8"/>
        <v>487319</v>
      </c>
      <c r="M51" s="1"/>
      <c r="N51" s="39" t="e">
        <f>#REF!-H51</f>
        <v>#REF!</v>
      </c>
    </row>
    <row r="52" spans="1:14" ht="15.75">
      <c r="A52" s="73"/>
      <c r="B52" s="14">
        <v>47</v>
      </c>
      <c r="C52" s="75" t="s">
        <v>261</v>
      </c>
      <c r="D52" s="18">
        <v>500000</v>
      </c>
      <c r="E52" s="18">
        <v>66650</v>
      </c>
      <c r="F52" s="18">
        <v>566650</v>
      </c>
      <c r="G52" s="33">
        <v>50</v>
      </c>
      <c r="H52" s="76">
        <v>11333</v>
      </c>
      <c r="I52" s="11">
        <v>27</v>
      </c>
      <c r="J52" s="11"/>
      <c r="K52" s="12">
        <f>(27*11333)</f>
        <v>305991</v>
      </c>
      <c r="L52" s="12">
        <f t="shared" si="8"/>
        <v>260659</v>
      </c>
      <c r="M52" s="1"/>
      <c r="N52" s="39" t="e">
        <f>#REF!-H52</f>
        <v>#REF!</v>
      </c>
    </row>
    <row r="53" spans="1:14" ht="15.75">
      <c r="A53" s="73"/>
      <c r="B53" s="14">
        <v>48</v>
      </c>
      <c r="C53" s="25" t="s">
        <v>216</v>
      </c>
      <c r="D53" s="12">
        <v>60000</v>
      </c>
      <c r="E53" s="12">
        <v>7998</v>
      </c>
      <c r="F53" s="15">
        <f>SUM(D53:E53)</f>
        <v>67998</v>
      </c>
      <c r="G53" s="31">
        <v>40</v>
      </c>
      <c r="H53" s="24">
        <v>1699.95</v>
      </c>
      <c r="I53" s="8"/>
      <c r="J53" s="11">
        <f t="shared" ref="J53:J75" si="9">G53-I53</f>
        <v>40</v>
      </c>
      <c r="K53" s="12"/>
      <c r="L53" s="15">
        <f t="shared" si="8"/>
        <v>67998</v>
      </c>
      <c r="M53" s="8"/>
      <c r="N53" s="39" t="e">
        <f>#REF!-H53</f>
        <v>#REF!</v>
      </c>
    </row>
    <row r="54" spans="1:14" ht="15.75">
      <c r="A54" s="73"/>
      <c r="B54" s="14">
        <v>49</v>
      </c>
      <c r="C54" s="2" t="s">
        <v>144</v>
      </c>
      <c r="D54" s="15">
        <v>200000</v>
      </c>
      <c r="E54" s="15">
        <v>26660</v>
      </c>
      <c r="F54" s="15">
        <f>SUM(D54:E54)</f>
        <v>226660</v>
      </c>
      <c r="G54" s="31">
        <v>40</v>
      </c>
      <c r="H54" s="15">
        <v>5666.5</v>
      </c>
      <c r="I54" s="8">
        <v>38</v>
      </c>
      <c r="J54" s="11">
        <f t="shared" si="9"/>
        <v>2</v>
      </c>
      <c r="K54" s="12">
        <f>(38*5666.5)</f>
        <v>215327</v>
      </c>
      <c r="L54" s="15">
        <f t="shared" si="8"/>
        <v>11333</v>
      </c>
      <c r="M54" s="8"/>
      <c r="N54" s="39" t="e">
        <f>#REF!-H54</f>
        <v>#REF!</v>
      </c>
    </row>
    <row r="55" spans="1:14" ht="15.75">
      <c r="A55" s="73"/>
      <c r="B55" s="14">
        <v>50</v>
      </c>
      <c r="C55" s="2" t="s">
        <v>193</v>
      </c>
      <c r="D55" s="12">
        <v>180000</v>
      </c>
      <c r="E55" s="12">
        <v>23994</v>
      </c>
      <c r="F55" s="15">
        <f>SUM(D55:E55)</f>
        <v>203994</v>
      </c>
      <c r="G55" s="31">
        <v>40</v>
      </c>
      <c r="H55" s="12">
        <v>5099.8500000000004</v>
      </c>
      <c r="I55" s="8">
        <v>35</v>
      </c>
      <c r="J55" s="11">
        <f t="shared" si="9"/>
        <v>5</v>
      </c>
      <c r="K55" s="12">
        <f>(35*5099.85)</f>
        <v>178494.75</v>
      </c>
      <c r="L55" s="15">
        <f t="shared" si="8"/>
        <v>25499.25</v>
      </c>
      <c r="M55" s="8"/>
      <c r="N55" s="39" t="e">
        <f>#REF!-H55</f>
        <v>#REF!</v>
      </c>
    </row>
    <row r="56" spans="1:14" ht="15.75">
      <c r="A56" s="73"/>
      <c r="B56" s="14">
        <v>51</v>
      </c>
      <c r="C56" s="2" t="s">
        <v>58</v>
      </c>
      <c r="D56" s="12">
        <v>500000</v>
      </c>
      <c r="E56" s="12">
        <v>66650</v>
      </c>
      <c r="F56" s="15">
        <f>SUM(D56:E56)</f>
        <v>566650</v>
      </c>
      <c r="G56" s="33">
        <v>50</v>
      </c>
      <c r="H56" s="12">
        <v>11333</v>
      </c>
      <c r="I56" s="11">
        <v>20</v>
      </c>
      <c r="J56" s="11">
        <f t="shared" si="9"/>
        <v>30</v>
      </c>
      <c r="K56" s="12">
        <f>(20*11333)</f>
        <v>226660</v>
      </c>
      <c r="L56" s="15">
        <f t="shared" si="8"/>
        <v>339990</v>
      </c>
      <c r="M56" s="8"/>
      <c r="N56" s="39" t="e">
        <f>#REF!-H56</f>
        <v>#REF!</v>
      </c>
    </row>
    <row r="57" spans="1:14" ht="15.75">
      <c r="A57" s="73"/>
      <c r="B57" s="14">
        <v>52</v>
      </c>
      <c r="C57" s="2" t="s">
        <v>234</v>
      </c>
      <c r="D57" s="15">
        <v>200000</v>
      </c>
      <c r="E57" s="15">
        <v>26660</v>
      </c>
      <c r="F57" s="15">
        <v>226660</v>
      </c>
      <c r="G57" s="31">
        <v>40</v>
      </c>
      <c r="H57" s="18">
        <v>5666.5</v>
      </c>
      <c r="I57" s="31">
        <v>38</v>
      </c>
      <c r="J57" s="11">
        <f t="shared" si="9"/>
        <v>2</v>
      </c>
      <c r="K57" s="12">
        <f>(38*5666.5)</f>
        <v>215327</v>
      </c>
      <c r="L57" s="15">
        <f t="shared" si="8"/>
        <v>11333</v>
      </c>
      <c r="M57" s="8"/>
      <c r="N57" s="39" t="e">
        <f>#REF!-H57</f>
        <v>#REF!</v>
      </c>
    </row>
    <row r="58" spans="1:14" ht="15.75">
      <c r="A58" s="73"/>
      <c r="B58" s="14">
        <v>53</v>
      </c>
      <c r="C58" s="2" t="s">
        <v>59</v>
      </c>
      <c r="D58" s="12">
        <v>500000</v>
      </c>
      <c r="E58" s="12">
        <v>66650</v>
      </c>
      <c r="F58" s="15">
        <f t="shared" ref="F58:F67" si="10">SUM(D58:E58)</f>
        <v>566650</v>
      </c>
      <c r="G58" s="31">
        <v>50</v>
      </c>
      <c r="H58" s="12">
        <v>11333</v>
      </c>
      <c r="I58" s="11">
        <v>30</v>
      </c>
      <c r="J58" s="11">
        <f t="shared" si="9"/>
        <v>20</v>
      </c>
      <c r="K58" s="12">
        <f>(30*11333)</f>
        <v>339990</v>
      </c>
      <c r="L58" s="15">
        <f t="shared" si="8"/>
        <v>226660</v>
      </c>
      <c r="M58" s="8"/>
      <c r="N58" s="39" t="e">
        <f>#REF!-H58</f>
        <v>#REF!</v>
      </c>
    </row>
    <row r="59" spans="1:14" ht="15.75">
      <c r="A59" s="73"/>
      <c r="B59" s="14">
        <v>54</v>
      </c>
      <c r="C59" s="2" t="s">
        <v>60</v>
      </c>
      <c r="D59" s="12">
        <v>500000</v>
      </c>
      <c r="E59" s="12">
        <v>66650</v>
      </c>
      <c r="F59" s="15">
        <f t="shared" si="10"/>
        <v>566650</v>
      </c>
      <c r="G59" s="31">
        <v>50</v>
      </c>
      <c r="H59" s="12">
        <v>11333</v>
      </c>
      <c r="I59" s="11">
        <v>30</v>
      </c>
      <c r="J59" s="11">
        <f t="shared" si="9"/>
        <v>20</v>
      </c>
      <c r="K59" s="12">
        <f>(30*11333)</f>
        <v>339990</v>
      </c>
      <c r="L59" s="15">
        <f t="shared" si="8"/>
        <v>226660</v>
      </c>
      <c r="M59" s="8"/>
      <c r="N59" s="39" t="e">
        <f>#REF!-H59</f>
        <v>#REF!</v>
      </c>
    </row>
    <row r="60" spans="1:14" ht="15.75">
      <c r="A60" s="73"/>
      <c r="B60" s="14">
        <v>55</v>
      </c>
      <c r="C60" s="2" t="s">
        <v>145</v>
      </c>
      <c r="D60" s="15">
        <v>200000</v>
      </c>
      <c r="E60" s="15">
        <v>26660</v>
      </c>
      <c r="F60" s="15">
        <f t="shared" si="10"/>
        <v>226660</v>
      </c>
      <c r="G60" s="32">
        <v>40</v>
      </c>
      <c r="H60" s="15">
        <v>5666.5</v>
      </c>
      <c r="I60" s="22">
        <v>44</v>
      </c>
      <c r="J60" s="11">
        <f t="shared" si="9"/>
        <v>-4</v>
      </c>
      <c r="K60" s="15">
        <f>(44*5666.5)</f>
        <v>249326</v>
      </c>
      <c r="L60" s="15">
        <f t="shared" si="8"/>
        <v>-22666</v>
      </c>
      <c r="M60" s="10"/>
      <c r="N60" s="39" t="e">
        <f>#REF!-H60</f>
        <v>#REF!</v>
      </c>
    </row>
    <row r="61" spans="1:14" ht="15.75">
      <c r="A61" s="73"/>
      <c r="B61" s="14">
        <v>56</v>
      </c>
      <c r="C61" s="2" t="s">
        <v>146</v>
      </c>
      <c r="D61" s="15">
        <v>200000</v>
      </c>
      <c r="E61" s="15">
        <v>26660</v>
      </c>
      <c r="F61" s="15">
        <f t="shared" si="10"/>
        <v>226660</v>
      </c>
      <c r="G61" s="32">
        <v>40</v>
      </c>
      <c r="H61" s="15">
        <v>5666.5</v>
      </c>
      <c r="I61" s="22">
        <v>44</v>
      </c>
      <c r="J61" s="11">
        <f t="shared" si="9"/>
        <v>-4</v>
      </c>
      <c r="K61" s="15">
        <f>(44*5666.5)</f>
        <v>249326</v>
      </c>
      <c r="L61" s="15">
        <f t="shared" si="8"/>
        <v>-22666</v>
      </c>
      <c r="M61" s="10"/>
      <c r="N61" s="39" t="e">
        <f>#REF!-H61</f>
        <v>#REF!</v>
      </c>
    </row>
    <row r="62" spans="1:14" ht="15.75">
      <c r="A62" s="73"/>
      <c r="B62" s="14">
        <v>57</v>
      </c>
      <c r="C62" s="2" t="s">
        <v>147</v>
      </c>
      <c r="D62" s="12">
        <v>500000</v>
      </c>
      <c r="E62" s="12">
        <v>66650</v>
      </c>
      <c r="F62" s="15">
        <f t="shared" si="10"/>
        <v>566650</v>
      </c>
      <c r="G62" s="31">
        <v>50</v>
      </c>
      <c r="H62" s="24">
        <v>5666.5</v>
      </c>
      <c r="I62" s="11">
        <v>30</v>
      </c>
      <c r="J62" s="11">
        <f t="shared" si="9"/>
        <v>20</v>
      </c>
      <c r="K62" s="16">
        <f>(30*5666.5)</f>
        <v>169995</v>
      </c>
      <c r="L62" s="15">
        <f t="shared" si="8"/>
        <v>396655</v>
      </c>
      <c r="M62" s="8"/>
      <c r="N62" s="39" t="e">
        <f>#REF!-H62</f>
        <v>#REF!</v>
      </c>
    </row>
    <row r="63" spans="1:14" ht="15.75">
      <c r="A63" s="73"/>
      <c r="B63" s="14">
        <v>58</v>
      </c>
      <c r="C63" s="25" t="s">
        <v>187</v>
      </c>
      <c r="D63" s="41">
        <v>150000</v>
      </c>
      <c r="E63" s="41">
        <v>11997</v>
      </c>
      <c r="F63" s="41">
        <f t="shared" si="10"/>
        <v>161997</v>
      </c>
      <c r="G63" s="33">
        <v>30</v>
      </c>
      <c r="H63" s="41">
        <v>5399.9</v>
      </c>
      <c r="I63" s="11">
        <v>29</v>
      </c>
      <c r="J63" s="11">
        <f t="shared" si="9"/>
        <v>1</v>
      </c>
      <c r="K63" s="16">
        <f>(29*5399.9)</f>
        <v>156597.09999999998</v>
      </c>
      <c r="L63" s="41">
        <f t="shared" si="8"/>
        <v>5399.9000000000233</v>
      </c>
      <c r="M63" s="8"/>
      <c r="N63" s="39" t="e">
        <f>#REF!-H63</f>
        <v>#REF!</v>
      </c>
    </row>
    <row r="64" spans="1:14" ht="15.75">
      <c r="A64" s="73"/>
      <c r="B64" s="14">
        <v>59</v>
      </c>
      <c r="C64" s="2" t="s">
        <v>149</v>
      </c>
      <c r="D64" s="15">
        <v>200000</v>
      </c>
      <c r="E64" s="15">
        <v>26660</v>
      </c>
      <c r="F64" s="15">
        <f t="shared" si="10"/>
        <v>226660</v>
      </c>
      <c r="G64" s="31">
        <v>40</v>
      </c>
      <c r="H64" s="15">
        <v>5666.5</v>
      </c>
      <c r="I64" s="8">
        <v>35</v>
      </c>
      <c r="J64" s="11">
        <f t="shared" si="9"/>
        <v>5</v>
      </c>
      <c r="K64" s="12">
        <f>(35*5666.5)</f>
        <v>198327.5</v>
      </c>
      <c r="L64" s="15">
        <f t="shared" si="8"/>
        <v>28332.5</v>
      </c>
      <c r="M64" s="8"/>
      <c r="N64" s="39" t="e">
        <f>#REF!-H64</f>
        <v>#REF!</v>
      </c>
    </row>
    <row r="65" spans="1:14" ht="15.75">
      <c r="A65" s="73"/>
      <c r="B65" s="14">
        <v>60</v>
      </c>
      <c r="C65" s="2" t="s">
        <v>150</v>
      </c>
      <c r="D65" s="15">
        <v>200000</v>
      </c>
      <c r="E65" s="15">
        <v>26660</v>
      </c>
      <c r="F65" s="15">
        <f t="shared" si="10"/>
        <v>226660</v>
      </c>
      <c r="G65" s="31">
        <v>40</v>
      </c>
      <c r="H65" s="15">
        <v>5666.5</v>
      </c>
      <c r="I65" s="8">
        <v>38</v>
      </c>
      <c r="J65" s="11">
        <f t="shared" si="9"/>
        <v>2</v>
      </c>
      <c r="K65" s="12">
        <f>(38*5666.5)</f>
        <v>215327</v>
      </c>
      <c r="L65" s="15">
        <f t="shared" si="8"/>
        <v>11333</v>
      </c>
      <c r="M65" s="8"/>
      <c r="N65" s="39" t="e">
        <f>#REF!-H65</f>
        <v>#REF!</v>
      </c>
    </row>
    <row r="66" spans="1:14" ht="15.75">
      <c r="A66" s="73"/>
      <c r="B66" s="14">
        <v>61</v>
      </c>
      <c r="C66" s="2" t="s">
        <v>12</v>
      </c>
      <c r="D66" s="12">
        <v>450000</v>
      </c>
      <c r="E66" s="12">
        <v>59985</v>
      </c>
      <c r="F66" s="15">
        <f t="shared" si="10"/>
        <v>509985</v>
      </c>
      <c r="G66" s="33">
        <v>50</v>
      </c>
      <c r="H66" s="16">
        <v>11333</v>
      </c>
      <c r="I66" s="31">
        <v>10</v>
      </c>
      <c r="J66" s="11">
        <f t="shared" si="9"/>
        <v>40</v>
      </c>
      <c r="K66" s="12">
        <f>(10*11333)</f>
        <v>113330</v>
      </c>
      <c r="L66" s="15">
        <f t="shared" si="8"/>
        <v>396655</v>
      </c>
      <c r="M66" s="8"/>
      <c r="N66" s="39" t="e">
        <f>#REF!-H66</f>
        <v>#REF!</v>
      </c>
    </row>
    <row r="67" spans="1:14" ht="15.75">
      <c r="A67" s="73"/>
      <c r="B67" s="14">
        <v>62</v>
      </c>
      <c r="C67" s="2" t="s">
        <v>194</v>
      </c>
      <c r="D67" s="12">
        <v>180000</v>
      </c>
      <c r="E67" s="12">
        <v>23994</v>
      </c>
      <c r="F67" s="15">
        <f t="shared" si="10"/>
        <v>203994</v>
      </c>
      <c r="G67" s="30">
        <v>40</v>
      </c>
      <c r="H67" s="12">
        <v>5099.8500000000004</v>
      </c>
      <c r="I67" s="22">
        <v>44</v>
      </c>
      <c r="J67" s="11">
        <f t="shared" si="9"/>
        <v>-4</v>
      </c>
      <c r="K67" s="12">
        <f>(44*5099.85)</f>
        <v>224393.40000000002</v>
      </c>
      <c r="L67" s="15">
        <f t="shared" si="8"/>
        <v>-20399.400000000023</v>
      </c>
      <c r="M67" s="10"/>
      <c r="N67" s="39" t="e">
        <f>#REF!-H67</f>
        <v>#REF!</v>
      </c>
    </row>
    <row r="68" spans="1:14" ht="15.75">
      <c r="A68" s="73"/>
      <c r="B68" s="14">
        <v>63</v>
      </c>
      <c r="C68" s="2" t="s">
        <v>250</v>
      </c>
      <c r="D68" s="15">
        <v>200000</v>
      </c>
      <c r="E68" s="15">
        <v>26660</v>
      </c>
      <c r="F68" s="15">
        <v>226660</v>
      </c>
      <c r="G68" s="31">
        <v>40</v>
      </c>
      <c r="H68" s="18">
        <v>5666.5</v>
      </c>
      <c r="I68" s="8">
        <v>33</v>
      </c>
      <c r="J68" s="11">
        <f t="shared" si="9"/>
        <v>7</v>
      </c>
      <c r="K68" s="12">
        <f>(33*5666.5)</f>
        <v>186994.5</v>
      </c>
      <c r="L68" s="15">
        <f t="shared" si="8"/>
        <v>39665.5</v>
      </c>
      <c r="M68" s="8" t="s">
        <v>251</v>
      </c>
      <c r="N68" s="39" t="e">
        <f>#REF!-H68</f>
        <v>#REF!</v>
      </c>
    </row>
    <row r="69" spans="1:14" ht="15.75">
      <c r="A69" s="73"/>
      <c r="B69" s="14">
        <v>64</v>
      </c>
      <c r="C69" s="2" t="s">
        <v>211</v>
      </c>
      <c r="D69" s="12">
        <v>150000</v>
      </c>
      <c r="E69" s="12">
        <v>19995</v>
      </c>
      <c r="F69" s="15">
        <f>SUM(D69:E69)</f>
        <v>169995</v>
      </c>
      <c r="G69" s="31">
        <v>50</v>
      </c>
      <c r="H69" s="12">
        <v>3399.9</v>
      </c>
      <c r="I69" s="8">
        <v>28</v>
      </c>
      <c r="J69" s="11">
        <f t="shared" si="9"/>
        <v>22</v>
      </c>
      <c r="K69" s="12">
        <f>(28*3399.9)</f>
        <v>95197.2</v>
      </c>
      <c r="L69" s="15">
        <f t="shared" si="8"/>
        <v>74797.8</v>
      </c>
      <c r="M69" s="8"/>
      <c r="N69" s="39" t="e">
        <f>#REF!-H69</f>
        <v>#REF!</v>
      </c>
    </row>
    <row r="70" spans="1:14" ht="15.75">
      <c r="A70" s="73"/>
      <c r="B70" s="14">
        <v>65</v>
      </c>
      <c r="C70" s="2" t="s">
        <v>111</v>
      </c>
      <c r="D70" s="12">
        <v>330000</v>
      </c>
      <c r="E70" s="12">
        <v>43989</v>
      </c>
      <c r="F70" s="15">
        <f>SUM(D70:E70)</f>
        <v>373989</v>
      </c>
      <c r="G70" s="31">
        <v>50</v>
      </c>
      <c r="H70" s="12">
        <v>7479.78</v>
      </c>
      <c r="I70" s="11">
        <v>21</v>
      </c>
      <c r="J70" s="11">
        <f t="shared" si="9"/>
        <v>29</v>
      </c>
      <c r="K70" s="16">
        <f>(21*7479.78)</f>
        <v>157075.38</v>
      </c>
      <c r="L70" s="15">
        <f t="shared" si="8"/>
        <v>216913.62</v>
      </c>
      <c r="M70" s="8"/>
      <c r="N70" s="39" t="e">
        <f>#REF!-H70</f>
        <v>#REF!</v>
      </c>
    </row>
    <row r="71" spans="1:14" ht="15.75">
      <c r="A71" s="73"/>
      <c r="B71" s="14">
        <v>66</v>
      </c>
      <c r="C71" s="2" t="s">
        <v>151</v>
      </c>
      <c r="D71" s="15">
        <v>200000</v>
      </c>
      <c r="E71" s="15">
        <v>26660</v>
      </c>
      <c r="F71" s="15">
        <f>SUM(D71:E71)</f>
        <v>226660</v>
      </c>
      <c r="G71" s="31">
        <v>40</v>
      </c>
      <c r="H71" s="15">
        <v>5666.5</v>
      </c>
      <c r="I71" s="8">
        <v>36</v>
      </c>
      <c r="J71" s="11">
        <f t="shared" si="9"/>
        <v>4</v>
      </c>
      <c r="K71" s="12">
        <f>(36*5666.5)</f>
        <v>203994</v>
      </c>
      <c r="L71" s="15">
        <f t="shared" si="8"/>
        <v>22666</v>
      </c>
      <c r="M71" s="8"/>
      <c r="N71" s="39" t="e">
        <f>#REF!-H71</f>
        <v>#REF!</v>
      </c>
    </row>
    <row r="72" spans="1:14" ht="15.75">
      <c r="A72" s="73"/>
      <c r="B72" s="14">
        <v>67</v>
      </c>
      <c r="C72" s="2" t="s">
        <v>152</v>
      </c>
      <c r="D72" s="15">
        <v>200000</v>
      </c>
      <c r="E72" s="15">
        <v>26660</v>
      </c>
      <c r="F72" s="15">
        <f>SUM(D72:E72)</f>
        <v>226660</v>
      </c>
      <c r="G72" s="32">
        <v>40</v>
      </c>
      <c r="H72" s="15">
        <v>5666.5</v>
      </c>
      <c r="I72" s="22">
        <v>44</v>
      </c>
      <c r="J72" s="11">
        <f t="shared" si="9"/>
        <v>-4</v>
      </c>
      <c r="K72" s="15">
        <f>(44*5666.5)</f>
        <v>249326</v>
      </c>
      <c r="L72" s="15">
        <f t="shared" si="8"/>
        <v>-22666</v>
      </c>
      <c r="M72" s="10"/>
      <c r="N72" s="39" t="e">
        <f>#REF!-H72</f>
        <v>#REF!</v>
      </c>
    </row>
    <row r="73" spans="1:14" ht="15.75">
      <c r="A73" s="73"/>
      <c r="B73" s="14">
        <v>68</v>
      </c>
      <c r="C73" s="2" t="s">
        <v>237</v>
      </c>
      <c r="D73" s="12">
        <v>132000</v>
      </c>
      <c r="E73" s="12">
        <v>17595.599999999999</v>
      </c>
      <c r="F73" s="12">
        <v>149595.6</v>
      </c>
      <c r="G73" s="30">
        <v>40</v>
      </c>
      <c r="H73" s="18">
        <v>3739.89</v>
      </c>
      <c r="I73" s="33">
        <v>32</v>
      </c>
      <c r="J73" s="11">
        <f t="shared" si="9"/>
        <v>8</v>
      </c>
      <c r="K73" s="12">
        <f>(32*3739.89)</f>
        <v>119676.48</v>
      </c>
      <c r="L73" s="15">
        <f t="shared" si="8"/>
        <v>29919.12000000001</v>
      </c>
      <c r="M73" s="8"/>
      <c r="N73" s="39" t="e">
        <f>#REF!-H73</f>
        <v>#REF!</v>
      </c>
    </row>
    <row r="74" spans="1:14" ht="15.75">
      <c r="A74" s="73"/>
      <c r="B74" s="14">
        <v>69</v>
      </c>
      <c r="C74" s="2" t="s">
        <v>153</v>
      </c>
      <c r="D74" s="15">
        <v>200000</v>
      </c>
      <c r="E74" s="15">
        <v>26660</v>
      </c>
      <c r="F74" s="15">
        <f t="shared" ref="F74:F81" si="11">SUM(D74:E74)</f>
        <v>226660</v>
      </c>
      <c r="G74" s="31">
        <v>40</v>
      </c>
      <c r="H74" s="15">
        <v>5666.5</v>
      </c>
      <c r="I74" s="8">
        <v>35</v>
      </c>
      <c r="J74" s="11">
        <f t="shared" si="9"/>
        <v>5</v>
      </c>
      <c r="K74" s="12">
        <f>(34*5666.5)</f>
        <v>192661</v>
      </c>
      <c r="L74" s="15">
        <f t="shared" si="8"/>
        <v>33999</v>
      </c>
      <c r="M74" s="8"/>
      <c r="N74" s="39" t="e">
        <f>#REF!-H74</f>
        <v>#REF!</v>
      </c>
    </row>
    <row r="75" spans="1:14" ht="15.75">
      <c r="A75" s="73"/>
      <c r="B75" s="14">
        <v>70</v>
      </c>
      <c r="C75" s="2" t="s">
        <v>112</v>
      </c>
      <c r="D75" s="12">
        <v>330000</v>
      </c>
      <c r="E75" s="12">
        <v>43989</v>
      </c>
      <c r="F75" s="15">
        <f t="shared" si="11"/>
        <v>373989</v>
      </c>
      <c r="G75" s="31">
        <v>50</v>
      </c>
      <c r="H75" s="12">
        <v>7479.78</v>
      </c>
      <c r="I75" s="11">
        <v>21</v>
      </c>
      <c r="J75" s="11">
        <f t="shared" si="9"/>
        <v>29</v>
      </c>
      <c r="K75" s="16">
        <f>(21*7479.78)</f>
        <v>157075.38</v>
      </c>
      <c r="L75" s="15">
        <f t="shared" si="8"/>
        <v>216913.62</v>
      </c>
      <c r="M75" s="8"/>
      <c r="N75" s="39" t="e">
        <f>#REF!-H75</f>
        <v>#REF!</v>
      </c>
    </row>
    <row r="76" spans="1:14" ht="15.75">
      <c r="A76" s="73"/>
      <c r="B76" s="14">
        <v>71</v>
      </c>
      <c r="C76" s="75" t="s">
        <v>266</v>
      </c>
      <c r="D76" s="12">
        <v>330000</v>
      </c>
      <c r="E76" s="12">
        <v>43989</v>
      </c>
      <c r="F76" s="15">
        <f t="shared" si="11"/>
        <v>373989</v>
      </c>
      <c r="G76" s="31">
        <v>50</v>
      </c>
      <c r="H76" s="77">
        <v>7479</v>
      </c>
      <c r="I76" s="1"/>
      <c r="J76" s="1"/>
      <c r="K76" s="1"/>
      <c r="L76" s="1"/>
      <c r="M76" s="1" t="s">
        <v>251</v>
      </c>
      <c r="N76" s="39" t="e">
        <f>#REF!-H76</f>
        <v>#REF!</v>
      </c>
    </row>
    <row r="77" spans="1:14" ht="15.75">
      <c r="A77" s="73"/>
      <c r="B77" s="14">
        <v>72</v>
      </c>
      <c r="C77" s="2" t="s">
        <v>62</v>
      </c>
      <c r="D77" s="12">
        <v>500000</v>
      </c>
      <c r="E77" s="12">
        <v>66650</v>
      </c>
      <c r="F77" s="15">
        <f t="shared" si="11"/>
        <v>566650</v>
      </c>
      <c r="G77" s="33">
        <v>50</v>
      </c>
      <c r="H77" s="12">
        <v>11333</v>
      </c>
      <c r="I77" s="11">
        <v>20</v>
      </c>
      <c r="J77" s="11">
        <f>G77-I77</f>
        <v>30</v>
      </c>
      <c r="K77" s="12">
        <f>(20*11333)</f>
        <v>226660</v>
      </c>
      <c r="L77" s="15">
        <f>F77-K77</f>
        <v>339990</v>
      </c>
      <c r="M77" s="8"/>
      <c r="N77" s="39" t="e">
        <f>#REF!-H77</f>
        <v>#REF!</v>
      </c>
    </row>
    <row r="78" spans="1:14" ht="15.75">
      <c r="A78" s="73"/>
      <c r="B78" s="14">
        <v>73</v>
      </c>
      <c r="C78" s="2" t="s">
        <v>63</v>
      </c>
      <c r="D78" s="12">
        <v>500000</v>
      </c>
      <c r="E78" s="12">
        <v>66650</v>
      </c>
      <c r="F78" s="15">
        <f t="shared" si="11"/>
        <v>566650</v>
      </c>
      <c r="G78" s="31">
        <v>50</v>
      </c>
      <c r="H78" s="12">
        <v>11333</v>
      </c>
      <c r="I78" s="11">
        <v>21</v>
      </c>
      <c r="J78" s="11">
        <f>G78-I78</f>
        <v>29</v>
      </c>
      <c r="K78" s="12">
        <f>(21*11333)</f>
        <v>237993</v>
      </c>
      <c r="L78" s="15">
        <f>F78-K78</f>
        <v>328657</v>
      </c>
      <c r="M78" s="8"/>
      <c r="N78" s="39" t="e">
        <f>#REF!-H78</f>
        <v>#REF!</v>
      </c>
    </row>
    <row r="79" spans="1:14" ht="15.75">
      <c r="A79" s="73"/>
      <c r="B79" s="14">
        <v>74</v>
      </c>
      <c r="C79" s="2" t="s">
        <v>64</v>
      </c>
      <c r="D79" s="12">
        <v>500000</v>
      </c>
      <c r="E79" s="12">
        <v>66650</v>
      </c>
      <c r="F79" s="15">
        <f t="shared" si="11"/>
        <v>566650</v>
      </c>
      <c r="G79" s="33">
        <v>50</v>
      </c>
      <c r="H79" s="12">
        <v>11333</v>
      </c>
      <c r="I79" s="11">
        <v>20</v>
      </c>
      <c r="J79" s="11">
        <f>G79-I79</f>
        <v>30</v>
      </c>
      <c r="K79" s="12">
        <f>(20*11333)</f>
        <v>226660</v>
      </c>
      <c r="L79" s="15">
        <f>F79-K79</f>
        <v>339990</v>
      </c>
      <c r="M79" s="8"/>
      <c r="N79" s="39" t="e">
        <f>#REF!-H79</f>
        <v>#REF!</v>
      </c>
    </row>
    <row r="80" spans="1:14" ht="15.75">
      <c r="A80" s="73"/>
      <c r="B80" s="14">
        <v>75</v>
      </c>
      <c r="C80" s="2" t="s">
        <v>65</v>
      </c>
      <c r="D80" s="12">
        <v>500000</v>
      </c>
      <c r="E80" s="12">
        <v>66650</v>
      </c>
      <c r="F80" s="15">
        <f t="shared" si="11"/>
        <v>566650</v>
      </c>
      <c r="G80" s="31">
        <v>50</v>
      </c>
      <c r="H80" s="12">
        <v>11333</v>
      </c>
      <c r="I80" s="8">
        <v>28</v>
      </c>
      <c r="J80" s="11">
        <f>G80-I80</f>
        <v>22</v>
      </c>
      <c r="K80" s="12">
        <f>(28*11333)</f>
        <v>317324</v>
      </c>
      <c r="L80" s="15">
        <f>F80-K80</f>
        <v>249326</v>
      </c>
      <c r="M80" s="8"/>
      <c r="N80" s="39" t="e">
        <f>#REF!-H80</f>
        <v>#REF!</v>
      </c>
    </row>
    <row r="81" spans="1:14" ht="15.75">
      <c r="A81" s="73"/>
      <c r="B81" s="14">
        <v>76</v>
      </c>
      <c r="C81" s="2" t="s">
        <v>113</v>
      </c>
      <c r="D81" s="12">
        <v>330000</v>
      </c>
      <c r="E81" s="12">
        <v>43989</v>
      </c>
      <c r="F81" s="15">
        <f t="shared" si="11"/>
        <v>373989</v>
      </c>
      <c r="G81" s="31">
        <v>50</v>
      </c>
      <c r="H81" s="12">
        <v>7479.78</v>
      </c>
      <c r="I81" s="8">
        <v>42</v>
      </c>
      <c r="J81" s="11">
        <f>G81-I81</f>
        <v>8</v>
      </c>
      <c r="K81" s="12">
        <f>(42*11333)</f>
        <v>475986</v>
      </c>
      <c r="L81" s="15">
        <f>F81-K81</f>
        <v>-101997</v>
      </c>
      <c r="M81" s="8"/>
      <c r="N81" s="39" t="e">
        <f>#REF!-H81</f>
        <v>#REF!</v>
      </c>
    </row>
    <row r="82" spans="1:14" ht="15.75">
      <c r="A82" s="73"/>
      <c r="B82" s="14">
        <v>77</v>
      </c>
      <c r="C82" s="73" t="s">
        <v>257</v>
      </c>
      <c r="D82" s="15">
        <v>200000</v>
      </c>
      <c r="E82" s="15">
        <v>26660</v>
      </c>
      <c r="F82" s="15">
        <f t="shared" ref="F82:F87" si="12">SUM(D82:E82)</f>
        <v>226660</v>
      </c>
      <c r="G82" s="32">
        <v>40</v>
      </c>
      <c r="H82" s="74">
        <v>5666.5</v>
      </c>
      <c r="I82" s="8"/>
      <c r="J82" s="11"/>
      <c r="K82" s="12"/>
      <c r="L82" s="15"/>
      <c r="M82" s="8"/>
      <c r="N82" s="39" t="e">
        <f>#REF!-H82</f>
        <v>#REF!</v>
      </c>
    </row>
    <row r="83" spans="1:14" ht="15.75">
      <c r="A83" s="73"/>
      <c r="B83" s="14">
        <v>78</v>
      </c>
      <c r="C83" s="2" t="s">
        <v>203</v>
      </c>
      <c r="D83" s="12">
        <v>132000</v>
      </c>
      <c r="E83" s="12">
        <v>17595.599999999999</v>
      </c>
      <c r="F83" s="15">
        <f t="shared" si="12"/>
        <v>149595.6</v>
      </c>
      <c r="G83" s="31">
        <v>40</v>
      </c>
      <c r="H83" s="12">
        <v>3739.89</v>
      </c>
      <c r="I83" s="8">
        <v>35</v>
      </c>
      <c r="J83" s="11">
        <f t="shared" ref="J83:J131" si="13">G83-I83</f>
        <v>5</v>
      </c>
      <c r="K83" s="12">
        <f>(35*3739.89)</f>
        <v>130896.15</v>
      </c>
      <c r="L83" s="15">
        <f t="shared" ref="L83:L131" si="14">F83-K83</f>
        <v>18699.450000000012</v>
      </c>
      <c r="M83" s="8"/>
      <c r="N83" s="39" t="e">
        <f>#REF!-H83</f>
        <v>#REF!</v>
      </c>
    </row>
    <row r="84" spans="1:14" ht="15.75">
      <c r="A84" s="73"/>
      <c r="B84" s="14">
        <v>79</v>
      </c>
      <c r="C84" s="2" t="s">
        <v>154</v>
      </c>
      <c r="D84" s="15">
        <v>200000</v>
      </c>
      <c r="E84" s="15">
        <v>26660</v>
      </c>
      <c r="F84" s="15">
        <f t="shared" si="12"/>
        <v>226660</v>
      </c>
      <c r="G84" s="32">
        <v>40</v>
      </c>
      <c r="H84" s="15">
        <v>5666.5</v>
      </c>
      <c r="I84" s="22">
        <v>44</v>
      </c>
      <c r="J84" s="11">
        <f t="shared" si="13"/>
        <v>-4</v>
      </c>
      <c r="K84" s="15">
        <f>(44*5666.5)</f>
        <v>249326</v>
      </c>
      <c r="L84" s="15">
        <f t="shared" si="14"/>
        <v>-22666</v>
      </c>
      <c r="M84" s="10"/>
      <c r="N84" s="39" t="e">
        <f>#REF!-H84</f>
        <v>#REF!</v>
      </c>
    </row>
    <row r="85" spans="1:14" ht="15.75">
      <c r="A85" s="73"/>
      <c r="B85" s="14">
        <v>80</v>
      </c>
      <c r="C85" s="2" t="s">
        <v>155</v>
      </c>
      <c r="D85" s="15">
        <v>200000</v>
      </c>
      <c r="E85" s="15">
        <v>26660</v>
      </c>
      <c r="F85" s="15">
        <f t="shared" si="12"/>
        <v>226660</v>
      </c>
      <c r="G85" s="31">
        <v>40</v>
      </c>
      <c r="H85" s="15">
        <v>5666.5</v>
      </c>
      <c r="I85" s="8">
        <v>35</v>
      </c>
      <c r="J85" s="11">
        <f t="shared" si="13"/>
        <v>5</v>
      </c>
      <c r="K85" s="15">
        <f>(35*5666.5)</f>
        <v>198327.5</v>
      </c>
      <c r="L85" s="15">
        <f t="shared" si="14"/>
        <v>28332.5</v>
      </c>
      <c r="M85" s="8"/>
      <c r="N85" s="39" t="e">
        <f>#REF!-H85</f>
        <v>#REF!</v>
      </c>
    </row>
    <row r="86" spans="1:14" ht="15.75">
      <c r="A86" s="73"/>
      <c r="B86" s="14">
        <v>81</v>
      </c>
      <c r="C86" s="2" t="s">
        <v>44</v>
      </c>
      <c r="D86" s="12">
        <v>450000</v>
      </c>
      <c r="E86" s="16">
        <v>59985</v>
      </c>
      <c r="F86" s="15">
        <f t="shared" si="12"/>
        <v>509985</v>
      </c>
      <c r="G86" s="33">
        <v>50</v>
      </c>
      <c r="H86" s="71">
        <v>10199.700000000001</v>
      </c>
      <c r="I86" s="8">
        <v>32</v>
      </c>
      <c r="J86" s="11">
        <f t="shared" si="13"/>
        <v>18</v>
      </c>
      <c r="K86" s="12">
        <f>(32*10199.7)</f>
        <v>326390.40000000002</v>
      </c>
      <c r="L86" s="15">
        <f t="shared" si="14"/>
        <v>183594.59999999998</v>
      </c>
      <c r="M86" s="8"/>
      <c r="N86" s="39" t="e">
        <f>#REF!-H86</f>
        <v>#REF!</v>
      </c>
    </row>
    <row r="87" spans="1:14" ht="15.75">
      <c r="A87" s="73"/>
      <c r="B87" s="14">
        <v>82</v>
      </c>
      <c r="C87" s="2" t="s">
        <v>68</v>
      </c>
      <c r="D87" s="12">
        <v>500000</v>
      </c>
      <c r="E87" s="12">
        <v>66650</v>
      </c>
      <c r="F87" s="15">
        <f t="shared" si="12"/>
        <v>566650</v>
      </c>
      <c r="G87" s="31">
        <v>50</v>
      </c>
      <c r="H87" s="12">
        <v>11333</v>
      </c>
      <c r="I87" s="8">
        <v>42</v>
      </c>
      <c r="J87" s="11">
        <f t="shared" si="13"/>
        <v>8</v>
      </c>
      <c r="K87" s="12">
        <f>(42*11333)</f>
        <v>475986</v>
      </c>
      <c r="L87" s="15">
        <f t="shared" si="14"/>
        <v>90664</v>
      </c>
      <c r="M87" s="8"/>
      <c r="N87" s="39" t="e">
        <f>#REF!-H87</f>
        <v>#REF!</v>
      </c>
    </row>
    <row r="88" spans="1:14" ht="15.75">
      <c r="A88" s="73"/>
      <c r="B88" s="14">
        <v>83</v>
      </c>
      <c r="C88" s="2" t="s">
        <v>28</v>
      </c>
      <c r="D88" s="18">
        <v>500000</v>
      </c>
      <c r="E88" s="18">
        <v>66650</v>
      </c>
      <c r="F88" s="18">
        <v>566650</v>
      </c>
      <c r="G88" s="33">
        <v>50</v>
      </c>
      <c r="H88" s="16">
        <v>11333</v>
      </c>
      <c r="I88" s="8">
        <v>6</v>
      </c>
      <c r="J88" s="11">
        <f t="shared" si="13"/>
        <v>44</v>
      </c>
      <c r="K88" s="12">
        <f>(6*11333)</f>
        <v>67998</v>
      </c>
      <c r="L88" s="12">
        <f t="shared" si="14"/>
        <v>498652</v>
      </c>
      <c r="M88" s="1"/>
      <c r="N88" s="39" t="e">
        <f>#REF!-H88</f>
        <v>#REF!</v>
      </c>
    </row>
    <row r="89" spans="1:14" ht="15.75">
      <c r="A89" s="73"/>
      <c r="B89" s="14">
        <v>84</v>
      </c>
      <c r="C89" s="2" t="s">
        <v>212</v>
      </c>
      <c r="D89" s="12">
        <v>150000</v>
      </c>
      <c r="E89" s="12">
        <v>19995</v>
      </c>
      <c r="F89" s="15">
        <f>SUM(D89:E89)</f>
        <v>169995</v>
      </c>
      <c r="G89" s="31">
        <v>50</v>
      </c>
      <c r="H89" s="12">
        <v>3399.9</v>
      </c>
      <c r="I89" s="8">
        <v>30</v>
      </c>
      <c r="J89" s="11">
        <f t="shared" si="13"/>
        <v>20</v>
      </c>
      <c r="K89" s="12">
        <f>(30*3399.9)</f>
        <v>101997</v>
      </c>
      <c r="L89" s="15">
        <f t="shared" si="14"/>
        <v>67998</v>
      </c>
      <c r="M89" s="8"/>
      <c r="N89" s="39" t="e">
        <f>#REF!-H89</f>
        <v>#REF!</v>
      </c>
    </row>
    <row r="90" spans="1:14" ht="15.75">
      <c r="A90" s="73"/>
      <c r="B90" s="14">
        <v>85</v>
      </c>
      <c r="C90" s="2" t="s">
        <v>156</v>
      </c>
      <c r="D90" s="15">
        <v>200000</v>
      </c>
      <c r="E90" s="15">
        <v>26660</v>
      </c>
      <c r="F90" s="15">
        <f>SUM(D90:E90)</f>
        <v>226660</v>
      </c>
      <c r="G90" s="31">
        <v>40</v>
      </c>
      <c r="H90" s="70">
        <v>3739.89</v>
      </c>
      <c r="I90" s="8">
        <v>38</v>
      </c>
      <c r="J90" s="11">
        <f t="shared" si="13"/>
        <v>2</v>
      </c>
      <c r="K90" s="12">
        <f>(38*5666.5)</f>
        <v>215327</v>
      </c>
      <c r="L90" s="15">
        <f t="shared" si="14"/>
        <v>11333</v>
      </c>
      <c r="M90" s="8"/>
      <c r="N90" s="39" t="e">
        <f>#REF!-H90</f>
        <v>#REF!</v>
      </c>
    </row>
    <row r="91" spans="1:14" ht="15.75">
      <c r="A91" s="73"/>
      <c r="B91" s="14">
        <v>86</v>
      </c>
      <c r="C91" s="2" t="s">
        <v>157</v>
      </c>
      <c r="D91" s="15">
        <v>200000</v>
      </c>
      <c r="E91" s="15">
        <v>26660</v>
      </c>
      <c r="F91" s="15">
        <f>SUM(D91:E91)</f>
        <v>226660</v>
      </c>
      <c r="G91" s="31">
        <v>40</v>
      </c>
      <c r="H91" s="15">
        <v>5666.5</v>
      </c>
      <c r="I91" s="8">
        <v>38</v>
      </c>
      <c r="J91" s="11">
        <f t="shared" si="13"/>
        <v>2</v>
      </c>
      <c r="K91" s="12">
        <f>(38*5666.5)</f>
        <v>215327</v>
      </c>
      <c r="L91" s="15">
        <f t="shared" si="14"/>
        <v>11333</v>
      </c>
      <c r="M91" s="8"/>
      <c r="N91" s="39" t="e">
        <f>#REF!-H91</f>
        <v>#REF!</v>
      </c>
    </row>
    <row r="92" spans="1:14" ht="15.75">
      <c r="A92" s="73"/>
      <c r="B92" s="14">
        <v>87</v>
      </c>
      <c r="C92" s="2" t="s">
        <v>235</v>
      </c>
      <c r="D92" s="12">
        <v>180000</v>
      </c>
      <c r="E92" s="12">
        <v>23994</v>
      </c>
      <c r="F92" s="12">
        <v>203994</v>
      </c>
      <c r="G92" s="30">
        <v>40</v>
      </c>
      <c r="H92" s="18">
        <v>5099.8500000000004</v>
      </c>
      <c r="I92" s="30">
        <v>44</v>
      </c>
      <c r="J92" s="11">
        <f t="shared" si="13"/>
        <v>-4</v>
      </c>
      <c r="K92" s="12">
        <f>(44*5099.85)</f>
        <v>224393.40000000002</v>
      </c>
      <c r="L92" s="15">
        <f t="shared" si="14"/>
        <v>-20399.400000000023</v>
      </c>
      <c r="M92" s="10"/>
      <c r="N92" s="39" t="e">
        <f>#REF!-H92</f>
        <v>#REF!</v>
      </c>
    </row>
    <row r="93" spans="1:14" ht="15.75">
      <c r="A93" s="73"/>
      <c r="B93" s="14">
        <v>88</v>
      </c>
      <c r="C93" s="2" t="s">
        <v>158</v>
      </c>
      <c r="D93" s="15">
        <v>200000</v>
      </c>
      <c r="E93" s="15">
        <v>26660</v>
      </c>
      <c r="F93" s="15">
        <f>SUM(D93:E93)</f>
        <v>226660</v>
      </c>
      <c r="G93" s="31">
        <v>40</v>
      </c>
      <c r="H93" s="15">
        <v>5666.5</v>
      </c>
      <c r="I93" s="8">
        <v>38</v>
      </c>
      <c r="J93" s="11">
        <f t="shared" si="13"/>
        <v>2</v>
      </c>
      <c r="K93" s="12">
        <f>(38*5666.5)</f>
        <v>215327</v>
      </c>
      <c r="L93" s="15">
        <f t="shared" si="14"/>
        <v>11333</v>
      </c>
      <c r="M93" s="8"/>
      <c r="N93" s="39" t="e">
        <f>#REF!-H93</f>
        <v>#REF!</v>
      </c>
    </row>
    <row r="94" spans="1:14" ht="15.75">
      <c r="A94" s="73"/>
      <c r="B94" s="14">
        <v>89</v>
      </c>
      <c r="C94" s="2" t="s">
        <v>51</v>
      </c>
      <c r="D94" s="12">
        <v>500000</v>
      </c>
      <c r="E94" s="12">
        <v>53320</v>
      </c>
      <c r="F94" s="15">
        <f>SUM(D94:E94)</f>
        <v>553320</v>
      </c>
      <c r="G94" s="31">
        <v>40</v>
      </c>
      <c r="H94" s="12">
        <v>13833</v>
      </c>
      <c r="I94" s="8">
        <v>42</v>
      </c>
      <c r="J94" s="11">
        <f t="shared" si="13"/>
        <v>-2</v>
      </c>
      <c r="K94" s="12">
        <f>(42*13833)</f>
        <v>580986</v>
      </c>
      <c r="L94" s="15">
        <f t="shared" si="14"/>
        <v>-27666</v>
      </c>
      <c r="M94" s="8"/>
      <c r="N94" s="39" t="e">
        <f>#REF!-H94</f>
        <v>#REF!</v>
      </c>
    </row>
    <row r="95" spans="1:14" ht="15.75">
      <c r="A95" s="73"/>
      <c r="B95" s="14">
        <v>90</v>
      </c>
      <c r="C95" s="2" t="s">
        <v>159</v>
      </c>
      <c r="D95" s="15">
        <v>200000</v>
      </c>
      <c r="E95" s="15">
        <v>26660</v>
      </c>
      <c r="F95" s="15">
        <f>SUM(D95:E95)</f>
        <v>226660</v>
      </c>
      <c r="G95" s="31">
        <v>40</v>
      </c>
      <c r="H95" s="15">
        <v>5666.5</v>
      </c>
      <c r="I95" s="8">
        <v>29</v>
      </c>
      <c r="J95" s="11">
        <f t="shared" si="13"/>
        <v>11</v>
      </c>
      <c r="K95" s="12">
        <f>(29*5666.5)</f>
        <v>164328.5</v>
      </c>
      <c r="L95" s="15">
        <f t="shared" si="14"/>
        <v>62331.5</v>
      </c>
      <c r="M95" s="8"/>
      <c r="N95" s="39" t="e">
        <f>#REF!-H95</f>
        <v>#REF!</v>
      </c>
    </row>
    <row r="96" spans="1:14" ht="15.75">
      <c r="A96" s="73"/>
      <c r="B96" s="14">
        <v>91</v>
      </c>
      <c r="C96" s="2" t="s">
        <v>233</v>
      </c>
      <c r="D96" s="15">
        <v>200000</v>
      </c>
      <c r="E96" s="15">
        <v>26660</v>
      </c>
      <c r="F96" s="15">
        <v>226660</v>
      </c>
      <c r="G96" s="31">
        <v>40</v>
      </c>
      <c r="H96" s="18">
        <v>5666.5</v>
      </c>
      <c r="I96" s="31">
        <v>38</v>
      </c>
      <c r="J96" s="11">
        <f t="shared" si="13"/>
        <v>2</v>
      </c>
      <c r="K96" s="12">
        <f>(38*5666.5)</f>
        <v>215327</v>
      </c>
      <c r="L96" s="15">
        <f t="shared" si="14"/>
        <v>11333</v>
      </c>
      <c r="M96" s="8"/>
      <c r="N96" s="39" t="e">
        <f>#REF!-H96</f>
        <v>#REF!</v>
      </c>
    </row>
    <row r="97" spans="1:14" ht="15.75">
      <c r="A97" s="73"/>
      <c r="B97" s="14">
        <v>92</v>
      </c>
      <c r="C97" s="2" t="s">
        <v>160</v>
      </c>
      <c r="D97" s="15">
        <v>200000</v>
      </c>
      <c r="E97" s="15">
        <v>26660</v>
      </c>
      <c r="F97" s="15">
        <f>SUM(D97:E97)</f>
        <v>226660</v>
      </c>
      <c r="G97" s="31">
        <v>40</v>
      </c>
      <c r="H97" s="15">
        <v>5666.5</v>
      </c>
      <c r="I97" s="8">
        <v>38</v>
      </c>
      <c r="J97" s="11">
        <f t="shared" si="13"/>
        <v>2</v>
      </c>
      <c r="K97" s="12">
        <f>(38*5666.5)</f>
        <v>215327</v>
      </c>
      <c r="L97" s="15">
        <f t="shared" si="14"/>
        <v>11333</v>
      </c>
      <c r="M97" s="8"/>
      <c r="N97" s="39" t="e">
        <f>#REF!-H97</f>
        <v>#REF!</v>
      </c>
    </row>
    <row r="98" spans="1:14" ht="15.75">
      <c r="A98" s="73"/>
      <c r="B98" s="14">
        <v>93</v>
      </c>
      <c r="C98" s="2" t="s">
        <v>204</v>
      </c>
      <c r="D98" s="12">
        <v>132000</v>
      </c>
      <c r="E98" s="12">
        <v>17595.599999999999</v>
      </c>
      <c r="F98" s="15">
        <f>SUM(D98:E98)</f>
        <v>149595.6</v>
      </c>
      <c r="G98" s="31">
        <v>40</v>
      </c>
      <c r="H98" s="12">
        <v>3739.89</v>
      </c>
      <c r="I98" s="8">
        <v>35</v>
      </c>
      <c r="J98" s="11">
        <f t="shared" si="13"/>
        <v>5</v>
      </c>
      <c r="K98" s="12">
        <f>(35*3739.89)</f>
        <v>130896.15</v>
      </c>
      <c r="L98" s="15">
        <f t="shared" si="14"/>
        <v>18699.450000000012</v>
      </c>
      <c r="M98" s="8"/>
      <c r="N98" s="39" t="e">
        <f>#REF!-H98</f>
        <v>#REF!</v>
      </c>
    </row>
    <row r="99" spans="1:14" ht="15.75">
      <c r="A99" s="73"/>
      <c r="B99" s="14">
        <v>94</v>
      </c>
      <c r="C99" s="2" t="s">
        <v>223</v>
      </c>
      <c r="D99" s="12">
        <v>500000</v>
      </c>
      <c r="E99" s="12">
        <v>66650</v>
      </c>
      <c r="F99" s="12">
        <v>566650</v>
      </c>
      <c r="G99" s="31">
        <v>50</v>
      </c>
      <c r="H99" s="18">
        <v>11333</v>
      </c>
      <c r="I99" s="33">
        <v>21</v>
      </c>
      <c r="J99" s="11">
        <f t="shared" si="13"/>
        <v>29</v>
      </c>
      <c r="K99" s="12">
        <f>(21*11333)</f>
        <v>237993</v>
      </c>
      <c r="L99" s="15">
        <f t="shared" si="14"/>
        <v>328657</v>
      </c>
      <c r="M99" s="8"/>
      <c r="N99" s="39" t="e">
        <f>#REF!-H99</f>
        <v>#REF!</v>
      </c>
    </row>
    <row r="100" spans="1:14" ht="15.75">
      <c r="A100" s="73"/>
      <c r="B100" s="14">
        <v>95</v>
      </c>
      <c r="C100" s="2" t="s">
        <v>205</v>
      </c>
      <c r="D100" s="12">
        <v>132000</v>
      </c>
      <c r="E100" s="12">
        <v>17595.599999999999</v>
      </c>
      <c r="F100" s="15">
        <f>SUM(D100:E100)</f>
        <v>149595.6</v>
      </c>
      <c r="G100" s="31">
        <v>40</v>
      </c>
      <c r="H100" s="12">
        <v>3739.89</v>
      </c>
      <c r="I100" s="8">
        <v>38</v>
      </c>
      <c r="J100" s="11">
        <f t="shared" si="13"/>
        <v>2</v>
      </c>
      <c r="K100" s="12">
        <f>(38*3739.89)</f>
        <v>142115.82</v>
      </c>
      <c r="L100" s="15">
        <f t="shared" si="14"/>
        <v>7479.7799999999988</v>
      </c>
      <c r="M100" s="8"/>
      <c r="N100" s="39" t="e">
        <f>#REF!-H100</f>
        <v>#REF!</v>
      </c>
    </row>
    <row r="101" spans="1:14" ht="15.75">
      <c r="A101" s="73"/>
      <c r="B101" s="14">
        <v>96</v>
      </c>
      <c r="C101" s="2" t="s">
        <v>232</v>
      </c>
      <c r="D101" s="15">
        <v>200000</v>
      </c>
      <c r="E101" s="15">
        <v>26660</v>
      </c>
      <c r="F101" s="15">
        <v>226660</v>
      </c>
      <c r="G101" s="31">
        <v>40</v>
      </c>
      <c r="H101" s="18">
        <v>5666.5</v>
      </c>
      <c r="I101" s="31">
        <v>35</v>
      </c>
      <c r="J101" s="11">
        <f t="shared" si="13"/>
        <v>5</v>
      </c>
      <c r="K101" s="12">
        <f>(35*5666.5)</f>
        <v>198327.5</v>
      </c>
      <c r="L101" s="15">
        <f t="shared" si="14"/>
        <v>28332.5</v>
      </c>
      <c r="M101" s="8"/>
      <c r="N101" s="39" t="e">
        <f>#REF!-H101</f>
        <v>#REF!</v>
      </c>
    </row>
    <row r="102" spans="1:14" ht="15.75">
      <c r="A102" s="73"/>
      <c r="B102" s="14">
        <v>97</v>
      </c>
      <c r="C102" s="2" t="s">
        <v>162</v>
      </c>
      <c r="D102" s="15">
        <v>200000</v>
      </c>
      <c r="E102" s="15">
        <v>26660</v>
      </c>
      <c r="F102" s="15">
        <f t="shared" ref="F102:F110" si="15">SUM(D102:E102)</f>
        <v>226660</v>
      </c>
      <c r="G102" s="31">
        <v>40</v>
      </c>
      <c r="H102" s="15">
        <v>5666.5</v>
      </c>
      <c r="I102" s="8">
        <v>37</v>
      </c>
      <c r="J102" s="11">
        <f t="shared" si="13"/>
        <v>3</v>
      </c>
      <c r="K102" s="12">
        <f>(37*5666.5)</f>
        <v>209660.5</v>
      </c>
      <c r="L102" s="15">
        <f t="shared" si="14"/>
        <v>16999.5</v>
      </c>
      <c r="M102" s="8"/>
      <c r="N102" s="39" t="e">
        <f>#REF!-H102</f>
        <v>#REF!</v>
      </c>
    </row>
    <row r="103" spans="1:14" ht="15.75">
      <c r="A103" s="73"/>
      <c r="B103" s="14">
        <v>98</v>
      </c>
      <c r="C103" s="2" t="s">
        <v>163</v>
      </c>
      <c r="D103" s="15">
        <v>200000</v>
      </c>
      <c r="E103" s="15">
        <v>26660</v>
      </c>
      <c r="F103" s="15">
        <f t="shared" si="15"/>
        <v>226660</v>
      </c>
      <c r="G103" s="32">
        <v>40</v>
      </c>
      <c r="H103" s="15">
        <v>5666.5</v>
      </c>
      <c r="I103" s="22">
        <v>44</v>
      </c>
      <c r="J103" s="11">
        <f t="shared" si="13"/>
        <v>-4</v>
      </c>
      <c r="K103" s="15">
        <f>(44*5666.5)</f>
        <v>249326</v>
      </c>
      <c r="L103" s="15">
        <f t="shared" si="14"/>
        <v>-22666</v>
      </c>
      <c r="M103" s="10"/>
      <c r="N103" s="39" t="e">
        <f>#REF!-H103</f>
        <v>#REF!</v>
      </c>
    </row>
    <row r="104" spans="1:14" ht="15.75">
      <c r="A104" s="73"/>
      <c r="B104" s="14">
        <v>99</v>
      </c>
      <c r="C104" s="2" t="s">
        <v>69</v>
      </c>
      <c r="D104" s="12">
        <v>500000</v>
      </c>
      <c r="E104" s="12">
        <v>66650</v>
      </c>
      <c r="F104" s="15">
        <f t="shared" si="15"/>
        <v>566650</v>
      </c>
      <c r="G104" s="31">
        <v>50</v>
      </c>
      <c r="H104" s="12">
        <v>11333</v>
      </c>
      <c r="I104" s="11">
        <v>21</v>
      </c>
      <c r="J104" s="11">
        <f t="shared" si="13"/>
        <v>29</v>
      </c>
      <c r="K104" s="12">
        <f>(21*11333)</f>
        <v>237993</v>
      </c>
      <c r="L104" s="15">
        <f t="shared" si="14"/>
        <v>328657</v>
      </c>
      <c r="M104" s="8"/>
      <c r="N104" s="39" t="e">
        <f>#REF!-H104</f>
        <v>#REF!</v>
      </c>
    </row>
    <row r="105" spans="1:14" ht="15.75">
      <c r="A105" s="73"/>
      <c r="B105" s="14">
        <v>100</v>
      </c>
      <c r="C105" s="2" t="s">
        <v>164</v>
      </c>
      <c r="D105" s="15">
        <v>200000</v>
      </c>
      <c r="E105" s="15">
        <v>26660</v>
      </c>
      <c r="F105" s="15">
        <f t="shared" si="15"/>
        <v>226660</v>
      </c>
      <c r="G105" s="31">
        <v>40</v>
      </c>
      <c r="H105" s="15">
        <v>5666.5</v>
      </c>
      <c r="I105" s="8">
        <v>35</v>
      </c>
      <c r="J105" s="11">
        <f t="shared" si="13"/>
        <v>5</v>
      </c>
      <c r="K105" s="12">
        <f>(35*5666.5)</f>
        <v>198327.5</v>
      </c>
      <c r="L105" s="15">
        <f t="shared" si="14"/>
        <v>28332.5</v>
      </c>
      <c r="M105" s="8"/>
      <c r="N105" s="39" t="e">
        <f>#REF!-H105</f>
        <v>#REF!</v>
      </c>
    </row>
    <row r="106" spans="1:14" ht="15.75">
      <c r="A106" s="73"/>
      <c r="B106" s="14">
        <v>101</v>
      </c>
      <c r="C106" s="2" t="s">
        <v>70</v>
      </c>
      <c r="D106" s="12">
        <v>500000</v>
      </c>
      <c r="E106" s="12">
        <v>66650</v>
      </c>
      <c r="F106" s="15">
        <f t="shared" si="15"/>
        <v>566650</v>
      </c>
      <c r="G106" s="31">
        <v>50</v>
      </c>
      <c r="H106" s="18">
        <v>11333</v>
      </c>
      <c r="I106" s="8">
        <v>26</v>
      </c>
      <c r="J106" s="11">
        <f t="shared" si="13"/>
        <v>24</v>
      </c>
      <c r="K106" s="12">
        <f>(26*11333)</f>
        <v>294658</v>
      </c>
      <c r="L106" s="15">
        <f t="shared" si="14"/>
        <v>271992</v>
      </c>
      <c r="M106" s="8"/>
      <c r="N106" s="39" t="e">
        <f>#REF!-H106</f>
        <v>#REF!</v>
      </c>
    </row>
    <row r="107" spans="1:14" ht="15.75">
      <c r="A107" s="73"/>
      <c r="B107" s="14">
        <v>102</v>
      </c>
      <c r="C107" s="2" t="s">
        <v>71</v>
      </c>
      <c r="D107" s="12">
        <v>500000</v>
      </c>
      <c r="E107" s="12">
        <v>66650</v>
      </c>
      <c r="F107" s="15">
        <f t="shared" si="15"/>
        <v>566650</v>
      </c>
      <c r="G107" s="31">
        <v>50</v>
      </c>
      <c r="H107" s="12">
        <v>11333</v>
      </c>
      <c r="I107" s="8">
        <v>42</v>
      </c>
      <c r="J107" s="11">
        <f t="shared" si="13"/>
        <v>8</v>
      </c>
      <c r="K107" s="12">
        <f>(42*11333)</f>
        <v>475986</v>
      </c>
      <c r="L107" s="15">
        <f t="shared" si="14"/>
        <v>90664</v>
      </c>
      <c r="M107" s="8"/>
      <c r="N107" s="39" t="e">
        <f>#REF!-H107</f>
        <v>#REF!</v>
      </c>
    </row>
    <row r="108" spans="1:14" ht="15.75">
      <c r="A108" s="73"/>
      <c r="B108" s="14">
        <v>103</v>
      </c>
      <c r="C108" s="2" t="s">
        <v>165</v>
      </c>
      <c r="D108" s="15">
        <v>200000</v>
      </c>
      <c r="E108" s="15">
        <v>26660</v>
      </c>
      <c r="F108" s="15">
        <f t="shared" si="15"/>
        <v>226660</v>
      </c>
      <c r="G108" s="31">
        <v>40</v>
      </c>
      <c r="H108" s="15">
        <v>5666.5</v>
      </c>
      <c r="I108" s="8">
        <v>35</v>
      </c>
      <c r="J108" s="11">
        <f t="shared" si="13"/>
        <v>5</v>
      </c>
      <c r="K108" s="12">
        <f>(35*5666.5)</f>
        <v>198327.5</v>
      </c>
      <c r="L108" s="15">
        <f t="shared" si="14"/>
        <v>28332.5</v>
      </c>
      <c r="M108" s="8"/>
      <c r="N108" s="39" t="e">
        <f>#REF!-H108</f>
        <v>#REF!</v>
      </c>
    </row>
    <row r="109" spans="1:14" ht="15.75">
      <c r="A109" s="73"/>
      <c r="B109" s="14">
        <v>104</v>
      </c>
      <c r="C109" s="2" t="s">
        <v>218</v>
      </c>
      <c r="D109" s="12">
        <v>60000</v>
      </c>
      <c r="E109" s="12">
        <v>7998</v>
      </c>
      <c r="F109" s="15">
        <f t="shared" si="15"/>
        <v>67998</v>
      </c>
      <c r="G109" s="31">
        <v>40</v>
      </c>
      <c r="H109" s="12">
        <v>1699.95</v>
      </c>
      <c r="I109" s="8">
        <v>35</v>
      </c>
      <c r="J109" s="11">
        <f t="shared" si="13"/>
        <v>5</v>
      </c>
      <c r="K109" s="12">
        <f>(35*1699.95)</f>
        <v>59498.25</v>
      </c>
      <c r="L109" s="15">
        <f t="shared" si="14"/>
        <v>8499.75</v>
      </c>
      <c r="M109" s="8"/>
      <c r="N109" s="39" t="e">
        <f>#REF!-H109</f>
        <v>#REF!</v>
      </c>
    </row>
    <row r="110" spans="1:14" ht="15.75">
      <c r="A110" s="73"/>
      <c r="B110" s="14">
        <v>105</v>
      </c>
      <c r="C110" s="25" t="s">
        <v>166</v>
      </c>
      <c r="D110" s="15">
        <v>200000</v>
      </c>
      <c r="E110" s="15">
        <v>26660</v>
      </c>
      <c r="F110" s="15">
        <f t="shared" si="15"/>
        <v>226660</v>
      </c>
      <c r="G110" s="31">
        <v>40</v>
      </c>
      <c r="H110" s="15">
        <v>5666.5</v>
      </c>
      <c r="I110" s="8">
        <v>32</v>
      </c>
      <c r="J110" s="11">
        <f t="shared" si="13"/>
        <v>8</v>
      </c>
      <c r="K110" s="12">
        <f>(32*5666.5)</f>
        <v>181328</v>
      </c>
      <c r="L110" s="15">
        <f t="shared" si="14"/>
        <v>45332</v>
      </c>
      <c r="M110" s="8"/>
      <c r="N110" s="39" t="e">
        <f>#REF!-H110</f>
        <v>#REF!</v>
      </c>
    </row>
    <row r="111" spans="1:14" ht="15.75">
      <c r="A111" s="73"/>
      <c r="B111" s="14">
        <v>106</v>
      </c>
      <c r="C111" s="63" t="s">
        <v>256</v>
      </c>
      <c r="D111" s="12">
        <v>450000</v>
      </c>
      <c r="E111" s="16">
        <v>59985</v>
      </c>
      <c r="F111" s="16">
        <v>509985</v>
      </c>
      <c r="G111" s="33">
        <v>50</v>
      </c>
      <c r="H111" s="16">
        <v>10199.700000000001</v>
      </c>
      <c r="I111" s="8">
        <v>9</v>
      </c>
      <c r="J111" s="11">
        <f t="shared" si="13"/>
        <v>41</v>
      </c>
      <c r="K111" s="12">
        <f>(9*10199)</f>
        <v>91791</v>
      </c>
      <c r="L111" s="15">
        <f t="shared" si="14"/>
        <v>418194</v>
      </c>
      <c r="M111" s="8" t="s">
        <v>251</v>
      </c>
      <c r="N111" s="39" t="e">
        <f>#REF!-H111</f>
        <v>#REF!</v>
      </c>
    </row>
    <row r="112" spans="1:14" ht="15.75">
      <c r="A112" s="73"/>
      <c r="B112" s="14">
        <v>107</v>
      </c>
      <c r="C112" s="23" t="s">
        <v>72</v>
      </c>
      <c r="D112" s="12">
        <v>500000</v>
      </c>
      <c r="E112" s="12">
        <v>66650</v>
      </c>
      <c r="F112" s="15">
        <f>SUM(D112:E112)</f>
        <v>566650</v>
      </c>
      <c r="G112" s="31">
        <v>50</v>
      </c>
      <c r="H112" s="12">
        <v>11333</v>
      </c>
      <c r="I112" s="8">
        <v>42</v>
      </c>
      <c r="J112" s="11">
        <f t="shared" si="13"/>
        <v>8</v>
      </c>
      <c r="K112" s="12">
        <f>(42*11333)</f>
        <v>475986</v>
      </c>
      <c r="L112" s="15">
        <f t="shared" si="14"/>
        <v>90664</v>
      </c>
      <c r="M112" s="8"/>
      <c r="N112" s="39" t="e">
        <f>#REF!-H112</f>
        <v>#REF!</v>
      </c>
    </row>
    <row r="113" spans="1:14" ht="15.75">
      <c r="A113" s="73"/>
      <c r="B113" s="14">
        <v>108</v>
      </c>
      <c r="C113" s="2" t="s">
        <v>45</v>
      </c>
      <c r="D113" s="12">
        <v>500000</v>
      </c>
      <c r="E113" s="16">
        <v>33325</v>
      </c>
      <c r="F113" s="15">
        <f>SUM(D113:E113)</f>
        <v>533325</v>
      </c>
      <c r="G113" s="33">
        <v>25</v>
      </c>
      <c r="H113" s="16">
        <v>21333</v>
      </c>
      <c r="I113" s="11">
        <v>20</v>
      </c>
      <c r="J113" s="11">
        <f t="shared" si="13"/>
        <v>5</v>
      </c>
      <c r="K113" s="16">
        <f>(20*21333)</f>
        <v>426660</v>
      </c>
      <c r="L113" s="15">
        <f t="shared" si="14"/>
        <v>106665</v>
      </c>
      <c r="M113" s="8"/>
      <c r="N113" s="39" t="e">
        <f>#REF!-H113</f>
        <v>#REF!</v>
      </c>
    </row>
    <row r="114" spans="1:14" ht="15.75">
      <c r="A114" s="73"/>
      <c r="B114" s="14">
        <v>109</v>
      </c>
      <c r="C114" s="2" t="s">
        <v>167</v>
      </c>
      <c r="D114" s="15">
        <v>200000</v>
      </c>
      <c r="E114" s="15">
        <v>26660</v>
      </c>
      <c r="F114" s="15">
        <f>SUM(D114:E114)</f>
        <v>226660</v>
      </c>
      <c r="G114" s="31">
        <v>40</v>
      </c>
      <c r="H114" s="15">
        <v>5666.5</v>
      </c>
      <c r="I114" s="8">
        <v>35</v>
      </c>
      <c r="J114" s="11">
        <f t="shared" si="13"/>
        <v>5</v>
      </c>
      <c r="K114" s="12">
        <f>(35*5666.5)</f>
        <v>198327.5</v>
      </c>
      <c r="L114" s="15">
        <f t="shared" si="14"/>
        <v>28332.5</v>
      </c>
      <c r="M114" s="8"/>
      <c r="N114" s="39" t="e">
        <f>#REF!-H114</f>
        <v>#REF!</v>
      </c>
    </row>
    <row r="115" spans="1:14" ht="15.75">
      <c r="A115" s="73"/>
      <c r="B115" s="14">
        <v>110</v>
      </c>
      <c r="C115" s="2" t="s">
        <v>23</v>
      </c>
      <c r="D115" s="18">
        <v>500000</v>
      </c>
      <c r="E115" s="18">
        <v>66650</v>
      </c>
      <c r="F115" s="18">
        <v>566650</v>
      </c>
      <c r="G115" s="33">
        <v>50</v>
      </c>
      <c r="H115" s="16">
        <v>11333</v>
      </c>
      <c r="I115" s="8">
        <v>7</v>
      </c>
      <c r="J115" s="11">
        <f t="shared" si="13"/>
        <v>43</v>
      </c>
      <c r="K115" s="12">
        <f>(7*11333)</f>
        <v>79331</v>
      </c>
      <c r="L115" s="12">
        <f t="shared" si="14"/>
        <v>487319</v>
      </c>
      <c r="M115" s="8"/>
      <c r="N115" s="39" t="e">
        <f>#REF!-H115</f>
        <v>#REF!</v>
      </c>
    </row>
    <row r="116" spans="1:14" ht="15.75">
      <c r="A116" s="73"/>
      <c r="B116" s="14">
        <v>111</v>
      </c>
      <c r="C116" s="2" t="s">
        <v>168</v>
      </c>
      <c r="D116" s="15">
        <v>200000</v>
      </c>
      <c r="E116" s="15">
        <v>26660</v>
      </c>
      <c r="F116" s="15">
        <f>SUM(D116:E116)</f>
        <v>226660</v>
      </c>
      <c r="G116" s="31">
        <v>40</v>
      </c>
      <c r="H116" s="15">
        <v>5666.5</v>
      </c>
      <c r="I116" s="8">
        <v>35</v>
      </c>
      <c r="J116" s="11">
        <f t="shared" si="13"/>
        <v>5</v>
      </c>
      <c r="K116" s="12">
        <f>(35*5666.5)</f>
        <v>198327.5</v>
      </c>
      <c r="L116" s="15">
        <f t="shared" si="14"/>
        <v>28332.5</v>
      </c>
      <c r="M116" s="8"/>
      <c r="N116" s="39" t="e">
        <f>#REF!-H116</f>
        <v>#REF!</v>
      </c>
    </row>
    <row r="117" spans="1:14" ht="15.75">
      <c r="A117" s="73"/>
      <c r="B117" s="14">
        <v>112</v>
      </c>
      <c r="C117" s="2" t="s">
        <v>169</v>
      </c>
      <c r="D117" s="15">
        <v>200000</v>
      </c>
      <c r="E117" s="15">
        <v>26660</v>
      </c>
      <c r="F117" s="15">
        <f>SUM(D117:E117)</f>
        <v>226660</v>
      </c>
      <c r="G117" s="31">
        <v>40</v>
      </c>
      <c r="H117" s="15">
        <v>5666.5</v>
      </c>
      <c r="I117" s="8">
        <v>34</v>
      </c>
      <c r="J117" s="11">
        <f t="shared" si="13"/>
        <v>6</v>
      </c>
      <c r="K117" s="12">
        <f>(34*5666.5)</f>
        <v>192661</v>
      </c>
      <c r="L117" s="15">
        <f t="shared" si="14"/>
        <v>33999</v>
      </c>
      <c r="M117" s="8"/>
      <c r="N117" s="39" t="e">
        <f>#REF!-H117</f>
        <v>#REF!</v>
      </c>
    </row>
    <row r="118" spans="1:14" ht="15.75">
      <c r="A118" s="73"/>
      <c r="B118" s="14">
        <v>113</v>
      </c>
      <c r="C118" s="2" t="s">
        <v>42</v>
      </c>
      <c r="D118" s="12">
        <v>450000</v>
      </c>
      <c r="E118" s="16">
        <v>59985</v>
      </c>
      <c r="F118" s="16">
        <v>509985</v>
      </c>
      <c r="G118" s="33">
        <v>50</v>
      </c>
      <c r="H118" s="16">
        <v>10199.700000000001</v>
      </c>
      <c r="I118" s="8">
        <v>6</v>
      </c>
      <c r="J118" s="11">
        <f t="shared" si="13"/>
        <v>44</v>
      </c>
      <c r="K118" s="12">
        <f>(6*10199)</f>
        <v>61194</v>
      </c>
      <c r="L118" s="12">
        <f t="shared" si="14"/>
        <v>448791</v>
      </c>
      <c r="M118" s="1"/>
      <c r="N118" s="39" t="e">
        <f>#REF!-H118</f>
        <v>#REF!</v>
      </c>
    </row>
    <row r="119" spans="1:14" ht="15.75">
      <c r="A119" s="73"/>
      <c r="B119" s="14">
        <v>114</v>
      </c>
      <c r="C119" s="2" t="s">
        <v>228</v>
      </c>
      <c r="D119" s="15">
        <v>200000</v>
      </c>
      <c r="E119" s="15">
        <v>26660</v>
      </c>
      <c r="F119" s="15">
        <v>226660</v>
      </c>
      <c r="G119" s="31">
        <v>40</v>
      </c>
      <c r="H119" s="18">
        <v>5666.5</v>
      </c>
      <c r="I119" s="31">
        <v>35</v>
      </c>
      <c r="J119" s="11">
        <f t="shared" si="13"/>
        <v>5</v>
      </c>
      <c r="K119" s="12">
        <f>(35*5666.5)</f>
        <v>198327.5</v>
      </c>
      <c r="L119" s="15">
        <f t="shared" si="14"/>
        <v>28332.5</v>
      </c>
      <c r="M119" s="8"/>
      <c r="N119" s="39" t="e">
        <f>#REF!-H119</f>
        <v>#REF!</v>
      </c>
    </row>
    <row r="120" spans="1:14" ht="15.75">
      <c r="A120" s="73"/>
      <c r="B120" s="14">
        <v>115</v>
      </c>
      <c r="C120" s="2" t="s">
        <v>33</v>
      </c>
      <c r="D120" s="20">
        <v>150000</v>
      </c>
      <c r="E120" s="20">
        <v>19995</v>
      </c>
      <c r="F120" s="20">
        <f>SUM(D120:E120)</f>
        <v>169995</v>
      </c>
      <c r="G120" s="33">
        <v>50</v>
      </c>
      <c r="H120" s="3">
        <v>3399.9</v>
      </c>
      <c r="I120" s="8">
        <v>7</v>
      </c>
      <c r="J120" s="11">
        <f t="shared" si="13"/>
        <v>43</v>
      </c>
      <c r="K120" s="3">
        <f>(7*3399.9)</f>
        <v>23799.3</v>
      </c>
      <c r="L120" s="12">
        <f t="shared" si="14"/>
        <v>146195.70000000001</v>
      </c>
      <c r="M120" s="1"/>
      <c r="N120" s="39" t="e">
        <f>#REF!-H120</f>
        <v>#REF!</v>
      </c>
    </row>
    <row r="121" spans="1:14" ht="15.75">
      <c r="A121" s="73"/>
      <c r="B121" s="14">
        <v>116</v>
      </c>
      <c r="C121" s="2" t="s">
        <v>170</v>
      </c>
      <c r="D121" s="15">
        <v>200000</v>
      </c>
      <c r="E121" s="15">
        <v>26660</v>
      </c>
      <c r="F121" s="15">
        <f>SUM(D121:E121)</f>
        <v>226660</v>
      </c>
      <c r="G121" s="31">
        <v>40</v>
      </c>
      <c r="H121" s="15">
        <v>5666.5</v>
      </c>
      <c r="I121" s="8">
        <v>35</v>
      </c>
      <c r="J121" s="11">
        <f t="shared" si="13"/>
        <v>5</v>
      </c>
      <c r="K121" s="12">
        <f>(35*5666.5)</f>
        <v>198327.5</v>
      </c>
      <c r="L121" s="15">
        <f t="shared" si="14"/>
        <v>28332.5</v>
      </c>
      <c r="M121" s="8"/>
      <c r="N121" s="39" t="e">
        <f>#REF!-H121</f>
        <v>#REF!</v>
      </c>
    </row>
    <row r="122" spans="1:14" ht="15.75">
      <c r="A122" s="73"/>
      <c r="B122" s="14">
        <v>117</v>
      </c>
      <c r="C122" s="2" t="s">
        <v>240</v>
      </c>
      <c r="D122" s="16">
        <v>132000</v>
      </c>
      <c r="E122" s="16">
        <v>17595.599999999999</v>
      </c>
      <c r="F122" s="16">
        <v>149595.6</v>
      </c>
      <c r="G122" s="45">
        <v>40</v>
      </c>
      <c r="H122" s="19">
        <v>3739.89</v>
      </c>
      <c r="I122" s="33">
        <v>41</v>
      </c>
      <c r="J122" s="11">
        <f t="shared" si="13"/>
        <v>-1</v>
      </c>
      <c r="K122" s="12">
        <f>(41*3739.89)</f>
        <v>153335.49</v>
      </c>
      <c r="L122" s="15">
        <f t="shared" si="14"/>
        <v>-3739.8899999999849</v>
      </c>
      <c r="M122" s="8"/>
      <c r="N122" s="39" t="e">
        <f>#REF!-H122</f>
        <v>#REF!</v>
      </c>
    </row>
    <row r="123" spans="1:14" ht="15.75">
      <c r="A123" s="73"/>
      <c r="B123" s="14">
        <v>118</v>
      </c>
      <c r="C123" s="2" t="s">
        <v>206</v>
      </c>
      <c r="D123" s="12">
        <v>132000</v>
      </c>
      <c r="E123" s="12">
        <v>17595.599999999999</v>
      </c>
      <c r="F123" s="15">
        <f>SUM(D123:E123)</f>
        <v>149595.6</v>
      </c>
      <c r="G123" s="31">
        <v>40</v>
      </c>
      <c r="H123" s="12">
        <v>3739.89</v>
      </c>
      <c r="I123" s="8">
        <v>34</v>
      </c>
      <c r="J123" s="11">
        <f t="shared" si="13"/>
        <v>6</v>
      </c>
      <c r="K123" s="16">
        <f>(34*3739.89)</f>
        <v>127156.26</v>
      </c>
      <c r="L123" s="15">
        <f t="shared" si="14"/>
        <v>22439.340000000011</v>
      </c>
      <c r="M123" s="8"/>
      <c r="N123" s="39" t="e">
        <f>#REF!-H123</f>
        <v>#REF!</v>
      </c>
    </row>
    <row r="124" spans="1:14" ht="15.75">
      <c r="A124" s="73"/>
      <c r="B124" s="14">
        <v>119</v>
      </c>
      <c r="C124" s="2" t="s">
        <v>73</v>
      </c>
      <c r="D124" s="12">
        <v>500000</v>
      </c>
      <c r="E124" s="12">
        <v>66650</v>
      </c>
      <c r="F124" s="15">
        <f>SUM(D124:E124)</f>
        <v>566650</v>
      </c>
      <c r="G124" s="31">
        <v>50</v>
      </c>
      <c r="H124" s="12">
        <v>11333</v>
      </c>
      <c r="I124" s="11">
        <v>30</v>
      </c>
      <c r="J124" s="11">
        <f t="shared" si="13"/>
        <v>20</v>
      </c>
      <c r="K124" s="16">
        <f>(30*11333)</f>
        <v>339990</v>
      </c>
      <c r="L124" s="15">
        <f t="shared" si="14"/>
        <v>226660</v>
      </c>
      <c r="M124" s="8"/>
      <c r="N124" s="39" t="e">
        <f>#REF!-H124</f>
        <v>#REF!</v>
      </c>
    </row>
    <row r="125" spans="1:14" ht="15.75">
      <c r="A125" s="73"/>
      <c r="B125" s="14">
        <v>120</v>
      </c>
      <c r="C125" s="2" t="s">
        <v>173</v>
      </c>
      <c r="D125" s="15">
        <v>200000</v>
      </c>
      <c r="E125" s="15">
        <v>26660</v>
      </c>
      <c r="F125" s="15">
        <f>SUM(D125:E125)</f>
        <v>226660</v>
      </c>
      <c r="G125" s="31">
        <v>40</v>
      </c>
      <c r="H125" s="52">
        <v>5666.5</v>
      </c>
      <c r="I125" s="8">
        <v>38</v>
      </c>
      <c r="J125" s="11">
        <f t="shared" si="13"/>
        <v>2</v>
      </c>
      <c r="K125" s="12">
        <f>(38*5666.5)</f>
        <v>215327</v>
      </c>
      <c r="L125" s="15">
        <f t="shared" si="14"/>
        <v>11333</v>
      </c>
      <c r="M125" s="8"/>
      <c r="N125" s="39" t="e">
        <f>#REF!-H125</f>
        <v>#REF!</v>
      </c>
    </row>
    <row r="126" spans="1:14" ht="15.75">
      <c r="A126" s="73"/>
      <c r="B126" s="14">
        <v>121</v>
      </c>
      <c r="C126" s="2" t="s">
        <v>74</v>
      </c>
      <c r="D126" s="12">
        <v>500000</v>
      </c>
      <c r="E126" s="12">
        <v>66650</v>
      </c>
      <c r="F126" s="15">
        <f>SUM(D126:E126)</f>
        <v>566650</v>
      </c>
      <c r="G126" s="31">
        <v>50</v>
      </c>
      <c r="H126" s="12">
        <v>11333</v>
      </c>
      <c r="I126" s="8">
        <v>42</v>
      </c>
      <c r="J126" s="11">
        <f t="shared" si="13"/>
        <v>8</v>
      </c>
      <c r="K126" s="12">
        <f>(42*11333)</f>
        <v>475986</v>
      </c>
      <c r="L126" s="15">
        <f t="shared" si="14"/>
        <v>90664</v>
      </c>
      <c r="M126" s="8"/>
      <c r="N126" s="39" t="e">
        <f>#REF!-H126</f>
        <v>#REF!</v>
      </c>
    </row>
    <row r="127" spans="1:14" ht="15.75">
      <c r="A127" s="73"/>
      <c r="B127" s="14">
        <v>122</v>
      </c>
      <c r="C127" s="25" t="s">
        <v>213</v>
      </c>
      <c r="D127" s="12">
        <v>150000</v>
      </c>
      <c r="E127" s="12">
        <v>19995</v>
      </c>
      <c r="F127" s="15">
        <f>SUM(D127:E127)</f>
        <v>169995</v>
      </c>
      <c r="G127" s="31">
        <v>50</v>
      </c>
      <c r="H127" s="12">
        <v>3399.9</v>
      </c>
      <c r="I127" s="8">
        <v>30</v>
      </c>
      <c r="J127" s="11">
        <f t="shared" si="13"/>
        <v>20</v>
      </c>
      <c r="K127" s="12">
        <f>(30*3399.9)</f>
        <v>101997</v>
      </c>
      <c r="L127" s="15">
        <f t="shared" si="14"/>
        <v>67998</v>
      </c>
      <c r="M127" s="8"/>
      <c r="N127" s="39" t="e">
        <f>#REF!-H127</f>
        <v>#REF!</v>
      </c>
    </row>
    <row r="128" spans="1:14" ht="15.75">
      <c r="A128" s="73"/>
      <c r="B128" s="14">
        <v>123</v>
      </c>
      <c r="C128" s="2" t="s">
        <v>37</v>
      </c>
      <c r="D128" s="18">
        <v>500000</v>
      </c>
      <c r="E128" s="18">
        <v>66650</v>
      </c>
      <c r="F128" s="18">
        <v>566650</v>
      </c>
      <c r="G128" s="33">
        <v>50</v>
      </c>
      <c r="H128" s="16">
        <v>11333</v>
      </c>
      <c r="I128" s="8">
        <v>7</v>
      </c>
      <c r="J128" s="11">
        <f t="shared" si="13"/>
        <v>43</v>
      </c>
      <c r="K128" s="12">
        <f>(7*11333)</f>
        <v>79331</v>
      </c>
      <c r="L128" s="12">
        <f t="shared" si="14"/>
        <v>487319</v>
      </c>
      <c r="M128" s="1"/>
      <c r="N128" s="39" t="e">
        <f>#REF!-H128</f>
        <v>#REF!</v>
      </c>
    </row>
    <row r="129" spans="1:14" ht="15.75">
      <c r="A129" s="73"/>
      <c r="B129" s="14">
        <v>124</v>
      </c>
      <c r="C129" s="2" t="s">
        <v>75</v>
      </c>
      <c r="D129" s="12">
        <v>500000</v>
      </c>
      <c r="E129" s="12">
        <v>66650</v>
      </c>
      <c r="F129" s="15">
        <f>SUM(D129:E129)</f>
        <v>566650</v>
      </c>
      <c r="G129" s="33">
        <v>50</v>
      </c>
      <c r="H129" s="12">
        <v>11333</v>
      </c>
      <c r="I129" s="11">
        <v>20</v>
      </c>
      <c r="J129" s="11">
        <f t="shared" si="13"/>
        <v>30</v>
      </c>
      <c r="K129" s="12">
        <f>(20*11333)</f>
        <v>226660</v>
      </c>
      <c r="L129" s="15">
        <f t="shared" si="14"/>
        <v>339990</v>
      </c>
      <c r="M129" s="8"/>
      <c r="N129" s="39" t="e">
        <f>#REF!-H129</f>
        <v>#REF!</v>
      </c>
    </row>
    <row r="130" spans="1:14" ht="15.75">
      <c r="A130" s="73"/>
      <c r="B130" s="14">
        <v>125</v>
      </c>
      <c r="C130" s="2" t="s">
        <v>222</v>
      </c>
      <c r="D130" s="12">
        <v>500000</v>
      </c>
      <c r="E130" s="12">
        <v>66650</v>
      </c>
      <c r="F130" s="12">
        <v>566650</v>
      </c>
      <c r="G130" s="31">
        <v>50</v>
      </c>
      <c r="H130" s="18">
        <v>11333</v>
      </c>
      <c r="I130" s="33">
        <v>20</v>
      </c>
      <c r="J130" s="11">
        <f t="shared" si="13"/>
        <v>30</v>
      </c>
      <c r="K130" s="12">
        <f>(20*11333)</f>
        <v>226660</v>
      </c>
      <c r="L130" s="15">
        <f t="shared" si="14"/>
        <v>339990</v>
      </c>
      <c r="M130" s="8"/>
      <c r="N130" s="39" t="e">
        <f>#REF!-H130</f>
        <v>#REF!</v>
      </c>
    </row>
    <row r="131" spans="1:14" ht="15.75">
      <c r="A131" s="73"/>
      <c r="B131" s="14">
        <v>126</v>
      </c>
      <c r="C131" s="75" t="s">
        <v>262</v>
      </c>
      <c r="D131" s="12">
        <v>450000</v>
      </c>
      <c r="E131" s="16">
        <v>59985</v>
      </c>
      <c r="F131" s="16">
        <v>509985</v>
      </c>
      <c r="G131" s="33">
        <v>50</v>
      </c>
      <c r="H131" s="77">
        <v>10199.700000000001</v>
      </c>
      <c r="I131" s="1">
        <v>14</v>
      </c>
      <c r="J131" s="1">
        <f t="shared" si="13"/>
        <v>36</v>
      </c>
      <c r="K131" s="12">
        <f>(14*10199.7)</f>
        <v>142795.80000000002</v>
      </c>
      <c r="L131" s="15">
        <f t="shared" si="14"/>
        <v>367189.19999999995</v>
      </c>
      <c r="M131" s="1" t="s">
        <v>251</v>
      </c>
      <c r="N131" s="39" t="e">
        <f>#REF!-H131</f>
        <v>#REF!</v>
      </c>
    </row>
    <row r="132" spans="1:14" ht="15.75">
      <c r="A132" s="73"/>
      <c r="B132" s="14">
        <v>127</v>
      </c>
      <c r="C132" s="2" t="s">
        <v>96</v>
      </c>
      <c r="D132" s="12">
        <v>450000</v>
      </c>
      <c r="E132" s="16">
        <v>59985</v>
      </c>
      <c r="F132" s="15">
        <f>SUM(D132:E132)</f>
        <v>509985</v>
      </c>
      <c r="G132" s="33">
        <v>50</v>
      </c>
      <c r="H132" s="16">
        <v>10199.700000000001</v>
      </c>
      <c r="I132" s="8">
        <v>26</v>
      </c>
      <c r="J132" s="11">
        <f t="shared" ref="J132:J163" si="16">G132-I132</f>
        <v>24</v>
      </c>
      <c r="K132" s="12">
        <f>(26*10199.7)</f>
        <v>265192.2</v>
      </c>
      <c r="L132" s="15">
        <f t="shared" ref="L132:L163" si="17">F132-K132</f>
        <v>244792.8</v>
      </c>
      <c r="M132" s="8"/>
      <c r="N132" s="39" t="e">
        <f>#REF!-H132</f>
        <v>#REF!</v>
      </c>
    </row>
    <row r="133" spans="1:14" ht="15.75">
      <c r="A133" s="73"/>
      <c r="B133" s="14">
        <v>128</v>
      </c>
      <c r="C133" s="2" t="s">
        <v>77</v>
      </c>
      <c r="D133" s="12">
        <v>500000</v>
      </c>
      <c r="E133" s="12">
        <v>66650</v>
      </c>
      <c r="F133" s="15">
        <f>SUM(D133:E133)</f>
        <v>566650</v>
      </c>
      <c r="G133" s="31">
        <v>50</v>
      </c>
      <c r="H133" s="12">
        <v>11333</v>
      </c>
      <c r="I133" s="11">
        <v>21</v>
      </c>
      <c r="J133" s="11">
        <f t="shared" si="16"/>
        <v>29</v>
      </c>
      <c r="K133" s="12">
        <f>(21*11333)</f>
        <v>237993</v>
      </c>
      <c r="L133" s="15">
        <f t="shared" si="17"/>
        <v>328657</v>
      </c>
      <c r="M133" s="8"/>
      <c r="N133" s="39" t="e">
        <f>#REF!-H133</f>
        <v>#REF!</v>
      </c>
    </row>
    <row r="134" spans="1:14" ht="15.75">
      <c r="A134" s="73"/>
      <c r="B134" s="14">
        <v>129</v>
      </c>
      <c r="C134" s="2" t="s">
        <v>78</v>
      </c>
      <c r="D134" s="12">
        <v>500000</v>
      </c>
      <c r="E134" s="12">
        <v>66650</v>
      </c>
      <c r="F134" s="15">
        <f>SUM(D134:E134)</f>
        <v>566650</v>
      </c>
      <c r="G134" s="31">
        <v>50</v>
      </c>
      <c r="H134" s="12">
        <v>11333</v>
      </c>
      <c r="I134" s="8">
        <v>42</v>
      </c>
      <c r="J134" s="11">
        <f t="shared" si="16"/>
        <v>8</v>
      </c>
      <c r="K134" s="12">
        <f>(42*11333)</f>
        <v>475986</v>
      </c>
      <c r="L134" s="15">
        <f t="shared" si="17"/>
        <v>90664</v>
      </c>
      <c r="M134" s="8"/>
      <c r="N134" s="39" t="e">
        <f>#REF!-H134</f>
        <v>#REF!</v>
      </c>
    </row>
    <row r="135" spans="1:14" ht="15.75">
      <c r="A135" s="73"/>
      <c r="B135" s="14">
        <v>130</v>
      </c>
      <c r="C135" s="2" t="s">
        <v>21</v>
      </c>
      <c r="D135" s="18">
        <v>500000</v>
      </c>
      <c r="E135" s="18">
        <v>66650</v>
      </c>
      <c r="F135" s="18">
        <v>566650</v>
      </c>
      <c r="G135" s="33">
        <v>50</v>
      </c>
      <c r="H135" s="16">
        <v>11333</v>
      </c>
      <c r="I135" s="8">
        <v>7</v>
      </c>
      <c r="J135" s="11">
        <f t="shared" si="16"/>
        <v>43</v>
      </c>
      <c r="K135" s="12">
        <f>(7*11333)</f>
        <v>79331</v>
      </c>
      <c r="L135" s="12">
        <f t="shared" si="17"/>
        <v>487319</v>
      </c>
      <c r="M135" s="8"/>
      <c r="N135" s="39" t="e">
        <f>#REF!-H135</f>
        <v>#REF!</v>
      </c>
    </row>
    <row r="136" spans="1:14" ht="15.75">
      <c r="A136" s="73"/>
      <c r="B136" s="14">
        <v>131</v>
      </c>
      <c r="C136" s="2" t="s">
        <v>79</v>
      </c>
      <c r="D136" s="12">
        <v>500000</v>
      </c>
      <c r="E136" s="12">
        <v>66650</v>
      </c>
      <c r="F136" s="15">
        <f>SUM(D136:E136)</f>
        <v>566650</v>
      </c>
      <c r="G136" s="31">
        <v>50</v>
      </c>
      <c r="H136" s="12">
        <v>11333</v>
      </c>
      <c r="I136" s="11">
        <v>21</v>
      </c>
      <c r="J136" s="11">
        <f t="shared" si="16"/>
        <v>29</v>
      </c>
      <c r="K136" s="12">
        <f>(21*11333)</f>
        <v>237993</v>
      </c>
      <c r="L136" s="15">
        <f t="shared" si="17"/>
        <v>328657</v>
      </c>
      <c r="M136" s="8"/>
      <c r="N136" s="39" t="e">
        <f>#REF!-H136</f>
        <v>#REF!</v>
      </c>
    </row>
    <row r="137" spans="1:14" ht="15.75">
      <c r="A137" s="73"/>
      <c r="B137" s="14">
        <v>132</v>
      </c>
      <c r="C137" s="2" t="s">
        <v>27</v>
      </c>
      <c r="D137" s="18">
        <v>500000</v>
      </c>
      <c r="E137" s="18">
        <v>66650</v>
      </c>
      <c r="F137" s="18">
        <v>566650</v>
      </c>
      <c r="G137" s="33">
        <v>50</v>
      </c>
      <c r="H137" s="16">
        <v>11333</v>
      </c>
      <c r="I137" s="8">
        <v>7</v>
      </c>
      <c r="J137" s="11">
        <f t="shared" si="16"/>
        <v>43</v>
      </c>
      <c r="K137" s="12">
        <f>(7*11333)</f>
        <v>79331</v>
      </c>
      <c r="L137" s="12">
        <f t="shared" si="17"/>
        <v>487319</v>
      </c>
      <c r="M137" s="1"/>
      <c r="N137" s="39" t="e">
        <f>#REF!-H137</f>
        <v>#REF!</v>
      </c>
    </row>
    <row r="138" spans="1:14" ht="15.75">
      <c r="A138" s="73"/>
      <c r="B138" s="14">
        <v>133</v>
      </c>
      <c r="C138" s="2" t="s">
        <v>97</v>
      </c>
      <c r="D138" s="12">
        <v>450000</v>
      </c>
      <c r="E138" s="12">
        <v>59985</v>
      </c>
      <c r="F138" s="15">
        <f>SUM(D138:E138)</f>
        <v>509985</v>
      </c>
      <c r="G138" s="31">
        <v>50</v>
      </c>
      <c r="H138" s="12">
        <v>10199.700000000001</v>
      </c>
      <c r="I138" s="11">
        <v>21</v>
      </c>
      <c r="J138" s="11">
        <f t="shared" si="16"/>
        <v>29</v>
      </c>
      <c r="K138" s="12">
        <f>(21*10199.7)</f>
        <v>214193.7</v>
      </c>
      <c r="L138" s="15">
        <f t="shared" si="17"/>
        <v>295791.3</v>
      </c>
      <c r="M138" s="8"/>
      <c r="N138" s="39" t="e">
        <f>#REF!-H138</f>
        <v>#REF!</v>
      </c>
    </row>
    <row r="139" spans="1:14" ht="15.75">
      <c r="A139" s="73"/>
      <c r="B139" s="14">
        <v>134</v>
      </c>
      <c r="C139" s="2" t="s">
        <v>80</v>
      </c>
      <c r="D139" s="12">
        <v>500000</v>
      </c>
      <c r="E139" s="12">
        <v>66650</v>
      </c>
      <c r="F139" s="15">
        <f>SUM(D139:E139)</f>
        <v>566650</v>
      </c>
      <c r="G139" s="31">
        <v>50</v>
      </c>
      <c r="H139" s="12">
        <v>11333</v>
      </c>
      <c r="I139" s="8">
        <v>42</v>
      </c>
      <c r="J139" s="11">
        <f t="shared" si="16"/>
        <v>8</v>
      </c>
      <c r="K139" s="12">
        <f>(42*11333)</f>
        <v>475986</v>
      </c>
      <c r="L139" s="15">
        <f t="shared" si="17"/>
        <v>90664</v>
      </c>
      <c r="M139" s="8"/>
      <c r="N139" s="39" t="e">
        <f>#REF!-H139</f>
        <v>#REF!</v>
      </c>
    </row>
    <row r="140" spans="1:14" ht="15.75">
      <c r="A140" s="73"/>
      <c r="B140" s="14">
        <v>135</v>
      </c>
      <c r="C140" s="2" t="s">
        <v>176</v>
      </c>
      <c r="D140" s="15">
        <v>200000</v>
      </c>
      <c r="E140" s="15">
        <v>26660</v>
      </c>
      <c r="F140" s="15">
        <f>SUM(D140:E140)</f>
        <v>226660</v>
      </c>
      <c r="G140" s="31">
        <v>40</v>
      </c>
      <c r="H140" s="15">
        <v>5666.5</v>
      </c>
      <c r="I140" s="8">
        <v>35</v>
      </c>
      <c r="J140" s="11">
        <f t="shared" si="16"/>
        <v>5</v>
      </c>
      <c r="K140" s="12">
        <f>(35*5666.5)</f>
        <v>198327.5</v>
      </c>
      <c r="L140" s="15">
        <f t="shared" si="17"/>
        <v>28332.5</v>
      </c>
      <c r="M140" s="8"/>
      <c r="N140" s="39" t="e">
        <f>#REF!-H140</f>
        <v>#REF!</v>
      </c>
    </row>
    <row r="141" spans="1:14" ht="15.75">
      <c r="A141" s="73"/>
      <c r="B141" s="14">
        <v>136</v>
      </c>
      <c r="C141" s="2" t="s">
        <v>229</v>
      </c>
      <c r="D141" s="15">
        <v>200000</v>
      </c>
      <c r="E141" s="15">
        <v>26660</v>
      </c>
      <c r="F141" s="15">
        <v>226660</v>
      </c>
      <c r="G141" s="31">
        <v>40</v>
      </c>
      <c r="H141" s="18">
        <v>5666.5</v>
      </c>
      <c r="I141" s="31">
        <v>34</v>
      </c>
      <c r="J141" s="11">
        <f t="shared" si="16"/>
        <v>6</v>
      </c>
      <c r="K141" s="12">
        <f>(34*5666.5)</f>
        <v>192661</v>
      </c>
      <c r="L141" s="15">
        <f t="shared" si="17"/>
        <v>33999</v>
      </c>
      <c r="M141" s="8"/>
      <c r="N141" s="39" t="e">
        <f>#REF!-H141</f>
        <v>#REF!</v>
      </c>
    </row>
    <row r="142" spans="1:14" ht="15.75">
      <c r="A142" s="73"/>
      <c r="B142" s="14">
        <v>137</v>
      </c>
      <c r="C142" s="2" t="s">
        <v>81</v>
      </c>
      <c r="D142" s="12">
        <v>500000</v>
      </c>
      <c r="E142" s="12">
        <v>66650</v>
      </c>
      <c r="F142" s="15">
        <f>SUM(D142:E142)</f>
        <v>566650</v>
      </c>
      <c r="G142" s="31">
        <v>50</v>
      </c>
      <c r="H142" s="12">
        <v>11333</v>
      </c>
      <c r="I142" s="8">
        <v>28</v>
      </c>
      <c r="J142" s="11">
        <f t="shared" si="16"/>
        <v>22</v>
      </c>
      <c r="K142" s="12">
        <f>(28*11333)</f>
        <v>317324</v>
      </c>
      <c r="L142" s="15">
        <f t="shared" si="17"/>
        <v>249326</v>
      </c>
      <c r="M142" s="8"/>
      <c r="N142" s="39" t="e">
        <f>#REF!-H142</f>
        <v>#REF!</v>
      </c>
    </row>
    <row r="143" spans="1:14" ht="15.75">
      <c r="A143" s="73"/>
      <c r="B143" s="14">
        <v>138</v>
      </c>
      <c r="C143" s="23" t="s">
        <v>82</v>
      </c>
      <c r="D143" s="12">
        <v>500000</v>
      </c>
      <c r="E143" s="12">
        <v>66650</v>
      </c>
      <c r="F143" s="15">
        <f>SUM(D143:E143)</f>
        <v>566650</v>
      </c>
      <c r="G143" s="31">
        <v>50</v>
      </c>
      <c r="H143" s="12">
        <v>11333</v>
      </c>
      <c r="I143" s="8">
        <v>42</v>
      </c>
      <c r="J143" s="11">
        <f t="shared" si="16"/>
        <v>8</v>
      </c>
      <c r="K143" s="12">
        <f>(42*11333)</f>
        <v>475986</v>
      </c>
      <c r="L143" s="15">
        <f t="shared" si="17"/>
        <v>90664</v>
      </c>
      <c r="M143" s="8"/>
      <c r="N143" s="39" t="e">
        <f>#REF!-H143</f>
        <v>#REF!</v>
      </c>
    </row>
    <row r="144" spans="1:14" ht="15.75">
      <c r="A144" s="73"/>
      <c r="B144" s="14">
        <v>139</v>
      </c>
      <c r="C144" s="2" t="s">
        <v>26</v>
      </c>
      <c r="D144" s="18">
        <v>500000</v>
      </c>
      <c r="E144" s="18">
        <v>66650</v>
      </c>
      <c r="F144" s="18">
        <v>566650</v>
      </c>
      <c r="G144" s="33">
        <v>50</v>
      </c>
      <c r="H144" s="16">
        <v>11333</v>
      </c>
      <c r="I144" s="8">
        <v>7</v>
      </c>
      <c r="J144" s="11">
        <f t="shared" si="16"/>
        <v>43</v>
      </c>
      <c r="K144" s="12">
        <f>(7*11333)</f>
        <v>79331</v>
      </c>
      <c r="L144" s="12">
        <f t="shared" si="17"/>
        <v>487319</v>
      </c>
      <c r="M144" s="1"/>
      <c r="N144" s="39" t="e">
        <f>#REF!-H144</f>
        <v>#REF!</v>
      </c>
    </row>
    <row r="145" spans="1:14" ht="15.75">
      <c r="A145" s="73"/>
      <c r="B145" s="14">
        <v>140</v>
      </c>
      <c r="C145" s="2" t="s">
        <v>99</v>
      </c>
      <c r="D145" s="12">
        <v>450000</v>
      </c>
      <c r="E145" s="16">
        <v>59985</v>
      </c>
      <c r="F145" s="15">
        <f>SUM(D145:E145)</f>
        <v>509985</v>
      </c>
      <c r="G145" s="33">
        <v>50</v>
      </c>
      <c r="H145" s="16">
        <v>10199.700000000001</v>
      </c>
      <c r="I145" s="8">
        <v>30</v>
      </c>
      <c r="J145" s="11">
        <f t="shared" si="16"/>
        <v>20</v>
      </c>
      <c r="K145" s="12">
        <f>(30*10199.7)</f>
        <v>305991</v>
      </c>
      <c r="L145" s="15">
        <f t="shared" si="17"/>
        <v>203994</v>
      </c>
      <c r="M145" s="8"/>
      <c r="N145" s="39" t="e">
        <f>#REF!-H145</f>
        <v>#REF!</v>
      </c>
    </row>
    <row r="146" spans="1:14" ht="15.75">
      <c r="A146" s="73"/>
      <c r="B146" s="14">
        <v>141</v>
      </c>
      <c r="C146" s="2" t="s">
        <v>17</v>
      </c>
      <c r="D146" s="18">
        <v>500000</v>
      </c>
      <c r="E146" s="18">
        <v>66650</v>
      </c>
      <c r="F146" s="18">
        <v>566650</v>
      </c>
      <c r="G146" s="33">
        <v>50</v>
      </c>
      <c r="H146" s="16">
        <v>11333</v>
      </c>
      <c r="I146" s="8">
        <v>7</v>
      </c>
      <c r="J146" s="11">
        <f t="shared" si="16"/>
        <v>43</v>
      </c>
      <c r="K146" s="12">
        <f>(7*11333)</f>
        <v>79331</v>
      </c>
      <c r="L146" s="12">
        <f t="shared" si="17"/>
        <v>487319</v>
      </c>
      <c r="M146" s="8"/>
      <c r="N146" s="39" t="e">
        <f>#REF!-H146</f>
        <v>#REF!</v>
      </c>
    </row>
    <row r="147" spans="1:14" ht="15.75">
      <c r="A147" s="73"/>
      <c r="B147" s="14">
        <v>142</v>
      </c>
      <c r="C147" s="2" t="s">
        <v>178</v>
      </c>
      <c r="D147" s="15">
        <v>200000</v>
      </c>
      <c r="E147" s="15">
        <v>26660</v>
      </c>
      <c r="F147" s="15">
        <f>SUM(D147:E147)</f>
        <v>226660</v>
      </c>
      <c r="G147" s="31">
        <v>40</v>
      </c>
      <c r="H147" s="15">
        <v>5666.5</v>
      </c>
      <c r="I147" s="8">
        <v>41</v>
      </c>
      <c r="J147" s="11">
        <f t="shared" si="16"/>
        <v>-1</v>
      </c>
      <c r="K147" s="12">
        <f>(41*5666.5)</f>
        <v>232326.5</v>
      </c>
      <c r="L147" s="15">
        <f t="shared" si="17"/>
        <v>-5666.5</v>
      </c>
      <c r="M147" s="8"/>
      <c r="N147" s="39" t="e">
        <f>#REF!-H147</f>
        <v>#REF!</v>
      </c>
    </row>
    <row r="148" spans="1:14" ht="15.75">
      <c r="A148" s="73"/>
      <c r="B148" s="14">
        <v>143</v>
      </c>
      <c r="C148" s="2" t="s">
        <v>230</v>
      </c>
      <c r="D148" s="15">
        <v>200000</v>
      </c>
      <c r="E148" s="15">
        <v>26660</v>
      </c>
      <c r="F148" s="15">
        <v>226660</v>
      </c>
      <c r="G148" s="31">
        <v>40</v>
      </c>
      <c r="H148" s="18">
        <v>5666.5</v>
      </c>
      <c r="I148" s="31">
        <v>34</v>
      </c>
      <c r="J148" s="11">
        <f t="shared" si="16"/>
        <v>6</v>
      </c>
      <c r="K148" s="12">
        <f>(34*5666.5)</f>
        <v>192661</v>
      </c>
      <c r="L148" s="15">
        <f t="shared" si="17"/>
        <v>33999</v>
      </c>
      <c r="M148" s="8"/>
      <c r="N148" s="39" t="e">
        <f>#REF!-H148</f>
        <v>#REF!</v>
      </c>
    </row>
    <row r="149" spans="1:14" ht="15.75">
      <c r="A149" s="73"/>
      <c r="B149" s="14">
        <v>144</v>
      </c>
      <c r="C149" s="2" t="s">
        <v>83</v>
      </c>
      <c r="D149" s="12">
        <v>500000</v>
      </c>
      <c r="E149" s="12">
        <v>66650</v>
      </c>
      <c r="F149" s="15">
        <f>SUM(D149:E149)</f>
        <v>566650</v>
      </c>
      <c r="G149" s="31">
        <v>50</v>
      </c>
      <c r="H149" s="12">
        <v>11333</v>
      </c>
      <c r="I149" s="8">
        <v>26</v>
      </c>
      <c r="J149" s="11">
        <f t="shared" si="16"/>
        <v>24</v>
      </c>
      <c r="K149" s="12">
        <f>(26*11333)</f>
        <v>294658</v>
      </c>
      <c r="L149" s="15">
        <f t="shared" si="17"/>
        <v>271992</v>
      </c>
      <c r="M149" s="8"/>
      <c r="N149" s="39" t="e">
        <f>#REF!-H149</f>
        <v>#REF!</v>
      </c>
    </row>
    <row r="150" spans="1:14" ht="15.75">
      <c r="A150" s="73"/>
      <c r="B150" s="14">
        <v>145</v>
      </c>
      <c r="C150" s="2" t="s">
        <v>41</v>
      </c>
      <c r="D150" s="12">
        <v>450000</v>
      </c>
      <c r="E150" s="16">
        <v>59985</v>
      </c>
      <c r="F150" s="16">
        <v>509985</v>
      </c>
      <c r="G150" s="33">
        <v>50</v>
      </c>
      <c r="H150" s="16">
        <v>10199.700000000001</v>
      </c>
      <c r="I150" s="8">
        <v>6</v>
      </c>
      <c r="J150" s="11">
        <f t="shared" si="16"/>
        <v>44</v>
      </c>
      <c r="K150" s="12">
        <f>(6*10199)</f>
        <v>61194</v>
      </c>
      <c r="L150" s="12">
        <f t="shared" si="17"/>
        <v>448791</v>
      </c>
      <c r="M150" s="1"/>
      <c r="N150" s="39" t="e">
        <f>#REF!-H150</f>
        <v>#REF!</v>
      </c>
    </row>
    <row r="151" spans="1:14" ht="15.75">
      <c r="A151" s="73"/>
      <c r="B151" s="14">
        <v>146</v>
      </c>
      <c r="C151" s="2" t="s">
        <v>84</v>
      </c>
      <c r="D151" s="12">
        <v>500000</v>
      </c>
      <c r="E151" s="12">
        <v>66650</v>
      </c>
      <c r="F151" s="15">
        <f>SUM(D151:E151)</f>
        <v>566650</v>
      </c>
      <c r="G151" s="31">
        <v>50</v>
      </c>
      <c r="H151" s="12">
        <v>11333</v>
      </c>
      <c r="I151" s="11">
        <v>21</v>
      </c>
      <c r="J151" s="11">
        <f t="shared" si="16"/>
        <v>29</v>
      </c>
      <c r="K151" s="12">
        <f>(21*11333)</f>
        <v>237993</v>
      </c>
      <c r="L151" s="15">
        <f t="shared" si="17"/>
        <v>328657</v>
      </c>
      <c r="M151" s="8"/>
      <c r="N151" s="39" t="e">
        <f>#REF!-H151</f>
        <v>#REF!</v>
      </c>
    </row>
    <row r="152" spans="1:14" ht="15.75">
      <c r="A152" s="73"/>
      <c r="B152" s="14">
        <v>147</v>
      </c>
      <c r="C152" s="2" t="s">
        <v>236</v>
      </c>
      <c r="D152" s="12">
        <v>180000</v>
      </c>
      <c r="E152" s="12">
        <v>23994</v>
      </c>
      <c r="F152" s="12">
        <v>203994</v>
      </c>
      <c r="G152" s="30">
        <v>40</v>
      </c>
      <c r="H152" s="18">
        <v>5099.8500000000004</v>
      </c>
      <c r="I152" s="30">
        <v>44</v>
      </c>
      <c r="J152" s="11">
        <f t="shared" si="16"/>
        <v>-4</v>
      </c>
      <c r="K152" s="12">
        <f>(44*5099.85)</f>
        <v>224393.40000000002</v>
      </c>
      <c r="L152" s="15">
        <f t="shared" si="17"/>
        <v>-20399.400000000023</v>
      </c>
      <c r="M152" s="10"/>
      <c r="N152" s="39" t="e">
        <f>#REF!-H152</f>
        <v>#REF!</v>
      </c>
    </row>
    <row r="153" spans="1:14" ht="15.75">
      <c r="A153" s="73"/>
      <c r="B153" s="14">
        <v>148</v>
      </c>
      <c r="C153" s="2" t="s">
        <v>32</v>
      </c>
      <c r="D153" s="20">
        <v>330000</v>
      </c>
      <c r="E153" s="20">
        <v>43989</v>
      </c>
      <c r="F153" s="20">
        <f>SUM(D153:E153)</f>
        <v>373989</v>
      </c>
      <c r="G153" s="33">
        <v>50</v>
      </c>
      <c r="H153" s="3">
        <v>7479.78</v>
      </c>
      <c r="I153" s="8">
        <v>7</v>
      </c>
      <c r="J153" s="11">
        <f t="shared" si="16"/>
        <v>43</v>
      </c>
      <c r="K153" s="3">
        <f>(7*7479.78)</f>
        <v>52358.46</v>
      </c>
      <c r="L153" s="12">
        <f t="shared" si="17"/>
        <v>321630.53999999998</v>
      </c>
      <c r="M153" s="1"/>
      <c r="N153" s="39" t="e">
        <f>#REF!-H153</f>
        <v>#REF!</v>
      </c>
    </row>
    <row r="154" spans="1:14" ht="15.75">
      <c r="A154" s="73"/>
      <c r="B154" s="14">
        <v>149</v>
      </c>
      <c r="C154" s="2" t="s">
        <v>179</v>
      </c>
      <c r="D154" s="15">
        <v>200000</v>
      </c>
      <c r="E154" s="15">
        <v>26660</v>
      </c>
      <c r="F154" s="15">
        <f>SUM(D154:E154)</f>
        <v>226660</v>
      </c>
      <c r="G154" s="31">
        <v>40</v>
      </c>
      <c r="H154" s="15">
        <v>5666.5</v>
      </c>
      <c r="I154" s="8">
        <v>34</v>
      </c>
      <c r="J154" s="11">
        <f t="shared" si="16"/>
        <v>6</v>
      </c>
      <c r="K154" s="12">
        <f>(34*5666.5)</f>
        <v>192661</v>
      </c>
      <c r="L154" s="15">
        <f t="shared" si="17"/>
        <v>33999</v>
      </c>
      <c r="M154" s="8"/>
      <c r="N154" s="39" t="e">
        <f>#REF!-H154</f>
        <v>#REF!</v>
      </c>
    </row>
    <row r="155" spans="1:14" ht="15.75">
      <c r="A155" s="73"/>
      <c r="B155" s="14">
        <v>150</v>
      </c>
      <c r="C155" s="2" t="s">
        <v>85</v>
      </c>
      <c r="D155" s="12">
        <v>500000</v>
      </c>
      <c r="E155" s="12">
        <v>66650</v>
      </c>
      <c r="F155" s="15">
        <f>SUM(D155:E155)</f>
        <v>566650</v>
      </c>
      <c r="G155" s="31">
        <v>50</v>
      </c>
      <c r="H155" s="12">
        <v>11333</v>
      </c>
      <c r="I155" s="11">
        <v>21</v>
      </c>
      <c r="J155" s="11">
        <f t="shared" si="16"/>
        <v>29</v>
      </c>
      <c r="K155" s="12">
        <f>(21*11333)</f>
        <v>237993</v>
      </c>
      <c r="L155" s="15">
        <f t="shared" si="17"/>
        <v>328657</v>
      </c>
      <c r="M155" s="8"/>
      <c r="N155" s="39" t="e">
        <f>#REF!-H155</f>
        <v>#REF!</v>
      </c>
    </row>
    <row r="156" spans="1:14" ht="15.75">
      <c r="A156" s="73"/>
      <c r="B156" s="14">
        <v>151</v>
      </c>
      <c r="C156" s="2" t="s">
        <v>180</v>
      </c>
      <c r="D156" s="15">
        <v>200000</v>
      </c>
      <c r="E156" s="15">
        <v>26660</v>
      </c>
      <c r="F156" s="15">
        <f>SUM(D156:E156)</f>
        <v>226660</v>
      </c>
      <c r="G156" s="32">
        <v>40</v>
      </c>
      <c r="H156" s="15">
        <v>5666.5</v>
      </c>
      <c r="I156" s="22">
        <v>44</v>
      </c>
      <c r="J156" s="11">
        <f t="shared" si="16"/>
        <v>-4</v>
      </c>
      <c r="K156" s="15">
        <f>(44*5666.5)</f>
        <v>249326</v>
      </c>
      <c r="L156" s="15">
        <f t="shared" si="17"/>
        <v>-22666</v>
      </c>
      <c r="M156" s="10"/>
      <c r="N156" s="39" t="e">
        <f>#REF!-H156</f>
        <v>#REF!</v>
      </c>
    </row>
    <row r="157" spans="1:14" ht="15.75">
      <c r="A157" s="73"/>
      <c r="B157" s="14">
        <v>152</v>
      </c>
      <c r="C157" s="2" t="s">
        <v>226</v>
      </c>
      <c r="D157" s="15">
        <v>200000</v>
      </c>
      <c r="E157" s="15">
        <v>26660</v>
      </c>
      <c r="F157" s="15">
        <v>226660</v>
      </c>
      <c r="G157" s="31">
        <v>40</v>
      </c>
      <c r="H157" s="18">
        <v>5666.5</v>
      </c>
      <c r="I157" s="31">
        <v>38</v>
      </c>
      <c r="J157" s="11">
        <f t="shared" si="16"/>
        <v>2</v>
      </c>
      <c r="K157" s="12">
        <f>(38*5666.5)</f>
        <v>215327</v>
      </c>
      <c r="L157" s="15">
        <f t="shared" si="17"/>
        <v>11333</v>
      </c>
      <c r="M157" s="8"/>
      <c r="N157" s="39" t="e">
        <f>#REF!-H157</f>
        <v>#REF!</v>
      </c>
    </row>
    <row r="158" spans="1:14" ht="15.75">
      <c r="A158" s="73"/>
      <c r="B158" s="14">
        <v>153</v>
      </c>
      <c r="C158" s="4" t="s">
        <v>207</v>
      </c>
      <c r="D158" s="12">
        <v>132000</v>
      </c>
      <c r="E158" s="12">
        <v>17595.599999999999</v>
      </c>
      <c r="F158" s="15">
        <f t="shared" ref="F158:F173" si="18">SUM(D158:E158)</f>
        <v>149595.6</v>
      </c>
      <c r="G158" s="31">
        <v>40</v>
      </c>
      <c r="H158" s="12">
        <v>3739.89</v>
      </c>
      <c r="I158" s="8">
        <v>36</v>
      </c>
      <c r="J158" s="11">
        <f t="shared" si="16"/>
        <v>4</v>
      </c>
      <c r="K158" s="12">
        <f>(36*3739.89)</f>
        <v>134636.04</v>
      </c>
      <c r="L158" s="15">
        <f t="shared" si="17"/>
        <v>14959.559999999998</v>
      </c>
      <c r="M158" s="8"/>
      <c r="N158" s="39" t="e">
        <f>#REF!-H158</f>
        <v>#REF!</v>
      </c>
    </row>
    <row r="159" spans="1:14" ht="15.75">
      <c r="A159" s="73"/>
      <c r="B159" s="14">
        <v>154</v>
      </c>
      <c r="C159" s="4" t="s">
        <v>100</v>
      </c>
      <c r="D159" s="12">
        <v>450000</v>
      </c>
      <c r="E159" s="16">
        <v>59985</v>
      </c>
      <c r="F159" s="15">
        <f t="shared" si="18"/>
        <v>509985</v>
      </c>
      <c r="G159" s="33">
        <v>50</v>
      </c>
      <c r="H159" s="16">
        <v>10199.700000000001</v>
      </c>
      <c r="I159" s="11">
        <v>20</v>
      </c>
      <c r="J159" s="11">
        <f t="shared" si="16"/>
        <v>30</v>
      </c>
      <c r="K159" s="12">
        <f>(20*10199.7)</f>
        <v>203994</v>
      </c>
      <c r="L159" s="15">
        <f t="shared" si="17"/>
        <v>305991</v>
      </c>
      <c r="M159" s="8"/>
      <c r="N159" s="39" t="e">
        <f>#REF!-H159</f>
        <v>#REF!</v>
      </c>
    </row>
    <row r="160" spans="1:14" ht="15.75">
      <c r="A160" s="73"/>
      <c r="B160" s="14">
        <v>155</v>
      </c>
      <c r="C160" s="4" t="s">
        <v>181</v>
      </c>
      <c r="D160" s="15">
        <v>200000</v>
      </c>
      <c r="E160" s="15">
        <v>26660</v>
      </c>
      <c r="F160" s="15">
        <f t="shared" si="18"/>
        <v>226660</v>
      </c>
      <c r="G160" s="31">
        <v>40</v>
      </c>
      <c r="H160" s="15">
        <v>5666.5</v>
      </c>
      <c r="I160" s="8">
        <v>38</v>
      </c>
      <c r="J160" s="11">
        <f t="shared" si="16"/>
        <v>2</v>
      </c>
      <c r="K160" s="12">
        <f>(38*5666.5)</f>
        <v>215327</v>
      </c>
      <c r="L160" s="15">
        <f t="shared" si="17"/>
        <v>11333</v>
      </c>
      <c r="M160" s="8"/>
      <c r="N160" s="39" t="e">
        <f>#REF!-H160</f>
        <v>#REF!</v>
      </c>
    </row>
    <row r="161" spans="1:14" ht="15.75">
      <c r="A161" s="73"/>
      <c r="B161" s="14">
        <v>156</v>
      </c>
      <c r="C161" s="4" t="s">
        <v>209</v>
      </c>
      <c r="D161" s="12">
        <v>132000</v>
      </c>
      <c r="E161" s="12">
        <v>17595.599999999999</v>
      </c>
      <c r="F161" s="15">
        <f t="shared" si="18"/>
        <v>149595.6</v>
      </c>
      <c r="G161" s="30">
        <v>40</v>
      </c>
      <c r="H161" s="12">
        <v>3739.89</v>
      </c>
      <c r="I161" s="22">
        <v>44</v>
      </c>
      <c r="J161" s="11">
        <f t="shared" si="16"/>
        <v>-4</v>
      </c>
      <c r="K161" s="12">
        <f>(44*3739.89)</f>
        <v>164555.16</v>
      </c>
      <c r="L161" s="15">
        <f t="shared" si="17"/>
        <v>-14959.559999999998</v>
      </c>
      <c r="M161" s="8"/>
      <c r="N161" s="39" t="e">
        <f>#REF!-H161</f>
        <v>#REF!</v>
      </c>
    </row>
    <row r="162" spans="1:14" ht="15.75">
      <c r="A162" s="73"/>
      <c r="B162" s="14">
        <v>157</v>
      </c>
      <c r="C162" s="2" t="s">
        <v>35</v>
      </c>
      <c r="D162" s="20">
        <v>150000</v>
      </c>
      <c r="E162" s="20">
        <v>19995</v>
      </c>
      <c r="F162" s="20">
        <f t="shared" si="18"/>
        <v>169995</v>
      </c>
      <c r="G162" s="33">
        <v>50</v>
      </c>
      <c r="H162" s="3">
        <v>3399.9</v>
      </c>
      <c r="I162" s="8">
        <v>7</v>
      </c>
      <c r="J162" s="11">
        <f t="shared" si="16"/>
        <v>43</v>
      </c>
      <c r="K162" s="3">
        <f>(7*3399.9)</f>
        <v>23799.3</v>
      </c>
      <c r="L162" s="12">
        <f t="shared" si="17"/>
        <v>146195.70000000001</v>
      </c>
      <c r="M162" s="1"/>
      <c r="N162" s="39" t="e">
        <f>#REF!-H162</f>
        <v>#REF!</v>
      </c>
    </row>
    <row r="163" spans="1:14" ht="15.75">
      <c r="A163" s="73"/>
      <c r="B163" s="14">
        <v>158</v>
      </c>
      <c r="C163" s="2" t="s">
        <v>115</v>
      </c>
      <c r="D163" s="12">
        <v>330000</v>
      </c>
      <c r="E163" s="12">
        <v>43989</v>
      </c>
      <c r="F163" s="15">
        <f t="shared" si="18"/>
        <v>373989</v>
      </c>
      <c r="G163" s="31">
        <v>50</v>
      </c>
      <c r="H163" s="12">
        <v>7479.78</v>
      </c>
      <c r="I163" s="8">
        <v>28</v>
      </c>
      <c r="J163" s="11">
        <f t="shared" si="16"/>
        <v>22</v>
      </c>
      <c r="K163" s="12">
        <f>(28*7479.78)</f>
        <v>209433.84</v>
      </c>
      <c r="L163" s="15">
        <f t="shared" si="17"/>
        <v>164555.16</v>
      </c>
      <c r="M163" s="8"/>
      <c r="N163" s="39" t="e">
        <f>#REF!-H163</f>
        <v>#REF!</v>
      </c>
    </row>
    <row r="164" spans="1:14" ht="15.75">
      <c r="A164" s="73"/>
      <c r="B164" s="14">
        <v>159</v>
      </c>
      <c r="C164" s="2" t="s">
        <v>86</v>
      </c>
      <c r="D164" s="12">
        <v>500000</v>
      </c>
      <c r="E164" s="12">
        <v>66650</v>
      </c>
      <c r="F164" s="15">
        <f t="shared" si="18"/>
        <v>566650</v>
      </c>
      <c r="G164" s="33">
        <v>50</v>
      </c>
      <c r="H164" s="12">
        <v>11333</v>
      </c>
      <c r="I164" s="11">
        <v>20</v>
      </c>
      <c r="J164" s="11">
        <f t="shared" ref="J164:J191" si="19">G164-I164</f>
        <v>30</v>
      </c>
      <c r="K164" s="16">
        <f>(20*11333)</f>
        <v>226660</v>
      </c>
      <c r="L164" s="15">
        <f t="shared" ref="L164:L191" si="20">F164-K164</f>
        <v>339990</v>
      </c>
      <c r="M164" s="8"/>
      <c r="N164" s="39" t="e">
        <f>#REF!-H164</f>
        <v>#REF!</v>
      </c>
    </row>
    <row r="165" spans="1:14" ht="15.75">
      <c r="A165" s="73"/>
      <c r="B165" s="14">
        <v>160</v>
      </c>
      <c r="C165" s="73" t="s">
        <v>260</v>
      </c>
      <c r="D165" s="12">
        <v>500000</v>
      </c>
      <c r="E165" s="12">
        <v>66650</v>
      </c>
      <c r="F165" s="15">
        <f t="shared" si="18"/>
        <v>566650</v>
      </c>
      <c r="G165" s="33">
        <v>50</v>
      </c>
      <c r="H165" s="12">
        <v>11333</v>
      </c>
      <c r="I165" s="11">
        <v>25</v>
      </c>
      <c r="J165" s="11">
        <f t="shared" si="19"/>
        <v>25</v>
      </c>
      <c r="K165" s="16">
        <f>(25*11333)</f>
        <v>283325</v>
      </c>
      <c r="L165" s="15">
        <f t="shared" si="20"/>
        <v>283325</v>
      </c>
      <c r="M165" s="8" t="s">
        <v>251</v>
      </c>
      <c r="N165" s="39" t="e">
        <f>#REF!-H165</f>
        <v>#REF!</v>
      </c>
    </row>
    <row r="166" spans="1:14" ht="15.75">
      <c r="A166" s="73"/>
      <c r="B166" s="14">
        <v>161</v>
      </c>
      <c r="C166" s="2" t="s">
        <v>249</v>
      </c>
      <c r="D166" s="12">
        <v>180000</v>
      </c>
      <c r="E166" s="12">
        <v>23994</v>
      </c>
      <c r="F166" s="15">
        <f t="shared" si="18"/>
        <v>203994</v>
      </c>
      <c r="G166" s="31">
        <v>40</v>
      </c>
      <c r="H166" s="12">
        <v>5099.8500000000004</v>
      </c>
      <c r="I166" s="8">
        <v>43</v>
      </c>
      <c r="J166" s="11">
        <f t="shared" si="19"/>
        <v>-3</v>
      </c>
      <c r="K166" s="12">
        <f>(43*5099.85)</f>
        <v>219293.55000000002</v>
      </c>
      <c r="L166" s="15">
        <f t="shared" si="20"/>
        <v>-15299.550000000017</v>
      </c>
      <c r="M166" s="8" t="s">
        <v>251</v>
      </c>
      <c r="N166" s="39" t="e">
        <f>#REF!-H166</f>
        <v>#REF!</v>
      </c>
    </row>
    <row r="167" spans="1:14" ht="15.75">
      <c r="A167" s="73"/>
      <c r="B167" s="14">
        <v>162</v>
      </c>
      <c r="C167" s="4" t="s">
        <v>116</v>
      </c>
      <c r="D167" s="12">
        <v>330000</v>
      </c>
      <c r="E167" s="12">
        <v>43989</v>
      </c>
      <c r="F167" s="15">
        <f t="shared" si="18"/>
        <v>373989</v>
      </c>
      <c r="G167" s="31">
        <v>50</v>
      </c>
      <c r="H167" s="12">
        <v>7479.78</v>
      </c>
      <c r="I167" s="8">
        <v>28</v>
      </c>
      <c r="J167" s="11">
        <f t="shared" si="19"/>
        <v>22</v>
      </c>
      <c r="K167" s="12">
        <f>(28*7479.78)</f>
        <v>209433.84</v>
      </c>
      <c r="L167" s="15">
        <f t="shared" si="20"/>
        <v>164555.16</v>
      </c>
      <c r="M167" s="8"/>
      <c r="N167" s="39" t="e">
        <f>#REF!-H167</f>
        <v>#REF!</v>
      </c>
    </row>
    <row r="168" spans="1:14" ht="15.75">
      <c r="A168" s="73"/>
      <c r="B168" s="14">
        <v>163</v>
      </c>
      <c r="C168" s="28" t="s">
        <v>47</v>
      </c>
      <c r="D168" s="12">
        <v>500000</v>
      </c>
      <c r="E168" s="16">
        <v>47992</v>
      </c>
      <c r="F168" s="15">
        <f t="shared" si="18"/>
        <v>547992</v>
      </c>
      <c r="G168" s="33">
        <v>36</v>
      </c>
      <c r="H168" s="16">
        <v>15222</v>
      </c>
      <c r="I168" s="11">
        <v>20</v>
      </c>
      <c r="J168" s="11">
        <f t="shared" si="19"/>
        <v>16</v>
      </c>
      <c r="K168" s="16">
        <f>(20*15222)</f>
        <v>304440</v>
      </c>
      <c r="L168" s="15">
        <f t="shared" si="20"/>
        <v>243552</v>
      </c>
      <c r="M168" s="8"/>
      <c r="N168" s="39" t="e">
        <f>#REF!-H168</f>
        <v>#REF!</v>
      </c>
    </row>
    <row r="169" spans="1:14" ht="15.75">
      <c r="A169" s="73"/>
      <c r="B169" s="14">
        <v>164</v>
      </c>
      <c r="C169" s="4" t="s">
        <v>183</v>
      </c>
      <c r="D169" s="15">
        <v>200000</v>
      </c>
      <c r="E169" s="15">
        <v>26660</v>
      </c>
      <c r="F169" s="15">
        <f t="shared" si="18"/>
        <v>226660</v>
      </c>
      <c r="G169" s="32">
        <v>40</v>
      </c>
      <c r="H169" s="15">
        <v>5666.5</v>
      </c>
      <c r="I169" s="22">
        <v>44</v>
      </c>
      <c r="J169" s="11">
        <f t="shared" si="19"/>
        <v>-4</v>
      </c>
      <c r="K169" s="15">
        <f>(44*5666.5)</f>
        <v>249326</v>
      </c>
      <c r="L169" s="15">
        <f t="shared" si="20"/>
        <v>-22666</v>
      </c>
      <c r="M169" s="10"/>
      <c r="N169" s="39" t="e">
        <f>#REF!-H169</f>
        <v>#REF!</v>
      </c>
    </row>
    <row r="170" spans="1:14" ht="15.75">
      <c r="A170" s="73"/>
      <c r="B170" s="14">
        <v>165</v>
      </c>
      <c r="C170" s="4" t="s">
        <v>87</v>
      </c>
      <c r="D170" s="12">
        <v>500000</v>
      </c>
      <c r="E170" s="12">
        <v>66650</v>
      </c>
      <c r="F170" s="15">
        <f t="shared" si="18"/>
        <v>566650</v>
      </c>
      <c r="G170" s="31">
        <v>50</v>
      </c>
      <c r="H170" s="12">
        <v>11333</v>
      </c>
      <c r="I170" s="8">
        <v>42</v>
      </c>
      <c r="J170" s="11">
        <f t="shared" si="19"/>
        <v>8</v>
      </c>
      <c r="K170" s="12">
        <f>(42*11333)</f>
        <v>475986</v>
      </c>
      <c r="L170" s="15">
        <f t="shared" si="20"/>
        <v>90664</v>
      </c>
      <c r="M170" s="8"/>
      <c r="N170" s="39" t="e">
        <f>#REF!-H170</f>
        <v>#REF!</v>
      </c>
    </row>
    <row r="171" spans="1:14" ht="15.75">
      <c r="A171" s="73"/>
      <c r="B171" s="14">
        <v>166</v>
      </c>
      <c r="C171" s="4" t="s">
        <v>103</v>
      </c>
      <c r="D171" s="12">
        <v>450000</v>
      </c>
      <c r="E171" s="16">
        <v>59985</v>
      </c>
      <c r="F171" s="15">
        <f t="shared" si="18"/>
        <v>509985</v>
      </c>
      <c r="G171" s="33">
        <v>50</v>
      </c>
      <c r="H171" s="16">
        <v>10199.700000000001</v>
      </c>
      <c r="I171" s="8">
        <v>21</v>
      </c>
      <c r="J171" s="11">
        <f t="shared" si="19"/>
        <v>29</v>
      </c>
      <c r="K171" s="12">
        <f>(21*10199.7)</f>
        <v>214193.7</v>
      </c>
      <c r="L171" s="15">
        <f t="shared" si="20"/>
        <v>295791.3</v>
      </c>
      <c r="M171" s="8"/>
      <c r="N171" s="39" t="e">
        <f>#REF!-H171</f>
        <v>#REF!</v>
      </c>
    </row>
    <row r="172" spans="1:14" ht="15.75">
      <c r="A172" s="73"/>
      <c r="B172" s="14">
        <v>167</v>
      </c>
      <c r="C172" s="4" t="s">
        <v>88</v>
      </c>
      <c r="D172" s="12">
        <v>500000</v>
      </c>
      <c r="E172" s="12">
        <v>66650</v>
      </c>
      <c r="F172" s="15">
        <f t="shared" si="18"/>
        <v>566650</v>
      </c>
      <c r="G172" s="31">
        <v>50</v>
      </c>
      <c r="H172" s="12">
        <v>11333</v>
      </c>
      <c r="I172" s="11">
        <v>21</v>
      </c>
      <c r="J172" s="11">
        <f t="shared" si="19"/>
        <v>29</v>
      </c>
      <c r="K172" s="12">
        <f>(21*11333)</f>
        <v>237993</v>
      </c>
      <c r="L172" s="15">
        <f t="shared" si="20"/>
        <v>328657</v>
      </c>
      <c r="M172" s="8"/>
      <c r="N172" s="39" t="e">
        <f>#REF!-H172</f>
        <v>#REF!</v>
      </c>
    </row>
    <row r="173" spans="1:14" ht="15.75">
      <c r="A173" s="73"/>
      <c r="B173" s="14">
        <v>168</v>
      </c>
      <c r="C173" s="4" t="s">
        <v>104</v>
      </c>
      <c r="D173" s="12">
        <v>450000</v>
      </c>
      <c r="E173" s="12">
        <v>59985</v>
      </c>
      <c r="F173" s="15">
        <f t="shared" si="18"/>
        <v>509985</v>
      </c>
      <c r="G173" s="31">
        <v>50</v>
      </c>
      <c r="H173" s="12">
        <v>10199.700000000001</v>
      </c>
      <c r="I173" s="11">
        <v>21</v>
      </c>
      <c r="J173" s="11">
        <f t="shared" si="19"/>
        <v>29</v>
      </c>
      <c r="K173" s="12">
        <f>(21*10199.7)</f>
        <v>214193.7</v>
      </c>
      <c r="L173" s="15">
        <f t="shared" si="20"/>
        <v>295791.3</v>
      </c>
      <c r="M173" s="8"/>
      <c r="N173" s="39" t="e">
        <f>#REF!-H173</f>
        <v>#REF!</v>
      </c>
    </row>
    <row r="174" spans="1:14" ht="15.75">
      <c r="A174" s="73"/>
      <c r="B174" s="14">
        <v>169</v>
      </c>
      <c r="C174" s="4" t="s">
        <v>38</v>
      </c>
      <c r="D174" s="18">
        <v>500000</v>
      </c>
      <c r="E174" s="18">
        <v>66650</v>
      </c>
      <c r="F174" s="18">
        <v>566650</v>
      </c>
      <c r="G174" s="33">
        <v>50</v>
      </c>
      <c r="H174" s="16">
        <v>11333</v>
      </c>
      <c r="I174" s="8">
        <v>7</v>
      </c>
      <c r="J174" s="11">
        <f t="shared" si="19"/>
        <v>43</v>
      </c>
      <c r="K174" s="12">
        <f>(7*11333)</f>
        <v>79331</v>
      </c>
      <c r="L174" s="12">
        <f t="shared" si="20"/>
        <v>487319</v>
      </c>
      <c r="M174" s="1"/>
      <c r="N174" s="39" t="e">
        <f>#REF!-H174</f>
        <v>#REF!</v>
      </c>
    </row>
    <row r="175" spans="1:14" ht="15.75">
      <c r="A175" s="73"/>
      <c r="B175" s="14">
        <v>170</v>
      </c>
      <c r="C175" s="4" t="s">
        <v>89</v>
      </c>
      <c r="D175" s="12">
        <v>500000</v>
      </c>
      <c r="E175" s="12">
        <v>66650</v>
      </c>
      <c r="F175" s="15">
        <f>SUM(D175:E175)</f>
        <v>566650</v>
      </c>
      <c r="G175" s="31">
        <v>50</v>
      </c>
      <c r="H175" s="12">
        <v>11333</v>
      </c>
      <c r="I175" s="8">
        <v>28</v>
      </c>
      <c r="J175" s="11">
        <f t="shared" si="19"/>
        <v>22</v>
      </c>
      <c r="K175" s="12">
        <f>(28*11333)</f>
        <v>317324</v>
      </c>
      <c r="L175" s="15">
        <f t="shared" si="20"/>
        <v>249326</v>
      </c>
      <c r="M175" s="8"/>
      <c r="N175" s="39" t="e">
        <f>#REF!-H175</f>
        <v>#REF!</v>
      </c>
    </row>
    <row r="176" spans="1:14" ht="15.75">
      <c r="A176" s="73"/>
      <c r="B176" s="14">
        <v>171</v>
      </c>
      <c r="C176" s="2" t="s">
        <v>117</v>
      </c>
      <c r="D176" s="12">
        <v>330000</v>
      </c>
      <c r="E176" s="12">
        <v>43989</v>
      </c>
      <c r="F176" s="15">
        <f>SUM(D176:E176)</f>
        <v>373989</v>
      </c>
      <c r="G176" s="31">
        <v>50</v>
      </c>
      <c r="H176" s="12">
        <v>7479.78</v>
      </c>
      <c r="I176" s="11">
        <v>29</v>
      </c>
      <c r="J176" s="11">
        <f t="shared" si="19"/>
        <v>21</v>
      </c>
      <c r="K176" s="16">
        <f>(29*7479.78)</f>
        <v>216913.62</v>
      </c>
      <c r="L176" s="15">
        <f t="shared" si="20"/>
        <v>157075.38</v>
      </c>
      <c r="M176" s="8"/>
      <c r="N176" s="39" t="e">
        <f>#REF!-H176</f>
        <v>#REF!</v>
      </c>
    </row>
    <row r="177" spans="1:14" ht="15.75">
      <c r="A177" s="73"/>
      <c r="B177" s="14">
        <v>172</v>
      </c>
      <c r="C177" s="2" t="s">
        <v>30</v>
      </c>
      <c r="D177" s="20">
        <v>330000</v>
      </c>
      <c r="E177" s="20">
        <v>43989</v>
      </c>
      <c r="F177" s="20">
        <f>SUM(D177:E177)</f>
        <v>373989</v>
      </c>
      <c r="G177" s="33">
        <v>50</v>
      </c>
      <c r="H177" s="3">
        <v>7479.78</v>
      </c>
      <c r="I177" s="8">
        <v>7</v>
      </c>
      <c r="J177" s="11">
        <f t="shared" si="19"/>
        <v>43</v>
      </c>
      <c r="K177" s="3">
        <f>(7*7479.78)</f>
        <v>52358.46</v>
      </c>
      <c r="L177" s="12">
        <f t="shared" si="20"/>
        <v>321630.53999999998</v>
      </c>
      <c r="M177" s="1"/>
      <c r="N177" s="39" t="e">
        <f>#REF!-H177</f>
        <v>#REF!</v>
      </c>
    </row>
    <row r="178" spans="1:14" ht="15.75">
      <c r="A178" s="73"/>
      <c r="B178" s="14">
        <v>173</v>
      </c>
      <c r="C178" s="2" t="s">
        <v>29</v>
      </c>
      <c r="D178" s="18">
        <v>450000</v>
      </c>
      <c r="E178" s="19">
        <v>59985</v>
      </c>
      <c r="F178" s="19">
        <v>509985</v>
      </c>
      <c r="G178" s="33">
        <v>50</v>
      </c>
      <c r="H178" s="16">
        <v>10199.700000000001</v>
      </c>
      <c r="I178" s="8">
        <v>7</v>
      </c>
      <c r="J178" s="11">
        <f t="shared" si="19"/>
        <v>43</v>
      </c>
      <c r="K178" s="12">
        <f>(7*10199)</f>
        <v>71393</v>
      </c>
      <c r="L178" s="12">
        <f t="shared" si="20"/>
        <v>438592</v>
      </c>
      <c r="M178" s="1"/>
      <c r="N178" s="39" t="e">
        <f>#REF!-H178</f>
        <v>#REF!</v>
      </c>
    </row>
    <row r="179" spans="1:14" ht="15.75">
      <c r="A179" s="73"/>
      <c r="B179" s="14">
        <v>174</v>
      </c>
      <c r="C179" s="26" t="s">
        <v>118</v>
      </c>
      <c r="D179" s="12">
        <v>330000</v>
      </c>
      <c r="E179" s="12">
        <v>43989</v>
      </c>
      <c r="F179" s="15">
        <f>SUM(D179:E179)</f>
        <v>373989</v>
      </c>
      <c r="G179" s="31">
        <v>50</v>
      </c>
      <c r="H179" s="12">
        <v>7479.78</v>
      </c>
      <c r="I179" s="8">
        <v>27</v>
      </c>
      <c r="J179" s="11">
        <f t="shared" si="19"/>
        <v>23</v>
      </c>
      <c r="K179" s="12">
        <f>(27*7479.78)</f>
        <v>201954.06</v>
      </c>
      <c r="L179" s="15">
        <f t="shared" si="20"/>
        <v>172034.94</v>
      </c>
      <c r="M179" s="8"/>
      <c r="N179" s="39" t="e">
        <f>#REF!-H179</f>
        <v>#REF!</v>
      </c>
    </row>
    <row r="180" spans="1:14" ht="15.75">
      <c r="A180" s="73"/>
      <c r="B180" s="14">
        <v>175</v>
      </c>
      <c r="C180" s="2" t="s">
        <v>90</v>
      </c>
      <c r="D180" s="12">
        <v>500000</v>
      </c>
      <c r="E180" s="12">
        <v>66650</v>
      </c>
      <c r="F180" s="15">
        <f>SUM(D180:E180)</f>
        <v>566650</v>
      </c>
      <c r="G180" s="31">
        <v>50</v>
      </c>
      <c r="H180" s="12">
        <v>11333</v>
      </c>
      <c r="I180" s="8">
        <v>41</v>
      </c>
      <c r="J180" s="11">
        <f t="shared" si="19"/>
        <v>9</v>
      </c>
      <c r="K180" s="12">
        <f>(41*11333)</f>
        <v>464653</v>
      </c>
      <c r="L180" s="15">
        <f t="shared" si="20"/>
        <v>101997</v>
      </c>
      <c r="M180" s="8"/>
      <c r="N180" s="39" t="e">
        <f>#REF!-H180</f>
        <v>#REF!</v>
      </c>
    </row>
    <row r="181" spans="1:14" ht="15.75">
      <c r="A181" s="73"/>
      <c r="B181" s="14">
        <v>176</v>
      </c>
      <c r="C181" s="2" t="s">
        <v>210</v>
      </c>
      <c r="D181" s="12">
        <v>132000</v>
      </c>
      <c r="E181" s="12">
        <v>17595.599999999999</v>
      </c>
      <c r="F181" s="15">
        <f>SUM(D181:E181)</f>
        <v>149595.6</v>
      </c>
      <c r="G181" s="30">
        <v>40</v>
      </c>
      <c r="H181" s="12">
        <v>3739.89</v>
      </c>
      <c r="I181" s="22">
        <v>44</v>
      </c>
      <c r="J181" s="11">
        <f t="shared" si="19"/>
        <v>-4</v>
      </c>
      <c r="K181" s="12">
        <f>(44*3739.89)</f>
        <v>164555.16</v>
      </c>
      <c r="L181" s="15">
        <f t="shared" si="20"/>
        <v>-14959.559999999998</v>
      </c>
      <c r="M181" s="8"/>
      <c r="N181" s="39" t="e">
        <f>#REF!-H181</f>
        <v>#REF!</v>
      </c>
    </row>
    <row r="182" spans="1:14" ht="15.75">
      <c r="A182" s="73"/>
      <c r="B182" s="14">
        <v>177</v>
      </c>
      <c r="C182" s="2" t="s">
        <v>91</v>
      </c>
      <c r="D182" s="12">
        <v>500000</v>
      </c>
      <c r="E182" s="12">
        <v>66650</v>
      </c>
      <c r="F182" s="15">
        <f>SUM(D182:E182)</f>
        <v>566650</v>
      </c>
      <c r="G182" s="33">
        <v>50</v>
      </c>
      <c r="H182" s="12">
        <v>11333</v>
      </c>
      <c r="I182" s="11">
        <v>20</v>
      </c>
      <c r="J182" s="11">
        <f t="shared" si="19"/>
        <v>30</v>
      </c>
      <c r="K182" s="16">
        <f>(20*11333)</f>
        <v>226660</v>
      </c>
      <c r="L182" s="15">
        <f t="shared" si="20"/>
        <v>339990</v>
      </c>
      <c r="M182" s="8"/>
      <c r="N182" s="39" t="e">
        <f>#REF!-H182</f>
        <v>#REF!</v>
      </c>
    </row>
    <row r="183" spans="1:14" ht="15.75">
      <c r="A183" s="73"/>
      <c r="B183" s="14">
        <v>178</v>
      </c>
      <c r="C183" s="2" t="s">
        <v>92</v>
      </c>
      <c r="D183" s="12">
        <v>500000</v>
      </c>
      <c r="E183" s="12">
        <v>66650</v>
      </c>
      <c r="F183" s="15">
        <f>SUM(D183:E183)</f>
        <v>566650</v>
      </c>
      <c r="G183" s="31">
        <v>50</v>
      </c>
      <c r="H183" s="12">
        <v>11333</v>
      </c>
      <c r="I183" s="8">
        <v>28</v>
      </c>
      <c r="J183" s="11">
        <f t="shared" si="19"/>
        <v>22</v>
      </c>
      <c r="K183" s="12">
        <f>(28*11333)</f>
        <v>317324</v>
      </c>
      <c r="L183" s="15">
        <f t="shared" si="20"/>
        <v>249326</v>
      </c>
      <c r="M183" s="8"/>
      <c r="N183" s="39" t="e">
        <f>#REF!-H183</f>
        <v>#REF!</v>
      </c>
    </row>
    <row r="184" spans="1:14" ht="15.75">
      <c r="A184" s="73"/>
      <c r="B184" s="14">
        <v>179</v>
      </c>
      <c r="C184" s="2" t="s">
        <v>39</v>
      </c>
      <c r="D184" s="12">
        <v>500000</v>
      </c>
      <c r="E184" s="12">
        <v>66650</v>
      </c>
      <c r="F184" s="12">
        <v>566650</v>
      </c>
      <c r="G184" s="33">
        <v>50</v>
      </c>
      <c r="H184" s="16">
        <v>11333</v>
      </c>
      <c r="I184" s="8">
        <v>7</v>
      </c>
      <c r="J184" s="11">
        <f t="shared" si="19"/>
        <v>43</v>
      </c>
      <c r="K184" s="12">
        <f>(7*11333)</f>
        <v>79331</v>
      </c>
      <c r="L184" s="12">
        <f t="shared" si="20"/>
        <v>487319</v>
      </c>
      <c r="M184" s="1"/>
      <c r="N184" s="39" t="e">
        <f>#REF!-H184</f>
        <v>#REF!</v>
      </c>
    </row>
    <row r="185" spans="1:14" ht="15.75">
      <c r="A185" s="73"/>
      <c r="B185" s="14">
        <v>180</v>
      </c>
      <c r="C185" s="2" t="s">
        <v>48</v>
      </c>
      <c r="D185" s="12">
        <v>500000</v>
      </c>
      <c r="E185" s="16">
        <v>47992</v>
      </c>
      <c r="F185" s="15">
        <f>SUM(D185:E185)</f>
        <v>547992</v>
      </c>
      <c r="G185" s="33">
        <v>36</v>
      </c>
      <c r="H185" s="16">
        <v>15222</v>
      </c>
      <c r="I185" s="11">
        <v>20</v>
      </c>
      <c r="J185" s="11">
        <f t="shared" si="19"/>
        <v>16</v>
      </c>
      <c r="K185" s="16">
        <f>(20*15222)</f>
        <v>304440</v>
      </c>
      <c r="L185" s="15">
        <f t="shared" si="20"/>
        <v>243552</v>
      </c>
      <c r="M185" s="8"/>
      <c r="N185" s="39" t="e">
        <f>#REF!-H185</f>
        <v>#REF!</v>
      </c>
    </row>
    <row r="186" spans="1:14" ht="15.75">
      <c r="A186" s="73"/>
      <c r="B186" s="14">
        <v>181</v>
      </c>
      <c r="C186" s="75" t="s">
        <v>264</v>
      </c>
      <c r="D186" s="20">
        <v>150000</v>
      </c>
      <c r="E186" s="20">
        <v>19995</v>
      </c>
      <c r="F186" s="20">
        <f>SUM(D186:E186)</f>
        <v>169995</v>
      </c>
      <c r="G186" s="33">
        <v>50</v>
      </c>
      <c r="H186" s="77">
        <v>3399.9</v>
      </c>
      <c r="I186" s="78">
        <v>20</v>
      </c>
      <c r="J186" s="78">
        <f t="shared" si="19"/>
        <v>30</v>
      </c>
      <c r="K186" s="64">
        <f>(20*3399.9)</f>
        <v>67998</v>
      </c>
      <c r="L186" s="15">
        <f t="shared" si="20"/>
        <v>101997</v>
      </c>
      <c r="N186" s="39" t="e">
        <f>#REF!-H186</f>
        <v>#REF!</v>
      </c>
    </row>
    <row r="187" spans="1:14" ht="15.75">
      <c r="A187" s="73"/>
      <c r="B187" s="14">
        <v>182</v>
      </c>
      <c r="C187" s="2" t="s">
        <v>185</v>
      </c>
      <c r="D187" s="15">
        <v>200000</v>
      </c>
      <c r="E187" s="15">
        <v>26660</v>
      </c>
      <c r="F187" s="15">
        <f>SUM(D187:E187)</f>
        <v>226660</v>
      </c>
      <c r="G187" s="31">
        <v>40</v>
      </c>
      <c r="H187" s="15">
        <v>5666.5</v>
      </c>
      <c r="I187" s="8">
        <v>35</v>
      </c>
      <c r="J187" s="11">
        <f t="shared" si="19"/>
        <v>5</v>
      </c>
      <c r="K187" s="12">
        <f>(35*5666.5)</f>
        <v>198327.5</v>
      </c>
      <c r="L187" s="15">
        <f t="shared" si="20"/>
        <v>28332.5</v>
      </c>
      <c r="M187" s="8"/>
      <c r="N187" s="39" t="e">
        <f>#REF!-H187</f>
        <v>#REF!</v>
      </c>
    </row>
    <row r="188" spans="1:14" ht="15.75">
      <c r="A188" s="73"/>
      <c r="B188" s="14">
        <v>183</v>
      </c>
      <c r="C188" s="2" t="s">
        <v>241</v>
      </c>
      <c r="D188" s="12">
        <v>60000</v>
      </c>
      <c r="E188" s="12">
        <v>7998</v>
      </c>
      <c r="F188" s="15">
        <f>SUM(D188:E188)</f>
        <v>67998</v>
      </c>
      <c r="G188" s="31">
        <v>40</v>
      </c>
      <c r="H188" s="12">
        <v>1699.95</v>
      </c>
      <c r="I188" s="33">
        <v>34</v>
      </c>
      <c r="J188" s="11">
        <f t="shared" si="19"/>
        <v>6</v>
      </c>
      <c r="K188" s="12">
        <f>(34*1699.95)</f>
        <v>57798.3</v>
      </c>
      <c r="L188" s="15">
        <f t="shared" si="20"/>
        <v>10199.699999999997</v>
      </c>
      <c r="M188" s="8"/>
      <c r="N188" s="39" t="e">
        <f>#REF!-H188</f>
        <v>#REF!</v>
      </c>
    </row>
    <row r="189" spans="1:14" ht="15.75">
      <c r="A189" s="73"/>
      <c r="B189" s="14">
        <v>184</v>
      </c>
      <c r="C189" s="2" t="s">
        <v>231</v>
      </c>
      <c r="D189" s="15">
        <v>200000</v>
      </c>
      <c r="E189" s="15">
        <v>26660</v>
      </c>
      <c r="F189" s="15">
        <v>226660</v>
      </c>
      <c r="G189" s="31">
        <v>40</v>
      </c>
      <c r="H189" s="18">
        <v>5666.5</v>
      </c>
      <c r="I189" s="31">
        <v>35</v>
      </c>
      <c r="J189" s="11">
        <f t="shared" si="19"/>
        <v>5</v>
      </c>
      <c r="K189" s="12">
        <f>(35*5666.5)</f>
        <v>198327.5</v>
      </c>
      <c r="L189" s="15">
        <f t="shared" si="20"/>
        <v>28332.5</v>
      </c>
      <c r="M189" s="8"/>
      <c r="N189" s="39" t="e">
        <f>#REF!-H189</f>
        <v>#REF!</v>
      </c>
    </row>
    <row r="190" spans="1:14" ht="15.75">
      <c r="A190" s="73"/>
      <c r="B190" s="14">
        <v>185</v>
      </c>
      <c r="C190" s="2" t="s">
        <v>186</v>
      </c>
      <c r="D190" s="15">
        <v>200000</v>
      </c>
      <c r="E190" s="15">
        <v>26660</v>
      </c>
      <c r="F190" s="15">
        <f>SUM(D190:E190)</f>
        <v>226660</v>
      </c>
      <c r="G190" s="31">
        <v>40</v>
      </c>
      <c r="H190" s="15">
        <v>5666.5</v>
      </c>
      <c r="I190" s="8">
        <v>35</v>
      </c>
      <c r="J190" s="11">
        <f t="shared" si="19"/>
        <v>5</v>
      </c>
      <c r="K190" s="12">
        <f>(35*5666.5)</f>
        <v>198327.5</v>
      </c>
      <c r="L190" s="15">
        <f t="shared" si="20"/>
        <v>28332.5</v>
      </c>
      <c r="M190" s="8"/>
      <c r="N190" s="39" t="e">
        <f>#REF!-H190</f>
        <v>#REF!</v>
      </c>
    </row>
    <row r="191" spans="1:14" ht="15.75">
      <c r="A191" s="73"/>
      <c r="B191" s="14">
        <v>186</v>
      </c>
      <c r="C191" s="2" t="s">
        <v>243</v>
      </c>
      <c r="D191" s="12">
        <v>60000</v>
      </c>
      <c r="E191" s="12">
        <v>7998</v>
      </c>
      <c r="F191" s="12">
        <v>67998</v>
      </c>
      <c r="G191" s="31">
        <v>40</v>
      </c>
      <c r="H191" s="18">
        <v>1699.95</v>
      </c>
      <c r="I191" s="31">
        <v>44</v>
      </c>
      <c r="J191" s="11">
        <f t="shared" si="19"/>
        <v>-4</v>
      </c>
      <c r="K191" s="12">
        <f>(44*1699.95)</f>
        <v>74797.8</v>
      </c>
      <c r="L191" s="15">
        <f t="shared" si="20"/>
        <v>-6799.8000000000029</v>
      </c>
      <c r="M191" s="8"/>
      <c r="N191" s="39" t="e">
        <f>#REF!-H191</f>
        <v>#REF!</v>
      </c>
    </row>
    <row r="192" spans="1:14" ht="15.75">
      <c r="A192" s="73"/>
      <c r="B192" s="14"/>
      <c r="C192" s="23"/>
      <c r="D192" s="34">
        <f ca="1">SUM(D6:D219)</f>
        <v>59948000</v>
      </c>
      <c r="E192" s="34">
        <f ca="1">SUM(E6:E219)</f>
        <v>7795498.6399999987</v>
      </c>
      <c r="F192" s="34">
        <f ca="1">SUM(F6:F219)</f>
        <v>67743498.640000015</v>
      </c>
      <c r="G192" s="34"/>
      <c r="H192" s="79">
        <f>SUM(H6:H191)</f>
        <v>1461322.0899999994</v>
      </c>
      <c r="I192" s="13"/>
      <c r="J192" s="13"/>
      <c r="K192" s="34">
        <f ca="1">SUM(K6:K213)</f>
        <v>29605419.560000002</v>
      </c>
      <c r="L192" s="34">
        <f ca="1">SUM(L6:L213)</f>
        <v>24414866.48</v>
      </c>
      <c r="M192" s="8"/>
    </row>
    <row r="193" spans="1:14" ht="15.75">
      <c r="A193" s="73"/>
      <c r="B193" s="65"/>
      <c r="C193" s="66"/>
      <c r="D193" s="67"/>
      <c r="E193" s="67"/>
      <c r="F193" s="67"/>
      <c r="G193" s="67"/>
      <c r="H193" s="39"/>
      <c r="I193" s="68"/>
      <c r="J193" s="68"/>
      <c r="K193" s="67"/>
      <c r="L193" s="67"/>
      <c r="M193" s="69"/>
    </row>
    <row r="194" spans="1:14" ht="15.75">
      <c r="A194" s="73"/>
      <c r="B194" s="65"/>
      <c r="C194" s="66"/>
      <c r="D194" s="67"/>
      <c r="E194" s="67"/>
      <c r="F194" s="67"/>
      <c r="G194" s="67"/>
      <c r="H194" s="39"/>
      <c r="I194" s="68"/>
      <c r="J194" s="68"/>
      <c r="K194" s="67"/>
      <c r="L194" s="67"/>
      <c r="M194" s="69"/>
    </row>
    <row r="195" spans="1:14" ht="15.75">
      <c r="A195" s="73"/>
    </row>
    <row r="196" spans="1:14" ht="15.75">
      <c r="A196" s="73"/>
    </row>
    <row r="197" spans="1:14" ht="15.75">
      <c r="A197" s="73"/>
      <c r="B197" s="14">
        <v>179</v>
      </c>
      <c r="C197" s="2" t="s">
        <v>93</v>
      </c>
      <c r="D197" s="12">
        <v>500000</v>
      </c>
      <c r="E197" s="12">
        <v>66650</v>
      </c>
      <c r="F197" s="15">
        <f>SUM(D197:E197)</f>
        <v>566650</v>
      </c>
      <c r="G197" s="31">
        <v>50</v>
      </c>
      <c r="H197" s="12">
        <v>11333</v>
      </c>
      <c r="I197" s="8">
        <v>41</v>
      </c>
      <c r="J197" s="11">
        <f t="shared" ref="J197:J209" si="21">G197-I197</f>
        <v>9</v>
      </c>
      <c r="K197" s="12">
        <f>(41*11333)</f>
        <v>464653</v>
      </c>
      <c r="L197" s="15">
        <f t="shared" ref="L197:L209" si="22">F197-K197</f>
        <v>101997</v>
      </c>
      <c r="M197" s="8"/>
      <c r="N197" s="39" t="e">
        <f>#REF!-H197</f>
        <v>#REF!</v>
      </c>
    </row>
    <row r="198" spans="1:14" ht="15.75">
      <c r="A198" s="73"/>
      <c r="B198" s="14">
        <v>174</v>
      </c>
      <c r="C198" s="2" t="s">
        <v>119</v>
      </c>
      <c r="D198" s="12">
        <v>330000</v>
      </c>
      <c r="E198" s="16">
        <v>43989</v>
      </c>
      <c r="F198" s="15">
        <f>SUM(D198:E198)</f>
        <v>373989</v>
      </c>
      <c r="G198" s="33">
        <v>50</v>
      </c>
      <c r="H198" s="16">
        <v>7479.78</v>
      </c>
      <c r="I198" s="11">
        <v>19</v>
      </c>
      <c r="J198" s="11">
        <f t="shared" si="21"/>
        <v>31</v>
      </c>
      <c r="K198" s="12">
        <f>(19*7479.78)</f>
        <v>142115.82</v>
      </c>
      <c r="L198" s="15">
        <f t="shared" si="22"/>
        <v>231873.18</v>
      </c>
      <c r="M198" s="8"/>
      <c r="N198" s="39" t="e">
        <f>#REF!-H198</f>
        <v>#REF!</v>
      </c>
    </row>
    <row r="199" spans="1:14" ht="15.75">
      <c r="A199" s="73"/>
      <c r="B199" s="14">
        <v>152</v>
      </c>
      <c r="C199" s="4" t="s">
        <v>102</v>
      </c>
      <c r="D199" s="12">
        <v>450000</v>
      </c>
      <c r="E199" s="12">
        <v>59985</v>
      </c>
      <c r="F199" s="15">
        <f>SUM(D199:E199)</f>
        <v>509985</v>
      </c>
      <c r="G199" s="31">
        <v>50</v>
      </c>
      <c r="H199" s="12">
        <v>10199.700000000001</v>
      </c>
      <c r="I199" s="11">
        <v>20</v>
      </c>
      <c r="J199" s="11">
        <f t="shared" si="21"/>
        <v>30</v>
      </c>
      <c r="K199" s="12">
        <f>(20*10199.7)</f>
        <v>203994</v>
      </c>
      <c r="L199" s="15">
        <f t="shared" si="22"/>
        <v>305991</v>
      </c>
      <c r="M199" s="8"/>
      <c r="N199" s="39" t="e">
        <f>#REF!-H199</f>
        <v>#REF!</v>
      </c>
    </row>
    <row r="200" spans="1:14" ht="15.75">
      <c r="A200" s="73"/>
      <c r="B200" s="14">
        <v>167</v>
      </c>
      <c r="C200" s="2" t="s">
        <v>184</v>
      </c>
      <c r="D200" s="15">
        <v>200000</v>
      </c>
      <c r="E200" s="15">
        <v>26660</v>
      </c>
      <c r="F200" s="15">
        <f>SUM(D200:E200)</f>
        <v>226660</v>
      </c>
      <c r="G200" s="31">
        <v>40</v>
      </c>
      <c r="H200" s="15">
        <v>5666.5</v>
      </c>
      <c r="I200" s="8">
        <v>37</v>
      </c>
      <c r="J200" s="11">
        <f t="shared" si="21"/>
        <v>3</v>
      </c>
      <c r="K200" s="12">
        <f>(37*5666.5)</f>
        <v>209660.5</v>
      </c>
      <c r="L200" s="15">
        <f t="shared" si="22"/>
        <v>16999.5</v>
      </c>
      <c r="M200" s="8"/>
      <c r="N200" s="39" t="e">
        <f>#REF!-H200</f>
        <v>#REF!</v>
      </c>
    </row>
    <row r="201" spans="1:14" ht="15.75">
      <c r="A201" s="73"/>
      <c r="B201" s="14">
        <v>147</v>
      </c>
      <c r="C201" s="2" t="s">
        <v>114</v>
      </c>
      <c r="D201" s="12">
        <v>330000</v>
      </c>
      <c r="E201" s="12">
        <v>43989</v>
      </c>
      <c r="F201" s="15">
        <f>SUM(D201:E201)</f>
        <v>373989</v>
      </c>
      <c r="G201" s="31">
        <v>50</v>
      </c>
      <c r="H201" s="12">
        <v>7479.78</v>
      </c>
      <c r="I201" s="8">
        <v>27</v>
      </c>
      <c r="J201" s="11">
        <f t="shared" si="21"/>
        <v>23</v>
      </c>
      <c r="K201" s="12">
        <f>(27*7479.78)</f>
        <v>201954.06</v>
      </c>
      <c r="L201" s="15">
        <f t="shared" si="22"/>
        <v>172034.94</v>
      </c>
      <c r="M201" s="8"/>
      <c r="N201" s="39" t="e">
        <f>#REF!-H201</f>
        <v>#REF!</v>
      </c>
    </row>
    <row r="202" spans="1:14" ht="15.75">
      <c r="A202" s="73"/>
      <c r="B202" s="14">
        <v>142</v>
      </c>
      <c r="C202" s="23" t="s">
        <v>238</v>
      </c>
      <c r="D202" s="12">
        <v>132000</v>
      </c>
      <c r="E202" s="12">
        <v>17595.599999999999</v>
      </c>
      <c r="F202" s="12">
        <v>149595.6</v>
      </c>
      <c r="G202" s="30">
        <v>40</v>
      </c>
      <c r="H202" s="18">
        <v>3739.89</v>
      </c>
      <c r="I202" s="30">
        <v>43</v>
      </c>
      <c r="J202" s="11">
        <f t="shared" si="21"/>
        <v>-3</v>
      </c>
      <c r="K202" s="12">
        <f>(43*3739.89)</f>
        <v>160815.26999999999</v>
      </c>
      <c r="L202" s="15">
        <f t="shared" si="22"/>
        <v>-11219.669999999984</v>
      </c>
      <c r="M202" s="10"/>
      <c r="N202" s="39" t="e">
        <f>#REF!-H202</f>
        <v>#REF!</v>
      </c>
    </row>
    <row r="203" spans="1:14">
      <c r="B203" s="14">
        <v>135</v>
      </c>
      <c r="C203" s="2" t="s">
        <v>98</v>
      </c>
      <c r="D203" s="12">
        <v>450000</v>
      </c>
      <c r="E203" s="16">
        <v>59985</v>
      </c>
      <c r="F203" s="15">
        <f t="shared" ref="F203:F208" si="23">SUM(D203:E203)</f>
        <v>509985</v>
      </c>
      <c r="G203" s="33">
        <v>50</v>
      </c>
      <c r="H203" s="38">
        <v>10199.700000000001</v>
      </c>
      <c r="I203" s="8">
        <v>6</v>
      </c>
      <c r="J203" s="11">
        <f t="shared" si="21"/>
        <v>44</v>
      </c>
      <c r="K203" s="12">
        <f>(6*10199.7)</f>
        <v>61198.200000000004</v>
      </c>
      <c r="L203" s="15">
        <f t="shared" si="22"/>
        <v>448786.8</v>
      </c>
      <c r="M203" s="8"/>
      <c r="N203" s="39" t="e">
        <f>#REF!-H203</f>
        <v>#REF!</v>
      </c>
    </row>
    <row r="204" spans="1:14">
      <c r="B204" s="14">
        <v>133</v>
      </c>
      <c r="C204" s="2" t="s">
        <v>177</v>
      </c>
      <c r="D204" s="15">
        <v>200000</v>
      </c>
      <c r="E204" s="15">
        <v>26660</v>
      </c>
      <c r="F204" s="15">
        <f t="shared" si="23"/>
        <v>226660</v>
      </c>
      <c r="G204" s="31">
        <v>40</v>
      </c>
      <c r="H204" s="15">
        <v>5666.5</v>
      </c>
      <c r="I204" s="8">
        <v>33</v>
      </c>
      <c r="J204" s="11">
        <f t="shared" si="21"/>
        <v>7</v>
      </c>
      <c r="K204" s="12">
        <f>(33*5666.5)</f>
        <v>186994.5</v>
      </c>
      <c r="L204" s="15">
        <f t="shared" si="22"/>
        <v>39665.5</v>
      </c>
      <c r="M204" s="8"/>
      <c r="N204" s="39" t="e">
        <f>#REF!-H204</f>
        <v>#REF!</v>
      </c>
    </row>
    <row r="205" spans="1:14">
      <c r="B205" s="14">
        <v>120</v>
      </c>
      <c r="C205" s="2" t="s">
        <v>76</v>
      </c>
      <c r="D205" s="12">
        <v>500000</v>
      </c>
      <c r="E205" s="12">
        <v>66650</v>
      </c>
      <c r="F205" s="15">
        <f t="shared" si="23"/>
        <v>566650</v>
      </c>
      <c r="G205" s="33">
        <v>50</v>
      </c>
      <c r="H205" s="12">
        <v>11333</v>
      </c>
      <c r="I205" s="11">
        <v>19</v>
      </c>
      <c r="J205" s="11">
        <f t="shared" si="21"/>
        <v>31</v>
      </c>
      <c r="K205" s="12">
        <f>(19*11333)</f>
        <v>215327</v>
      </c>
      <c r="L205" s="15">
        <f t="shared" si="22"/>
        <v>351323</v>
      </c>
      <c r="M205" s="8"/>
      <c r="N205" s="39" t="e">
        <f>#REF!-H205</f>
        <v>#REF!</v>
      </c>
    </row>
    <row r="206" spans="1:14">
      <c r="B206" s="14">
        <v>110</v>
      </c>
      <c r="C206" s="2" t="s">
        <v>171</v>
      </c>
      <c r="D206" s="15">
        <v>200000</v>
      </c>
      <c r="E206" s="15">
        <v>26660</v>
      </c>
      <c r="F206" s="15">
        <f t="shared" si="23"/>
        <v>226660</v>
      </c>
      <c r="G206" s="31">
        <v>40</v>
      </c>
      <c r="H206" s="15">
        <v>5666.5</v>
      </c>
      <c r="I206" s="8">
        <v>34</v>
      </c>
      <c r="J206" s="11">
        <f t="shared" si="21"/>
        <v>6</v>
      </c>
      <c r="K206" s="12">
        <f>(33*5666.5)</f>
        <v>186994.5</v>
      </c>
      <c r="L206" s="15">
        <f t="shared" si="22"/>
        <v>39665.5</v>
      </c>
      <c r="M206" s="8"/>
      <c r="N206" s="39" t="e">
        <f>#REF!-H206</f>
        <v>#REF!</v>
      </c>
    </row>
    <row r="207" spans="1:14">
      <c r="B207" s="14">
        <v>73</v>
      </c>
      <c r="C207" s="2" t="s">
        <v>195</v>
      </c>
      <c r="D207" s="12">
        <v>180000</v>
      </c>
      <c r="E207" s="12">
        <v>23994</v>
      </c>
      <c r="F207" s="15">
        <f t="shared" si="23"/>
        <v>203994</v>
      </c>
      <c r="G207" s="31">
        <v>40</v>
      </c>
      <c r="H207" s="12">
        <v>5099.8500000000004</v>
      </c>
      <c r="I207" s="8">
        <v>40</v>
      </c>
      <c r="J207" s="11">
        <f t="shared" si="21"/>
        <v>0</v>
      </c>
      <c r="K207" s="12">
        <f>(40*5099.85)</f>
        <v>203994</v>
      </c>
      <c r="L207" s="15">
        <f t="shared" si="22"/>
        <v>0</v>
      </c>
      <c r="M207" s="8"/>
      <c r="N207" s="39" t="e">
        <f>#REF!-H207</f>
        <v>#REF!</v>
      </c>
    </row>
    <row r="208" spans="1:14">
      <c r="B208" s="14">
        <v>70</v>
      </c>
      <c r="C208" s="2" t="s">
        <v>66</v>
      </c>
      <c r="D208" s="12">
        <v>500000</v>
      </c>
      <c r="E208" s="12">
        <v>66650</v>
      </c>
      <c r="F208" s="15">
        <f t="shared" si="23"/>
        <v>566650</v>
      </c>
      <c r="G208" s="31">
        <v>50</v>
      </c>
      <c r="H208" s="18">
        <v>11333</v>
      </c>
      <c r="I208" s="8">
        <v>9</v>
      </c>
      <c r="J208" s="11">
        <f t="shared" si="21"/>
        <v>41</v>
      </c>
      <c r="K208" s="12">
        <f>(9*11333)</f>
        <v>101997</v>
      </c>
      <c r="L208" s="15">
        <f t="shared" si="22"/>
        <v>464653</v>
      </c>
      <c r="M208" s="8"/>
      <c r="N208" s="39" t="e">
        <f>#REF!-H208</f>
        <v>#REF!</v>
      </c>
    </row>
    <row r="209" spans="2:14">
      <c r="B209" s="14">
        <v>81</v>
      </c>
      <c r="C209" s="2" t="s">
        <v>22</v>
      </c>
      <c r="D209" s="18">
        <v>500000</v>
      </c>
      <c r="E209" s="18">
        <v>66650</v>
      </c>
      <c r="F209" s="18">
        <v>566650</v>
      </c>
      <c r="G209" s="33">
        <v>50</v>
      </c>
      <c r="H209" s="16">
        <v>11333</v>
      </c>
      <c r="I209" s="8">
        <v>5</v>
      </c>
      <c r="J209" s="11">
        <f t="shared" si="21"/>
        <v>45</v>
      </c>
      <c r="K209" s="12">
        <f>(5*11333)</f>
        <v>56665</v>
      </c>
      <c r="L209" s="12">
        <f t="shared" si="22"/>
        <v>509985</v>
      </c>
      <c r="M209" s="8"/>
      <c r="N209" s="39" t="e">
        <f>#REF!-H209</f>
        <v>#REF!</v>
      </c>
    </row>
    <row r="212" spans="2:14">
      <c r="B212" s="14">
        <v>148</v>
      </c>
      <c r="C212" s="2" t="s">
        <v>175</v>
      </c>
      <c r="D212" s="15">
        <v>200000</v>
      </c>
      <c r="E212" s="15">
        <v>26660</v>
      </c>
      <c r="F212" s="15">
        <f>SUM(D212:E212)</f>
        <v>226660</v>
      </c>
      <c r="G212" s="32">
        <v>40</v>
      </c>
      <c r="H212" s="15">
        <v>5666.5</v>
      </c>
      <c r="I212" s="22">
        <v>43</v>
      </c>
      <c r="J212" s="11">
        <f>G212-I212</f>
        <v>-3</v>
      </c>
      <c r="K212" s="15">
        <f>(43*5666.5)</f>
        <v>243659.5</v>
      </c>
      <c r="L212" s="15">
        <f>F212-K212</f>
        <v>-16999.5</v>
      </c>
      <c r="M212" s="10"/>
      <c r="N212" s="39" t="e">
        <f>#REF!-H212</f>
        <v>#REF!</v>
      </c>
    </row>
    <row r="215" spans="2:14">
      <c r="B215" s="14">
        <v>173</v>
      </c>
      <c r="C215" s="4" t="s">
        <v>219</v>
      </c>
      <c r="D215" s="12">
        <v>60000</v>
      </c>
      <c r="E215" s="12">
        <v>7998</v>
      </c>
      <c r="F215" s="15">
        <f>SUM(D215:E215)</f>
        <v>67998</v>
      </c>
      <c r="G215" s="31">
        <v>40</v>
      </c>
      <c r="H215" s="12">
        <v>1699.95</v>
      </c>
      <c r="I215" s="8">
        <v>34</v>
      </c>
      <c r="J215" s="11">
        <f>G215-I215</f>
        <v>6</v>
      </c>
      <c r="K215" s="12">
        <f>(34*1699.95)</f>
        <v>57798.3</v>
      </c>
      <c r="L215" s="15">
        <f>F215-K215</f>
        <v>10199.699999999997</v>
      </c>
      <c r="M215" s="8"/>
      <c r="N215" s="39" t="e">
        <f>#REF!-H215</f>
        <v>#REF!</v>
      </c>
    </row>
    <row r="216" spans="2:14">
      <c r="B216" s="14">
        <v>176</v>
      </c>
      <c r="C216" s="2" t="s">
        <v>101</v>
      </c>
      <c r="D216" s="12">
        <v>450000</v>
      </c>
      <c r="E216" s="16">
        <v>59985</v>
      </c>
      <c r="F216" s="15">
        <f>SUM(D216:E216)</f>
        <v>509985</v>
      </c>
      <c r="G216" s="33">
        <v>50</v>
      </c>
      <c r="H216" s="16">
        <v>10199.700000000001</v>
      </c>
      <c r="I216" s="8">
        <v>19</v>
      </c>
      <c r="J216" s="11">
        <f>G216-I216</f>
        <v>31</v>
      </c>
      <c r="K216" s="12">
        <f>(19*10199.7)</f>
        <v>193794.30000000002</v>
      </c>
      <c r="L216" s="15">
        <f>F216-K216</f>
        <v>316190.69999999995</v>
      </c>
      <c r="M216" s="8"/>
      <c r="N216" s="39" t="e">
        <f>#REF!-H216</f>
        <v>#REF!</v>
      </c>
    </row>
    <row r="221" spans="2:14">
      <c r="B221" s="14">
        <v>7</v>
      </c>
      <c r="C221" s="25" t="s">
        <v>43</v>
      </c>
      <c r="D221" s="12">
        <v>330000</v>
      </c>
      <c r="E221" s="12">
        <v>21114.720000000001</v>
      </c>
      <c r="F221" s="15">
        <f>SUM(D221:E221)</f>
        <v>351114.72</v>
      </c>
      <c r="G221" s="31">
        <v>24</v>
      </c>
      <c r="H221" s="12">
        <v>14629.78</v>
      </c>
      <c r="I221" s="11">
        <v>20</v>
      </c>
      <c r="J221" s="11">
        <f t="shared" ref="J221:J227" si="24">G221-I221</f>
        <v>4</v>
      </c>
      <c r="K221" s="16">
        <f>(20*14629.78)</f>
        <v>292595.60000000003</v>
      </c>
      <c r="L221" s="15">
        <f t="shared" ref="L221:L227" si="25">F221-K221</f>
        <v>58519.119999999937</v>
      </c>
      <c r="M221" s="8"/>
      <c r="N221" s="39" t="e">
        <f>#REF!-H221</f>
        <v>#REF!</v>
      </c>
    </row>
    <row r="222" spans="2:14">
      <c r="B222" s="14">
        <v>15</v>
      </c>
      <c r="C222" s="2" t="s">
        <v>129</v>
      </c>
      <c r="D222" s="15">
        <v>200000</v>
      </c>
      <c r="E222" s="15">
        <v>26660</v>
      </c>
      <c r="F222" s="15">
        <f>SUM(D222:E222)</f>
        <v>226660</v>
      </c>
      <c r="G222" s="31">
        <v>40</v>
      </c>
      <c r="H222" s="15">
        <v>5666.5</v>
      </c>
      <c r="I222" s="8">
        <v>37</v>
      </c>
      <c r="J222" s="11">
        <f t="shared" si="24"/>
        <v>3</v>
      </c>
      <c r="K222" s="12">
        <f>(37*5666.5)</f>
        <v>209660.5</v>
      </c>
      <c r="L222" s="15">
        <f t="shared" si="25"/>
        <v>16999.5</v>
      </c>
      <c r="M222" s="8"/>
      <c r="N222" s="39" t="e">
        <f>#REF!-H222</f>
        <v>#REF!</v>
      </c>
    </row>
    <row r="223" spans="2:14">
      <c r="B223" s="14">
        <v>18</v>
      </c>
      <c r="C223" s="2" t="s">
        <v>215</v>
      </c>
      <c r="D223" s="12">
        <v>60000</v>
      </c>
      <c r="E223" s="12">
        <v>7998</v>
      </c>
      <c r="F223" s="15">
        <f>SUM(D223:E223)</f>
        <v>67998</v>
      </c>
      <c r="G223" s="31">
        <v>40</v>
      </c>
      <c r="H223" s="12">
        <v>1699.95</v>
      </c>
      <c r="I223" s="8">
        <v>43</v>
      </c>
      <c r="J223" s="11">
        <f t="shared" si="24"/>
        <v>-3</v>
      </c>
      <c r="K223" s="12">
        <f>(43*1699.95)</f>
        <v>73097.850000000006</v>
      </c>
      <c r="L223" s="15">
        <f t="shared" si="25"/>
        <v>-5099.8500000000058</v>
      </c>
      <c r="M223" s="8"/>
      <c r="N223" s="39" t="e">
        <f>#REF!-H223</f>
        <v>#REF!</v>
      </c>
    </row>
    <row r="224" spans="2:14">
      <c r="B224" s="14">
        <v>45</v>
      </c>
      <c r="C224" s="2" t="s">
        <v>109</v>
      </c>
      <c r="D224" s="12">
        <v>330000</v>
      </c>
      <c r="E224" s="16">
        <v>43989</v>
      </c>
      <c r="F224" s="15">
        <f>SUM(D224:E224)</f>
        <v>373989</v>
      </c>
      <c r="G224" s="33">
        <v>50</v>
      </c>
      <c r="H224" s="16">
        <v>7479.78</v>
      </c>
      <c r="I224" s="11">
        <v>19</v>
      </c>
      <c r="J224" s="11">
        <f t="shared" si="24"/>
        <v>31</v>
      </c>
      <c r="K224" s="12">
        <f>(19*7479.78)</f>
        <v>142115.82</v>
      </c>
      <c r="L224" s="15">
        <f t="shared" si="25"/>
        <v>231873.18</v>
      </c>
      <c r="M224" s="8"/>
      <c r="N224" s="39" t="e">
        <f>#REF!-H224</f>
        <v>#REF!</v>
      </c>
    </row>
    <row r="225" spans="2:14">
      <c r="B225" s="14">
        <v>52</v>
      </c>
      <c r="C225" s="17" t="s">
        <v>31</v>
      </c>
      <c r="D225" s="20">
        <v>330000</v>
      </c>
      <c r="E225" s="20">
        <v>43989</v>
      </c>
      <c r="F225" s="20">
        <f>SUM(D225:E225)</f>
        <v>373989</v>
      </c>
      <c r="G225" s="33">
        <v>50</v>
      </c>
      <c r="H225" s="3">
        <v>7479.78</v>
      </c>
      <c r="I225" s="8">
        <v>6</v>
      </c>
      <c r="J225" s="11">
        <f t="shared" si="24"/>
        <v>44</v>
      </c>
      <c r="K225" s="3">
        <f>(6*7479.78)</f>
        <v>44878.68</v>
      </c>
      <c r="L225" s="12">
        <f t="shared" si="25"/>
        <v>329110.32</v>
      </c>
      <c r="M225" s="1"/>
      <c r="N225" s="39" t="e">
        <f>#REF!-H225</f>
        <v>#REF!</v>
      </c>
    </row>
    <row r="226" spans="2:14">
      <c r="B226" s="14">
        <v>53</v>
      </c>
      <c r="C226" s="2" t="s">
        <v>227</v>
      </c>
      <c r="D226" s="15">
        <v>200000</v>
      </c>
      <c r="E226" s="15">
        <v>26660</v>
      </c>
      <c r="F226" s="15">
        <v>226660</v>
      </c>
      <c r="G226" s="31">
        <v>40</v>
      </c>
      <c r="H226" s="18">
        <v>5666.5</v>
      </c>
      <c r="I226" s="31">
        <v>33</v>
      </c>
      <c r="J226" s="11">
        <f t="shared" si="24"/>
        <v>7</v>
      </c>
      <c r="K226" s="12">
        <f>(33*5666.5)</f>
        <v>186994.5</v>
      </c>
      <c r="L226" s="15">
        <f t="shared" si="25"/>
        <v>39665.5</v>
      </c>
      <c r="M226" s="8"/>
      <c r="N226" s="39" t="e">
        <f>#REF!-H226</f>
        <v>#REF!</v>
      </c>
    </row>
    <row r="227" spans="2:14">
      <c r="B227" s="14">
        <v>54</v>
      </c>
      <c r="C227" s="25" t="s">
        <v>110</v>
      </c>
      <c r="D227" s="12">
        <v>330000</v>
      </c>
      <c r="E227" s="16">
        <v>43989</v>
      </c>
      <c r="F227" s="15">
        <f>SUM(D227:E227)</f>
        <v>373989</v>
      </c>
      <c r="G227" s="33">
        <v>50</v>
      </c>
      <c r="H227" s="16">
        <v>7479.78</v>
      </c>
      <c r="I227" s="8">
        <v>29</v>
      </c>
      <c r="J227" s="11">
        <f t="shared" si="24"/>
        <v>21</v>
      </c>
      <c r="K227" s="12">
        <f>(29*7479.78)</f>
        <v>216913.62</v>
      </c>
      <c r="L227" s="15">
        <f t="shared" si="25"/>
        <v>157075.38</v>
      </c>
      <c r="M227" s="8"/>
      <c r="N227" s="39" t="e">
        <f>#REF!-H227</f>
        <v>#REF!</v>
      </c>
    </row>
    <row r="228" spans="2:14" ht="20.25">
      <c r="B228" s="54" t="s">
        <v>245</v>
      </c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</row>
    <row r="229" spans="2:14" ht="18">
      <c r="B229" s="53" t="s">
        <v>246</v>
      </c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</row>
    <row r="230" spans="2:14" ht="18">
      <c r="B230" s="55" t="s">
        <v>252</v>
      </c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7"/>
    </row>
    <row r="231" spans="2:14" ht="36">
      <c r="B231" s="49" t="s">
        <v>0</v>
      </c>
      <c r="C231" s="49" t="s">
        <v>1</v>
      </c>
      <c r="D231" s="50" t="s">
        <v>2</v>
      </c>
      <c r="E231" s="50" t="s">
        <v>3</v>
      </c>
      <c r="F231" s="49" t="s">
        <v>4</v>
      </c>
      <c r="G231" s="50" t="s">
        <v>5</v>
      </c>
      <c r="H231" s="51" t="s">
        <v>6</v>
      </c>
      <c r="I231" s="50" t="s">
        <v>7</v>
      </c>
      <c r="J231" s="51" t="s">
        <v>8</v>
      </c>
      <c r="K231" s="50" t="s">
        <v>9</v>
      </c>
      <c r="L231" s="51" t="s">
        <v>10</v>
      </c>
      <c r="M231" s="51" t="s">
        <v>11</v>
      </c>
      <c r="N231" s="44"/>
    </row>
    <row r="232" spans="2:14">
      <c r="B232" s="14">
        <v>1</v>
      </c>
      <c r="C232" s="2" t="s">
        <v>40</v>
      </c>
      <c r="D232" s="12">
        <v>450000</v>
      </c>
      <c r="E232" s="16">
        <v>59985</v>
      </c>
      <c r="F232" s="16">
        <v>509985</v>
      </c>
      <c r="G232" s="33">
        <v>50</v>
      </c>
      <c r="H232" s="16">
        <v>10199.700000000001</v>
      </c>
      <c r="I232" s="8">
        <v>5</v>
      </c>
      <c r="J232" s="11">
        <f>G232-I232</f>
        <v>45</v>
      </c>
      <c r="K232" s="12">
        <f>(5*10199)</f>
        <v>50995</v>
      </c>
      <c r="L232" s="12">
        <f>F232-K232</f>
        <v>458990</v>
      </c>
      <c r="M232" s="1"/>
    </row>
    <row r="233" spans="2:14">
      <c r="C233" s="2" t="s">
        <v>158</v>
      </c>
    </row>
    <row r="236" spans="2:14" s="44" customFormat="1" ht="35.25" customHeight="1"/>
    <row r="237" spans="2:14">
      <c r="B237" s="14">
        <v>15</v>
      </c>
      <c r="C237" s="2" t="s">
        <v>242</v>
      </c>
      <c r="D237" s="12">
        <v>60000</v>
      </c>
      <c r="E237" s="12">
        <v>7998</v>
      </c>
      <c r="F237" s="15">
        <f>SUM(D237:E237)</f>
        <v>67998</v>
      </c>
      <c r="G237" s="31">
        <v>40</v>
      </c>
      <c r="H237" s="12">
        <v>1699.95</v>
      </c>
      <c r="I237" s="33">
        <v>40</v>
      </c>
      <c r="J237" s="11">
        <f>G237-I237</f>
        <v>0</v>
      </c>
      <c r="K237" s="12">
        <f>(40*1699.95)</f>
        <v>67998</v>
      </c>
      <c r="L237" s="15">
        <f>F237-K237</f>
        <v>0</v>
      </c>
      <c r="M237" s="8"/>
    </row>
    <row r="240" spans="2:14">
      <c r="B240" s="14">
        <v>20</v>
      </c>
      <c r="C240" s="2" t="s">
        <v>225</v>
      </c>
      <c r="D240" s="15">
        <v>200000</v>
      </c>
      <c r="E240" s="15">
        <v>26660</v>
      </c>
      <c r="F240" s="15">
        <v>226660</v>
      </c>
      <c r="G240" s="32">
        <v>40</v>
      </c>
      <c r="H240" s="18">
        <v>5666.5</v>
      </c>
      <c r="I240" s="30">
        <v>42</v>
      </c>
      <c r="J240" s="11">
        <f>G240-I240</f>
        <v>-2</v>
      </c>
      <c r="K240" s="15">
        <f>(42*5666.5)</f>
        <v>237993</v>
      </c>
      <c r="L240" s="15">
        <f>F240-K240</f>
        <v>-11333</v>
      </c>
      <c r="M240" s="10"/>
    </row>
    <row r="241" spans="2:14">
      <c r="B241" s="14">
        <v>25</v>
      </c>
      <c r="C241" s="2" t="s">
        <v>34</v>
      </c>
      <c r="D241" s="20">
        <v>150000</v>
      </c>
      <c r="E241" s="20">
        <v>19995</v>
      </c>
      <c r="F241" s="20">
        <f>SUM(D241:E241)</f>
        <v>169995</v>
      </c>
      <c r="G241" s="33">
        <v>50</v>
      </c>
      <c r="H241" s="3">
        <v>3399.9</v>
      </c>
      <c r="I241" s="8">
        <v>5</v>
      </c>
      <c r="J241" s="11">
        <f>G241-I241</f>
        <v>45</v>
      </c>
      <c r="K241" s="3">
        <f>(5*3399.9)</f>
        <v>16999.5</v>
      </c>
      <c r="L241" s="12">
        <f>F241-K241</f>
        <v>152995.5</v>
      </c>
      <c r="M241" s="1"/>
    </row>
    <row r="243" spans="2:14">
      <c r="B243" s="14"/>
      <c r="C243" s="29"/>
      <c r="D243" s="34">
        <f>SUM(D232:D242)</f>
        <v>860000</v>
      </c>
      <c r="E243" s="34">
        <f>SUM(E232:E241)</f>
        <v>114638</v>
      </c>
      <c r="F243" s="34">
        <f>SUM(F232:F241)</f>
        <v>974638</v>
      </c>
      <c r="G243" s="42"/>
      <c r="H243" s="34">
        <f>SUM(H232:H242)</f>
        <v>20966.050000000003</v>
      </c>
      <c r="I243" s="40"/>
      <c r="J243" s="35"/>
      <c r="K243" s="34">
        <f>SUM(K232:K241)</f>
        <v>373985.5</v>
      </c>
      <c r="L243" s="36">
        <f>SUM(L232:L241)</f>
        <v>600652.5</v>
      </c>
      <c r="M243" s="8"/>
    </row>
    <row r="244" spans="2:14">
      <c r="B244" s="14"/>
      <c r="C244" s="29"/>
      <c r="D244" s="34">
        <f ca="1">D192+D243</f>
        <v>60808000</v>
      </c>
      <c r="E244" s="34">
        <f ca="1">E192+E243</f>
        <v>7910136.6399999987</v>
      </c>
      <c r="F244" s="34">
        <f ca="1">F192+F243</f>
        <v>68718136.640000015</v>
      </c>
      <c r="G244" s="42"/>
      <c r="H244" s="34">
        <f>H192+H243</f>
        <v>1482288.1399999994</v>
      </c>
      <c r="I244" s="33"/>
      <c r="J244" s="33"/>
      <c r="K244" s="34">
        <f ca="1">K192+K243</f>
        <v>29958439.710000001</v>
      </c>
      <c r="L244" s="34">
        <f ca="1">L192+L243</f>
        <v>25036484.330000002</v>
      </c>
      <c r="M244" s="8"/>
    </row>
    <row r="246" spans="2:14">
      <c r="B246" s="14">
        <v>29</v>
      </c>
      <c r="C246" s="2" t="s">
        <v>133</v>
      </c>
      <c r="D246" s="15">
        <v>200000</v>
      </c>
      <c r="E246" s="15">
        <v>26660</v>
      </c>
      <c r="F246" s="15">
        <f t="shared" ref="F246:F254" si="26">SUM(D246:E246)</f>
        <v>226660</v>
      </c>
      <c r="G246" s="31">
        <v>40</v>
      </c>
      <c r="H246" s="15">
        <v>5666.5</v>
      </c>
      <c r="I246" s="8">
        <v>38</v>
      </c>
      <c r="J246" s="8">
        <v>3</v>
      </c>
      <c r="K246" s="12">
        <f>(38*5666.5)</f>
        <v>215327</v>
      </c>
      <c r="L246" s="15">
        <f t="shared" ref="L246:L268" si="27">F246-K246</f>
        <v>11333</v>
      </c>
      <c r="M246" s="8"/>
      <c r="N246" s="39" t="e">
        <f>#REF!-H246</f>
        <v>#REF!</v>
      </c>
    </row>
    <row r="247" spans="2:14">
      <c r="B247" s="14">
        <v>85</v>
      </c>
      <c r="C247" s="25" t="s">
        <v>67</v>
      </c>
      <c r="D247" s="12">
        <v>500000</v>
      </c>
      <c r="E247" s="12">
        <v>66650</v>
      </c>
      <c r="F247" s="15">
        <f t="shared" si="26"/>
        <v>566650</v>
      </c>
      <c r="G247" s="31">
        <v>50</v>
      </c>
      <c r="H247" s="18">
        <v>11333</v>
      </c>
      <c r="I247" s="8">
        <v>21</v>
      </c>
      <c r="J247" s="8">
        <v>30</v>
      </c>
      <c r="K247" s="12">
        <f>(21*11333)</f>
        <v>237993</v>
      </c>
      <c r="L247" s="15">
        <f t="shared" si="27"/>
        <v>328657</v>
      </c>
      <c r="M247" s="8"/>
      <c r="N247" s="39" t="e">
        <f>#REF!-H247</f>
        <v>#REF!</v>
      </c>
    </row>
    <row r="248" spans="2:14">
      <c r="B248" s="14">
        <v>104</v>
      </c>
      <c r="C248" s="2" t="s">
        <v>161</v>
      </c>
      <c r="D248" s="15">
        <v>200000</v>
      </c>
      <c r="E248" s="15">
        <v>26660</v>
      </c>
      <c r="F248" s="15">
        <f t="shared" si="26"/>
        <v>226660</v>
      </c>
      <c r="G248" s="32">
        <v>40</v>
      </c>
      <c r="H248" s="15">
        <v>5666.5</v>
      </c>
      <c r="I248" s="22">
        <v>39</v>
      </c>
      <c r="J248" s="21">
        <v>2</v>
      </c>
      <c r="K248" s="15">
        <f>(39*5666.5)</f>
        <v>220993.5</v>
      </c>
      <c r="L248" s="15">
        <f t="shared" si="27"/>
        <v>5666.5</v>
      </c>
      <c r="M248" s="10"/>
      <c r="N248" s="39" t="e">
        <f>#REF!-H248</f>
        <v>#REF!</v>
      </c>
    </row>
    <row r="249" spans="2:14">
      <c r="B249" s="14">
        <v>127</v>
      </c>
      <c r="C249" s="2" t="s">
        <v>196</v>
      </c>
      <c r="D249" s="12">
        <v>180000</v>
      </c>
      <c r="E249" s="12">
        <v>23994</v>
      </c>
      <c r="F249" s="15">
        <f t="shared" si="26"/>
        <v>203994</v>
      </c>
      <c r="G249" s="31">
        <v>40</v>
      </c>
      <c r="H249" s="12">
        <v>5099.8500000000004</v>
      </c>
      <c r="I249" s="8">
        <v>34</v>
      </c>
      <c r="J249" s="8">
        <v>8</v>
      </c>
      <c r="K249" s="12">
        <f>(34*5099.85)</f>
        <v>173394.90000000002</v>
      </c>
      <c r="L249" s="15">
        <f t="shared" si="27"/>
        <v>30599.099999999977</v>
      </c>
      <c r="M249" s="8"/>
      <c r="N249" s="39" t="e">
        <f>#REF!-H249</f>
        <v>#REF!</v>
      </c>
    </row>
    <row r="250" spans="2:14">
      <c r="B250" s="14">
        <v>3</v>
      </c>
      <c r="C250" s="2" t="s">
        <v>200</v>
      </c>
      <c r="D250" s="12">
        <v>132000</v>
      </c>
      <c r="E250" s="12">
        <v>17595.599999999999</v>
      </c>
      <c r="F250" s="15">
        <f t="shared" si="26"/>
        <v>149595.6</v>
      </c>
      <c r="G250" s="31">
        <v>40</v>
      </c>
      <c r="H250" s="12">
        <v>3739.89</v>
      </c>
      <c r="I250" s="8">
        <v>40</v>
      </c>
      <c r="J250" s="11">
        <f t="shared" ref="J250:J268" si="28">G250-I250</f>
        <v>0</v>
      </c>
      <c r="K250" s="12">
        <f>(40*3739.89)</f>
        <v>149595.6</v>
      </c>
      <c r="L250" s="15">
        <f t="shared" si="27"/>
        <v>0</v>
      </c>
      <c r="M250" s="8"/>
      <c r="N250" s="39" t="e">
        <f>#REF!-H250</f>
        <v>#REF!</v>
      </c>
    </row>
    <row r="251" spans="2:14">
      <c r="B251" s="14">
        <v>10</v>
      </c>
      <c r="C251" s="2" t="s">
        <v>125</v>
      </c>
      <c r="D251" s="15">
        <v>200000</v>
      </c>
      <c r="E251" s="15">
        <v>26660</v>
      </c>
      <c r="F251" s="15">
        <f t="shared" si="26"/>
        <v>226660</v>
      </c>
      <c r="G251" s="31">
        <v>40</v>
      </c>
      <c r="H251" s="15">
        <v>5666.5</v>
      </c>
      <c r="I251" s="8">
        <v>40</v>
      </c>
      <c r="J251" s="11">
        <f t="shared" si="28"/>
        <v>0</v>
      </c>
      <c r="K251" s="12">
        <f>(40*5666.5)</f>
        <v>226660</v>
      </c>
      <c r="L251" s="15">
        <f t="shared" si="27"/>
        <v>0</v>
      </c>
      <c r="M251" s="8"/>
      <c r="N251" s="39" t="e">
        <f>#REF!-H251</f>
        <v>#REF!</v>
      </c>
    </row>
    <row r="252" spans="2:14">
      <c r="B252" s="14">
        <v>20</v>
      </c>
      <c r="C252" s="2" t="s">
        <v>128</v>
      </c>
      <c r="D252" s="15">
        <v>200000</v>
      </c>
      <c r="E252" s="15">
        <v>26660</v>
      </c>
      <c r="F252" s="15">
        <f t="shared" si="26"/>
        <v>226660</v>
      </c>
      <c r="G252" s="32">
        <v>40</v>
      </c>
      <c r="H252" s="15">
        <v>5666.5</v>
      </c>
      <c r="I252" s="22">
        <v>42</v>
      </c>
      <c r="J252" s="11">
        <f t="shared" si="28"/>
        <v>-2</v>
      </c>
      <c r="K252" s="15">
        <f>(42*5666.5)</f>
        <v>237993</v>
      </c>
      <c r="L252" s="15">
        <f t="shared" si="27"/>
        <v>-11333</v>
      </c>
      <c r="M252" s="10"/>
      <c r="N252" s="39" t="e">
        <f>#REF!-H252</f>
        <v>#REF!</v>
      </c>
    </row>
    <row r="253" spans="2:14">
      <c r="B253" s="14">
        <v>27</v>
      </c>
      <c r="C253" s="2" t="s">
        <v>132</v>
      </c>
      <c r="D253" s="15">
        <v>200000</v>
      </c>
      <c r="E253" s="15">
        <v>26660</v>
      </c>
      <c r="F253" s="15">
        <f t="shared" si="26"/>
        <v>226660</v>
      </c>
      <c r="G253" s="31">
        <v>40</v>
      </c>
      <c r="H253" s="15">
        <v>5666.5</v>
      </c>
      <c r="I253" s="8">
        <v>40</v>
      </c>
      <c r="J253" s="11">
        <f t="shared" si="28"/>
        <v>0</v>
      </c>
      <c r="K253" s="12">
        <f>(40*5666.5)</f>
        <v>226660</v>
      </c>
      <c r="L253" s="15">
        <f t="shared" si="27"/>
        <v>0</v>
      </c>
      <c r="M253" s="8"/>
      <c r="N253" s="39" t="e">
        <f>#REF!-H253</f>
        <v>#REF!</v>
      </c>
    </row>
    <row r="254" spans="2:14">
      <c r="B254" s="14">
        <v>30</v>
      </c>
      <c r="C254" s="2" t="s">
        <v>135</v>
      </c>
      <c r="D254" s="15">
        <v>200000</v>
      </c>
      <c r="E254" s="15">
        <v>26660</v>
      </c>
      <c r="F254" s="15">
        <f t="shared" si="26"/>
        <v>226660</v>
      </c>
      <c r="G254" s="31">
        <v>40</v>
      </c>
      <c r="H254" s="15">
        <v>5666.5</v>
      </c>
      <c r="I254" s="8">
        <v>33</v>
      </c>
      <c r="J254" s="11">
        <f t="shared" si="28"/>
        <v>7</v>
      </c>
      <c r="K254" s="12">
        <f>(33*5666.5)</f>
        <v>186994.5</v>
      </c>
      <c r="L254" s="15">
        <f t="shared" si="27"/>
        <v>39665.5</v>
      </c>
      <c r="M254" s="8"/>
      <c r="N254" s="39" t="e">
        <f>#REF!-H254</f>
        <v>#REF!</v>
      </c>
    </row>
    <row r="255" spans="2:14">
      <c r="B255" s="14">
        <v>43</v>
      </c>
      <c r="C255" s="2" t="s">
        <v>239</v>
      </c>
      <c r="D255" s="12">
        <v>132000</v>
      </c>
      <c r="E255" s="12">
        <v>17595.599999999999</v>
      </c>
      <c r="F255" s="12">
        <v>149595.6</v>
      </c>
      <c r="G255" s="30">
        <v>40</v>
      </c>
      <c r="H255" s="18">
        <v>3739.89</v>
      </c>
      <c r="I255" s="33">
        <v>43</v>
      </c>
      <c r="J255" s="11">
        <f t="shared" si="28"/>
        <v>-3</v>
      </c>
      <c r="K255" s="12">
        <f>(43*3739.89)</f>
        <v>160815.26999999999</v>
      </c>
      <c r="L255" s="15">
        <f t="shared" si="27"/>
        <v>-11219.669999999984</v>
      </c>
      <c r="M255" s="8"/>
      <c r="N255" s="39" t="e">
        <f>#REF!-H255</f>
        <v>#REF!</v>
      </c>
    </row>
    <row r="256" spans="2:14">
      <c r="B256" s="14">
        <v>45</v>
      </c>
      <c r="C256" s="2" t="s">
        <v>140</v>
      </c>
      <c r="D256" s="15">
        <v>200000</v>
      </c>
      <c r="E256" s="15">
        <v>26660</v>
      </c>
      <c r="F256" s="15">
        <f>SUM(D256:E256)</f>
        <v>226660</v>
      </c>
      <c r="G256" s="31">
        <v>40</v>
      </c>
      <c r="H256" s="15">
        <v>5666.5</v>
      </c>
      <c r="I256" s="8">
        <v>29</v>
      </c>
      <c r="J256" s="11">
        <f t="shared" si="28"/>
        <v>11</v>
      </c>
      <c r="K256" s="12">
        <f>(29*5666.5)</f>
        <v>164328.5</v>
      </c>
      <c r="L256" s="15">
        <f t="shared" si="27"/>
        <v>62331.5</v>
      </c>
      <c r="M256" s="8"/>
      <c r="N256" s="39" t="e">
        <f>#REF!-H256</f>
        <v>#REF!</v>
      </c>
    </row>
    <row r="257" spans="2:14">
      <c r="B257" s="14">
        <v>50</v>
      </c>
      <c r="C257" s="2" t="s">
        <v>143</v>
      </c>
      <c r="D257" s="15">
        <v>200000</v>
      </c>
      <c r="E257" s="15">
        <v>26660</v>
      </c>
      <c r="F257" s="15">
        <f>SUM(D257:E257)</f>
        <v>226660</v>
      </c>
      <c r="G257" s="31">
        <v>40</v>
      </c>
      <c r="H257" s="15">
        <v>5666.5</v>
      </c>
      <c r="I257" s="8">
        <v>40</v>
      </c>
      <c r="J257" s="11">
        <f t="shared" si="28"/>
        <v>0</v>
      </c>
      <c r="K257" s="12">
        <f>(40*5666.5)</f>
        <v>226660</v>
      </c>
      <c r="L257" s="15">
        <f t="shared" si="27"/>
        <v>0</v>
      </c>
      <c r="M257" s="8"/>
      <c r="N257" s="39" t="e">
        <f>#REF!-H257</f>
        <v>#REF!</v>
      </c>
    </row>
    <row r="258" spans="2:14">
      <c r="B258" s="14">
        <v>97</v>
      </c>
      <c r="C258" s="2" t="s">
        <v>217</v>
      </c>
      <c r="D258" s="12">
        <v>60000</v>
      </c>
      <c r="E258" s="12">
        <v>7998</v>
      </c>
      <c r="F258" s="15">
        <f>SUM(D258:E258)</f>
        <v>67998</v>
      </c>
      <c r="G258" s="31">
        <v>40</v>
      </c>
      <c r="H258" s="12">
        <v>1699.95</v>
      </c>
      <c r="I258" s="8">
        <v>43</v>
      </c>
      <c r="J258" s="11">
        <f t="shared" si="28"/>
        <v>-3</v>
      </c>
      <c r="K258" s="12">
        <f>(43*1699.95)</f>
        <v>73097.850000000006</v>
      </c>
      <c r="L258" s="15">
        <f t="shared" si="27"/>
        <v>-5099.8500000000058</v>
      </c>
      <c r="M258" s="8"/>
      <c r="N258" s="39" t="e">
        <f>#REF!-H258</f>
        <v>#REF!</v>
      </c>
    </row>
    <row r="259" spans="2:14">
      <c r="B259" s="14">
        <v>99</v>
      </c>
      <c r="C259" s="2" t="s">
        <v>221</v>
      </c>
      <c r="D259" s="12">
        <v>330000</v>
      </c>
      <c r="E259" s="12">
        <v>21975</v>
      </c>
      <c r="F259" s="12">
        <v>351975</v>
      </c>
      <c r="G259" s="31">
        <v>25</v>
      </c>
      <c r="H259" s="18">
        <v>14079</v>
      </c>
      <c r="I259" s="33">
        <v>28</v>
      </c>
      <c r="J259" s="11">
        <f t="shared" si="28"/>
        <v>-3</v>
      </c>
      <c r="K259" s="16">
        <f>(28*14079)</f>
        <v>394212</v>
      </c>
      <c r="L259" s="15">
        <f t="shared" si="27"/>
        <v>-42237</v>
      </c>
      <c r="M259" s="8"/>
      <c r="N259" s="39" t="e">
        <f>#REF!-H259</f>
        <v>#REF!</v>
      </c>
    </row>
    <row r="260" spans="2:14">
      <c r="B260" s="14">
        <v>129</v>
      </c>
      <c r="C260" s="2" t="s">
        <v>95</v>
      </c>
      <c r="D260" s="12">
        <v>450000</v>
      </c>
      <c r="E260" s="12">
        <v>59985</v>
      </c>
      <c r="F260" s="15">
        <f>SUM(D260:E260)</f>
        <v>509985</v>
      </c>
      <c r="G260" s="31">
        <v>50</v>
      </c>
      <c r="H260" s="12">
        <v>10199.700000000001</v>
      </c>
      <c r="I260" s="8">
        <v>26</v>
      </c>
      <c r="J260" s="11">
        <f t="shared" si="28"/>
        <v>24</v>
      </c>
      <c r="K260" s="12">
        <f>(26*10199.7)</f>
        <v>265192.2</v>
      </c>
      <c r="L260" s="15">
        <f t="shared" si="27"/>
        <v>244792.8</v>
      </c>
      <c r="M260" s="8"/>
      <c r="N260" s="39" t="e">
        <f>#REF!-H260</f>
        <v>#REF!</v>
      </c>
    </row>
    <row r="261" spans="2:14">
      <c r="B261" s="14">
        <v>131</v>
      </c>
      <c r="C261" s="2" t="s">
        <v>172</v>
      </c>
      <c r="D261" s="15">
        <v>200000</v>
      </c>
      <c r="E261" s="15">
        <v>26660</v>
      </c>
      <c r="F261" s="15">
        <f>SUM(D261:E261)</f>
        <v>226660</v>
      </c>
      <c r="G261" s="31">
        <v>40</v>
      </c>
      <c r="H261" s="15">
        <v>5666.5</v>
      </c>
      <c r="I261" s="8">
        <v>40</v>
      </c>
      <c r="J261" s="11">
        <f t="shared" si="28"/>
        <v>0</v>
      </c>
      <c r="K261" s="12">
        <f>(40*5666.5)</f>
        <v>226660</v>
      </c>
      <c r="L261" s="15">
        <f t="shared" si="27"/>
        <v>0</v>
      </c>
      <c r="M261" s="8"/>
      <c r="N261" s="39" t="e">
        <f>#REF!-H261</f>
        <v>#REF!</v>
      </c>
    </row>
    <row r="262" spans="2:14">
      <c r="B262" s="14">
        <v>141</v>
      </c>
      <c r="C262" s="2" t="s">
        <v>197</v>
      </c>
      <c r="D262" s="12">
        <v>180000</v>
      </c>
      <c r="E262" s="12">
        <v>23994</v>
      </c>
      <c r="F262" s="15">
        <f>SUM(D262:E262)</f>
        <v>203994</v>
      </c>
      <c r="G262" s="31">
        <v>40</v>
      </c>
      <c r="H262" s="12">
        <v>5099.8500000000004</v>
      </c>
      <c r="I262" s="8">
        <v>40</v>
      </c>
      <c r="J262" s="11">
        <f t="shared" si="28"/>
        <v>0</v>
      </c>
      <c r="K262" s="12">
        <f>(40*5099.85)</f>
        <v>203994</v>
      </c>
      <c r="L262" s="15">
        <f t="shared" si="27"/>
        <v>0</v>
      </c>
      <c r="M262" s="8"/>
      <c r="N262" s="39" t="e">
        <f>#REF!-H262</f>
        <v>#REF!</v>
      </c>
    </row>
    <row r="263" spans="2:14">
      <c r="B263" s="14">
        <v>142</v>
      </c>
      <c r="C263" s="2" t="s">
        <v>16</v>
      </c>
      <c r="D263" s="12">
        <v>450000</v>
      </c>
      <c r="E263" s="12">
        <v>59985</v>
      </c>
      <c r="F263" s="12">
        <v>509985</v>
      </c>
      <c r="G263" s="33">
        <v>50</v>
      </c>
      <c r="H263" s="19">
        <v>11333</v>
      </c>
      <c r="I263" s="31">
        <v>8</v>
      </c>
      <c r="J263" s="11">
        <f t="shared" si="28"/>
        <v>42</v>
      </c>
      <c r="K263" s="12">
        <f>(8*11333)</f>
        <v>90664</v>
      </c>
      <c r="L263" s="15">
        <f t="shared" si="27"/>
        <v>419321</v>
      </c>
      <c r="M263" s="8"/>
      <c r="N263" s="39" t="e">
        <f>#REF!-H263</f>
        <v>#REF!</v>
      </c>
    </row>
    <row r="264" spans="2:14">
      <c r="B264" s="14">
        <v>144</v>
      </c>
      <c r="C264" s="2" t="s">
        <v>174</v>
      </c>
      <c r="D264" s="15">
        <v>200000</v>
      </c>
      <c r="E264" s="15">
        <v>26660</v>
      </c>
      <c r="F264" s="15">
        <f>SUM(D264:E264)</f>
        <v>226660</v>
      </c>
      <c r="G264" s="31">
        <v>40</v>
      </c>
      <c r="H264" s="15">
        <v>5666.5</v>
      </c>
      <c r="I264" s="8">
        <v>40</v>
      </c>
      <c r="J264" s="11">
        <f t="shared" si="28"/>
        <v>0</v>
      </c>
      <c r="K264" s="12">
        <f>(40*5666.5)</f>
        <v>226660</v>
      </c>
      <c r="L264" s="15">
        <f t="shared" si="27"/>
        <v>0</v>
      </c>
      <c r="M264" s="8"/>
      <c r="N264" s="39" t="e">
        <f>#REF!-H264</f>
        <v>#REF!</v>
      </c>
    </row>
    <row r="265" spans="2:14">
      <c r="B265" s="14">
        <v>159</v>
      </c>
      <c r="C265" s="2" t="s">
        <v>198</v>
      </c>
      <c r="D265" s="12">
        <v>180000</v>
      </c>
      <c r="E265" s="12">
        <v>23994</v>
      </c>
      <c r="F265" s="15">
        <f>SUM(D265:E265)</f>
        <v>203994</v>
      </c>
      <c r="G265" s="30">
        <v>40</v>
      </c>
      <c r="H265" s="12">
        <v>5099.8500000000004</v>
      </c>
      <c r="I265" s="22">
        <v>42</v>
      </c>
      <c r="J265" s="11">
        <f t="shared" si="28"/>
        <v>-2</v>
      </c>
      <c r="K265" s="12">
        <f>(42*5099.85)</f>
        <v>214193.7</v>
      </c>
      <c r="L265" s="15">
        <f t="shared" si="27"/>
        <v>-10199.700000000012</v>
      </c>
      <c r="M265" s="10"/>
      <c r="N265" s="39" t="e">
        <f>#REF!-H265</f>
        <v>#REF!</v>
      </c>
    </row>
    <row r="266" spans="2:14">
      <c r="B266" s="14">
        <v>178</v>
      </c>
      <c r="C266" s="4" t="s">
        <v>208</v>
      </c>
      <c r="D266" s="12">
        <v>132000</v>
      </c>
      <c r="E266" s="12">
        <v>17595.599999999999</v>
      </c>
      <c r="F266" s="15">
        <f>SUM(D266:E266)</f>
        <v>149595.6</v>
      </c>
      <c r="G266" s="30">
        <v>40</v>
      </c>
      <c r="H266" s="12">
        <v>3739.89</v>
      </c>
      <c r="I266" s="22">
        <v>42</v>
      </c>
      <c r="J266" s="11">
        <f t="shared" si="28"/>
        <v>-2</v>
      </c>
      <c r="K266" s="12">
        <f>(42*3739.89)</f>
        <v>157075.38</v>
      </c>
      <c r="L266" s="15">
        <f t="shared" si="27"/>
        <v>-7479.7799999999988</v>
      </c>
      <c r="M266" s="8"/>
      <c r="N266" s="39" t="e">
        <f>#REF!-H266</f>
        <v>#REF!</v>
      </c>
    </row>
    <row r="267" spans="2:14">
      <c r="B267" s="14">
        <v>179</v>
      </c>
      <c r="C267" s="4" t="s">
        <v>220</v>
      </c>
      <c r="D267" s="12">
        <v>60000</v>
      </c>
      <c r="E267" s="12">
        <v>7998</v>
      </c>
      <c r="F267" s="15">
        <f>SUM(D267:E267)</f>
        <v>67998</v>
      </c>
      <c r="G267" s="31">
        <v>40</v>
      </c>
      <c r="H267" s="12">
        <v>1699.95</v>
      </c>
      <c r="I267" s="8">
        <v>39</v>
      </c>
      <c r="J267" s="11">
        <f t="shared" si="28"/>
        <v>1</v>
      </c>
      <c r="K267" s="12">
        <f>(39*1699.89)</f>
        <v>66295.710000000006</v>
      </c>
      <c r="L267" s="15">
        <f t="shared" si="27"/>
        <v>1702.2899999999936</v>
      </c>
      <c r="M267" s="8"/>
      <c r="N267" s="39" t="e">
        <f>#REF!-H267</f>
        <v>#REF!</v>
      </c>
    </row>
    <row r="268" spans="2:14">
      <c r="B268" s="14">
        <v>188</v>
      </c>
      <c r="C268" s="4" t="s">
        <v>182</v>
      </c>
      <c r="D268" s="15">
        <v>200000</v>
      </c>
      <c r="E268" s="15">
        <v>26660</v>
      </c>
      <c r="F268" s="15">
        <f>SUM(D268:E268)</f>
        <v>226660</v>
      </c>
      <c r="G268" s="31">
        <v>40</v>
      </c>
      <c r="H268" s="15">
        <v>5666.5</v>
      </c>
      <c r="I268" s="8">
        <v>40</v>
      </c>
      <c r="J268" s="11">
        <f t="shared" si="28"/>
        <v>0</v>
      </c>
      <c r="K268" s="12">
        <f>(40*5666.5)</f>
        <v>226660</v>
      </c>
      <c r="L268" s="15">
        <f t="shared" si="27"/>
        <v>0</v>
      </c>
      <c r="M268" s="8"/>
      <c r="N268" s="39" t="e">
        <f>#REF!-H268</f>
        <v>#REF!</v>
      </c>
    </row>
    <row r="276" spans="2:14">
      <c r="B276" s="14">
        <v>67</v>
      </c>
      <c r="C276" s="2" t="s">
        <v>61</v>
      </c>
      <c r="D276" s="12">
        <v>500000</v>
      </c>
      <c r="E276" s="12">
        <v>66650</v>
      </c>
      <c r="F276" s="15">
        <f>SUM(D276:E276)</f>
        <v>566650</v>
      </c>
      <c r="G276" s="31">
        <v>50</v>
      </c>
      <c r="H276" s="12">
        <v>11333</v>
      </c>
      <c r="I276" s="11">
        <v>29</v>
      </c>
      <c r="J276" s="11">
        <f>G276-I276</f>
        <v>21</v>
      </c>
      <c r="K276" s="12">
        <f>(29*11333)</f>
        <v>328657</v>
      </c>
      <c r="L276" s="15">
        <f>F276-K276</f>
        <v>237993</v>
      </c>
      <c r="M276" s="8"/>
      <c r="N276" s="39" t="e">
        <f>#REF!-H276</f>
        <v>#REF!</v>
      </c>
    </row>
    <row r="277" spans="2:14">
      <c r="B277" s="14">
        <v>71</v>
      </c>
      <c r="C277" s="23" t="s">
        <v>148</v>
      </c>
      <c r="D277" s="15">
        <v>200000</v>
      </c>
      <c r="E277" s="15">
        <v>26660</v>
      </c>
      <c r="F277" s="15">
        <f>SUM(D277:E277)</f>
        <v>226660</v>
      </c>
      <c r="G277" s="31">
        <v>40</v>
      </c>
      <c r="H277" s="15">
        <v>5666.5</v>
      </c>
      <c r="I277" s="8">
        <v>31</v>
      </c>
      <c r="J277" s="11">
        <f>G277-I277</f>
        <v>9</v>
      </c>
      <c r="K277" s="72">
        <f>(31*5666.5)</f>
        <v>175661.5</v>
      </c>
      <c r="L277" s="15">
        <f>F277-K277</f>
        <v>50998.5</v>
      </c>
      <c r="M277" s="8"/>
      <c r="N277" s="39" t="e">
        <f>#REF!-H277</f>
        <v>#REF!</v>
      </c>
    </row>
  </sheetData>
  <mergeCells count="2">
    <mergeCell ref="B3:M3"/>
    <mergeCell ref="B4:M4"/>
  </mergeCells>
  <conditionalFormatting sqref="C249">
    <cfRule type="duplicateValues" dxfId="4489" priority="439" stopIfTrue="1"/>
    <cfRule type="duplicateValues" dxfId="4488" priority="440" stopIfTrue="1"/>
  </conditionalFormatting>
  <conditionalFormatting sqref="C249">
    <cfRule type="duplicateValues" dxfId="4487" priority="438" stopIfTrue="1"/>
  </conditionalFormatting>
  <conditionalFormatting sqref="C10">
    <cfRule type="duplicateValues" dxfId="4486" priority="436" stopIfTrue="1"/>
    <cfRule type="duplicateValues" dxfId="4485" priority="437" stopIfTrue="1"/>
  </conditionalFormatting>
  <conditionalFormatting sqref="C10">
    <cfRule type="duplicateValues" dxfId="4484" priority="435" stopIfTrue="1"/>
  </conditionalFormatting>
  <conditionalFormatting sqref="C221">
    <cfRule type="duplicateValues" dxfId="4483" priority="433" stopIfTrue="1"/>
    <cfRule type="duplicateValues" dxfId="4482" priority="434" stopIfTrue="1"/>
  </conditionalFormatting>
  <conditionalFormatting sqref="C221">
    <cfRule type="duplicateValues" dxfId="4481" priority="432" stopIfTrue="1"/>
  </conditionalFormatting>
  <conditionalFormatting sqref="C12">
    <cfRule type="duplicateValues" dxfId="4480" priority="430" stopIfTrue="1"/>
    <cfRule type="duplicateValues" dxfId="4479" priority="431" stopIfTrue="1"/>
  </conditionalFormatting>
  <conditionalFormatting sqref="C12">
    <cfRule type="duplicateValues" dxfId="4478" priority="429" stopIfTrue="1"/>
  </conditionalFormatting>
  <conditionalFormatting sqref="C13">
    <cfRule type="duplicateValues" dxfId="4477" priority="427" stopIfTrue="1"/>
    <cfRule type="duplicateValues" dxfId="4476" priority="428" stopIfTrue="1"/>
  </conditionalFormatting>
  <conditionalFormatting sqref="C13">
    <cfRule type="duplicateValues" dxfId="4475" priority="426" stopIfTrue="1"/>
  </conditionalFormatting>
  <conditionalFormatting sqref="C14">
    <cfRule type="duplicateValues" dxfId="4474" priority="424" stopIfTrue="1"/>
    <cfRule type="duplicateValues" dxfId="4473" priority="425" stopIfTrue="1"/>
  </conditionalFormatting>
  <conditionalFormatting sqref="C14">
    <cfRule type="duplicateValues" dxfId="4472" priority="423" stopIfTrue="1"/>
  </conditionalFormatting>
  <conditionalFormatting sqref="C15">
    <cfRule type="duplicateValues" dxfId="4471" priority="421" stopIfTrue="1"/>
    <cfRule type="duplicateValues" dxfId="4470" priority="422" stopIfTrue="1"/>
  </conditionalFormatting>
  <conditionalFormatting sqref="C15">
    <cfRule type="duplicateValues" dxfId="4469" priority="420" stopIfTrue="1"/>
  </conditionalFormatting>
  <conditionalFormatting sqref="C16">
    <cfRule type="duplicateValues" dxfId="4468" priority="418" stopIfTrue="1"/>
    <cfRule type="duplicateValues" dxfId="4467" priority="419" stopIfTrue="1"/>
  </conditionalFormatting>
  <conditionalFormatting sqref="C16">
    <cfRule type="duplicateValues" dxfId="4466" priority="417" stopIfTrue="1"/>
  </conditionalFormatting>
  <conditionalFormatting sqref="C17">
    <cfRule type="duplicateValues" dxfId="4465" priority="415" stopIfTrue="1"/>
    <cfRule type="duplicateValues" dxfId="4464" priority="416" stopIfTrue="1"/>
  </conditionalFormatting>
  <conditionalFormatting sqref="C17">
    <cfRule type="duplicateValues" dxfId="4463" priority="414" stopIfTrue="1"/>
  </conditionalFormatting>
  <conditionalFormatting sqref="C18">
    <cfRule type="duplicateValues" dxfId="4462" priority="412" stopIfTrue="1"/>
    <cfRule type="duplicateValues" dxfId="4461" priority="413" stopIfTrue="1"/>
  </conditionalFormatting>
  <conditionalFormatting sqref="C18">
    <cfRule type="duplicateValues" dxfId="4460" priority="411" stopIfTrue="1"/>
  </conditionalFormatting>
  <conditionalFormatting sqref="C19">
    <cfRule type="duplicateValues" dxfId="4459" priority="409" stopIfTrue="1"/>
    <cfRule type="duplicateValues" dxfId="4458" priority="410" stopIfTrue="1"/>
  </conditionalFormatting>
  <conditionalFormatting sqref="C19">
    <cfRule type="duplicateValues" dxfId="4457" priority="408" stopIfTrue="1"/>
  </conditionalFormatting>
  <conditionalFormatting sqref="C20">
    <cfRule type="duplicateValues" dxfId="4456" priority="406" stopIfTrue="1"/>
    <cfRule type="duplicateValues" dxfId="4455" priority="407" stopIfTrue="1"/>
  </conditionalFormatting>
  <conditionalFormatting sqref="C20">
    <cfRule type="duplicateValues" dxfId="4454" priority="405" stopIfTrue="1"/>
  </conditionalFormatting>
  <conditionalFormatting sqref="C21">
    <cfRule type="duplicateValues" dxfId="4453" priority="403" stopIfTrue="1"/>
    <cfRule type="duplicateValues" dxfId="4452" priority="404" stopIfTrue="1"/>
  </conditionalFormatting>
  <conditionalFormatting sqref="C21">
    <cfRule type="duplicateValues" dxfId="4451" priority="402" stopIfTrue="1"/>
  </conditionalFormatting>
  <conditionalFormatting sqref="C252">
    <cfRule type="duplicateValues" dxfId="4450" priority="400" stopIfTrue="1"/>
    <cfRule type="duplicateValues" dxfId="4449" priority="401" stopIfTrue="1"/>
  </conditionalFormatting>
  <conditionalFormatting sqref="C252">
    <cfRule type="duplicateValues" dxfId="4448" priority="399" stopIfTrue="1"/>
  </conditionalFormatting>
  <conditionalFormatting sqref="C222">
    <cfRule type="duplicateValues" dxfId="4447" priority="397" stopIfTrue="1"/>
    <cfRule type="duplicateValues" dxfId="4446" priority="398" stopIfTrue="1"/>
  </conditionalFormatting>
  <conditionalFormatting sqref="C222">
    <cfRule type="duplicateValues" dxfId="4445" priority="396" stopIfTrue="1"/>
  </conditionalFormatting>
  <conditionalFormatting sqref="C23">
    <cfRule type="duplicateValues" dxfId="4444" priority="394" stopIfTrue="1"/>
    <cfRule type="duplicateValues" dxfId="4443" priority="395" stopIfTrue="1"/>
  </conditionalFormatting>
  <conditionalFormatting sqref="C23">
    <cfRule type="duplicateValues" dxfId="4442" priority="393" stopIfTrue="1"/>
  </conditionalFormatting>
  <conditionalFormatting sqref="C223">
    <cfRule type="duplicateValues" dxfId="4441" priority="388" stopIfTrue="1"/>
    <cfRule type="duplicateValues" dxfId="4440" priority="389" stopIfTrue="1"/>
  </conditionalFormatting>
  <conditionalFormatting sqref="C223">
    <cfRule type="duplicateValues" dxfId="4439" priority="387" stopIfTrue="1"/>
  </conditionalFormatting>
  <conditionalFormatting sqref="C253">
    <cfRule type="duplicateValues" dxfId="4438" priority="385" stopIfTrue="1"/>
    <cfRule type="duplicateValues" dxfId="4437" priority="386" stopIfTrue="1"/>
  </conditionalFormatting>
  <conditionalFormatting sqref="C253">
    <cfRule type="duplicateValues" dxfId="4436" priority="384" stopIfTrue="1"/>
  </conditionalFormatting>
  <conditionalFormatting sqref="C26">
    <cfRule type="duplicateValues" dxfId="4435" priority="382" stopIfTrue="1"/>
    <cfRule type="duplicateValues" dxfId="4434" priority="383" stopIfTrue="1"/>
  </conditionalFormatting>
  <conditionalFormatting sqref="C26">
    <cfRule type="duplicateValues" dxfId="4433" priority="381" stopIfTrue="1"/>
  </conditionalFormatting>
  <conditionalFormatting sqref="C246">
    <cfRule type="duplicateValues" dxfId="4432" priority="379" stopIfTrue="1"/>
    <cfRule type="duplicateValues" dxfId="4431" priority="380" stopIfTrue="1"/>
  </conditionalFormatting>
  <conditionalFormatting sqref="C246">
    <cfRule type="duplicateValues" dxfId="4430" priority="378" stopIfTrue="1"/>
  </conditionalFormatting>
  <conditionalFormatting sqref="C254">
    <cfRule type="duplicateValues" dxfId="4429" priority="376" stopIfTrue="1"/>
    <cfRule type="duplicateValues" dxfId="4428" priority="377" stopIfTrue="1"/>
  </conditionalFormatting>
  <conditionalFormatting sqref="C254">
    <cfRule type="duplicateValues" dxfId="4427" priority="375" stopIfTrue="1"/>
  </conditionalFormatting>
  <conditionalFormatting sqref="C28">
    <cfRule type="duplicateValues" dxfId="4426" priority="373" stopIfTrue="1"/>
    <cfRule type="duplicateValues" dxfId="4425" priority="374" stopIfTrue="1"/>
  </conditionalFormatting>
  <conditionalFormatting sqref="C28">
    <cfRule type="duplicateValues" dxfId="4424" priority="372" stopIfTrue="1"/>
  </conditionalFormatting>
  <conditionalFormatting sqref="C31">
    <cfRule type="duplicateValues" dxfId="4423" priority="370" stopIfTrue="1"/>
    <cfRule type="duplicateValues" dxfId="4422" priority="371" stopIfTrue="1"/>
  </conditionalFormatting>
  <conditionalFormatting sqref="C31">
    <cfRule type="duplicateValues" dxfId="4421" priority="369" stopIfTrue="1"/>
  </conditionalFormatting>
  <conditionalFormatting sqref="C32">
    <cfRule type="duplicateValues" dxfId="4420" priority="367" stopIfTrue="1"/>
    <cfRule type="duplicateValues" dxfId="4419" priority="368" stopIfTrue="1"/>
  </conditionalFormatting>
  <conditionalFormatting sqref="C32">
    <cfRule type="duplicateValues" dxfId="4418" priority="366" stopIfTrue="1"/>
  </conditionalFormatting>
  <conditionalFormatting sqref="C33">
    <cfRule type="duplicateValues" dxfId="4417" priority="364" stopIfTrue="1"/>
    <cfRule type="duplicateValues" dxfId="4416" priority="365" stopIfTrue="1"/>
  </conditionalFormatting>
  <conditionalFormatting sqref="C33">
    <cfRule type="duplicateValues" dxfId="4415" priority="363" stopIfTrue="1"/>
  </conditionalFormatting>
  <conditionalFormatting sqref="C39">
    <cfRule type="duplicateValues" dxfId="4414" priority="361" stopIfTrue="1"/>
    <cfRule type="duplicateValues" dxfId="4413" priority="362" stopIfTrue="1"/>
  </conditionalFormatting>
  <conditionalFormatting sqref="C39">
    <cfRule type="duplicateValues" dxfId="4412" priority="360" stopIfTrue="1"/>
  </conditionalFormatting>
  <conditionalFormatting sqref="C40">
    <cfRule type="duplicateValues" dxfId="4411" priority="358" stopIfTrue="1"/>
    <cfRule type="duplicateValues" dxfId="4410" priority="359" stopIfTrue="1"/>
  </conditionalFormatting>
  <conditionalFormatting sqref="C40">
    <cfRule type="duplicateValues" dxfId="4409" priority="357" stopIfTrue="1"/>
  </conditionalFormatting>
  <conditionalFormatting sqref="C41">
    <cfRule type="duplicateValues" dxfId="4408" priority="355" stopIfTrue="1"/>
    <cfRule type="duplicateValues" dxfId="4407" priority="356" stopIfTrue="1"/>
  </conditionalFormatting>
  <conditionalFormatting sqref="C41">
    <cfRule type="duplicateValues" dxfId="4406" priority="354" stopIfTrue="1"/>
  </conditionalFormatting>
  <conditionalFormatting sqref="C255">
    <cfRule type="duplicateValues" dxfId="4405" priority="352" stopIfTrue="1"/>
    <cfRule type="duplicateValues" dxfId="4404" priority="353" stopIfTrue="1"/>
  </conditionalFormatting>
  <conditionalFormatting sqref="C255">
    <cfRule type="duplicateValues" dxfId="4403" priority="351" stopIfTrue="1"/>
  </conditionalFormatting>
  <conditionalFormatting sqref="C43">
    <cfRule type="duplicateValues" dxfId="4402" priority="349" stopIfTrue="1"/>
    <cfRule type="duplicateValues" dxfId="4401" priority="350" stopIfTrue="1"/>
  </conditionalFormatting>
  <conditionalFormatting sqref="C43">
    <cfRule type="duplicateValues" dxfId="4400" priority="348" stopIfTrue="1"/>
  </conditionalFormatting>
  <conditionalFormatting sqref="C256">
    <cfRule type="duplicateValues" dxfId="4399" priority="346" stopIfTrue="1"/>
    <cfRule type="duplicateValues" dxfId="4398" priority="347" stopIfTrue="1"/>
  </conditionalFormatting>
  <conditionalFormatting sqref="C256">
    <cfRule type="duplicateValues" dxfId="4397" priority="345" stopIfTrue="1"/>
  </conditionalFormatting>
  <conditionalFormatting sqref="C44">
    <cfRule type="duplicateValues" dxfId="4396" priority="343" stopIfTrue="1"/>
    <cfRule type="duplicateValues" dxfId="4395" priority="344" stopIfTrue="1"/>
  </conditionalFormatting>
  <conditionalFormatting sqref="C44">
    <cfRule type="duplicateValues" dxfId="4394" priority="342" stopIfTrue="1"/>
  </conditionalFormatting>
  <conditionalFormatting sqref="C45">
    <cfRule type="duplicateValues" dxfId="4393" priority="340" stopIfTrue="1"/>
    <cfRule type="duplicateValues" dxfId="4392" priority="341" stopIfTrue="1"/>
  </conditionalFormatting>
  <conditionalFormatting sqref="C45">
    <cfRule type="duplicateValues" dxfId="4391" priority="339" stopIfTrue="1"/>
  </conditionalFormatting>
  <conditionalFormatting sqref="C46">
    <cfRule type="duplicateValues" dxfId="4390" priority="337" stopIfTrue="1"/>
    <cfRule type="duplicateValues" dxfId="4389" priority="338" stopIfTrue="1"/>
  </conditionalFormatting>
  <conditionalFormatting sqref="C46">
    <cfRule type="duplicateValues" dxfId="4388" priority="336" stopIfTrue="1"/>
  </conditionalFormatting>
  <conditionalFormatting sqref="C47">
    <cfRule type="duplicateValues" dxfId="4387" priority="334" stopIfTrue="1"/>
    <cfRule type="duplicateValues" dxfId="4386" priority="335" stopIfTrue="1"/>
  </conditionalFormatting>
  <conditionalFormatting sqref="C47">
    <cfRule type="duplicateValues" dxfId="4385" priority="333" stopIfTrue="1"/>
  </conditionalFormatting>
  <conditionalFormatting sqref="C257">
    <cfRule type="duplicateValues" dxfId="4384" priority="331" stopIfTrue="1"/>
    <cfRule type="duplicateValues" dxfId="4383" priority="332" stopIfTrue="1"/>
  </conditionalFormatting>
  <conditionalFormatting sqref="C257">
    <cfRule type="duplicateValues" dxfId="4382" priority="330" stopIfTrue="1"/>
  </conditionalFormatting>
  <conditionalFormatting sqref="C49">
    <cfRule type="duplicateValues" dxfId="4381" priority="328" stopIfTrue="1"/>
    <cfRule type="duplicateValues" dxfId="4380" priority="329" stopIfTrue="1"/>
  </conditionalFormatting>
  <conditionalFormatting sqref="C49">
    <cfRule type="duplicateValues" dxfId="4379" priority="327" stopIfTrue="1"/>
  </conditionalFormatting>
  <conditionalFormatting sqref="C50">
    <cfRule type="duplicateValues" dxfId="4378" priority="325" stopIfTrue="1"/>
    <cfRule type="duplicateValues" dxfId="4377" priority="326" stopIfTrue="1"/>
  </conditionalFormatting>
  <conditionalFormatting sqref="C50">
    <cfRule type="duplicateValues" dxfId="4376" priority="324" stopIfTrue="1"/>
  </conditionalFormatting>
  <conditionalFormatting sqref="C51">
    <cfRule type="duplicateValues" dxfId="4375" priority="322" stopIfTrue="1"/>
    <cfRule type="duplicateValues" dxfId="4374" priority="323" stopIfTrue="1"/>
  </conditionalFormatting>
  <conditionalFormatting sqref="C51">
    <cfRule type="duplicateValues" dxfId="4373" priority="321" stopIfTrue="1"/>
  </conditionalFormatting>
  <conditionalFormatting sqref="C55">
    <cfRule type="duplicateValues" dxfId="4372" priority="316" stopIfTrue="1"/>
    <cfRule type="duplicateValues" dxfId="4371" priority="317" stopIfTrue="1"/>
  </conditionalFormatting>
  <conditionalFormatting sqref="C55">
    <cfRule type="duplicateValues" dxfId="4370" priority="315" stopIfTrue="1"/>
  </conditionalFormatting>
  <conditionalFormatting sqref="C56">
    <cfRule type="duplicateValues" dxfId="4369" priority="313" stopIfTrue="1"/>
    <cfRule type="duplicateValues" dxfId="4368" priority="314" stopIfTrue="1"/>
  </conditionalFormatting>
  <conditionalFormatting sqref="C56">
    <cfRule type="duplicateValues" dxfId="4367" priority="312" stopIfTrue="1"/>
  </conditionalFormatting>
  <conditionalFormatting sqref="C58">
    <cfRule type="duplicateValues" dxfId="4366" priority="310" stopIfTrue="1"/>
    <cfRule type="duplicateValues" dxfId="4365" priority="311" stopIfTrue="1"/>
  </conditionalFormatting>
  <conditionalFormatting sqref="C58">
    <cfRule type="duplicateValues" dxfId="4364" priority="309" stopIfTrue="1"/>
  </conditionalFormatting>
  <conditionalFormatting sqref="C59">
    <cfRule type="duplicateValues" dxfId="4363" priority="307" stopIfTrue="1"/>
    <cfRule type="duplicateValues" dxfId="4362" priority="308" stopIfTrue="1"/>
  </conditionalFormatting>
  <conditionalFormatting sqref="C59">
    <cfRule type="duplicateValues" dxfId="4361" priority="306" stopIfTrue="1"/>
  </conditionalFormatting>
  <conditionalFormatting sqref="C60">
    <cfRule type="duplicateValues" dxfId="4360" priority="304" stopIfTrue="1"/>
    <cfRule type="duplicateValues" dxfId="4359" priority="305" stopIfTrue="1"/>
  </conditionalFormatting>
  <conditionalFormatting sqref="C60">
    <cfRule type="duplicateValues" dxfId="4358" priority="303" stopIfTrue="1"/>
  </conditionalFormatting>
  <conditionalFormatting sqref="C225">
    <cfRule type="duplicateValues" dxfId="4357" priority="301" stopIfTrue="1"/>
    <cfRule type="duplicateValues" dxfId="4356" priority="302" stopIfTrue="1"/>
  </conditionalFormatting>
  <conditionalFormatting sqref="C225">
    <cfRule type="duplicateValues" dxfId="4355" priority="300" stopIfTrue="1"/>
  </conditionalFormatting>
  <conditionalFormatting sqref="C226">
    <cfRule type="duplicateValues" dxfId="4354" priority="298" stopIfTrue="1"/>
    <cfRule type="duplicateValues" dxfId="4353" priority="299" stopIfTrue="1"/>
  </conditionalFormatting>
  <conditionalFormatting sqref="C226">
    <cfRule type="duplicateValues" dxfId="4352" priority="297" stopIfTrue="1"/>
  </conditionalFormatting>
  <conditionalFormatting sqref="C227">
    <cfRule type="duplicateValues" dxfId="4351" priority="295" stopIfTrue="1"/>
    <cfRule type="duplicateValues" dxfId="4350" priority="296" stopIfTrue="1"/>
  </conditionalFormatting>
  <conditionalFormatting sqref="C227">
    <cfRule type="duplicateValues" dxfId="4349" priority="294" stopIfTrue="1"/>
  </conditionalFormatting>
  <conditionalFormatting sqref="C62">
    <cfRule type="duplicateValues" dxfId="4348" priority="292" stopIfTrue="1"/>
    <cfRule type="duplicateValues" dxfId="4347" priority="293" stopIfTrue="1"/>
  </conditionalFormatting>
  <conditionalFormatting sqref="C62">
    <cfRule type="duplicateValues" dxfId="4346" priority="291" stopIfTrue="1"/>
  </conditionalFormatting>
  <conditionalFormatting sqref="C63">
    <cfRule type="duplicateValues" dxfId="4345" priority="289" stopIfTrue="1"/>
    <cfRule type="duplicateValues" dxfId="4344" priority="290" stopIfTrue="1"/>
  </conditionalFormatting>
  <conditionalFormatting sqref="C63">
    <cfRule type="duplicateValues" dxfId="4343" priority="288" stopIfTrue="1"/>
  </conditionalFormatting>
  <conditionalFormatting sqref="C64">
    <cfRule type="duplicateValues" dxfId="4342" priority="286" stopIfTrue="1"/>
    <cfRule type="duplicateValues" dxfId="4341" priority="287" stopIfTrue="1"/>
  </conditionalFormatting>
  <conditionalFormatting sqref="C64">
    <cfRule type="duplicateValues" dxfId="4340" priority="285" stopIfTrue="1"/>
  </conditionalFormatting>
  <conditionalFormatting sqref="C65">
    <cfRule type="duplicateValues" dxfId="4339" priority="283" stopIfTrue="1"/>
    <cfRule type="duplicateValues" dxfId="4338" priority="284" stopIfTrue="1"/>
  </conditionalFormatting>
  <conditionalFormatting sqref="C65">
    <cfRule type="duplicateValues" dxfId="4337" priority="282" stopIfTrue="1"/>
  </conditionalFormatting>
  <conditionalFormatting sqref="C66">
    <cfRule type="duplicateValues" dxfId="4336" priority="280" stopIfTrue="1"/>
    <cfRule type="duplicateValues" dxfId="4335" priority="281" stopIfTrue="1"/>
  </conditionalFormatting>
  <conditionalFormatting sqref="C66">
    <cfRule type="duplicateValues" dxfId="4334" priority="279" stopIfTrue="1"/>
  </conditionalFormatting>
  <conditionalFormatting sqref="C67">
    <cfRule type="duplicateValues" dxfId="4333" priority="277" stopIfTrue="1"/>
    <cfRule type="duplicateValues" dxfId="4332" priority="278" stopIfTrue="1"/>
  </conditionalFormatting>
  <conditionalFormatting sqref="C67">
    <cfRule type="duplicateValues" dxfId="4331" priority="276" stopIfTrue="1"/>
  </conditionalFormatting>
  <conditionalFormatting sqref="C68">
    <cfRule type="duplicateValues" dxfId="4330" priority="274" stopIfTrue="1"/>
    <cfRule type="duplicateValues" dxfId="4329" priority="275" stopIfTrue="1"/>
  </conditionalFormatting>
  <conditionalFormatting sqref="C68">
    <cfRule type="duplicateValues" dxfId="4328" priority="273" stopIfTrue="1"/>
  </conditionalFormatting>
  <conditionalFormatting sqref="C69">
    <cfRule type="duplicateValues" dxfId="4327" priority="271" stopIfTrue="1"/>
    <cfRule type="duplicateValues" dxfId="4326" priority="272" stopIfTrue="1"/>
  </conditionalFormatting>
  <conditionalFormatting sqref="C69">
    <cfRule type="duplicateValues" dxfId="4325" priority="270" stopIfTrue="1"/>
  </conditionalFormatting>
  <conditionalFormatting sqref="C70">
    <cfRule type="duplicateValues" dxfId="4324" priority="268" stopIfTrue="1"/>
    <cfRule type="duplicateValues" dxfId="4323" priority="269" stopIfTrue="1"/>
  </conditionalFormatting>
  <conditionalFormatting sqref="C70">
    <cfRule type="duplicateValues" dxfId="4322" priority="267" stopIfTrue="1"/>
  </conditionalFormatting>
  <conditionalFormatting sqref="C71">
    <cfRule type="duplicateValues" dxfId="4321" priority="265" stopIfTrue="1"/>
    <cfRule type="duplicateValues" dxfId="4320" priority="266" stopIfTrue="1"/>
  </conditionalFormatting>
  <conditionalFormatting sqref="C71">
    <cfRule type="duplicateValues" dxfId="4319" priority="264" stopIfTrue="1"/>
  </conditionalFormatting>
  <conditionalFormatting sqref="C72">
    <cfRule type="duplicateValues" dxfId="4318" priority="262" stopIfTrue="1"/>
    <cfRule type="duplicateValues" dxfId="4317" priority="263" stopIfTrue="1"/>
  </conditionalFormatting>
  <conditionalFormatting sqref="C72">
    <cfRule type="duplicateValues" dxfId="4316" priority="261" stopIfTrue="1"/>
  </conditionalFormatting>
  <conditionalFormatting sqref="C73">
    <cfRule type="duplicateValues" dxfId="4315" priority="259" stopIfTrue="1"/>
    <cfRule type="duplicateValues" dxfId="4314" priority="260" stopIfTrue="1"/>
  </conditionalFormatting>
  <conditionalFormatting sqref="C73">
    <cfRule type="duplicateValues" dxfId="4313" priority="258" stopIfTrue="1"/>
  </conditionalFormatting>
  <conditionalFormatting sqref="C74">
    <cfRule type="duplicateValues" dxfId="4312" priority="256" stopIfTrue="1"/>
    <cfRule type="duplicateValues" dxfId="4311" priority="257" stopIfTrue="1"/>
  </conditionalFormatting>
  <conditionalFormatting sqref="C74">
    <cfRule type="duplicateValues" dxfId="4310" priority="255" stopIfTrue="1"/>
  </conditionalFormatting>
  <conditionalFormatting sqref="C75">
    <cfRule type="duplicateValues" dxfId="4309" priority="253" stopIfTrue="1"/>
    <cfRule type="duplicateValues" dxfId="4308" priority="254" stopIfTrue="1"/>
  </conditionalFormatting>
  <conditionalFormatting sqref="C75">
    <cfRule type="duplicateValues" dxfId="4307" priority="252" stopIfTrue="1"/>
  </conditionalFormatting>
  <conditionalFormatting sqref="C247">
    <cfRule type="duplicateValues" dxfId="4306" priority="250" stopIfTrue="1"/>
    <cfRule type="duplicateValues" dxfId="4305" priority="251" stopIfTrue="1"/>
  </conditionalFormatting>
  <conditionalFormatting sqref="C247">
    <cfRule type="duplicateValues" dxfId="4304" priority="249" stopIfTrue="1"/>
  </conditionalFormatting>
  <conditionalFormatting sqref="C77">
    <cfRule type="duplicateValues" dxfId="4303" priority="247" stopIfTrue="1"/>
    <cfRule type="duplicateValues" dxfId="4302" priority="248" stopIfTrue="1"/>
  </conditionalFormatting>
  <conditionalFormatting sqref="C77">
    <cfRule type="duplicateValues" dxfId="4301" priority="246" stopIfTrue="1"/>
  </conditionalFormatting>
  <conditionalFormatting sqref="C78">
    <cfRule type="duplicateValues" dxfId="4300" priority="244" stopIfTrue="1"/>
    <cfRule type="duplicateValues" dxfId="4299" priority="245" stopIfTrue="1"/>
  </conditionalFormatting>
  <conditionalFormatting sqref="C78">
    <cfRule type="duplicateValues" dxfId="4298" priority="243" stopIfTrue="1"/>
  </conditionalFormatting>
  <conditionalFormatting sqref="C80">
    <cfRule type="duplicateValues" dxfId="4297" priority="241" stopIfTrue="1"/>
    <cfRule type="duplicateValues" dxfId="4296" priority="242" stopIfTrue="1"/>
  </conditionalFormatting>
  <conditionalFormatting sqref="C80">
    <cfRule type="duplicateValues" dxfId="4295" priority="240" stopIfTrue="1"/>
  </conditionalFormatting>
  <conditionalFormatting sqref="C208">
    <cfRule type="duplicateValues" dxfId="4294" priority="238" stopIfTrue="1"/>
    <cfRule type="duplicateValues" dxfId="4293" priority="239" stopIfTrue="1"/>
  </conditionalFormatting>
  <conditionalFormatting sqref="C208">
    <cfRule type="duplicateValues" dxfId="4292" priority="237" stopIfTrue="1"/>
  </conditionalFormatting>
  <conditionalFormatting sqref="C81">
    <cfRule type="duplicateValues" dxfId="4291" priority="235" stopIfTrue="1"/>
    <cfRule type="duplicateValues" dxfId="4290" priority="236" stopIfTrue="1"/>
  </conditionalFormatting>
  <conditionalFormatting sqref="C81">
    <cfRule type="duplicateValues" dxfId="4289" priority="234" stopIfTrue="1"/>
  </conditionalFormatting>
  <conditionalFormatting sqref="C84">
    <cfRule type="duplicateValues" dxfId="4288" priority="232" stopIfTrue="1"/>
    <cfRule type="duplicateValues" dxfId="4287" priority="233" stopIfTrue="1"/>
  </conditionalFormatting>
  <conditionalFormatting sqref="C84">
    <cfRule type="duplicateValues" dxfId="4286" priority="231" stopIfTrue="1"/>
  </conditionalFormatting>
  <conditionalFormatting sqref="C85">
    <cfRule type="duplicateValues" dxfId="4285" priority="229" stopIfTrue="1"/>
    <cfRule type="duplicateValues" dxfId="4284" priority="230" stopIfTrue="1"/>
  </conditionalFormatting>
  <conditionalFormatting sqref="C85">
    <cfRule type="duplicateValues" dxfId="4283" priority="228" stopIfTrue="1"/>
  </conditionalFormatting>
  <conditionalFormatting sqref="C86">
    <cfRule type="duplicateValues" dxfId="4282" priority="226" stopIfTrue="1"/>
    <cfRule type="duplicateValues" dxfId="4281" priority="227" stopIfTrue="1"/>
  </conditionalFormatting>
  <conditionalFormatting sqref="C86">
    <cfRule type="duplicateValues" dxfId="4280" priority="225" stopIfTrue="1"/>
  </conditionalFormatting>
  <conditionalFormatting sqref="C189">
    <cfRule type="duplicateValues" dxfId="4279" priority="223" stopIfTrue="1"/>
    <cfRule type="duplicateValues" dxfId="4278" priority="224" stopIfTrue="1"/>
  </conditionalFormatting>
  <conditionalFormatting sqref="C189">
    <cfRule type="duplicateValues" dxfId="4277" priority="222" stopIfTrue="1"/>
  </conditionalFormatting>
  <conditionalFormatting sqref="C87">
    <cfRule type="duplicateValues" dxfId="4276" priority="220" stopIfTrue="1"/>
    <cfRule type="duplicateValues" dxfId="4275" priority="221" stopIfTrue="1"/>
  </conditionalFormatting>
  <conditionalFormatting sqref="C87">
    <cfRule type="duplicateValues" dxfId="4274" priority="219" stopIfTrue="1"/>
  </conditionalFormatting>
  <conditionalFormatting sqref="C88">
    <cfRule type="duplicateValues" dxfId="4273" priority="217" stopIfTrue="1"/>
    <cfRule type="duplicateValues" dxfId="4272" priority="218" stopIfTrue="1"/>
  </conditionalFormatting>
  <conditionalFormatting sqref="C88">
    <cfRule type="duplicateValues" dxfId="4271" priority="216" stopIfTrue="1"/>
  </conditionalFormatting>
  <conditionalFormatting sqref="C258">
    <cfRule type="duplicateValues" dxfId="4270" priority="214" stopIfTrue="1"/>
    <cfRule type="duplicateValues" dxfId="4269" priority="215" stopIfTrue="1"/>
  </conditionalFormatting>
  <conditionalFormatting sqref="C258">
    <cfRule type="duplicateValues" dxfId="4268" priority="213" stopIfTrue="1"/>
  </conditionalFormatting>
  <conditionalFormatting sqref="C89">
    <cfRule type="duplicateValues" dxfId="4267" priority="211" stopIfTrue="1"/>
    <cfRule type="duplicateValues" dxfId="4266" priority="212" stopIfTrue="1"/>
  </conditionalFormatting>
  <conditionalFormatting sqref="C89">
    <cfRule type="duplicateValues" dxfId="4265" priority="210" stopIfTrue="1"/>
  </conditionalFormatting>
  <conditionalFormatting sqref="C259">
    <cfRule type="duplicateValues" dxfId="4264" priority="208" stopIfTrue="1"/>
    <cfRule type="duplicateValues" dxfId="4263" priority="209" stopIfTrue="1"/>
  </conditionalFormatting>
  <conditionalFormatting sqref="C259">
    <cfRule type="duplicateValues" dxfId="4262" priority="207" stopIfTrue="1"/>
  </conditionalFormatting>
  <conditionalFormatting sqref="C90">
    <cfRule type="duplicateValues" dxfId="4261" priority="205" stopIfTrue="1"/>
    <cfRule type="duplicateValues" dxfId="4260" priority="206" stopIfTrue="1"/>
  </conditionalFormatting>
  <conditionalFormatting sqref="C90">
    <cfRule type="duplicateValues" dxfId="4259" priority="204" stopIfTrue="1"/>
  </conditionalFormatting>
  <conditionalFormatting sqref="C248">
    <cfRule type="duplicateValues" dxfId="4258" priority="202" stopIfTrue="1"/>
    <cfRule type="duplicateValues" dxfId="4257" priority="203" stopIfTrue="1"/>
  </conditionalFormatting>
  <conditionalFormatting sqref="C248">
    <cfRule type="duplicateValues" dxfId="4256" priority="201" stopIfTrue="1"/>
  </conditionalFormatting>
  <conditionalFormatting sqref="C91">
    <cfRule type="duplicateValues" dxfId="4255" priority="199" stopIfTrue="1"/>
    <cfRule type="duplicateValues" dxfId="4254" priority="200" stopIfTrue="1"/>
  </conditionalFormatting>
  <conditionalFormatting sqref="C91">
    <cfRule type="duplicateValues" dxfId="4253" priority="198" stopIfTrue="1"/>
  </conditionalFormatting>
  <conditionalFormatting sqref="C93">
    <cfRule type="duplicateValues" dxfId="4252" priority="196" stopIfTrue="1"/>
    <cfRule type="duplicateValues" dxfId="4251" priority="197" stopIfTrue="1"/>
  </conditionalFormatting>
  <conditionalFormatting sqref="C93">
    <cfRule type="duplicateValues" dxfId="4250" priority="195" stopIfTrue="1"/>
  </conditionalFormatting>
  <conditionalFormatting sqref="C94">
    <cfRule type="duplicateValues" dxfId="4249" priority="193" stopIfTrue="1"/>
    <cfRule type="duplicateValues" dxfId="4248" priority="194" stopIfTrue="1"/>
  </conditionalFormatting>
  <conditionalFormatting sqref="C94">
    <cfRule type="duplicateValues" dxfId="4247" priority="192" stopIfTrue="1"/>
  </conditionalFormatting>
  <conditionalFormatting sqref="C95">
    <cfRule type="duplicateValues" dxfId="4246" priority="190" stopIfTrue="1"/>
    <cfRule type="duplicateValues" dxfId="4245" priority="191" stopIfTrue="1"/>
  </conditionalFormatting>
  <conditionalFormatting sqref="C95">
    <cfRule type="duplicateValues" dxfId="4244" priority="189" stopIfTrue="1"/>
  </conditionalFormatting>
  <conditionalFormatting sqref="C96">
    <cfRule type="duplicateValues" dxfId="4243" priority="187" stopIfTrue="1"/>
    <cfRule type="duplicateValues" dxfId="4242" priority="188" stopIfTrue="1"/>
  </conditionalFormatting>
  <conditionalFormatting sqref="C96">
    <cfRule type="duplicateValues" dxfId="4241" priority="186" stopIfTrue="1"/>
  </conditionalFormatting>
  <conditionalFormatting sqref="C97">
    <cfRule type="duplicateValues" dxfId="4240" priority="184" stopIfTrue="1"/>
    <cfRule type="duplicateValues" dxfId="4239" priority="185" stopIfTrue="1"/>
  </conditionalFormatting>
  <conditionalFormatting sqref="C97">
    <cfRule type="duplicateValues" dxfId="4238" priority="183" stopIfTrue="1"/>
  </conditionalFormatting>
  <conditionalFormatting sqref="C98">
    <cfRule type="duplicateValues" dxfId="4237" priority="181" stopIfTrue="1"/>
    <cfRule type="duplicateValues" dxfId="4236" priority="182" stopIfTrue="1"/>
  </conditionalFormatting>
  <conditionalFormatting sqref="C98">
    <cfRule type="duplicateValues" dxfId="4235" priority="180" stopIfTrue="1"/>
  </conditionalFormatting>
  <conditionalFormatting sqref="C100">
    <cfRule type="duplicateValues" dxfId="4234" priority="178" stopIfTrue="1"/>
    <cfRule type="duplicateValues" dxfId="4233" priority="179" stopIfTrue="1"/>
  </conditionalFormatting>
  <conditionalFormatting sqref="C100">
    <cfRule type="duplicateValues" dxfId="4232" priority="177" stopIfTrue="1"/>
  </conditionalFormatting>
  <conditionalFormatting sqref="C102">
    <cfRule type="duplicateValues" dxfId="4231" priority="175" stopIfTrue="1"/>
    <cfRule type="duplicateValues" dxfId="4230" priority="176" stopIfTrue="1"/>
  </conditionalFormatting>
  <conditionalFormatting sqref="C102">
    <cfRule type="duplicateValues" dxfId="4229" priority="174" stopIfTrue="1"/>
  </conditionalFormatting>
  <conditionalFormatting sqref="C103">
    <cfRule type="duplicateValues" dxfId="4228" priority="172" stopIfTrue="1"/>
    <cfRule type="duplicateValues" dxfId="4227" priority="173" stopIfTrue="1"/>
  </conditionalFormatting>
  <conditionalFormatting sqref="C103">
    <cfRule type="duplicateValues" dxfId="4226" priority="171" stopIfTrue="1"/>
  </conditionalFormatting>
  <conditionalFormatting sqref="C104">
    <cfRule type="duplicateValues" dxfId="4225" priority="169" stopIfTrue="1"/>
    <cfRule type="duplicateValues" dxfId="4224" priority="170" stopIfTrue="1"/>
  </conditionalFormatting>
  <conditionalFormatting sqref="C104">
    <cfRule type="duplicateValues" dxfId="4223" priority="168" stopIfTrue="1"/>
  </conditionalFormatting>
  <conditionalFormatting sqref="C106">
    <cfRule type="duplicateValues" dxfId="4222" priority="166" stopIfTrue="1"/>
    <cfRule type="duplicateValues" dxfId="4221" priority="167" stopIfTrue="1"/>
  </conditionalFormatting>
  <conditionalFormatting sqref="C106">
    <cfRule type="duplicateValues" dxfId="4220" priority="165" stopIfTrue="1"/>
  </conditionalFormatting>
  <conditionalFormatting sqref="C107">
    <cfRule type="duplicateValues" dxfId="4219" priority="163" stopIfTrue="1"/>
    <cfRule type="duplicateValues" dxfId="4218" priority="164" stopIfTrue="1"/>
  </conditionalFormatting>
  <conditionalFormatting sqref="C107">
    <cfRule type="duplicateValues" dxfId="4217" priority="162" stopIfTrue="1"/>
  </conditionalFormatting>
  <conditionalFormatting sqref="C191">
    <cfRule type="duplicateValues" dxfId="4216" priority="160" stopIfTrue="1"/>
    <cfRule type="duplicateValues" dxfId="4215" priority="161" stopIfTrue="1"/>
  </conditionalFormatting>
  <conditionalFormatting sqref="C191">
    <cfRule type="duplicateValues" dxfId="4214" priority="159" stopIfTrue="1"/>
  </conditionalFormatting>
  <conditionalFormatting sqref="C109">
    <cfRule type="duplicateValues" dxfId="4213" priority="157" stopIfTrue="1"/>
    <cfRule type="duplicateValues" dxfId="4212" priority="158" stopIfTrue="1"/>
  </conditionalFormatting>
  <conditionalFormatting sqref="C109">
    <cfRule type="duplicateValues" dxfId="4211" priority="156" stopIfTrue="1"/>
  </conditionalFormatting>
  <conditionalFormatting sqref="C112">
    <cfRule type="duplicateValues" dxfId="4210" priority="154" stopIfTrue="1"/>
    <cfRule type="duplicateValues" dxfId="4209" priority="155" stopIfTrue="1"/>
  </conditionalFormatting>
  <conditionalFormatting sqref="C112">
    <cfRule type="duplicateValues" dxfId="4208" priority="153" stopIfTrue="1"/>
  </conditionalFormatting>
  <conditionalFormatting sqref="C113">
    <cfRule type="duplicateValues" dxfId="4207" priority="151" stopIfTrue="1"/>
    <cfRule type="duplicateValues" dxfId="4206" priority="152" stopIfTrue="1"/>
  </conditionalFormatting>
  <conditionalFormatting sqref="C113">
    <cfRule type="duplicateValues" dxfId="4205" priority="150" stopIfTrue="1"/>
  </conditionalFormatting>
  <conditionalFormatting sqref="C114">
    <cfRule type="duplicateValues" dxfId="4204" priority="148" stopIfTrue="1"/>
    <cfRule type="duplicateValues" dxfId="4203" priority="149" stopIfTrue="1"/>
  </conditionalFormatting>
  <conditionalFormatting sqref="C114">
    <cfRule type="duplicateValues" dxfId="4202" priority="147" stopIfTrue="1"/>
  </conditionalFormatting>
  <conditionalFormatting sqref="C115">
    <cfRule type="duplicateValues" dxfId="4201" priority="145" stopIfTrue="1"/>
    <cfRule type="duplicateValues" dxfId="4200" priority="146" stopIfTrue="1"/>
  </conditionalFormatting>
  <conditionalFormatting sqref="C115">
    <cfRule type="duplicateValues" dxfId="4199" priority="144" stopIfTrue="1"/>
  </conditionalFormatting>
  <conditionalFormatting sqref="C116">
    <cfRule type="duplicateValues" dxfId="4198" priority="142" stopIfTrue="1"/>
    <cfRule type="duplicateValues" dxfId="4197" priority="143" stopIfTrue="1"/>
  </conditionalFormatting>
  <conditionalFormatting sqref="C116">
    <cfRule type="duplicateValues" dxfId="4196" priority="141" stopIfTrue="1"/>
  </conditionalFormatting>
  <conditionalFormatting sqref="C117">
    <cfRule type="duplicateValues" dxfId="4195" priority="139" stopIfTrue="1"/>
    <cfRule type="duplicateValues" dxfId="4194" priority="140" stopIfTrue="1"/>
  </conditionalFormatting>
  <conditionalFormatting sqref="C117">
    <cfRule type="duplicateValues" dxfId="4193" priority="138" stopIfTrue="1"/>
  </conditionalFormatting>
  <conditionalFormatting sqref="C250">
    <cfRule type="duplicateValues" dxfId="4192" priority="136" stopIfTrue="1"/>
    <cfRule type="duplicateValues" dxfId="4191" priority="137" stopIfTrue="1"/>
  </conditionalFormatting>
  <conditionalFormatting sqref="C250">
    <cfRule type="duplicateValues" dxfId="4190" priority="135" stopIfTrue="1"/>
  </conditionalFormatting>
  <conditionalFormatting sqref="C200">
    <cfRule type="duplicateValues" dxfId="4189" priority="133" stopIfTrue="1"/>
    <cfRule type="duplicateValues" dxfId="4188" priority="134" stopIfTrue="1"/>
  </conditionalFormatting>
  <conditionalFormatting sqref="C200">
    <cfRule type="duplicateValues" dxfId="4187" priority="132" stopIfTrue="1"/>
  </conditionalFormatting>
  <conditionalFormatting sqref="C178">
    <cfRule type="duplicateValues" dxfId="4186" priority="130" stopIfTrue="1"/>
    <cfRule type="duplicateValues" dxfId="4185" priority="131" stopIfTrue="1"/>
  </conditionalFormatting>
  <conditionalFormatting sqref="C178">
    <cfRule type="duplicateValues" dxfId="4184" priority="129" stopIfTrue="1"/>
  </conditionalFormatting>
  <conditionalFormatting sqref="C179">
    <cfRule type="duplicateValues" dxfId="4183" priority="127" stopIfTrue="1"/>
    <cfRule type="duplicateValues" dxfId="4182" priority="128" stopIfTrue="1"/>
  </conditionalFormatting>
  <conditionalFormatting sqref="C179">
    <cfRule type="duplicateValues" dxfId="4181" priority="126" stopIfTrue="1"/>
  </conditionalFormatting>
  <conditionalFormatting sqref="C180">
    <cfRule type="duplicateValues" dxfId="4180" priority="124" stopIfTrue="1"/>
    <cfRule type="duplicateValues" dxfId="4179" priority="125" stopIfTrue="1"/>
  </conditionalFormatting>
  <conditionalFormatting sqref="C180">
    <cfRule type="duplicateValues" dxfId="4178" priority="123" stopIfTrue="1"/>
  </conditionalFormatting>
  <conditionalFormatting sqref="C92">
    <cfRule type="duplicateValues" dxfId="4177" priority="121" stopIfTrue="1"/>
    <cfRule type="duplicateValues" dxfId="4176" priority="122" stopIfTrue="1"/>
  </conditionalFormatting>
  <conditionalFormatting sqref="C92">
    <cfRule type="duplicateValues" dxfId="4175" priority="120" stopIfTrue="1"/>
  </conditionalFormatting>
  <conditionalFormatting sqref="C209">
    <cfRule type="duplicateValues" dxfId="4174" priority="118" stopIfTrue="1"/>
    <cfRule type="duplicateValues" dxfId="4173" priority="119" stopIfTrue="1"/>
  </conditionalFormatting>
  <conditionalFormatting sqref="C209">
    <cfRule type="duplicateValues" dxfId="4172" priority="117" stopIfTrue="1"/>
  </conditionalFormatting>
  <conditionalFormatting sqref="C181">
    <cfRule type="duplicateValues" dxfId="4171" priority="115" stopIfTrue="1"/>
    <cfRule type="duplicateValues" dxfId="4170" priority="116" stopIfTrue="1"/>
  </conditionalFormatting>
  <conditionalFormatting sqref="C181">
    <cfRule type="duplicateValues" dxfId="4169" priority="114" stopIfTrue="1"/>
  </conditionalFormatting>
  <conditionalFormatting sqref="C99">
    <cfRule type="duplicateValues" dxfId="4168" priority="112" stopIfTrue="1"/>
    <cfRule type="duplicateValues" dxfId="4167" priority="113" stopIfTrue="1"/>
  </conditionalFormatting>
  <conditionalFormatting sqref="C99">
    <cfRule type="duplicateValues" dxfId="4166" priority="111" stopIfTrue="1"/>
  </conditionalFormatting>
  <conditionalFormatting sqref="C182">
    <cfRule type="duplicateValues" dxfId="4165" priority="109" stopIfTrue="1"/>
    <cfRule type="duplicateValues" dxfId="4164" priority="110" stopIfTrue="1"/>
  </conditionalFormatting>
  <conditionalFormatting sqref="C182">
    <cfRule type="duplicateValues" dxfId="4163" priority="108" stopIfTrue="1"/>
  </conditionalFormatting>
  <conditionalFormatting sqref="C118">
    <cfRule type="duplicateValues" dxfId="4162" priority="106" stopIfTrue="1"/>
    <cfRule type="duplicateValues" dxfId="4161" priority="107" stopIfTrue="1"/>
  </conditionalFormatting>
  <conditionalFormatting sqref="C118">
    <cfRule type="duplicateValues" dxfId="4160" priority="105" stopIfTrue="1"/>
  </conditionalFormatting>
  <conditionalFormatting sqref="C237">
    <cfRule type="duplicateValues" dxfId="4159" priority="103" stopIfTrue="1"/>
    <cfRule type="duplicateValues" dxfId="4158" priority="104" stopIfTrue="1"/>
  </conditionalFormatting>
  <conditionalFormatting sqref="C237">
    <cfRule type="duplicateValues" dxfId="4157" priority="102" stopIfTrue="1"/>
  </conditionalFormatting>
  <conditionalFormatting sqref="C122">
    <cfRule type="duplicateValues" dxfId="4156" priority="100" stopIfTrue="1"/>
    <cfRule type="duplicateValues" dxfId="4155" priority="101" stopIfTrue="1"/>
  </conditionalFormatting>
  <conditionalFormatting sqref="C122">
    <cfRule type="duplicateValues" dxfId="4154" priority="99" stopIfTrue="1"/>
  </conditionalFormatting>
  <conditionalFormatting sqref="C198">
    <cfRule type="duplicateValues" dxfId="4153" priority="97" stopIfTrue="1"/>
    <cfRule type="duplicateValues" dxfId="4152" priority="98" stopIfTrue="1"/>
  </conditionalFormatting>
  <conditionalFormatting sqref="C198">
    <cfRule type="duplicateValues" dxfId="4151" priority="96" stopIfTrue="1"/>
  </conditionalFormatting>
  <conditionalFormatting sqref="C121">
    <cfRule type="duplicateValues" dxfId="4150" priority="94" stopIfTrue="1"/>
    <cfRule type="duplicateValues" dxfId="4149" priority="95" stopIfTrue="1"/>
  </conditionalFormatting>
  <conditionalFormatting sqref="C121">
    <cfRule type="duplicateValues" dxfId="4148" priority="93" stopIfTrue="1"/>
  </conditionalFormatting>
  <conditionalFormatting sqref="C201">
    <cfRule type="duplicateValues" dxfId="4147" priority="91" stopIfTrue="1"/>
    <cfRule type="duplicateValues" dxfId="4146" priority="92" stopIfTrue="1"/>
  </conditionalFormatting>
  <conditionalFormatting sqref="C201">
    <cfRule type="duplicateValues" dxfId="4145" priority="90" stopIfTrue="1"/>
  </conditionalFormatting>
  <conditionalFormatting sqref="C215">
    <cfRule type="duplicateValues" dxfId="4144" priority="88" stopIfTrue="1"/>
    <cfRule type="duplicateValues" dxfId="4143" priority="89" stopIfTrue="1"/>
  </conditionalFormatting>
  <conditionalFormatting sqref="C215">
    <cfRule type="duplicateValues" dxfId="4142" priority="87" stopIfTrue="1"/>
  </conditionalFormatting>
  <conditionalFormatting sqref="C158">
    <cfRule type="duplicateValues" dxfId="4141" priority="85" stopIfTrue="1"/>
    <cfRule type="duplicateValues" dxfId="4140" priority="86" stopIfTrue="1"/>
  </conditionalFormatting>
  <conditionalFormatting sqref="C158">
    <cfRule type="duplicateValues" dxfId="4139" priority="84" stopIfTrue="1"/>
  </conditionalFormatting>
  <conditionalFormatting sqref="C159">
    <cfRule type="duplicateValues" dxfId="4138" priority="82" stopIfTrue="1"/>
    <cfRule type="duplicateValues" dxfId="4137" priority="83" stopIfTrue="1"/>
  </conditionalFormatting>
  <conditionalFormatting sqref="C159">
    <cfRule type="duplicateValues" dxfId="4136" priority="81" stopIfTrue="1"/>
  </conditionalFormatting>
  <conditionalFormatting sqref="C216">
    <cfRule type="duplicateValues" dxfId="4135" priority="79" stopIfTrue="1"/>
    <cfRule type="duplicateValues" dxfId="4134" priority="80" stopIfTrue="1"/>
  </conditionalFormatting>
  <conditionalFormatting sqref="C216">
    <cfRule type="duplicateValues" dxfId="4133" priority="78" stopIfTrue="1"/>
  </conditionalFormatting>
  <conditionalFormatting sqref="C160">
    <cfRule type="duplicateValues" dxfId="4132" priority="76" stopIfTrue="1"/>
    <cfRule type="duplicateValues" dxfId="4131" priority="77" stopIfTrue="1"/>
  </conditionalFormatting>
  <conditionalFormatting sqref="C160">
    <cfRule type="duplicateValues" dxfId="4130" priority="75" stopIfTrue="1"/>
  </conditionalFormatting>
  <conditionalFormatting sqref="C266">
    <cfRule type="duplicateValues" dxfId="4129" priority="73" stopIfTrue="1"/>
    <cfRule type="duplicateValues" dxfId="4128" priority="74" stopIfTrue="1"/>
  </conditionalFormatting>
  <conditionalFormatting sqref="C266">
    <cfRule type="duplicateValues" dxfId="4127" priority="72" stopIfTrue="1"/>
  </conditionalFormatting>
  <conditionalFormatting sqref="C267">
    <cfRule type="duplicateValues" dxfId="4126" priority="70" stopIfTrue="1"/>
    <cfRule type="duplicateValues" dxfId="4125" priority="71" stopIfTrue="1"/>
  </conditionalFormatting>
  <conditionalFormatting sqref="C267">
    <cfRule type="duplicateValues" dxfId="4124" priority="69" stopIfTrue="1"/>
  </conditionalFormatting>
  <conditionalFormatting sqref="C161">
    <cfRule type="duplicateValues" dxfId="4123" priority="67" stopIfTrue="1"/>
    <cfRule type="duplicateValues" dxfId="4122" priority="68" stopIfTrue="1"/>
  </conditionalFormatting>
  <conditionalFormatting sqref="C161">
    <cfRule type="duplicateValues" dxfId="4121" priority="66" stopIfTrue="1"/>
  </conditionalFormatting>
  <conditionalFormatting sqref="C199">
    <cfRule type="duplicateValues" dxfId="4120" priority="64" stopIfTrue="1"/>
    <cfRule type="duplicateValues" dxfId="4119" priority="65" stopIfTrue="1"/>
  </conditionalFormatting>
  <conditionalFormatting sqref="C199">
    <cfRule type="duplicateValues" dxfId="4118" priority="63" stopIfTrue="1"/>
  </conditionalFormatting>
  <conditionalFormatting sqref="C162">
    <cfRule type="duplicateValues" dxfId="4117" priority="61" stopIfTrue="1"/>
    <cfRule type="duplicateValues" dxfId="4116" priority="62" stopIfTrue="1"/>
  </conditionalFormatting>
  <conditionalFormatting sqref="C162">
    <cfRule type="duplicateValues" dxfId="4115" priority="60" stopIfTrue="1"/>
  </conditionalFormatting>
  <conditionalFormatting sqref="C163">
    <cfRule type="duplicateValues" dxfId="4114" priority="58" stopIfTrue="1"/>
    <cfRule type="duplicateValues" dxfId="4113" priority="59" stopIfTrue="1"/>
  </conditionalFormatting>
  <conditionalFormatting sqref="C163">
    <cfRule type="duplicateValues" dxfId="4112" priority="57" stopIfTrue="1"/>
  </conditionalFormatting>
  <conditionalFormatting sqref="C164">
    <cfRule type="duplicateValues" dxfId="4111" priority="55" stopIfTrue="1"/>
    <cfRule type="duplicateValues" dxfId="4110" priority="56" stopIfTrue="1"/>
  </conditionalFormatting>
  <conditionalFormatting sqref="C164">
    <cfRule type="duplicateValues" dxfId="4109" priority="54" stopIfTrue="1"/>
  </conditionalFormatting>
  <conditionalFormatting sqref="C166">
    <cfRule type="duplicateValues" dxfId="4108" priority="52" stopIfTrue="1"/>
    <cfRule type="duplicateValues" dxfId="4107" priority="53" stopIfTrue="1"/>
  </conditionalFormatting>
  <conditionalFormatting sqref="C166">
    <cfRule type="duplicateValues" dxfId="4106" priority="51" stopIfTrue="1"/>
  </conditionalFormatting>
  <conditionalFormatting sqref="C167">
    <cfRule type="duplicateValues" dxfId="4105" priority="49" stopIfTrue="1"/>
    <cfRule type="duplicateValues" dxfId="4104" priority="50" stopIfTrue="1"/>
  </conditionalFormatting>
  <conditionalFormatting sqref="C167">
    <cfRule type="duplicateValues" dxfId="4103" priority="48" stopIfTrue="1"/>
  </conditionalFormatting>
  <conditionalFormatting sqref="C168">
    <cfRule type="duplicateValues" dxfId="4102" priority="46" stopIfTrue="1"/>
    <cfRule type="duplicateValues" dxfId="4101" priority="47" stopIfTrue="1"/>
  </conditionalFormatting>
  <conditionalFormatting sqref="C168">
    <cfRule type="duplicateValues" dxfId="4100" priority="45" stopIfTrue="1"/>
  </conditionalFormatting>
  <conditionalFormatting sqref="C268">
    <cfRule type="duplicateValues" dxfId="4099" priority="43" stopIfTrue="1"/>
    <cfRule type="duplicateValues" dxfId="4098" priority="44" stopIfTrue="1"/>
  </conditionalFormatting>
  <conditionalFormatting sqref="C268">
    <cfRule type="duplicateValues" dxfId="4097" priority="42" stopIfTrue="1"/>
  </conditionalFormatting>
  <conditionalFormatting sqref="C169">
    <cfRule type="duplicateValues" dxfId="4096" priority="40" stopIfTrue="1"/>
    <cfRule type="duplicateValues" dxfId="4095" priority="41" stopIfTrue="1"/>
  </conditionalFormatting>
  <conditionalFormatting sqref="C169">
    <cfRule type="duplicateValues" dxfId="4094" priority="39" stopIfTrue="1"/>
  </conditionalFormatting>
  <conditionalFormatting sqref="C170">
    <cfRule type="duplicateValues" dxfId="4093" priority="37" stopIfTrue="1"/>
    <cfRule type="duplicateValues" dxfId="4092" priority="38" stopIfTrue="1"/>
  </conditionalFormatting>
  <conditionalFormatting sqref="C170">
    <cfRule type="duplicateValues" dxfId="4091" priority="36" stopIfTrue="1"/>
  </conditionalFormatting>
  <conditionalFormatting sqref="C171">
    <cfRule type="duplicateValues" dxfId="4090" priority="34" stopIfTrue="1"/>
    <cfRule type="duplicateValues" dxfId="4089" priority="35" stopIfTrue="1"/>
  </conditionalFormatting>
  <conditionalFormatting sqref="C171">
    <cfRule type="duplicateValues" dxfId="4088" priority="33" stopIfTrue="1"/>
  </conditionalFormatting>
  <conditionalFormatting sqref="C130">
    <cfRule type="duplicateValues" dxfId="4087" priority="31" stopIfTrue="1"/>
    <cfRule type="duplicateValues" dxfId="4086" priority="32" stopIfTrue="1"/>
  </conditionalFormatting>
  <conditionalFormatting sqref="C130">
    <cfRule type="duplicateValues" dxfId="4085" priority="30" stopIfTrue="1"/>
  </conditionalFormatting>
  <conditionalFormatting sqref="C172">
    <cfRule type="duplicateValues" dxfId="4084" priority="28" stopIfTrue="1"/>
    <cfRule type="duplicateValues" dxfId="4083" priority="29" stopIfTrue="1"/>
  </conditionalFormatting>
  <conditionalFormatting sqref="C172">
    <cfRule type="duplicateValues" dxfId="4082" priority="27" stopIfTrue="1"/>
  </conditionalFormatting>
  <conditionalFormatting sqref="C173">
    <cfRule type="duplicateValues" dxfId="4081" priority="25" stopIfTrue="1"/>
    <cfRule type="duplicateValues" dxfId="4080" priority="26" stopIfTrue="1"/>
  </conditionalFormatting>
  <conditionalFormatting sqref="C173">
    <cfRule type="duplicateValues" dxfId="4079" priority="24" stopIfTrue="1"/>
  </conditionalFormatting>
  <conditionalFormatting sqref="C3">
    <cfRule type="duplicateValues" dxfId="4078" priority="23"/>
  </conditionalFormatting>
  <conditionalFormatting sqref="C174">
    <cfRule type="duplicateValues" dxfId="4077" priority="20" stopIfTrue="1"/>
    <cfRule type="duplicateValues" dxfId="4076" priority="21" stopIfTrue="1"/>
  </conditionalFormatting>
  <conditionalFormatting sqref="C174">
    <cfRule type="duplicateValues" dxfId="4075" priority="22" stopIfTrue="1"/>
  </conditionalFormatting>
  <conditionalFormatting sqref="C228:C231">
    <cfRule type="duplicateValues" dxfId="4074" priority="18" stopIfTrue="1"/>
    <cfRule type="duplicateValues" dxfId="4073" priority="19" stopIfTrue="1"/>
  </conditionalFormatting>
  <conditionalFormatting sqref="C228:C231">
    <cfRule type="duplicateValues" dxfId="4072" priority="17" stopIfTrue="1"/>
  </conditionalFormatting>
  <conditionalFormatting sqref="C228:C229">
    <cfRule type="duplicateValues" dxfId="4071" priority="16"/>
  </conditionalFormatting>
  <conditionalFormatting sqref="C228:C229">
    <cfRule type="duplicateValues" dxfId="4070" priority="14" stopIfTrue="1"/>
    <cfRule type="duplicateValues" dxfId="4069" priority="15" stopIfTrue="1"/>
  </conditionalFormatting>
  <conditionalFormatting sqref="C231">
    <cfRule type="duplicateValues" dxfId="4068" priority="13"/>
  </conditionalFormatting>
  <conditionalFormatting sqref="C175">
    <cfRule type="duplicateValues" dxfId="4067" priority="441" stopIfTrue="1"/>
    <cfRule type="duplicateValues" dxfId="4066" priority="442" stopIfTrue="1"/>
  </conditionalFormatting>
  <conditionalFormatting sqref="C175">
    <cfRule type="duplicateValues" dxfId="4065" priority="443" stopIfTrue="1"/>
  </conditionalFormatting>
  <conditionalFormatting sqref="C233">
    <cfRule type="duplicateValues" dxfId="4064" priority="9" stopIfTrue="1"/>
    <cfRule type="duplicateValues" dxfId="4063" priority="10" stopIfTrue="1"/>
  </conditionalFormatting>
  <conditionalFormatting sqref="C233">
    <cfRule type="duplicateValues" dxfId="4062" priority="8" stopIfTrue="1"/>
  </conditionalFormatting>
  <conditionalFormatting sqref="C233">
    <cfRule type="duplicateValues" dxfId="4061" priority="11"/>
  </conditionalFormatting>
  <conditionalFormatting sqref="C233">
    <cfRule type="duplicateValues" dxfId="4060" priority="12"/>
  </conditionalFormatting>
  <conditionalFormatting sqref="C190 C260:C265 C123:C129 C212 C132:C157 C202:C206">
    <cfRule type="duplicateValues" dxfId="4059" priority="446" stopIfTrue="1"/>
    <cfRule type="duplicateValues" dxfId="4058" priority="447" stopIfTrue="1"/>
  </conditionalFormatting>
  <conditionalFormatting sqref="C190 C260:C265 C123:C129 C212 C132:C157 C202:C206">
    <cfRule type="duplicateValues" dxfId="4057" priority="448" stopIfTrue="1"/>
  </conditionalFormatting>
  <conditionalFormatting sqref="C24">
    <cfRule type="duplicateValues" dxfId="4056" priority="3226" stopIfTrue="1"/>
    <cfRule type="duplicateValues" dxfId="4055" priority="3227" stopIfTrue="1"/>
  </conditionalFormatting>
  <conditionalFormatting sqref="C24">
    <cfRule type="duplicateValues" dxfId="4054" priority="3228" stopIfTrue="1"/>
  </conditionalFormatting>
  <conditionalFormatting sqref="C35">
    <cfRule type="duplicateValues" dxfId="4053" priority="6"/>
  </conditionalFormatting>
  <conditionalFormatting sqref="C42">
    <cfRule type="duplicateValues" dxfId="4052" priority="5"/>
  </conditionalFormatting>
  <conditionalFormatting sqref="C53">
    <cfRule type="duplicateValues" dxfId="4051" priority="3315" stopIfTrue="1"/>
    <cfRule type="duplicateValues" dxfId="4050" priority="3316" stopIfTrue="1"/>
  </conditionalFormatting>
  <conditionalFormatting sqref="C53">
    <cfRule type="duplicateValues" dxfId="4049" priority="3317" stopIfTrue="1"/>
  </conditionalFormatting>
  <conditionalFormatting sqref="A6:A202">
    <cfRule type="duplicateValues" dxfId="4048" priority="3387"/>
  </conditionalFormatting>
  <conditionalFormatting sqref="C76">
    <cfRule type="duplicateValues" dxfId="4047" priority="4"/>
  </conditionalFormatting>
  <conditionalFormatting sqref="C82">
    <cfRule type="duplicateValues" dxfId="4046" priority="3"/>
  </conditionalFormatting>
  <conditionalFormatting sqref="C131">
    <cfRule type="duplicateValues" dxfId="4045" priority="2"/>
  </conditionalFormatting>
  <conditionalFormatting sqref="C186">
    <cfRule type="duplicateValues" dxfId="4044" priority="1"/>
  </conditionalFormatting>
  <conditionalFormatting sqref="C185 C187:C188 C197 C201 C243:C244 C240:C241 C130 C199 C266:C268 C166:C173 C215:C216 C158:C164">
    <cfRule type="duplicateValues" dxfId="4043" priority="4219" stopIfTrue="1"/>
    <cfRule type="duplicateValues" dxfId="4042" priority="4220" stopIfTrue="1"/>
  </conditionalFormatting>
  <conditionalFormatting sqref="C185 C187:C188 C197 C201 C243:C244 C240:C241 C130 C199 C266:C268 C166:C173 C215:C216 C158:C164">
    <cfRule type="duplicateValues" dxfId="4041" priority="4243" stopIfTrue="1"/>
  </conditionalFormatting>
  <conditionalFormatting sqref="C192:C194 C190 C228:C231 C120 C123:C129 C212 C132:C157 C202:C206 C260:C265">
    <cfRule type="duplicateValues" dxfId="4040" priority="4259" stopIfTrue="1"/>
    <cfRule type="duplicateValues" dxfId="4039" priority="4260" stopIfTrue="1"/>
  </conditionalFormatting>
  <conditionalFormatting sqref="C192:C194 C190 C228:C231 C120 C123:C129 C212 C132:C157 C202:C206 C260:C265">
    <cfRule type="duplicateValues" dxfId="4038" priority="4277" stopIfTrue="1"/>
  </conditionalFormatting>
  <conditionalFormatting sqref="C237 C1:C2 C38:C41 C240:C241 C112:C130 C243:C268 C276:C1048576 C4:C34 C36 C43:C51 C53:C75 C77:C81 C215:C216 C221:C232 C176:C185 C187:C194 C166:C173 C132:C164 C197:C209 C212 C83:C110">
    <cfRule type="duplicateValues" dxfId="4037" priority="4392"/>
  </conditionalFormatting>
  <conditionalFormatting sqref="C237 C112:C130 C38:C41 C240:C241 C243:C268 C276:C1048576 C1:C34 C36 C43:C51 C53:C75 C77:C81 C215:C216 C221:C232 C166:C185 C187:C194 C132:C164 C197:C209 C212 C83:C110">
    <cfRule type="duplicateValues" dxfId="4036" priority="4415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3:N280"/>
  <sheetViews>
    <sheetView topLeftCell="A228" workbookViewId="0">
      <selection activeCell="C240" sqref="C240"/>
    </sheetView>
  </sheetViews>
  <sheetFormatPr defaultRowHeight="15"/>
  <cols>
    <col min="1" max="1" width="11.28515625" customWidth="1"/>
    <col min="2" max="2" width="6.85546875" customWidth="1"/>
    <col min="3" max="3" width="38.5703125" customWidth="1"/>
    <col min="4" max="4" width="13.5703125" customWidth="1"/>
    <col min="5" max="5" width="12.85546875" customWidth="1"/>
    <col min="6" max="6" width="14" customWidth="1"/>
    <col min="7" max="7" width="10.140625" style="43" customWidth="1"/>
    <col min="8" max="8" width="13.5703125" customWidth="1"/>
    <col min="9" max="10" width="10.85546875" customWidth="1"/>
    <col min="11" max="11" width="14.5703125" customWidth="1"/>
    <col min="12" max="12" width="15" customWidth="1"/>
    <col min="13" max="13" width="10.28515625" customWidth="1"/>
    <col min="14" max="14" width="11.28515625" bestFit="1" customWidth="1"/>
  </cols>
  <sheetData>
    <row r="3" spans="1:14" ht="20.25"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B4" s="418" t="s">
        <v>275</v>
      </c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63.75">
      <c r="B5" s="5" t="s">
        <v>0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6" t="s">
        <v>8</v>
      </c>
      <c r="K5" s="7" t="s">
        <v>9</v>
      </c>
      <c r="L5" s="6" t="s">
        <v>10</v>
      </c>
      <c r="M5" s="6" t="s">
        <v>11</v>
      </c>
    </row>
    <row r="6" spans="1:14" ht="15.75">
      <c r="A6" s="73"/>
      <c r="B6" s="14">
        <v>1</v>
      </c>
      <c r="C6" s="2" t="s">
        <v>45</v>
      </c>
      <c r="D6" s="12">
        <v>500000</v>
      </c>
      <c r="E6" s="16">
        <v>33325</v>
      </c>
      <c r="F6" s="15">
        <f t="shared" ref="F6:F28" si="0">SUM(D6:E6)</f>
        <v>533325</v>
      </c>
      <c r="G6" s="33">
        <v>25</v>
      </c>
      <c r="H6" s="16">
        <v>21333</v>
      </c>
      <c r="I6" s="11">
        <v>21</v>
      </c>
      <c r="J6" s="11">
        <f t="shared" ref="J6:J37" si="1">G6-I6</f>
        <v>4</v>
      </c>
      <c r="K6" s="16">
        <f>(21*21333)</f>
        <v>447993</v>
      </c>
      <c r="L6" s="15">
        <f t="shared" ref="L6:L37" si="2">F6-K6</f>
        <v>85332</v>
      </c>
      <c r="M6" s="8"/>
      <c r="N6" s="39" t="e">
        <f>#REF!-H6</f>
        <v>#REF!</v>
      </c>
    </row>
    <row r="7" spans="1:14" ht="15.75">
      <c r="A7" s="73"/>
      <c r="B7" s="14">
        <v>2</v>
      </c>
      <c r="C7" s="2" t="s">
        <v>46</v>
      </c>
      <c r="D7" s="12">
        <v>450000</v>
      </c>
      <c r="E7" s="16">
        <v>28792.799999999999</v>
      </c>
      <c r="F7" s="15">
        <f t="shared" si="0"/>
        <v>478792.8</v>
      </c>
      <c r="G7" s="31">
        <v>24</v>
      </c>
      <c r="H7" s="16">
        <v>19949.7</v>
      </c>
      <c r="I7" s="11">
        <v>22</v>
      </c>
      <c r="J7" s="11">
        <f t="shared" si="1"/>
        <v>2</v>
      </c>
      <c r="K7" s="12">
        <f>(22*19949.7)</f>
        <v>438893.4</v>
      </c>
      <c r="L7" s="15">
        <f t="shared" si="2"/>
        <v>39899.399999999965</v>
      </c>
      <c r="M7" s="8"/>
      <c r="N7" s="39" t="e">
        <f>#REF!-H7</f>
        <v>#REF!</v>
      </c>
    </row>
    <row r="8" spans="1:14" ht="15.75">
      <c r="A8" s="73"/>
      <c r="B8" s="14">
        <v>3</v>
      </c>
      <c r="C8" s="23" t="s">
        <v>47</v>
      </c>
      <c r="D8" s="12">
        <v>500000</v>
      </c>
      <c r="E8" s="16">
        <v>47992</v>
      </c>
      <c r="F8" s="15">
        <f t="shared" si="0"/>
        <v>547992</v>
      </c>
      <c r="G8" s="33">
        <v>36</v>
      </c>
      <c r="H8" s="16">
        <v>15222</v>
      </c>
      <c r="I8" s="11">
        <v>21</v>
      </c>
      <c r="J8" s="11">
        <f t="shared" si="1"/>
        <v>15</v>
      </c>
      <c r="K8" s="16">
        <f>(21*15222)</f>
        <v>319662</v>
      </c>
      <c r="L8" s="15">
        <f t="shared" si="2"/>
        <v>228330</v>
      </c>
      <c r="M8" s="8"/>
      <c r="N8" s="39" t="e">
        <f>#REF!-H8</f>
        <v>#REF!</v>
      </c>
    </row>
    <row r="9" spans="1:14" ht="15.75">
      <c r="A9" s="73"/>
      <c r="B9" s="14">
        <v>4</v>
      </c>
      <c r="C9" s="2" t="s">
        <v>48</v>
      </c>
      <c r="D9" s="12">
        <v>500000</v>
      </c>
      <c r="E9" s="16">
        <v>47992</v>
      </c>
      <c r="F9" s="15">
        <f t="shared" si="0"/>
        <v>547992</v>
      </c>
      <c r="G9" s="33">
        <v>36</v>
      </c>
      <c r="H9" s="16">
        <v>15222</v>
      </c>
      <c r="I9" s="11">
        <v>21</v>
      </c>
      <c r="J9" s="11">
        <f t="shared" si="1"/>
        <v>15</v>
      </c>
      <c r="K9" s="16">
        <f>(21*15222)</f>
        <v>319662</v>
      </c>
      <c r="L9" s="15">
        <f t="shared" si="2"/>
        <v>228330</v>
      </c>
      <c r="M9" s="8"/>
      <c r="N9" s="39" t="e">
        <f>#REF!-H9</f>
        <v>#REF!</v>
      </c>
    </row>
    <row r="10" spans="1:14" ht="15.75">
      <c r="A10" s="73"/>
      <c r="B10" s="14">
        <v>5</v>
      </c>
      <c r="C10" s="2" t="s">
        <v>49</v>
      </c>
      <c r="D10" s="12">
        <v>500000</v>
      </c>
      <c r="E10" s="12">
        <v>53320</v>
      </c>
      <c r="F10" s="15">
        <f t="shared" si="0"/>
        <v>553320</v>
      </c>
      <c r="G10" s="31">
        <v>40</v>
      </c>
      <c r="H10" s="12">
        <v>13833</v>
      </c>
      <c r="I10" s="8">
        <v>43</v>
      </c>
      <c r="J10" s="11">
        <f t="shared" si="1"/>
        <v>-3</v>
      </c>
      <c r="K10" s="12">
        <f>(43*13833)</f>
        <v>594819</v>
      </c>
      <c r="L10" s="15">
        <f t="shared" si="2"/>
        <v>-41499</v>
      </c>
      <c r="M10" s="8"/>
      <c r="N10" s="39" t="e">
        <f>#REF!-H10</f>
        <v>#REF!</v>
      </c>
    </row>
    <row r="11" spans="1:14" ht="15.75">
      <c r="A11" s="73"/>
      <c r="B11" s="14">
        <v>6</v>
      </c>
      <c r="C11" s="2" t="s">
        <v>50</v>
      </c>
      <c r="D11" s="12">
        <v>500000</v>
      </c>
      <c r="E11" s="12">
        <v>53320</v>
      </c>
      <c r="F11" s="15">
        <f t="shared" si="0"/>
        <v>553320</v>
      </c>
      <c r="G11" s="31">
        <v>40</v>
      </c>
      <c r="H11" s="12">
        <v>13833</v>
      </c>
      <c r="I11" s="8">
        <v>43</v>
      </c>
      <c r="J11" s="11">
        <f t="shared" si="1"/>
        <v>-3</v>
      </c>
      <c r="K11" s="12">
        <f>(43*13833)</f>
        <v>594819</v>
      </c>
      <c r="L11" s="15">
        <f t="shared" si="2"/>
        <v>-41499</v>
      </c>
      <c r="M11" s="8"/>
      <c r="N11" s="39" t="e">
        <f>#REF!-H11</f>
        <v>#REF!</v>
      </c>
    </row>
    <row r="12" spans="1:14" ht="15.75">
      <c r="A12" s="73"/>
      <c r="B12" s="14">
        <v>7</v>
      </c>
      <c r="C12" s="2" t="s">
        <v>51</v>
      </c>
      <c r="D12" s="12">
        <v>500000</v>
      </c>
      <c r="E12" s="12">
        <v>53320</v>
      </c>
      <c r="F12" s="15">
        <f t="shared" si="0"/>
        <v>553320</v>
      </c>
      <c r="G12" s="31">
        <v>40</v>
      </c>
      <c r="H12" s="12">
        <v>13833</v>
      </c>
      <c r="I12" s="8">
        <v>43</v>
      </c>
      <c r="J12" s="11">
        <f t="shared" si="1"/>
        <v>-3</v>
      </c>
      <c r="K12" s="12">
        <f>(43*13833)</f>
        <v>594819</v>
      </c>
      <c r="L12" s="15">
        <f t="shared" si="2"/>
        <v>-41499</v>
      </c>
      <c r="M12" s="8"/>
      <c r="N12" s="39" t="e">
        <f>#REF!-H12</f>
        <v>#REF!</v>
      </c>
    </row>
    <row r="13" spans="1:14" ht="15.75">
      <c r="A13" s="73"/>
      <c r="B13" s="14">
        <v>8</v>
      </c>
      <c r="C13" s="2" t="s">
        <v>55</v>
      </c>
      <c r="D13" s="12">
        <v>500000</v>
      </c>
      <c r="E13" s="12">
        <v>66650</v>
      </c>
      <c r="F13" s="15">
        <f t="shared" si="0"/>
        <v>566650</v>
      </c>
      <c r="G13" s="31">
        <v>50</v>
      </c>
      <c r="H13" s="12">
        <v>11333</v>
      </c>
      <c r="I13" s="8">
        <v>43</v>
      </c>
      <c r="J13" s="11">
        <f t="shared" si="1"/>
        <v>7</v>
      </c>
      <c r="K13" s="12">
        <f>(43*11333)</f>
        <v>487319</v>
      </c>
      <c r="L13" s="15">
        <f t="shared" si="2"/>
        <v>79331</v>
      </c>
      <c r="M13" s="8"/>
      <c r="N13" s="39" t="e">
        <f>#REF!-H13</f>
        <v>#REF!</v>
      </c>
    </row>
    <row r="14" spans="1:14" ht="15.75">
      <c r="A14" s="73"/>
      <c r="B14" s="14">
        <v>9</v>
      </c>
      <c r="C14" s="2" t="s">
        <v>56</v>
      </c>
      <c r="D14" s="12">
        <v>500000</v>
      </c>
      <c r="E14" s="12">
        <v>66650</v>
      </c>
      <c r="F14" s="15">
        <f t="shared" si="0"/>
        <v>566650</v>
      </c>
      <c r="G14" s="31">
        <v>50</v>
      </c>
      <c r="H14" s="12">
        <v>11333</v>
      </c>
      <c r="I14" s="8">
        <v>43</v>
      </c>
      <c r="J14" s="11">
        <f t="shared" si="1"/>
        <v>7</v>
      </c>
      <c r="K14" s="12">
        <f t="shared" ref="K14:K22" si="3">(43*11333)</f>
        <v>487319</v>
      </c>
      <c r="L14" s="15">
        <f t="shared" si="2"/>
        <v>79331</v>
      </c>
      <c r="M14" s="8"/>
      <c r="N14" s="39" t="e">
        <f>#REF!-H14</f>
        <v>#REF!</v>
      </c>
    </row>
    <row r="15" spans="1:14" ht="15.75">
      <c r="A15" s="73"/>
      <c r="B15" s="14">
        <v>10</v>
      </c>
      <c r="C15" s="2" t="s">
        <v>68</v>
      </c>
      <c r="D15" s="12">
        <v>500000</v>
      </c>
      <c r="E15" s="12">
        <v>66650</v>
      </c>
      <c r="F15" s="15">
        <f t="shared" si="0"/>
        <v>566650</v>
      </c>
      <c r="G15" s="31">
        <v>50</v>
      </c>
      <c r="H15" s="12">
        <v>11333</v>
      </c>
      <c r="I15" s="8">
        <v>43</v>
      </c>
      <c r="J15" s="11">
        <f t="shared" si="1"/>
        <v>7</v>
      </c>
      <c r="K15" s="12">
        <f t="shared" si="3"/>
        <v>487319</v>
      </c>
      <c r="L15" s="15">
        <f t="shared" si="2"/>
        <v>79331</v>
      </c>
      <c r="M15" s="8"/>
      <c r="N15" s="39" t="e">
        <f>#REF!-H15</f>
        <v>#REF!</v>
      </c>
    </row>
    <row r="16" spans="1:14" ht="15.75">
      <c r="A16" s="73"/>
      <c r="B16" s="14">
        <v>11</v>
      </c>
      <c r="C16" s="2" t="s">
        <v>71</v>
      </c>
      <c r="D16" s="12">
        <v>500000</v>
      </c>
      <c r="E16" s="12">
        <v>66650</v>
      </c>
      <c r="F16" s="15">
        <f t="shared" si="0"/>
        <v>566650</v>
      </c>
      <c r="G16" s="31">
        <v>50</v>
      </c>
      <c r="H16" s="12">
        <v>11333</v>
      </c>
      <c r="I16" s="8">
        <v>43</v>
      </c>
      <c r="J16" s="11">
        <f t="shared" si="1"/>
        <v>7</v>
      </c>
      <c r="K16" s="12">
        <f t="shared" si="3"/>
        <v>487319</v>
      </c>
      <c r="L16" s="15">
        <f t="shared" si="2"/>
        <v>79331</v>
      </c>
      <c r="M16" s="8"/>
      <c r="N16" s="39" t="e">
        <f>#REF!-H16</f>
        <v>#REF!</v>
      </c>
    </row>
    <row r="17" spans="1:14" ht="15.75">
      <c r="A17" s="73"/>
      <c r="B17" s="14">
        <v>12</v>
      </c>
      <c r="C17" s="23" t="s">
        <v>72</v>
      </c>
      <c r="D17" s="12">
        <v>500000</v>
      </c>
      <c r="E17" s="12">
        <v>66650</v>
      </c>
      <c r="F17" s="15">
        <f t="shared" si="0"/>
        <v>566650</v>
      </c>
      <c r="G17" s="31">
        <v>50</v>
      </c>
      <c r="H17" s="12">
        <v>11333</v>
      </c>
      <c r="I17" s="8">
        <v>43</v>
      </c>
      <c r="J17" s="11">
        <f t="shared" si="1"/>
        <v>7</v>
      </c>
      <c r="K17" s="12">
        <f t="shared" si="3"/>
        <v>487319</v>
      </c>
      <c r="L17" s="15">
        <f t="shared" si="2"/>
        <v>79331</v>
      </c>
      <c r="M17" s="8"/>
      <c r="N17" s="39" t="e">
        <f>#REF!-H17</f>
        <v>#REF!</v>
      </c>
    </row>
    <row r="18" spans="1:14" ht="15.75">
      <c r="A18" s="73"/>
      <c r="B18" s="14">
        <v>13</v>
      </c>
      <c r="C18" s="2" t="s">
        <v>74</v>
      </c>
      <c r="D18" s="12">
        <v>500000</v>
      </c>
      <c r="E18" s="12">
        <v>66650</v>
      </c>
      <c r="F18" s="15">
        <f t="shared" si="0"/>
        <v>566650</v>
      </c>
      <c r="G18" s="31">
        <v>50</v>
      </c>
      <c r="H18" s="12">
        <v>11333</v>
      </c>
      <c r="I18" s="8">
        <v>43</v>
      </c>
      <c r="J18" s="11">
        <f t="shared" si="1"/>
        <v>7</v>
      </c>
      <c r="K18" s="12">
        <f t="shared" si="3"/>
        <v>487319</v>
      </c>
      <c r="L18" s="15">
        <f t="shared" si="2"/>
        <v>79331</v>
      </c>
      <c r="M18" s="8"/>
      <c r="N18" s="39" t="e">
        <f>#REF!-H18</f>
        <v>#REF!</v>
      </c>
    </row>
    <row r="19" spans="1:14" ht="15.75">
      <c r="A19" s="73"/>
      <c r="B19" s="14">
        <v>14</v>
      </c>
      <c r="C19" s="2" t="s">
        <v>78</v>
      </c>
      <c r="D19" s="12">
        <v>500000</v>
      </c>
      <c r="E19" s="12">
        <v>66650</v>
      </c>
      <c r="F19" s="15">
        <f t="shared" si="0"/>
        <v>566650</v>
      </c>
      <c r="G19" s="31">
        <v>50</v>
      </c>
      <c r="H19" s="12">
        <v>11333</v>
      </c>
      <c r="I19" s="8">
        <v>43</v>
      </c>
      <c r="J19" s="11">
        <f t="shared" si="1"/>
        <v>7</v>
      </c>
      <c r="K19" s="12">
        <f t="shared" si="3"/>
        <v>487319</v>
      </c>
      <c r="L19" s="15">
        <f t="shared" si="2"/>
        <v>79331</v>
      </c>
      <c r="M19" s="8"/>
      <c r="N19" s="39" t="e">
        <f>#REF!-H19</f>
        <v>#REF!</v>
      </c>
    </row>
    <row r="20" spans="1:14" ht="15.75">
      <c r="A20" s="73"/>
      <c r="B20" s="14">
        <v>15</v>
      </c>
      <c r="C20" s="2" t="s">
        <v>80</v>
      </c>
      <c r="D20" s="12">
        <v>500000</v>
      </c>
      <c r="E20" s="12">
        <v>66650</v>
      </c>
      <c r="F20" s="15">
        <f t="shared" si="0"/>
        <v>566650</v>
      </c>
      <c r="G20" s="31">
        <v>50</v>
      </c>
      <c r="H20" s="12">
        <v>11333</v>
      </c>
      <c r="I20" s="8">
        <v>43</v>
      </c>
      <c r="J20" s="11">
        <f t="shared" si="1"/>
        <v>7</v>
      </c>
      <c r="K20" s="12">
        <f t="shared" si="3"/>
        <v>487319</v>
      </c>
      <c r="L20" s="15">
        <f t="shared" si="2"/>
        <v>79331</v>
      </c>
      <c r="M20" s="8"/>
      <c r="N20" s="39" t="e">
        <f>#REF!-H20</f>
        <v>#REF!</v>
      </c>
    </row>
    <row r="21" spans="1:14" ht="15.75">
      <c r="A21" s="73"/>
      <c r="B21" s="14">
        <v>16</v>
      </c>
      <c r="C21" s="23" t="s">
        <v>82</v>
      </c>
      <c r="D21" s="12">
        <v>500000</v>
      </c>
      <c r="E21" s="12">
        <v>66650</v>
      </c>
      <c r="F21" s="15">
        <f t="shared" si="0"/>
        <v>566650</v>
      </c>
      <c r="G21" s="31">
        <v>50</v>
      </c>
      <c r="H21" s="12">
        <v>11333</v>
      </c>
      <c r="I21" s="8">
        <v>43</v>
      </c>
      <c r="J21" s="11">
        <f t="shared" si="1"/>
        <v>7</v>
      </c>
      <c r="K21" s="12">
        <f t="shared" si="3"/>
        <v>487319</v>
      </c>
      <c r="L21" s="15">
        <f t="shared" si="2"/>
        <v>79331</v>
      </c>
      <c r="M21" s="8"/>
      <c r="N21" s="39" t="e">
        <f>#REF!-H21</f>
        <v>#REF!</v>
      </c>
    </row>
    <row r="22" spans="1:14" ht="15.75">
      <c r="A22" s="73"/>
      <c r="B22" s="14">
        <v>17</v>
      </c>
      <c r="C22" s="2" t="s">
        <v>87</v>
      </c>
      <c r="D22" s="12">
        <v>500000</v>
      </c>
      <c r="E22" s="12">
        <v>66650</v>
      </c>
      <c r="F22" s="15">
        <f t="shared" si="0"/>
        <v>566650</v>
      </c>
      <c r="G22" s="31">
        <v>50</v>
      </c>
      <c r="H22" s="12">
        <v>11333</v>
      </c>
      <c r="I22" s="8">
        <v>43</v>
      </c>
      <c r="J22" s="11">
        <f t="shared" si="1"/>
        <v>7</v>
      </c>
      <c r="K22" s="12">
        <f t="shared" si="3"/>
        <v>487319</v>
      </c>
      <c r="L22" s="15">
        <f t="shared" si="2"/>
        <v>79331</v>
      </c>
      <c r="M22" s="8"/>
      <c r="N22" s="39" t="e">
        <f>#REF!-H22</f>
        <v>#REF!</v>
      </c>
    </row>
    <row r="23" spans="1:14" ht="15.75">
      <c r="A23" s="73"/>
      <c r="B23" s="14">
        <v>18</v>
      </c>
      <c r="C23" s="2" t="s">
        <v>90</v>
      </c>
      <c r="D23" s="12">
        <v>500000</v>
      </c>
      <c r="E23" s="12">
        <v>66650</v>
      </c>
      <c r="F23" s="15">
        <f t="shared" si="0"/>
        <v>566650</v>
      </c>
      <c r="G23" s="31">
        <v>50</v>
      </c>
      <c r="H23" s="12">
        <v>11333</v>
      </c>
      <c r="I23" s="8">
        <v>42</v>
      </c>
      <c r="J23" s="11">
        <f t="shared" si="1"/>
        <v>8</v>
      </c>
      <c r="K23" s="12">
        <f>(42*11333)</f>
        <v>475986</v>
      </c>
      <c r="L23" s="15">
        <f t="shared" si="2"/>
        <v>90664</v>
      </c>
      <c r="M23" s="8"/>
      <c r="N23" s="39" t="e">
        <f>#REF!-H23</f>
        <v>#REF!</v>
      </c>
    </row>
    <row r="24" spans="1:14" ht="15.75">
      <c r="A24" s="73"/>
      <c r="B24" s="14">
        <v>19</v>
      </c>
      <c r="C24" s="75" t="s">
        <v>272</v>
      </c>
      <c r="D24" s="12">
        <v>500000</v>
      </c>
      <c r="E24" s="12">
        <v>66650</v>
      </c>
      <c r="F24" s="15">
        <f t="shared" si="0"/>
        <v>566650</v>
      </c>
      <c r="G24" s="31">
        <v>50</v>
      </c>
      <c r="H24" s="87">
        <v>11333</v>
      </c>
      <c r="I24" s="89">
        <v>32</v>
      </c>
      <c r="J24" s="89">
        <f t="shared" si="1"/>
        <v>18</v>
      </c>
      <c r="K24" s="72">
        <f>(32*11333)</f>
        <v>362656</v>
      </c>
      <c r="L24" s="15">
        <f t="shared" si="2"/>
        <v>203994</v>
      </c>
      <c r="M24" s="8" t="s">
        <v>251</v>
      </c>
      <c r="N24" s="39" t="e">
        <f>#REF!-H24</f>
        <v>#REF!</v>
      </c>
    </row>
    <row r="25" spans="1:14" ht="15.75">
      <c r="A25" s="73"/>
      <c r="B25" s="14">
        <v>20</v>
      </c>
      <c r="C25" s="2" t="s">
        <v>54</v>
      </c>
      <c r="D25" s="12">
        <v>500000</v>
      </c>
      <c r="E25" s="12">
        <v>66650</v>
      </c>
      <c r="F25" s="15">
        <f t="shared" si="0"/>
        <v>566650</v>
      </c>
      <c r="G25" s="31">
        <v>50</v>
      </c>
      <c r="H25" s="12">
        <v>11333</v>
      </c>
      <c r="I25" s="89">
        <v>31</v>
      </c>
      <c r="J25" s="89">
        <f t="shared" si="1"/>
        <v>19</v>
      </c>
      <c r="K25" s="72">
        <f>(31*11333)</f>
        <v>351323</v>
      </c>
      <c r="L25" s="15">
        <f t="shared" si="2"/>
        <v>215327</v>
      </c>
      <c r="M25" s="8"/>
      <c r="N25" s="39" t="e">
        <f>#REF!-H25</f>
        <v>#REF!</v>
      </c>
    </row>
    <row r="26" spans="1:14" ht="15.75">
      <c r="A26" s="73"/>
      <c r="B26" s="14">
        <v>21</v>
      </c>
      <c r="C26" s="2" t="s">
        <v>59</v>
      </c>
      <c r="D26" s="12">
        <v>500000</v>
      </c>
      <c r="E26" s="12">
        <v>66650</v>
      </c>
      <c r="F26" s="15">
        <f t="shared" si="0"/>
        <v>566650</v>
      </c>
      <c r="G26" s="31">
        <v>50</v>
      </c>
      <c r="H26" s="12">
        <v>11333</v>
      </c>
      <c r="I26" s="89">
        <v>31</v>
      </c>
      <c r="J26" s="89">
        <f t="shared" si="1"/>
        <v>19</v>
      </c>
      <c r="K26" s="72">
        <f>(31*11333)</f>
        <v>351323</v>
      </c>
      <c r="L26" s="15">
        <f t="shared" si="2"/>
        <v>215327</v>
      </c>
      <c r="M26" s="8"/>
      <c r="N26" s="39" t="e">
        <f>#REF!-H26</f>
        <v>#REF!</v>
      </c>
    </row>
    <row r="27" spans="1:14" ht="15.75">
      <c r="A27" s="73"/>
      <c r="B27" s="14">
        <v>22</v>
      </c>
      <c r="C27" s="2" t="s">
        <v>60</v>
      </c>
      <c r="D27" s="12">
        <v>500000</v>
      </c>
      <c r="E27" s="12">
        <v>66650</v>
      </c>
      <c r="F27" s="15">
        <f t="shared" si="0"/>
        <v>566650</v>
      </c>
      <c r="G27" s="31">
        <v>50</v>
      </c>
      <c r="H27" s="12">
        <v>11333</v>
      </c>
      <c r="I27" s="89">
        <v>31</v>
      </c>
      <c r="J27" s="89">
        <f t="shared" si="1"/>
        <v>19</v>
      </c>
      <c r="K27" s="72">
        <f>(31*11333)</f>
        <v>351323</v>
      </c>
      <c r="L27" s="15">
        <f t="shared" si="2"/>
        <v>215327</v>
      </c>
      <c r="M27" s="8"/>
      <c r="N27" s="39" t="e">
        <f>#REF!-H27</f>
        <v>#REF!</v>
      </c>
    </row>
    <row r="28" spans="1:14" ht="15.75">
      <c r="A28" s="73"/>
      <c r="B28" s="14">
        <v>23</v>
      </c>
      <c r="C28" s="2" t="s">
        <v>73</v>
      </c>
      <c r="D28" s="12">
        <v>500000</v>
      </c>
      <c r="E28" s="12">
        <v>66650</v>
      </c>
      <c r="F28" s="15">
        <f t="shared" si="0"/>
        <v>566650</v>
      </c>
      <c r="G28" s="31">
        <v>50</v>
      </c>
      <c r="H28" s="12">
        <v>11333</v>
      </c>
      <c r="I28" s="89">
        <v>31</v>
      </c>
      <c r="J28" s="89">
        <f t="shared" si="1"/>
        <v>19</v>
      </c>
      <c r="K28" s="72">
        <f>(31*11333)</f>
        <v>351323</v>
      </c>
      <c r="L28" s="15">
        <f t="shared" si="2"/>
        <v>215327</v>
      </c>
      <c r="M28" s="8"/>
      <c r="N28" s="39" t="e">
        <f>#REF!-H28</f>
        <v>#REF!</v>
      </c>
    </row>
    <row r="29" spans="1:14" ht="15.75">
      <c r="A29" s="73"/>
      <c r="B29" s="14">
        <v>24</v>
      </c>
      <c r="C29" s="82" t="s">
        <v>261</v>
      </c>
      <c r="D29" s="18">
        <v>500000</v>
      </c>
      <c r="E29" s="18">
        <v>66650</v>
      </c>
      <c r="F29" s="18">
        <v>566650</v>
      </c>
      <c r="G29" s="33">
        <v>50</v>
      </c>
      <c r="H29" s="86">
        <v>11333</v>
      </c>
      <c r="I29" s="89">
        <v>28</v>
      </c>
      <c r="J29" s="89">
        <f t="shared" si="1"/>
        <v>22</v>
      </c>
      <c r="K29" s="72">
        <f>(28*11333)</f>
        <v>317324</v>
      </c>
      <c r="L29" s="12">
        <f t="shared" si="2"/>
        <v>249326</v>
      </c>
      <c r="M29" s="1"/>
      <c r="N29" s="39" t="e">
        <f>#REF!-H29</f>
        <v>#REF!</v>
      </c>
    </row>
    <row r="30" spans="1:14" ht="15.75">
      <c r="A30" s="73"/>
      <c r="B30" s="14">
        <v>25</v>
      </c>
      <c r="C30" s="2" t="s">
        <v>70</v>
      </c>
      <c r="D30" s="12">
        <v>500000</v>
      </c>
      <c r="E30" s="12">
        <v>66650</v>
      </c>
      <c r="F30" s="15">
        <f>SUM(D30:E30)</f>
        <v>566650</v>
      </c>
      <c r="G30" s="31">
        <v>50</v>
      </c>
      <c r="H30" s="18">
        <v>11333</v>
      </c>
      <c r="I30" s="105">
        <v>27</v>
      </c>
      <c r="J30" s="89">
        <f t="shared" si="1"/>
        <v>23</v>
      </c>
      <c r="K30" s="72">
        <f>(27*11333)</f>
        <v>305991</v>
      </c>
      <c r="L30" s="15">
        <f t="shared" si="2"/>
        <v>260659</v>
      </c>
      <c r="M30" s="8"/>
      <c r="N30" s="39" t="e">
        <f>#REF!-H30</f>
        <v>#REF!</v>
      </c>
    </row>
    <row r="31" spans="1:14" ht="15.75">
      <c r="A31" s="73"/>
      <c r="B31" s="14">
        <v>26</v>
      </c>
      <c r="C31" s="82" t="s">
        <v>260</v>
      </c>
      <c r="D31" s="12">
        <v>500000</v>
      </c>
      <c r="E31" s="12">
        <v>66650</v>
      </c>
      <c r="F31" s="15">
        <f>SUM(D31:E31)</f>
        <v>566650</v>
      </c>
      <c r="G31" s="33">
        <v>50</v>
      </c>
      <c r="H31" s="12">
        <v>11333</v>
      </c>
      <c r="I31" s="89">
        <v>26</v>
      </c>
      <c r="J31" s="89">
        <f t="shared" si="1"/>
        <v>24</v>
      </c>
      <c r="K31" s="91">
        <f>(26*11333)</f>
        <v>294658</v>
      </c>
      <c r="L31" s="15">
        <f t="shared" si="2"/>
        <v>271992</v>
      </c>
      <c r="M31" s="8"/>
      <c r="N31" s="39" t="e">
        <f>#REF!-H31</f>
        <v>#REF!</v>
      </c>
    </row>
    <row r="32" spans="1:14" ht="15.75">
      <c r="A32" s="73"/>
      <c r="B32" s="14">
        <v>27</v>
      </c>
      <c r="C32" s="25" t="s">
        <v>53</v>
      </c>
      <c r="D32" s="12">
        <v>500000</v>
      </c>
      <c r="E32" s="12">
        <v>66650</v>
      </c>
      <c r="F32" s="15">
        <f>SUM(D32:E32)</f>
        <v>566650</v>
      </c>
      <c r="G32" s="31">
        <v>50</v>
      </c>
      <c r="H32" s="12">
        <v>11333</v>
      </c>
      <c r="I32" s="89">
        <v>22</v>
      </c>
      <c r="J32" s="89">
        <f t="shared" si="1"/>
        <v>28</v>
      </c>
      <c r="K32" s="72">
        <f t="shared" ref="K32:K42" si="4">(22*11333)</f>
        <v>249326</v>
      </c>
      <c r="L32" s="15">
        <f t="shared" si="2"/>
        <v>317324</v>
      </c>
      <c r="M32" s="8"/>
      <c r="N32" s="39" t="e">
        <f>#REF!-H32</f>
        <v>#REF!</v>
      </c>
    </row>
    <row r="33" spans="1:14" ht="15.75">
      <c r="A33" s="73"/>
      <c r="B33" s="14">
        <v>28</v>
      </c>
      <c r="C33" s="2" t="s">
        <v>57</v>
      </c>
      <c r="D33" s="12">
        <v>500000</v>
      </c>
      <c r="E33" s="12">
        <v>66650</v>
      </c>
      <c r="F33" s="15">
        <f>SUM(D33:E33)</f>
        <v>566650</v>
      </c>
      <c r="G33" s="31">
        <v>50</v>
      </c>
      <c r="H33" s="12">
        <v>11333</v>
      </c>
      <c r="I33" s="89">
        <v>22</v>
      </c>
      <c r="J33" s="89">
        <f t="shared" si="1"/>
        <v>28</v>
      </c>
      <c r="K33" s="72">
        <f t="shared" si="4"/>
        <v>249326</v>
      </c>
      <c r="L33" s="15">
        <f t="shared" si="2"/>
        <v>317324</v>
      </c>
      <c r="M33" s="8"/>
      <c r="N33" s="39" t="e">
        <f>#REF!-H33</f>
        <v>#REF!</v>
      </c>
    </row>
    <row r="34" spans="1:14" ht="15.75">
      <c r="A34" s="73"/>
      <c r="B34" s="14">
        <v>29</v>
      </c>
      <c r="C34" s="2" t="s">
        <v>63</v>
      </c>
      <c r="D34" s="12">
        <v>500000</v>
      </c>
      <c r="E34" s="12">
        <v>66650</v>
      </c>
      <c r="F34" s="15">
        <f>SUM(D34:E34)</f>
        <v>566650</v>
      </c>
      <c r="G34" s="31">
        <v>50</v>
      </c>
      <c r="H34" s="12">
        <v>11333</v>
      </c>
      <c r="I34" s="89">
        <v>22</v>
      </c>
      <c r="J34" s="89">
        <f t="shared" si="1"/>
        <v>28</v>
      </c>
      <c r="K34" s="72">
        <f t="shared" si="4"/>
        <v>249326</v>
      </c>
      <c r="L34" s="15">
        <f t="shared" si="2"/>
        <v>317324</v>
      </c>
      <c r="M34" s="8"/>
      <c r="N34" s="39" t="e">
        <f>#REF!-H34</f>
        <v>#REF!</v>
      </c>
    </row>
    <row r="35" spans="1:14" ht="15.75">
      <c r="A35" s="73"/>
      <c r="B35" s="14">
        <v>30</v>
      </c>
      <c r="C35" s="2" t="s">
        <v>223</v>
      </c>
      <c r="D35" s="12">
        <v>500000</v>
      </c>
      <c r="E35" s="12">
        <v>66650</v>
      </c>
      <c r="F35" s="12">
        <v>566650</v>
      </c>
      <c r="G35" s="31">
        <v>50</v>
      </c>
      <c r="H35" s="18">
        <v>11333</v>
      </c>
      <c r="I35" s="106">
        <v>22</v>
      </c>
      <c r="J35" s="89">
        <f t="shared" si="1"/>
        <v>28</v>
      </c>
      <c r="K35" s="72">
        <f t="shared" si="4"/>
        <v>249326</v>
      </c>
      <c r="L35" s="15">
        <f t="shared" si="2"/>
        <v>317324</v>
      </c>
      <c r="M35" s="8"/>
      <c r="N35" s="39" t="e">
        <f>#REF!-H35</f>
        <v>#REF!</v>
      </c>
    </row>
    <row r="36" spans="1:14" ht="15.75">
      <c r="A36" s="73"/>
      <c r="B36" s="14">
        <v>31</v>
      </c>
      <c r="C36" s="2" t="s">
        <v>69</v>
      </c>
      <c r="D36" s="12">
        <v>500000</v>
      </c>
      <c r="E36" s="12">
        <v>66650</v>
      </c>
      <c r="F36" s="15">
        <f t="shared" ref="F36:F46" si="5">SUM(D36:E36)</f>
        <v>566650</v>
      </c>
      <c r="G36" s="31">
        <v>50</v>
      </c>
      <c r="H36" s="12">
        <v>11333</v>
      </c>
      <c r="I36" s="89">
        <v>22</v>
      </c>
      <c r="J36" s="89">
        <f t="shared" si="1"/>
        <v>28</v>
      </c>
      <c r="K36" s="72">
        <f t="shared" si="4"/>
        <v>249326</v>
      </c>
      <c r="L36" s="15">
        <f t="shared" si="2"/>
        <v>317324</v>
      </c>
      <c r="M36" s="8"/>
      <c r="N36" s="39" t="e">
        <f>#REF!-H36</f>
        <v>#REF!</v>
      </c>
    </row>
    <row r="37" spans="1:14" ht="15.75">
      <c r="A37" s="73"/>
      <c r="B37" s="14">
        <v>32</v>
      </c>
      <c r="C37" s="2" t="s">
        <v>77</v>
      </c>
      <c r="D37" s="12">
        <v>500000</v>
      </c>
      <c r="E37" s="12">
        <v>66650</v>
      </c>
      <c r="F37" s="15">
        <f t="shared" si="5"/>
        <v>566650</v>
      </c>
      <c r="G37" s="31">
        <v>50</v>
      </c>
      <c r="H37" s="12">
        <v>11333</v>
      </c>
      <c r="I37" s="89">
        <v>22</v>
      </c>
      <c r="J37" s="89">
        <f t="shared" si="1"/>
        <v>28</v>
      </c>
      <c r="K37" s="72">
        <f t="shared" si="4"/>
        <v>249326</v>
      </c>
      <c r="L37" s="15">
        <f t="shared" si="2"/>
        <v>317324</v>
      </c>
      <c r="M37" s="8"/>
      <c r="N37" s="39" t="e">
        <f>#REF!-H37</f>
        <v>#REF!</v>
      </c>
    </row>
    <row r="38" spans="1:14" ht="15.75">
      <c r="A38" s="73"/>
      <c r="B38" s="14">
        <v>33</v>
      </c>
      <c r="C38" s="75" t="s">
        <v>268</v>
      </c>
      <c r="D38" s="12">
        <v>500000</v>
      </c>
      <c r="E38" s="12">
        <v>66650</v>
      </c>
      <c r="F38" s="15">
        <f t="shared" si="5"/>
        <v>566650</v>
      </c>
      <c r="G38" s="31">
        <v>50</v>
      </c>
      <c r="H38" s="77">
        <v>11333</v>
      </c>
      <c r="I38" s="89">
        <v>22</v>
      </c>
      <c r="J38" s="89">
        <f t="shared" ref="J38:J69" si="6">G38-I38</f>
        <v>28</v>
      </c>
      <c r="K38" s="72">
        <f t="shared" si="4"/>
        <v>249326</v>
      </c>
      <c r="L38" s="15">
        <f t="shared" ref="L38:L69" si="7">F38-K38</f>
        <v>317324</v>
      </c>
      <c r="M38" s="8" t="s">
        <v>251</v>
      </c>
      <c r="N38" s="39" t="e">
        <f>#REF!-H38</f>
        <v>#REF!</v>
      </c>
    </row>
    <row r="39" spans="1:14" ht="15.75">
      <c r="A39" s="73"/>
      <c r="B39" s="14">
        <v>34</v>
      </c>
      <c r="C39" s="2" t="s">
        <v>79</v>
      </c>
      <c r="D39" s="12">
        <v>500000</v>
      </c>
      <c r="E39" s="12">
        <v>66650</v>
      </c>
      <c r="F39" s="15">
        <f t="shared" si="5"/>
        <v>566650</v>
      </c>
      <c r="G39" s="31">
        <v>50</v>
      </c>
      <c r="H39" s="12">
        <v>11333</v>
      </c>
      <c r="I39" s="89">
        <v>22</v>
      </c>
      <c r="J39" s="89">
        <f t="shared" si="6"/>
        <v>28</v>
      </c>
      <c r="K39" s="72">
        <f t="shared" si="4"/>
        <v>249326</v>
      </c>
      <c r="L39" s="15">
        <f t="shared" si="7"/>
        <v>317324</v>
      </c>
      <c r="M39" s="8"/>
      <c r="N39" s="39" t="e">
        <f>#REF!-H39</f>
        <v>#REF!</v>
      </c>
    </row>
    <row r="40" spans="1:14" ht="15.75">
      <c r="A40" s="73"/>
      <c r="B40" s="14">
        <v>35</v>
      </c>
      <c r="C40" s="2" t="s">
        <v>84</v>
      </c>
      <c r="D40" s="12">
        <v>500000</v>
      </c>
      <c r="E40" s="12">
        <v>66650</v>
      </c>
      <c r="F40" s="15">
        <f t="shared" si="5"/>
        <v>566650</v>
      </c>
      <c r="G40" s="31">
        <v>50</v>
      </c>
      <c r="H40" s="12">
        <v>11333</v>
      </c>
      <c r="I40" s="89">
        <v>22</v>
      </c>
      <c r="J40" s="89">
        <f t="shared" si="6"/>
        <v>28</v>
      </c>
      <c r="K40" s="72">
        <f t="shared" si="4"/>
        <v>249326</v>
      </c>
      <c r="L40" s="15">
        <f t="shared" si="7"/>
        <v>317324</v>
      </c>
      <c r="M40" s="8"/>
      <c r="N40" s="39" t="e">
        <f>#REF!-H40</f>
        <v>#REF!</v>
      </c>
    </row>
    <row r="41" spans="1:14" ht="15.75">
      <c r="A41" s="73"/>
      <c r="B41" s="14">
        <v>36</v>
      </c>
      <c r="C41" s="2" t="s">
        <v>85</v>
      </c>
      <c r="D41" s="12">
        <v>500000</v>
      </c>
      <c r="E41" s="12">
        <v>66650</v>
      </c>
      <c r="F41" s="15">
        <f t="shared" si="5"/>
        <v>566650</v>
      </c>
      <c r="G41" s="31">
        <v>50</v>
      </c>
      <c r="H41" s="12">
        <v>11333</v>
      </c>
      <c r="I41" s="89">
        <v>22</v>
      </c>
      <c r="J41" s="89">
        <f t="shared" si="6"/>
        <v>28</v>
      </c>
      <c r="K41" s="72">
        <f t="shared" si="4"/>
        <v>249326</v>
      </c>
      <c r="L41" s="15">
        <f t="shared" si="7"/>
        <v>317324</v>
      </c>
      <c r="M41" s="8"/>
      <c r="N41" s="39" t="e">
        <f>#REF!-H41</f>
        <v>#REF!</v>
      </c>
    </row>
    <row r="42" spans="1:14" ht="15.75">
      <c r="A42" s="73"/>
      <c r="B42" s="14">
        <v>37</v>
      </c>
      <c r="C42" s="2" t="s">
        <v>88</v>
      </c>
      <c r="D42" s="12">
        <v>500000</v>
      </c>
      <c r="E42" s="12">
        <v>66650</v>
      </c>
      <c r="F42" s="15">
        <f t="shared" si="5"/>
        <v>566650</v>
      </c>
      <c r="G42" s="31">
        <v>50</v>
      </c>
      <c r="H42" s="12">
        <v>11333</v>
      </c>
      <c r="I42" s="89">
        <v>22</v>
      </c>
      <c r="J42" s="89">
        <f t="shared" si="6"/>
        <v>28</v>
      </c>
      <c r="K42" s="72">
        <f t="shared" si="4"/>
        <v>249326</v>
      </c>
      <c r="L42" s="15">
        <f t="shared" si="7"/>
        <v>317324</v>
      </c>
      <c r="M42" s="8"/>
      <c r="N42" s="39" t="e">
        <f>#REF!-H42</f>
        <v>#REF!</v>
      </c>
    </row>
    <row r="43" spans="1:14" ht="15.75">
      <c r="A43" s="73"/>
      <c r="B43" s="14">
        <v>38</v>
      </c>
      <c r="C43" s="2" t="s">
        <v>58</v>
      </c>
      <c r="D43" s="12">
        <v>500000</v>
      </c>
      <c r="E43" s="12">
        <v>66650</v>
      </c>
      <c r="F43" s="15">
        <f t="shared" si="5"/>
        <v>566650</v>
      </c>
      <c r="G43" s="33">
        <v>50</v>
      </c>
      <c r="H43" s="12">
        <v>11333</v>
      </c>
      <c r="I43" s="89">
        <v>21</v>
      </c>
      <c r="J43" s="89">
        <f t="shared" si="6"/>
        <v>29</v>
      </c>
      <c r="K43" s="72">
        <f>(21*11333)</f>
        <v>237993</v>
      </c>
      <c r="L43" s="15">
        <f t="shared" si="7"/>
        <v>328657</v>
      </c>
      <c r="M43" s="8"/>
      <c r="N43" s="39" t="e">
        <f>#REF!-H43</f>
        <v>#REF!</v>
      </c>
    </row>
    <row r="44" spans="1:14" ht="15.75">
      <c r="A44" s="73"/>
      <c r="B44" s="14">
        <v>39</v>
      </c>
      <c r="C44" s="2" t="s">
        <v>62</v>
      </c>
      <c r="D44" s="12">
        <v>500000</v>
      </c>
      <c r="E44" s="12">
        <v>66650</v>
      </c>
      <c r="F44" s="15">
        <f t="shared" si="5"/>
        <v>566650</v>
      </c>
      <c r="G44" s="33">
        <v>50</v>
      </c>
      <c r="H44" s="12">
        <v>11333</v>
      </c>
      <c r="I44" s="89">
        <v>21</v>
      </c>
      <c r="J44" s="89">
        <f t="shared" si="6"/>
        <v>29</v>
      </c>
      <c r="K44" s="72">
        <f t="shared" ref="K44:K49" si="8">(21*11333)</f>
        <v>237993</v>
      </c>
      <c r="L44" s="15">
        <f t="shared" si="7"/>
        <v>328657</v>
      </c>
      <c r="M44" s="8"/>
      <c r="N44" s="39" t="e">
        <f>#REF!-H44</f>
        <v>#REF!</v>
      </c>
    </row>
    <row r="45" spans="1:14" ht="15.75">
      <c r="A45" s="73"/>
      <c r="B45" s="14">
        <v>40</v>
      </c>
      <c r="C45" s="2" t="s">
        <v>64</v>
      </c>
      <c r="D45" s="12">
        <v>500000</v>
      </c>
      <c r="E45" s="12">
        <v>66650</v>
      </c>
      <c r="F45" s="15">
        <f t="shared" si="5"/>
        <v>566650</v>
      </c>
      <c r="G45" s="33">
        <v>50</v>
      </c>
      <c r="H45" s="12">
        <v>11333</v>
      </c>
      <c r="I45" s="89">
        <v>21</v>
      </c>
      <c r="J45" s="89">
        <f t="shared" si="6"/>
        <v>29</v>
      </c>
      <c r="K45" s="72">
        <f t="shared" si="8"/>
        <v>237993</v>
      </c>
      <c r="L45" s="15">
        <f t="shared" si="7"/>
        <v>328657</v>
      </c>
      <c r="M45" s="8"/>
      <c r="N45" s="39" t="e">
        <f>#REF!-H45</f>
        <v>#REF!</v>
      </c>
    </row>
    <row r="46" spans="1:14" ht="15.75">
      <c r="A46" s="73"/>
      <c r="B46" s="14">
        <v>41</v>
      </c>
      <c r="C46" s="2" t="s">
        <v>75</v>
      </c>
      <c r="D46" s="12">
        <v>500000</v>
      </c>
      <c r="E46" s="12">
        <v>66650</v>
      </c>
      <c r="F46" s="15">
        <f t="shared" si="5"/>
        <v>566650</v>
      </c>
      <c r="G46" s="33">
        <v>50</v>
      </c>
      <c r="H46" s="12">
        <v>11333</v>
      </c>
      <c r="I46" s="89">
        <v>21</v>
      </c>
      <c r="J46" s="89">
        <f t="shared" si="6"/>
        <v>29</v>
      </c>
      <c r="K46" s="72">
        <f t="shared" si="8"/>
        <v>237993</v>
      </c>
      <c r="L46" s="15">
        <f t="shared" si="7"/>
        <v>328657</v>
      </c>
      <c r="M46" s="8"/>
      <c r="N46" s="39" t="e">
        <f>#REF!-H46</f>
        <v>#REF!</v>
      </c>
    </row>
    <row r="47" spans="1:14" ht="15.75">
      <c r="A47" s="73"/>
      <c r="B47" s="14">
        <v>42</v>
      </c>
      <c r="C47" s="2" t="s">
        <v>222</v>
      </c>
      <c r="D47" s="12">
        <v>500000</v>
      </c>
      <c r="E47" s="12">
        <v>66650</v>
      </c>
      <c r="F47" s="12">
        <v>566650</v>
      </c>
      <c r="G47" s="31">
        <v>50</v>
      </c>
      <c r="H47" s="18">
        <v>11333</v>
      </c>
      <c r="I47" s="106">
        <v>21</v>
      </c>
      <c r="J47" s="89">
        <f t="shared" si="6"/>
        <v>29</v>
      </c>
      <c r="K47" s="72">
        <f t="shared" si="8"/>
        <v>237993</v>
      </c>
      <c r="L47" s="15">
        <f t="shared" si="7"/>
        <v>328657</v>
      </c>
      <c r="M47" s="8"/>
      <c r="N47" s="39" t="e">
        <f>#REF!-H47</f>
        <v>#REF!</v>
      </c>
    </row>
    <row r="48" spans="1:14" ht="15.75">
      <c r="A48" s="73"/>
      <c r="B48" s="14">
        <v>43</v>
      </c>
      <c r="C48" s="2" t="s">
        <v>86</v>
      </c>
      <c r="D48" s="12">
        <v>500000</v>
      </c>
      <c r="E48" s="12">
        <v>66650</v>
      </c>
      <c r="F48" s="15">
        <f>SUM(D48:E48)</f>
        <v>566650</v>
      </c>
      <c r="G48" s="33">
        <v>50</v>
      </c>
      <c r="H48" s="12">
        <v>11333</v>
      </c>
      <c r="I48" s="89">
        <v>21</v>
      </c>
      <c r="J48" s="89">
        <f t="shared" si="6"/>
        <v>29</v>
      </c>
      <c r="K48" s="72">
        <f t="shared" si="8"/>
        <v>237993</v>
      </c>
      <c r="L48" s="15">
        <f t="shared" si="7"/>
        <v>328657</v>
      </c>
      <c r="M48" s="8"/>
      <c r="N48" s="39" t="e">
        <f>#REF!-H48</f>
        <v>#REF!</v>
      </c>
    </row>
    <row r="49" spans="1:14" ht="15.75">
      <c r="A49" s="73"/>
      <c r="B49" s="14">
        <v>44</v>
      </c>
      <c r="C49" s="2" t="s">
        <v>91</v>
      </c>
      <c r="D49" s="12">
        <v>500000</v>
      </c>
      <c r="E49" s="12">
        <v>66650</v>
      </c>
      <c r="F49" s="15">
        <f>SUM(D49:E49)</f>
        <v>566650</v>
      </c>
      <c r="G49" s="33">
        <v>50</v>
      </c>
      <c r="H49" s="12">
        <v>11333</v>
      </c>
      <c r="I49" s="89">
        <v>21</v>
      </c>
      <c r="J49" s="89">
        <f t="shared" si="6"/>
        <v>29</v>
      </c>
      <c r="K49" s="72">
        <f t="shared" si="8"/>
        <v>237993</v>
      </c>
      <c r="L49" s="15">
        <f t="shared" si="7"/>
        <v>328657</v>
      </c>
      <c r="M49" s="8"/>
      <c r="N49" s="39" t="e">
        <f>#REF!-H49</f>
        <v>#REF!</v>
      </c>
    </row>
    <row r="50" spans="1:14" ht="15.75">
      <c r="A50" s="73"/>
      <c r="B50" s="14">
        <v>45</v>
      </c>
      <c r="C50" s="2" t="s">
        <v>12</v>
      </c>
      <c r="D50" s="12">
        <v>450000</v>
      </c>
      <c r="E50" s="12">
        <v>59985</v>
      </c>
      <c r="F50" s="15">
        <f>SUM(D50:E50)</f>
        <v>509985</v>
      </c>
      <c r="G50" s="33">
        <v>50</v>
      </c>
      <c r="H50" s="16">
        <v>11333</v>
      </c>
      <c r="I50" s="107">
        <v>11</v>
      </c>
      <c r="J50" s="89">
        <f t="shared" si="6"/>
        <v>39</v>
      </c>
      <c r="K50" s="72">
        <f>(11*11333)</f>
        <v>124663</v>
      </c>
      <c r="L50" s="15">
        <f t="shared" si="7"/>
        <v>385322</v>
      </c>
      <c r="M50" s="8"/>
      <c r="N50" s="39" t="e">
        <f>#REF!-H50</f>
        <v>#REF!</v>
      </c>
    </row>
    <row r="51" spans="1:14" ht="15.75">
      <c r="A51" s="73"/>
      <c r="B51" s="14">
        <v>46</v>
      </c>
      <c r="C51" s="2" t="s">
        <v>36</v>
      </c>
      <c r="D51" s="18">
        <v>500000</v>
      </c>
      <c r="E51" s="18">
        <v>66650</v>
      </c>
      <c r="F51" s="18">
        <v>566650</v>
      </c>
      <c r="G51" s="33">
        <v>50</v>
      </c>
      <c r="H51" s="16">
        <v>11333</v>
      </c>
      <c r="I51" s="105">
        <v>8</v>
      </c>
      <c r="J51" s="89">
        <f t="shared" si="6"/>
        <v>42</v>
      </c>
      <c r="K51" s="72">
        <f>(8*11333)</f>
        <v>90664</v>
      </c>
      <c r="L51" s="12">
        <f t="shared" si="7"/>
        <v>475986</v>
      </c>
      <c r="M51" s="1"/>
      <c r="N51" s="39" t="e">
        <f>#REF!-H51</f>
        <v>#REF!</v>
      </c>
    </row>
    <row r="52" spans="1:14" ht="15.75">
      <c r="A52" s="73"/>
      <c r="B52" s="14">
        <v>47</v>
      </c>
      <c r="C52" s="2" t="s">
        <v>24</v>
      </c>
      <c r="D52" s="18">
        <v>500000</v>
      </c>
      <c r="E52" s="18">
        <v>66650</v>
      </c>
      <c r="F52" s="18">
        <v>566650</v>
      </c>
      <c r="G52" s="33">
        <v>50</v>
      </c>
      <c r="H52" s="16">
        <v>11333</v>
      </c>
      <c r="I52" s="105">
        <v>8</v>
      </c>
      <c r="J52" s="89">
        <f t="shared" si="6"/>
        <v>42</v>
      </c>
      <c r="K52" s="72">
        <f t="shared" ref="K52:K61" si="9">(8*11333)</f>
        <v>90664</v>
      </c>
      <c r="L52" s="12">
        <f t="shared" si="7"/>
        <v>475986</v>
      </c>
      <c r="M52" s="1"/>
      <c r="N52" s="39" t="e">
        <f>#REF!-H52</f>
        <v>#REF!</v>
      </c>
    </row>
    <row r="53" spans="1:14" ht="15.75">
      <c r="A53" s="73"/>
      <c r="B53" s="14">
        <v>48</v>
      </c>
      <c r="C53" s="2" t="s">
        <v>25</v>
      </c>
      <c r="D53" s="18">
        <v>500000</v>
      </c>
      <c r="E53" s="18">
        <v>66650</v>
      </c>
      <c r="F53" s="18">
        <v>566650</v>
      </c>
      <c r="G53" s="33">
        <v>50</v>
      </c>
      <c r="H53" s="16">
        <v>11333</v>
      </c>
      <c r="I53" s="105">
        <v>8</v>
      </c>
      <c r="J53" s="89">
        <f t="shared" si="6"/>
        <v>42</v>
      </c>
      <c r="K53" s="72">
        <f t="shared" si="9"/>
        <v>90664</v>
      </c>
      <c r="L53" s="12">
        <f t="shared" si="7"/>
        <v>475986</v>
      </c>
      <c r="M53" s="1"/>
      <c r="N53" s="39" t="e">
        <f>#REF!-H53</f>
        <v>#REF!</v>
      </c>
    </row>
    <row r="54" spans="1:14" ht="15.75">
      <c r="A54" s="73"/>
      <c r="B54" s="14">
        <v>49</v>
      </c>
      <c r="C54" s="2" t="s">
        <v>23</v>
      </c>
      <c r="D54" s="18">
        <v>500000</v>
      </c>
      <c r="E54" s="18">
        <v>66650</v>
      </c>
      <c r="F54" s="18">
        <v>566650</v>
      </c>
      <c r="G54" s="33">
        <v>50</v>
      </c>
      <c r="H54" s="16">
        <v>11333</v>
      </c>
      <c r="I54" s="105">
        <v>8</v>
      </c>
      <c r="J54" s="89">
        <f t="shared" si="6"/>
        <v>42</v>
      </c>
      <c r="K54" s="72">
        <f t="shared" si="9"/>
        <v>90664</v>
      </c>
      <c r="L54" s="12">
        <f t="shared" si="7"/>
        <v>475986</v>
      </c>
      <c r="M54" s="8"/>
      <c r="N54" s="39" t="e">
        <f>#REF!-H54</f>
        <v>#REF!</v>
      </c>
    </row>
    <row r="55" spans="1:14" ht="15.75">
      <c r="A55" s="73"/>
      <c r="B55" s="14">
        <v>50</v>
      </c>
      <c r="C55" s="2" t="s">
        <v>37</v>
      </c>
      <c r="D55" s="18">
        <v>500000</v>
      </c>
      <c r="E55" s="18">
        <v>66650</v>
      </c>
      <c r="F55" s="18">
        <v>566650</v>
      </c>
      <c r="G55" s="33">
        <v>50</v>
      </c>
      <c r="H55" s="16">
        <v>11333</v>
      </c>
      <c r="I55" s="105">
        <v>8</v>
      </c>
      <c r="J55" s="89">
        <f t="shared" si="6"/>
        <v>42</v>
      </c>
      <c r="K55" s="72">
        <f t="shared" si="9"/>
        <v>90664</v>
      </c>
      <c r="L55" s="12">
        <f t="shared" si="7"/>
        <v>475986</v>
      </c>
      <c r="M55" s="1"/>
      <c r="N55" s="39" t="e">
        <f>#REF!-H55</f>
        <v>#REF!</v>
      </c>
    </row>
    <row r="56" spans="1:14" ht="15.75">
      <c r="A56" s="73"/>
      <c r="B56" s="14">
        <v>51</v>
      </c>
      <c r="C56" s="2" t="s">
        <v>21</v>
      </c>
      <c r="D56" s="18">
        <v>500000</v>
      </c>
      <c r="E56" s="18">
        <v>66650</v>
      </c>
      <c r="F56" s="18">
        <v>566650</v>
      </c>
      <c r="G56" s="33">
        <v>50</v>
      </c>
      <c r="H56" s="16">
        <v>11333</v>
      </c>
      <c r="I56" s="105">
        <v>8</v>
      </c>
      <c r="J56" s="89">
        <f t="shared" si="6"/>
        <v>42</v>
      </c>
      <c r="K56" s="72">
        <f t="shared" si="9"/>
        <v>90664</v>
      </c>
      <c r="L56" s="12">
        <f t="shared" si="7"/>
        <v>475986</v>
      </c>
      <c r="M56" s="8"/>
      <c r="N56" s="39" t="e">
        <f>#REF!-H56</f>
        <v>#REF!</v>
      </c>
    </row>
    <row r="57" spans="1:14" ht="15.75">
      <c r="A57" s="73"/>
      <c r="B57" s="14">
        <v>52</v>
      </c>
      <c r="C57" s="2" t="s">
        <v>27</v>
      </c>
      <c r="D57" s="18">
        <v>500000</v>
      </c>
      <c r="E57" s="18">
        <v>66650</v>
      </c>
      <c r="F57" s="18">
        <v>566650</v>
      </c>
      <c r="G57" s="33">
        <v>50</v>
      </c>
      <c r="H57" s="16">
        <v>11333</v>
      </c>
      <c r="I57" s="105">
        <v>8</v>
      </c>
      <c r="J57" s="89">
        <f t="shared" si="6"/>
        <v>42</v>
      </c>
      <c r="K57" s="72">
        <f t="shared" si="9"/>
        <v>90664</v>
      </c>
      <c r="L57" s="12">
        <f t="shared" si="7"/>
        <v>475986</v>
      </c>
      <c r="M57" s="1"/>
      <c r="N57" s="39" t="e">
        <f>#REF!-H57</f>
        <v>#REF!</v>
      </c>
    </row>
    <row r="58" spans="1:14" ht="15.75">
      <c r="A58" s="73"/>
      <c r="B58" s="14">
        <v>53</v>
      </c>
      <c r="C58" s="2" t="s">
        <v>26</v>
      </c>
      <c r="D58" s="18">
        <v>500000</v>
      </c>
      <c r="E58" s="18">
        <v>66650</v>
      </c>
      <c r="F58" s="18">
        <v>566650</v>
      </c>
      <c r="G58" s="33">
        <v>50</v>
      </c>
      <c r="H58" s="16">
        <v>11333</v>
      </c>
      <c r="I58" s="105">
        <v>8</v>
      </c>
      <c r="J58" s="89">
        <f t="shared" si="6"/>
        <v>42</v>
      </c>
      <c r="K58" s="72">
        <f t="shared" si="9"/>
        <v>90664</v>
      </c>
      <c r="L58" s="12">
        <f t="shared" si="7"/>
        <v>475986</v>
      </c>
      <c r="M58" s="1"/>
      <c r="N58" s="39" t="e">
        <f>#REF!-H58</f>
        <v>#REF!</v>
      </c>
    </row>
    <row r="59" spans="1:14" ht="15.75">
      <c r="A59" s="73"/>
      <c r="B59" s="14">
        <v>54</v>
      </c>
      <c r="C59" s="2" t="s">
        <v>17</v>
      </c>
      <c r="D59" s="18">
        <v>500000</v>
      </c>
      <c r="E59" s="18">
        <v>66650</v>
      </c>
      <c r="F59" s="18">
        <v>566650</v>
      </c>
      <c r="G59" s="33">
        <v>50</v>
      </c>
      <c r="H59" s="16">
        <v>11333</v>
      </c>
      <c r="I59" s="105">
        <v>8</v>
      </c>
      <c r="J59" s="89">
        <f t="shared" si="6"/>
        <v>42</v>
      </c>
      <c r="K59" s="72">
        <f t="shared" si="9"/>
        <v>90664</v>
      </c>
      <c r="L59" s="12">
        <f t="shared" si="7"/>
        <v>475986</v>
      </c>
      <c r="M59" s="8"/>
      <c r="N59" s="39" t="e">
        <f>#REF!-H59</f>
        <v>#REF!</v>
      </c>
    </row>
    <row r="60" spans="1:14" ht="15.75">
      <c r="A60" s="73"/>
      <c r="B60" s="14">
        <v>55</v>
      </c>
      <c r="C60" s="2" t="s">
        <v>38</v>
      </c>
      <c r="D60" s="18">
        <v>500000</v>
      </c>
      <c r="E60" s="18">
        <v>66650</v>
      </c>
      <c r="F60" s="18">
        <v>566650</v>
      </c>
      <c r="G60" s="33">
        <v>50</v>
      </c>
      <c r="H60" s="16">
        <v>11333</v>
      </c>
      <c r="I60" s="105">
        <v>8</v>
      </c>
      <c r="J60" s="89">
        <f t="shared" si="6"/>
        <v>42</v>
      </c>
      <c r="K60" s="72">
        <f t="shared" si="9"/>
        <v>90664</v>
      </c>
      <c r="L60" s="12">
        <f t="shared" si="7"/>
        <v>475986</v>
      </c>
      <c r="M60" s="1"/>
      <c r="N60" s="39" t="e">
        <f>#REF!-H60</f>
        <v>#REF!</v>
      </c>
    </row>
    <row r="61" spans="1:14" ht="15.75">
      <c r="A61" s="73"/>
      <c r="B61" s="14">
        <v>56</v>
      </c>
      <c r="C61" s="2" t="s">
        <v>39</v>
      </c>
      <c r="D61" s="12">
        <v>500000</v>
      </c>
      <c r="E61" s="12">
        <v>66650</v>
      </c>
      <c r="F61" s="12">
        <v>566650</v>
      </c>
      <c r="G61" s="33">
        <v>50</v>
      </c>
      <c r="H61" s="16">
        <v>11333</v>
      </c>
      <c r="I61" s="105">
        <v>8</v>
      </c>
      <c r="J61" s="89">
        <f t="shared" si="6"/>
        <v>42</v>
      </c>
      <c r="K61" s="72">
        <f t="shared" si="9"/>
        <v>90664</v>
      </c>
      <c r="L61" s="12">
        <f t="shared" si="7"/>
        <v>475986</v>
      </c>
      <c r="M61" s="1"/>
      <c r="N61" s="39" t="e">
        <f>#REF!-H61</f>
        <v>#REF!</v>
      </c>
    </row>
    <row r="62" spans="1:14" ht="15.75">
      <c r="A62" s="73"/>
      <c r="B62" s="14">
        <v>57</v>
      </c>
      <c r="C62" s="2" t="s">
        <v>28</v>
      </c>
      <c r="D62" s="18">
        <v>500000</v>
      </c>
      <c r="E62" s="18">
        <v>66650</v>
      </c>
      <c r="F62" s="18">
        <v>566650</v>
      </c>
      <c r="G62" s="33">
        <v>50</v>
      </c>
      <c r="H62" s="16">
        <v>11333</v>
      </c>
      <c r="I62" s="105">
        <v>7</v>
      </c>
      <c r="J62" s="89">
        <f t="shared" si="6"/>
        <v>43</v>
      </c>
      <c r="K62" s="72">
        <f>(7*11333)</f>
        <v>79331</v>
      </c>
      <c r="L62" s="12">
        <f t="shared" si="7"/>
        <v>487319</v>
      </c>
      <c r="M62" s="1"/>
      <c r="N62" s="39" t="e">
        <f>#REF!-H62</f>
        <v>#REF!</v>
      </c>
    </row>
    <row r="63" spans="1:14" ht="15.75">
      <c r="A63" s="73"/>
      <c r="B63" s="14">
        <v>58</v>
      </c>
      <c r="C63" s="2" t="s">
        <v>44</v>
      </c>
      <c r="D63" s="12">
        <v>450000</v>
      </c>
      <c r="E63" s="16">
        <v>59985</v>
      </c>
      <c r="F63" s="15">
        <f>SUM(D63:E63)</f>
        <v>509985</v>
      </c>
      <c r="G63" s="33">
        <v>50</v>
      </c>
      <c r="H63" s="71">
        <v>10199.700000000001</v>
      </c>
      <c r="I63" s="105">
        <v>33</v>
      </c>
      <c r="J63" s="89">
        <f t="shared" si="6"/>
        <v>17</v>
      </c>
      <c r="K63" s="72">
        <f>(33*10199.7)</f>
        <v>336590.10000000003</v>
      </c>
      <c r="L63" s="15">
        <f t="shared" si="7"/>
        <v>173394.89999999997</v>
      </c>
      <c r="M63" s="8"/>
      <c r="N63" s="39" t="e">
        <f>#REF!-H63</f>
        <v>#REF!</v>
      </c>
    </row>
    <row r="64" spans="1:14" ht="15.75">
      <c r="A64" s="73"/>
      <c r="B64" s="14">
        <v>59</v>
      </c>
      <c r="C64" s="2" t="s">
        <v>99</v>
      </c>
      <c r="D64" s="12">
        <v>450000</v>
      </c>
      <c r="E64" s="16">
        <v>59985</v>
      </c>
      <c r="F64" s="15">
        <f>SUM(D64:E64)</f>
        <v>509985</v>
      </c>
      <c r="G64" s="33">
        <v>50</v>
      </c>
      <c r="H64" s="16">
        <v>10199.700000000001</v>
      </c>
      <c r="I64" s="105">
        <v>31</v>
      </c>
      <c r="J64" s="89">
        <f t="shared" si="6"/>
        <v>19</v>
      </c>
      <c r="K64" s="72">
        <f>(31*10199.7)</f>
        <v>316190.7</v>
      </c>
      <c r="L64" s="15">
        <f t="shared" si="7"/>
        <v>193794.3</v>
      </c>
      <c r="M64" s="8"/>
      <c r="N64" s="39" t="e">
        <f>#REF!-H64</f>
        <v>#REF!</v>
      </c>
    </row>
    <row r="65" spans="1:14" ht="15.75">
      <c r="A65" s="73"/>
      <c r="B65" s="14">
        <v>60</v>
      </c>
      <c r="C65" s="2" t="s">
        <v>96</v>
      </c>
      <c r="D65" s="12">
        <v>450000</v>
      </c>
      <c r="E65" s="16">
        <v>59985</v>
      </c>
      <c r="F65" s="15">
        <f>SUM(D65:E65)</f>
        <v>509985</v>
      </c>
      <c r="G65" s="33">
        <v>50</v>
      </c>
      <c r="H65" s="16">
        <v>10199.700000000001</v>
      </c>
      <c r="I65" s="105">
        <v>27</v>
      </c>
      <c r="J65" s="89">
        <f t="shared" si="6"/>
        <v>23</v>
      </c>
      <c r="K65" s="72">
        <f>(27*10199.7)</f>
        <v>275391.90000000002</v>
      </c>
      <c r="L65" s="15">
        <f t="shared" si="7"/>
        <v>234593.09999999998</v>
      </c>
      <c r="M65" s="8"/>
      <c r="N65" s="39" t="e">
        <f>#REF!-H65</f>
        <v>#REF!</v>
      </c>
    </row>
    <row r="66" spans="1:14" ht="15.75">
      <c r="A66" s="73"/>
      <c r="B66" s="14">
        <v>61</v>
      </c>
      <c r="C66" s="2" t="s">
        <v>224</v>
      </c>
      <c r="D66" s="12">
        <v>450000</v>
      </c>
      <c r="E66" s="12">
        <v>59985</v>
      </c>
      <c r="F66" s="12">
        <v>509985</v>
      </c>
      <c r="G66" s="31">
        <v>50</v>
      </c>
      <c r="H66" s="18">
        <v>10199.700000000001</v>
      </c>
      <c r="I66" s="106">
        <v>22</v>
      </c>
      <c r="J66" s="89">
        <f t="shared" si="6"/>
        <v>28</v>
      </c>
      <c r="K66" s="72">
        <f>(22*10199.7)</f>
        <v>224393.40000000002</v>
      </c>
      <c r="L66" s="15">
        <f t="shared" si="7"/>
        <v>285591.59999999998</v>
      </c>
      <c r="M66" s="8"/>
      <c r="N66" s="39" t="e">
        <f>#REF!-H66</f>
        <v>#REF!</v>
      </c>
    </row>
    <row r="67" spans="1:14" ht="15.75">
      <c r="A67" s="73"/>
      <c r="B67" s="14">
        <v>62</v>
      </c>
      <c r="C67" s="2" t="s">
        <v>97</v>
      </c>
      <c r="D67" s="12">
        <v>450000</v>
      </c>
      <c r="E67" s="12">
        <v>59985</v>
      </c>
      <c r="F67" s="15">
        <f>SUM(D67:E67)</f>
        <v>509985</v>
      </c>
      <c r="G67" s="31">
        <v>50</v>
      </c>
      <c r="H67" s="12">
        <v>10199.700000000001</v>
      </c>
      <c r="I67" s="89">
        <v>22</v>
      </c>
      <c r="J67" s="89">
        <f t="shared" si="6"/>
        <v>28</v>
      </c>
      <c r="K67" s="72">
        <f>(22*10199.7)</f>
        <v>224393.40000000002</v>
      </c>
      <c r="L67" s="15">
        <f t="shared" si="7"/>
        <v>285591.59999999998</v>
      </c>
      <c r="M67" s="8"/>
      <c r="N67" s="39" t="e">
        <f>#REF!-H67</f>
        <v>#REF!</v>
      </c>
    </row>
    <row r="68" spans="1:14" ht="15.75">
      <c r="A68" s="73"/>
      <c r="B68" s="14">
        <v>63</v>
      </c>
      <c r="C68" s="2" t="s">
        <v>103</v>
      </c>
      <c r="D68" s="12">
        <v>450000</v>
      </c>
      <c r="E68" s="16">
        <v>59985</v>
      </c>
      <c r="F68" s="15">
        <f>SUM(D68:E68)</f>
        <v>509985</v>
      </c>
      <c r="G68" s="33">
        <v>50</v>
      </c>
      <c r="H68" s="16">
        <v>10199.700000000001</v>
      </c>
      <c r="I68" s="105">
        <v>22</v>
      </c>
      <c r="J68" s="89">
        <f t="shared" si="6"/>
        <v>28</v>
      </c>
      <c r="K68" s="72">
        <f>(22*10199.7)</f>
        <v>224393.40000000002</v>
      </c>
      <c r="L68" s="15">
        <f t="shared" si="7"/>
        <v>285591.59999999998</v>
      </c>
      <c r="M68" s="8"/>
      <c r="N68" s="39" t="e">
        <f>#REF!-H68</f>
        <v>#REF!</v>
      </c>
    </row>
    <row r="69" spans="1:14" ht="15.75">
      <c r="A69" s="73"/>
      <c r="B69" s="14">
        <v>64</v>
      </c>
      <c r="C69" s="2" t="s">
        <v>104</v>
      </c>
      <c r="D69" s="12">
        <v>450000</v>
      </c>
      <c r="E69" s="12">
        <v>59985</v>
      </c>
      <c r="F69" s="15">
        <f>SUM(D69:E69)</f>
        <v>509985</v>
      </c>
      <c r="G69" s="31">
        <v>50</v>
      </c>
      <c r="H69" s="12">
        <v>10199.700000000001</v>
      </c>
      <c r="I69" s="89">
        <v>22</v>
      </c>
      <c r="J69" s="89">
        <f t="shared" si="6"/>
        <v>28</v>
      </c>
      <c r="K69" s="72">
        <f>(22*10199.7)</f>
        <v>224393.40000000002</v>
      </c>
      <c r="L69" s="15">
        <f t="shared" si="7"/>
        <v>285591.59999999998</v>
      </c>
      <c r="M69" s="8"/>
      <c r="N69" s="39" t="e">
        <f>#REF!-H69</f>
        <v>#REF!</v>
      </c>
    </row>
    <row r="70" spans="1:14" ht="15.75">
      <c r="A70" s="73"/>
      <c r="B70" s="14">
        <v>65</v>
      </c>
      <c r="C70" s="2" t="s">
        <v>100</v>
      </c>
      <c r="D70" s="12">
        <v>450000</v>
      </c>
      <c r="E70" s="16">
        <v>59985</v>
      </c>
      <c r="F70" s="15">
        <f>SUM(D70:E70)</f>
        <v>509985</v>
      </c>
      <c r="G70" s="33">
        <v>50</v>
      </c>
      <c r="H70" s="16">
        <v>10199.700000000001</v>
      </c>
      <c r="I70" s="89">
        <v>21</v>
      </c>
      <c r="J70" s="89">
        <f t="shared" ref="J70:J88" si="10">G70-I70</f>
        <v>29</v>
      </c>
      <c r="K70" s="72">
        <f>(21*10199.7)</f>
        <v>214193.7</v>
      </c>
      <c r="L70" s="15">
        <f t="shared" ref="L70:L88" si="11">F70-K70</f>
        <v>295791.3</v>
      </c>
      <c r="M70" s="8"/>
      <c r="N70" s="39" t="e">
        <f>#REF!-H70</f>
        <v>#REF!</v>
      </c>
    </row>
    <row r="71" spans="1:14" ht="15.75">
      <c r="A71" s="73"/>
      <c r="B71" s="14">
        <v>66</v>
      </c>
      <c r="C71" s="75" t="s">
        <v>262</v>
      </c>
      <c r="D71" s="12">
        <v>450000</v>
      </c>
      <c r="E71" s="16">
        <v>59985</v>
      </c>
      <c r="F71" s="16">
        <v>509985</v>
      </c>
      <c r="G71" s="33">
        <v>50</v>
      </c>
      <c r="H71" s="77">
        <v>10199.700000000001</v>
      </c>
      <c r="I71" s="90">
        <v>15</v>
      </c>
      <c r="J71" s="90">
        <f t="shared" si="10"/>
        <v>35</v>
      </c>
      <c r="K71" s="72">
        <f>(15*10199.7)</f>
        <v>152995.5</v>
      </c>
      <c r="L71" s="15">
        <f t="shared" si="11"/>
        <v>356989.5</v>
      </c>
      <c r="M71" s="1" t="s">
        <v>251</v>
      </c>
      <c r="N71" s="39" t="e">
        <f>#REF!-H71</f>
        <v>#REF!</v>
      </c>
    </row>
    <row r="72" spans="1:14" ht="15.75">
      <c r="A72" s="73"/>
      <c r="B72" s="14">
        <v>67</v>
      </c>
      <c r="C72" s="70" t="s">
        <v>256</v>
      </c>
      <c r="D72" s="12">
        <v>450000</v>
      </c>
      <c r="E72" s="16">
        <v>59985</v>
      </c>
      <c r="F72" s="16">
        <v>509985</v>
      </c>
      <c r="G72" s="33">
        <v>50</v>
      </c>
      <c r="H72" s="16">
        <v>10199.700000000001</v>
      </c>
      <c r="I72" s="108">
        <v>10</v>
      </c>
      <c r="J72" s="109">
        <f t="shared" si="10"/>
        <v>40</v>
      </c>
      <c r="K72" s="110">
        <f>(10*10199)</f>
        <v>101990</v>
      </c>
      <c r="L72" s="15">
        <f t="shared" si="11"/>
        <v>407995</v>
      </c>
      <c r="M72" s="8" t="s">
        <v>251</v>
      </c>
      <c r="N72" s="39" t="e">
        <f>#REF!-H72</f>
        <v>#REF!</v>
      </c>
    </row>
    <row r="73" spans="1:14" ht="15.75">
      <c r="A73" s="73"/>
      <c r="B73" s="14">
        <v>68</v>
      </c>
      <c r="C73" s="2" t="s">
        <v>29</v>
      </c>
      <c r="D73" s="18">
        <v>450000</v>
      </c>
      <c r="E73" s="19">
        <v>59985</v>
      </c>
      <c r="F73" s="19">
        <v>509985</v>
      </c>
      <c r="G73" s="33">
        <v>50</v>
      </c>
      <c r="H73" s="16">
        <v>10199.700000000001</v>
      </c>
      <c r="I73" s="105">
        <v>8</v>
      </c>
      <c r="J73" s="89">
        <f t="shared" si="10"/>
        <v>42</v>
      </c>
      <c r="K73" s="72">
        <f>(8*10199)</f>
        <v>81592</v>
      </c>
      <c r="L73" s="12">
        <f t="shared" si="11"/>
        <v>428393</v>
      </c>
      <c r="M73" s="1"/>
      <c r="N73" s="39" t="e">
        <f>#REF!-H73</f>
        <v>#REF!</v>
      </c>
    </row>
    <row r="74" spans="1:14" ht="15.75">
      <c r="A74" s="73"/>
      <c r="B74" s="14">
        <v>69</v>
      </c>
      <c r="C74" s="70" t="s">
        <v>255</v>
      </c>
      <c r="D74" s="12">
        <v>450000</v>
      </c>
      <c r="E74" s="16">
        <v>59985</v>
      </c>
      <c r="F74" s="16">
        <v>509985</v>
      </c>
      <c r="G74" s="33">
        <v>50</v>
      </c>
      <c r="H74" s="16">
        <v>10199.700000000001</v>
      </c>
      <c r="I74" s="105">
        <v>7</v>
      </c>
      <c r="J74" s="89">
        <f t="shared" si="10"/>
        <v>43</v>
      </c>
      <c r="K74" s="72">
        <f>(7*10199)</f>
        <v>71393</v>
      </c>
      <c r="L74" s="12">
        <f t="shared" si="11"/>
        <v>438592</v>
      </c>
      <c r="M74" s="8"/>
      <c r="N74" s="39" t="e">
        <f>#REF!-H74</f>
        <v>#REF!</v>
      </c>
    </row>
    <row r="75" spans="1:14" ht="15.75">
      <c r="A75" s="73"/>
      <c r="B75" s="14">
        <v>70</v>
      </c>
      <c r="C75" s="2" t="s">
        <v>42</v>
      </c>
      <c r="D75" s="12">
        <v>450000</v>
      </c>
      <c r="E75" s="16">
        <v>59985</v>
      </c>
      <c r="F75" s="16">
        <v>509985</v>
      </c>
      <c r="G75" s="33">
        <v>50</v>
      </c>
      <c r="H75" s="16">
        <v>10199.700000000001</v>
      </c>
      <c r="I75" s="105">
        <v>7</v>
      </c>
      <c r="J75" s="89">
        <f t="shared" si="10"/>
        <v>43</v>
      </c>
      <c r="K75" s="72">
        <f>(7*10199)</f>
        <v>71393</v>
      </c>
      <c r="L75" s="12">
        <f t="shared" si="11"/>
        <v>438592</v>
      </c>
      <c r="M75" s="1"/>
      <c r="N75" s="39" t="e">
        <f>#REF!-H75</f>
        <v>#REF!</v>
      </c>
    </row>
    <row r="76" spans="1:14" ht="15.75">
      <c r="A76" s="73"/>
      <c r="B76" s="14">
        <v>71</v>
      </c>
      <c r="C76" s="2" t="s">
        <v>41</v>
      </c>
      <c r="D76" s="12">
        <v>450000</v>
      </c>
      <c r="E76" s="16">
        <v>59985</v>
      </c>
      <c r="F76" s="16">
        <v>509985</v>
      </c>
      <c r="G76" s="33">
        <v>50</v>
      </c>
      <c r="H76" s="16">
        <v>10199.700000000001</v>
      </c>
      <c r="I76" s="105">
        <v>7</v>
      </c>
      <c r="J76" s="89">
        <f t="shared" si="10"/>
        <v>43</v>
      </c>
      <c r="K76" s="72">
        <f>(7*10199)</f>
        <v>71393</v>
      </c>
      <c r="L76" s="12">
        <f t="shared" si="11"/>
        <v>438592</v>
      </c>
      <c r="M76" s="1"/>
      <c r="N76" s="39" t="e">
        <f>#REF!-H76</f>
        <v>#REF!</v>
      </c>
    </row>
    <row r="77" spans="1:14" ht="15.75">
      <c r="A77" s="73"/>
      <c r="B77" s="14">
        <v>72</v>
      </c>
      <c r="C77" s="2" t="s">
        <v>107</v>
      </c>
      <c r="D77" s="12">
        <v>330000</v>
      </c>
      <c r="E77" s="12">
        <v>43989</v>
      </c>
      <c r="F77" s="15">
        <f t="shared" ref="F77:F92" si="12">SUM(D77:E77)</f>
        <v>373989</v>
      </c>
      <c r="G77" s="31">
        <v>50</v>
      </c>
      <c r="H77" s="12">
        <v>7479.78</v>
      </c>
      <c r="I77" s="105">
        <v>43</v>
      </c>
      <c r="J77" s="89">
        <f t="shared" si="10"/>
        <v>7</v>
      </c>
      <c r="K77" s="72">
        <f>(43*11333)</f>
        <v>487319</v>
      </c>
      <c r="L77" s="15">
        <f t="shared" si="11"/>
        <v>-113330</v>
      </c>
      <c r="M77" s="8"/>
      <c r="N77" s="39" t="e">
        <f>#REF!-H77</f>
        <v>#REF!</v>
      </c>
    </row>
    <row r="78" spans="1:14" ht="15.75">
      <c r="A78" s="73"/>
      <c r="B78" s="14">
        <v>73</v>
      </c>
      <c r="C78" s="2" t="s">
        <v>108</v>
      </c>
      <c r="D78" s="12">
        <v>330000</v>
      </c>
      <c r="E78" s="12">
        <v>43989</v>
      </c>
      <c r="F78" s="15">
        <f t="shared" si="12"/>
        <v>373989</v>
      </c>
      <c r="G78" s="31">
        <v>50</v>
      </c>
      <c r="H78" s="12">
        <v>7479.78</v>
      </c>
      <c r="I78" s="105">
        <v>43</v>
      </c>
      <c r="J78" s="89">
        <f t="shared" si="10"/>
        <v>7</v>
      </c>
      <c r="K78" s="72">
        <f>(43*11333)</f>
        <v>487319</v>
      </c>
      <c r="L78" s="15">
        <f t="shared" si="11"/>
        <v>-113330</v>
      </c>
      <c r="M78" s="8"/>
      <c r="N78" s="39" t="e">
        <f>#REF!-H78</f>
        <v>#REF!</v>
      </c>
    </row>
    <row r="79" spans="1:14" ht="15.75">
      <c r="A79" s="73"/>
      <c r="B79" s="14">
        <v>74</v>
      </c>
      <c r="C79" s="2" t="s">
        <v>113</v>
      </c>
      <c r="D79" s="12">
        <v>330000</v>
      </c>
      <c r="E79" s="12">
        <v>43989</v>
      </c>
      <c r="F79" s="15">
        <f t="shared" si="12"/>
        <v>373989</v>
      </c>
      <c r="G79" s="31">
        <v>50</v>
      </c>
      <c r="H79" s="12">
        <v>7479.78</v>
      </c>
      <c r="I79" s="105">
        <v>43</v>
      </c>
      <c r="J79" s="89">
        <f t="shared" si="10"/>
        <v>7</v>
      </c>
      <c r="K79" s="72">
        <f>(43*11333)</f>
        <v>487319</v>
      </c>
      <c r="L79" s="15">
        <f t="shared" si="11"/>
        <v>-113330</v>
      </c>
      <c r="M79" s="8"/>
      <c r="N79" s="39" t="e">
        <f>#REF!-H79</f>
        <v>#REF!</v>
      </c>
    </row>
    <row r="80" spans="1:14" ht="15.75">
      <c r="A80" s="73"/>
      <c r="B80" s="14">
        <v>75</v>
      </c>
      <c r="C80" s="25" t="s">
        <v>105</v>
      </c>
      <c r="D80" s="12">
        <v>330000</v>
      </c>
      <c r="E80" s="16">
        <v>43989</v>
      </c>
      <c r="F80" s="15">
        <f t="shared" si="12"/>
        <v>373989</v>
      </c>
      <c r="G80" s="33">
        <v>50</v>
      </c>
      <c r="H80" s="16">
        <v>7479.78</v>
      </c>
      <c r="I80" s="105">
        <v>31</v>
      </c>
      <c r="J80" s="89">
        <f t="shared" si="10"/>
        <v>19</v>
      </c>
      <c r="K80" s="72">
        <f>(31*7479.78)</f>
        <v>231873.18</v>
      </c>
      <c r="L80" s="15">
        <f t="shared" si="11"/>
        <v>142115.82</v>
      </c>
      <c r="M80" s="8"/>
      <c r="N80" s="39" t="e">
        <f>#REF!-H80</f>
        <v>#REF!</v>
      </c>
    </row>
    <row r="81" spans="1:14" ht="15.75">
      <c r="A81" s="73"/>
      <c r="B81" s="14">
        <v>76</v>
      </c>
      <c r="C81" s="2" t="s">
        <v>117</v>
      </c>
      <c r="D81" s="12">
        <v>330000</v>
      </c>
      <c r="E81" s="12">
        <v>43989</v>
      </c>
      <c r="F81" s="15">
        <f t="shared" si="12"/>
        <v>373989</v>
      </c>
      <c r="G81" s="31">
        <v>50</v>
      </c>
      <c r="H81" s="12">
        <v>7479.78</v>
      </c>
      <c r="I81" s="89">
        <v>30</v>
      </c>
      <c r="J81" s="89">
        <f t="shared" si="10"/>
        <v>20</v>
      </c>
      <c r="K81" s="91">
        <f>(30*7479.78)</f>
        <v>224393.4</v>
      </c>
      <c r="L81" s="15">
        <f t="shared" si="11"/>
        <v>149595.6</v>
      </c>
      <c r="M81" s="8"/>
      <c r="N81" s="39" t="e">
        <f>#REF!-H81</f>
        <v>#REF!</v>
      </c>
    </row>
    <row r="82" spans="1:14" ht="15.75">
      <c r="A82" s="73"/>
      <c r="B82" s="14">
        <v>77</v>
      </c>
      <c r="C82" s="2" t="s">
        <v>106</v>
      </c>
      <c r="D82" s="12">
        <v>330000</v>
      </c>
      <c r="E82" s="12">
        <v>43989</v>
      </c>
      <c r="F82" s="15">
        <f t="shared" si="12"/>
        <v>373989</v>
      </c>
      <c r="G82" s="31">
        <v>50</v>
      </c>
      <c r="H82" s="12">
        <v>7479.78</v>
      </c>
      <c r="I82" s="89">
        <v>22</v>
      </c>
      <c r="J82" s="89">
        <f t="shared" si="10"/>
        <v>28</v>
      </c>
      <c r="K82" s="91">
        <f>(22*7479.78)</f>
        <v>164555.16</v>
      </c>
      <c r="L82" s="15">
        <f t="shared" si="11"/>
        <v>209433.84</v>
      </c>
      <c r="M82" s="8"/>
      <c r="N82" s="39" t="e">
        <f>#REF!-H82</f>
        <v>#REF!</v>
      </c>
    </row>
    <row r="83" spans="1:14" ht="15.75">
      <c r="A83" s="73"/>
      <c r="B83" s="14">
        <v>78</v>
      </c>
      <c r="C83" s="2" t="s">
        <v>111</v>
      </c>
      <c r="D83" s="12">
        <v>330000</v>
      </c>
      <c r="E83" s="12">
        <v>43989</v>
      </c>
      <c r="F83" s="15">
        <f t="shared" si="12"/>
        <v>373989</v>
      </c>
      <c r="G83" s="31">
        <v>50</v>
      </c>
      <c r="H83" s="12">
        <v>7479.78</v>
      </c>
      <c r="I83" s="89">
        <v>22</v>
      </c>
      <c r="J83" s="89">
        <f t="shared" si="10"/>
        <v>28</v>
      </c>
      <c r="K83" s="91">
        <f>(22*7479.78)</f>
        <v>164555.16</v>
      </c>
      <c r="L83" s="15">
        <f t="shared" si="11"/>
        <v>209433.84</v>
      </c>
      <c r="M83" s="8"/>
      <c r="N83" s="39" t="e">
        <f>#REF!-H83</f>
        <v>#REF!</v>
      </c>
    </row>
    <row r="84" spans="1:14" ht="15.75">
      <c r="A84" s="73"/>
      <c r="B84" s="14">
        <v>79</v>
      </c>
      <c r="C84" s="2" t="s">
        <v>112</v>
      </c>
      <c r="D84" s="12">
        <v>330000</v>
      </c>
      <c r="E84" s="12">
        <v>43989</v>
      </c>
      <c r="F84" s="15">
        <f t="shared" si="12"/>
        <v>373989</v>
      </c>
      <c r="G84" s="31">
        <v>50</v>
      </c>
      <c r="H84" s="12">
        <v>7479.78</v>
      </c>
      <c r="I84" s="89">
        <v>22</v>
      </c>
      <c r="J84" s="89">
        <f t="shared" si="10"/>
        <v>28</v>
      </c>
      <c r="K84" s="91">
        <f>(22*7479.78)</f>
        <v>164555.16</v>
      </c>
      <c r="L84" s="15">
        <f t="shared" si="11"/>
        <v>209433.84</v>
      </c>
      <c r="M84" s="8"/>
      <c r="N84" s="39" t="e">
        <f>#REF!-H84</f>
        <v>#REF!</v>
      </c>
    </row>
    <row r="85" spans="1:14" ht="15.75">
      <c r="A85" s="73"/>
      <c r="B85" s="14">
        <v>80</v>
      </c>
      <c r="C85" s="2" t="s">
        <v>32</v>
      </c>
      <c r="D85" s="20">
        <v>330000</v>
      </c>
      <c r="E85" s="20">
        <v>43989</v>
      </c>
      <c r="F85" s="20">
        <f t="shared" si="12"/>
        <v>373989</v>
      </c>
      <c r="G85" s="33">
        <v>50</v>
      </c>
      <c r="H85" s="3">
        <v>7479.78</v>
      </c>
      <c r="I85" s="105">
        <v>8</v>
      </c>
      <c r="J85" s="89">
        <f t="shared" si="10"/>
        <v>42</v>
      </c>
      <c r="K85" s="92">
        <f>(8*7479.78)</f>
        <v>59838.239999999998</v>
      </c>
      <c r="L85" s="12">
        <f t="shared" si="11"/>
        <v>314150.76</v>
      </c>
      <c r="M85" s="1"/>
      <c r="N85" s="39" t="e">
        <f>#REF!-H85</f>
        <v>#REF!</v>
      </c>
    </row>
    <row r="86" spans="1:14" ht="15.75">
      <c r="A86" s="73"/>
      <c r="B86" s="14">
        <v>81</v>
      </c>
      <c r="C86" s="2" t="s">
        <v>30</v>
      </c>
      <c r="D86" s="20">
        <v>330000</v>
      </c>
      <c r="E86" s="20">
        <v>43989</v>
      </c>
      <c r="F86" s="20">
        <f t="shared" si="12"/>
        <v>373989</v>
      </c>
      <c r="G86" s="33">
        <v>50</v>
      </c>
      <c r="H86" s="3">
        <v>7479.78</v>
      </c>
      <c r="I86" s="105">
        <v>8</v>
      </c>
      <c r="J86" s="89">
        <f t="shared" si="10"/>
        <v>42</v>
      </c>
      <c r="K86" s="92">
        <f>(8*7479.78)</f>
        <v>59838.239999999998</v>
      </c>
      <c r="L86" s="12">
        <f t="shared" si="11"/>
        <v>314150.76</v>
      </c>
      <c r="M86" s="1"/>
      <c r="N86" s="39" t="e">
        <f>#REF!-H86</f>
        <v>#REF!</v>
      </c>
    </row>
    <row r="87" spans="1:14" ht="15.75">
      <c r="A87" s="73"/>
      <c r="B87" s="14">
        <v>82</v>
      </c>
      <c r="C87" s="75" t="s">
        <v>266</v>
      </c>
      <c r="D87" s="12">
        <v>330000</v>
      </c>
      <c r="E87" s="12">
        <v>43989</v>
      </c>
      <c r="F87" s="15">
        <f t="shared" si="12"/>
        <v>373989</v>
      </c>
      <c r="G87" s="31">
        <v>50</v>
      </c>
      <c r="H87" s="77">
        <v>7479</v>
      </c>
      <c r="I87" s="90">
        <v>7</v>
      </c>
      <c r="J87" s="90">
        <f t="shared" si="10"/>
        <v>43</v>
      </c>
      <c r="K87" s="91">
        <f>(7*7479.78)</f>
        <v>52358.46</v>
      </c>
      <c r="L87" s="15">
        <f t="shared" si="11"/>
        <v>321630.53999999998</v>
      </c>
      <c r="M87" s="1" t="s">
        <v>251</v>
      </c>
      <c r="N87" s="39" t="e">
        <f>#REF!-H87</f>
        <v>#REF!</v>
      </c>
    </row>
    <row r="88" spans="1:14" ht="15.75">
      <c r="A88" s="73"/>
      <c r="B88" s="14">
        <v>83</v>
      </c>
      <c r="C88" s="75" t="s">
        <v>263</v>
      </c>
      <c r="D88" s="12">
        <v>330000</v>
      </c>
      <c r="E88" s="12">
        <v>43989</v>
      </c>
      <c r="F88" s="15">
        <f t="shared" si="12"/>
        <v>373989</v>
      </c>
      <c r="G88" s="31">
        <v>50</v>
      </c>
      <c r="H88" s="77">
        <v>7479.78</v>
      </c>
      <c r="I88" s="105">
        <v>31</v>
      </c>
      <c r="J88" s="89">
        <f t="shared" si="10"/>
        <v>19</v>
      </c>
      <c r="K88" s="72">
        <f>(31*7479.78)</f>
        <v>231873.18</v>
      </c>
      <c r="L88" s="15">
        <f t="shared" si="11"/>
        <v>142115.82</v>
      </c>
      <c r="M88" s="8"/>
      <c r="N88" s="39" t="e">
        <f>#REF!-H88</f>
        <v>#REF!</v>
      </c>
    </row>
    <row r="89" spans="1:14" ht="15.75">
      <c r="A89" s="73"/>
      <c r="B89" s="14">
        <v>84</v>
      </c>
      <c r="C89" s="2" t="s">
        <v>136</v>
      </c>
      <c r="D89" s="15">
        <v>200000</v>
      </c>
      <c r="E89" s="15">
        <v>26660</v>
      </c>
      <c r="F89" s="15">
        <f t="shared" si="12"/>
        <v>226660</v>
      </c>
      <c r="G89" s="32">
        <v>40</v>
      </c>
      <c r="H89" s="15">
        <v>5666.5</v>
      </c>
      <c r="I89" s="111">
        <v>46</v>
      </c>
      <c r="J89" s="89">
        <f t="shared" ref="J89:J120" si="13">G89-I89</f>
        <v>-6</v>
      </c>
      <c r="K89" s="72">
        <f>(46*5666.5)</f>
        <v>260659</v>
      </c>
      <c r="L89" s="15">
        <f>F89-K89</f>
        <v>-33999</v>
      </c>
      <c r="M89" s="10"/>
      <c r="N89" s="39" t="e">
        <f>#REF!-H89</f>
        <v>#REF!</v>
      </c>
    </row>
    <row r="90" spans="1:14" ht="15.75">
      <c r="A90" s="73"/>
      <c r="B90" s="14">
        <v>85</v>
      </c>
      <c r="C90" s="2" t="s">
        <v>131</v>
      </c>
      <c r="D90" s="15">
        <v>200000</v>
      </c>
      <c r="E90" s="15">
        <v>26660</v>
      </c>
      <c r="F90" s="15">
        <f t="shared" si="12"/>
        <v>226660</v>
      </c>
      <c r="G90" s="32">
        <v>40</v>
      </c>
      <c r="H90" s="15">
        <v>5666.5</v>
      </c>
      <c r="I90" s="112">
        <v>45</v>
      </c>
      <c r="J90" s="89">
        <f t="shared" si="13"/>
        <v>-5</v>
      </c>
      <c r="K90" s="93">
        <f>(45*5666.5)</f>
        <v>254992.5</v>
      </c>
      <c r="L90" s="15">
        <f>F90-K90</f>
        <v>-28332.5</v>
      </c>
      <c r="M90" s="10"/>
      <c r="N90" s="39" t="e">
        <f>#REF!-H90</f>
        <v>#REF!</v>
      </c>
    </row>
    <row r="91" spans="1:14" ht="15.75">
      <c r="A91" s="73"/>
      <c r="B91" s="14">
        <v>86</v>
      </c>
      <c r="C91" s="2" t="s">
        <v>124</v>
      </c>
      <c r="D91" s="15">
        <v>200000</v>
      </c>
      <c r="E91" s="15">
        <v>26660</v>
      </c>
      <c r="F91" s="15">
        <f t="shared" si="12"/>
        <v>226660</v>
      </c>
      <c r="G91" s="31">
        <v>40</v>
      </c>
      <c r="H91" s="15">
        <v>5666.5</v>
      </c>
      <c r="I91" s="105">
        <v>39</v>
      </c>
      <c r="J91" s="89">
        <f t="shared" si="13"/>
        <v>1</v>
      </c>
      <c r="K91" s="72">
        <f>(39*5666.5)</f>
        <v>220993.5</v>
      </c>
      <c r="L91" s="15">
        <f>G293</f>
        <v>0</v>
      </c>
      <c r="M91" s="8"/>
      <c r="N91" s="39" t="e">
        <f>#REF!-H91</f>
        <v>#REF!</v>
      </c>
    </row>
    <row r="92" spans="1:14" ht="15.75">
      <c r="A92" s="73"/>
      <c r="B92" s="14">
        <v>87</v>
      </c>
      <c r="C92" s="2" t="s">
        <v>144</v>
      </c>
      <c r="D92" s="15">
        <v>200000</v>
      </c>
      <c r="E92" s="15">
        <v>26660</v>
      </c>
      <c r="F92" s="15">
        <f t="shared" si="12"/>
        <v>226660</v>
      </c>
      <c r="G92" s="31">
        <v>40</v>
      </c>
      <c r="H92" s="15">
        <v>5666.5</v>
      </c>
      <c r="I92" s="105">
        <v>39</v>
      </c>
      <c r="J92" s="89">
        <f t="shared" si="13"/>
        <v>1</v>
      </c>
      <c r="K92" s="72">
        <f t="shared" ref="K92:K101" si="14">(39*5666.5)</f>
        <v>220993.5</v>
      </c>
      <c r="L92" s="15">
        <f t="shared" ref="L92:L123" si="15">F92-K92</f>
        <v>5666.5</v>
      </c>
      <c r="M92" s="8"/>
      <c r="N92" s="39" t="e">
        <f>#REF!-H92</f>
        <v>#REF!</v>
      </c>
    </row>
    <row r="93" spans="1:14" ht="15.75">
      <c r="A93" s="73"/>
      <c r="B93" s="14">
        <v>88</v>
      </c>
      <c r="C93" s="81" t="s">
        <v>234</v>
      </c>
      <c r="D93" s="15">
        <v>200000</v>
      </c>
      <c r="E93" s="15">
        <v>26660</v>
      </c>
      <c r="F93" s="15">
        <v>226660</v>
      </c>
      <c r="G93" s="31">
        <v>40</v>
      </c>
      <c r="H93" s="18">
        <v>5666.5</v>
      </c>
      <c r="I93" s="107">
        <v>39</v>
      </c>
      <c r="J93" s="89">
        <f t="shared" si="13"/>
        <v>1</v>
      </c>
      <c r="K93" s="72">
        <f t="shared" si="14"/>
        <v>220993.5</v>
      </c>
      <c r="L93" s="15">
        <f t="shared" si="15"/>
        <v>5666.5</v>
      </c>
      <c r="M93" s="8"/>
      <c r="N93" s="39" t="e">
        <f>#REF!-H93</f>
        <v>#REF!</v>
      </c>
    </row>
    <row r="94" spans="1:14" ht="15.75">
      <c r="A94" s="73"/>
      <c r="B94" s="14">
        <v>89</v>
      </c>
      <c r="C94" s="2" t="s">
        <v>150</v>
      </c>
      <c r="D94" s="15">
        <v>200000</v>
      </c>
      <c r="E94" s="15">
        <v>26660</v>
      </c>
      <c r="F94" s="15">
        <f>SUM(D94:E94)</f>
        <v>226660</v>
      </c>
      <c r="G94" s="31">
        <v>40</v>
      </c>
      <c r="H94" s="15">
        <v>5666.5</v>
      </c>
      <c r="I94" s="105">
        <v>39</v>
      </c>
      <c r="J94" s="89">
        <f t="shared" si="13"/>
        <v>1</v>
      </c>
      <c r="K94" s="72">
        <f t="shared" si="14"/>
        <v>220993.5</v>
      </c>
      <c r="L94" s="15">
        <f t="shared" si="15"/>
        <v>5666.5</v>
      </c>
      <c r="M94" s="8"/>
      <c r="N94" s="39" t="e">
        <f>#REF!-H94</f>
        <v>#REF!</v>
      </c>
    </row>
    <row r="95" spans="1:14" ht="15.75">
      <c r="A95" s="73"/>
      <c r="B95" s="14">
        <v>90</v>
      </c>
      <c r="C95" s="2" t="s">
        <v>157</v>
      </c>
      <c r="D95" s="15">
        <v>200000</v>
      </c>
      <c r="E95" s="15">
        <v>26660</v>
      </c>
      <c r="F95" s="15">
        <f>SUM(D95:E95)</f>
        <v>226660</v>
      </c>
      <c r="G95" s="31">
        <v>40</v>
      </c>
      <c r="H95" s="15">
        <v>5666.5</v>
      </c>
      <c r="I95" s="105">
        <v>39</v>
      </c>
      <c r="J95" s="89">
        <f t="shared" si="13"/>
        <v>1</v>
      </c>
      <c r="K95" s="72">
        <f t="shared" si="14"/>
        <v>220993.5</v>
      </c>
      <c r="L95" s="15">
        <f t="shared" si="15"/>
        <v>5666.5</v>
      </c>
      <c r="M95" s="8"/>
      <c r="N95" s="39" t="e">
        <f>#REF!-H95</f>
        <v>#REF!</v>
      </c>
    </row>
    <row r="96" spans="1:14" ht="15.75">
      <c r="A96" s="73"/>
      <c r="B96" s="14">
        <v>91</v>
      </c>
      <c r="C96" s="2" t="s">
        <v>158</v>
      </c>
      <c r="D96" s="15">
        <v>200000</v>
      </c>
      <c r="E96" s="15">
        <v>26660</v>
      </c>
      <c r="F96" s="15">
        <f>SUM(D96:E96)</f>
        <v>226660</v>
      </c>
      <c r="G96" s="31">
        <v>40</v>
      </c>
      <c r="H96" s="15">
        <v>5666.5</v>
      </c>
      <c r="I96" s="105">
        <v>39</v>
      </c>
      <c r="J96" s="89">
        <f t="shared" si="13"/>
        <v>1</v>
      </c>
      <c r="K96" s="72">
        <f t="shared" si="14"/>
        <v>220993.5</v>
      </c>
      <c r="L96" s="15">
        <f t="shared" si="15"/>
        <v>5666.5</v>
      </c>
      <c r="M96" s="8"/>
      <c r="N96" s="39" t="e">
        <f>#REF!-H96</f>
        <v>#REF!</v>
      </c>
    </row>
    <row r="97" spans="1:14" ht="15.75">
      <c r="A97" s="73"/>
      <c r="B97" s="14">
        <v>92</v>
      </c>
      <c r="C97" s="2" t="s">
        <v>233</v>
      </c>
      <c r="D97" s="15">
        <v>200000</v>
      </c>
      <c r="E97" s="15">
        <v>26660</v>
      </c>
      <c r="F97" s="15">
        <v>226660</v>
      </c>
      <c r="G97" s="31">
        <v>40</v>
      </c>
      <c r="H97" s="18">
        <v>5666.5</v>
      </c>
      <c r="I97" s="107">
        <v>39</v>
      </c>
      <c r="J97" s="89">
        <f t="shared" si="13"/>
        <v>1</v>
      </c>
      <c r="K97" s="72">
        <f t="shared" si="14"/>
        <v>220993.5</v>
      </c>
      <c r="L97" s="15">
        <f t="shared" si="15"/>
        <v>5666.5</v>
      </c>
      <c r="M97" s="8"/>
      <c r="N97" s="39" t="e">
        <f>#REF!-H97</f>
        <v>#REF!</v>
      </c>
    </row>
    <row r="98" spans="1:14" ht="15.75">
      <c r="A98" s="73"/>
      <c r="B98" s="14">
        <v>93</v>
      </c>
      <c r="C98" s="2" t="s">
        <v>160</v>
      </c>
      <c r="D98" s="15">
        <v>200000</v>
      </c>
      <c r="E98" s="15">
        <v>26660</v>
      </c>
      <c r="F98" s="15">
        <f>SUM(D98:E98)</f>
        <v>226660</v>
      </c>
      <c r="G98" s="31">
        <v>40</v>
      </c>
      <c r="H98" s="15">
        <v>5666.5</v>
      </c>
      <c r="I98" s="105">
        <v>39</v>
      </c>
      <c r="J98" s="89">
        <f t="shared" si="13"/>
        <v>1</v>
      </c>
      <c r="K98" s="72">
        <f t="shared" si="14"/>
        <v>220993.5</v>
      </c>
      <c r="L98" s="15">
        <f t="shared" si="15"/>
        <v>5666.5</v>
      </c>
      <c r="M98" s="8"/>
      <c r="N98" s="39" t="e">
        <f>#REF!-H98</f>
        <v>#REF!</v>
      </c>
    </row>
    <row r="99" spans="1:14" ht="15.75">
      <c r="A99" s="73"/>
      <c r="B99" s="14">
        <v>94</v>
      </c>
      <c r="C99" s="2" t="s">
        <v>173</v>
      </c>
      <c r="D99" s="15">
        <v>200000</v>
      </c>
      <c r="E99" s="15">
        <v>26660</v>
      </c>
      <c r="F99" s="15">
        <f>SUM(D99:E99)</f>
        <v>226660</v>
      </c>
      <c r="G99" s="31">
        <v>40</v>
      </c>
      <c r="H99" s="15">
        <v>5666.5</v>
      </c>
      <c r="I99" s="105">
        <v>39</v>
      </c>
      <c r="J99" s="89">
        <f t="shared" si="13"/>
        <v>1</v>
      </c>
      <c r="K99" s="72">
        <f t="shared" si="14"/>
        <v>220993.5</v>
      </c>
      <c r="L99" s="15">
        <f t="shared" si="15"/>
        <v>5666.5</v>
      </c>
      <c r="M99" s="8"/>
      <c r="N99" s="39" t="e">
        <f>#REF!-H99</f>
        <v>#REF!</v>
      </c>
    </row>
    <row r="100" spans="1:14" ht="15.75">
      <c r="A100" s="73"/>
      <c r="B100" s="14">
        <v>95</v>
      </c>
      <c r="C100" s="2" t="s">
        <v>226</v>
      </c>
      <c r="D100" s="15">
        <v>200000</v>
      </c>
      <c r="E100" s="15">
        <v>26660</v>
      </c>
      <c r="F100" s="15">
        <v>226660</v>
      </c>
      <c r="G100" s="31">
        <v>40</v>
      </c>
      <c r="H100" s="18">
        <v>5666.5</v>
      </c>
      <c r="I100" s="107">
        <v>39</v>
      </c>
      <c r="J100" s="89">
        <f t="shared" si="13"/>
        <v>1</v>
      </c>
      <c r="K100" s="72">
        <f t="shared" si="14"/>
        <v>220993.5</v>
      </c>
      <c r="L100" s="15">
        <f t="shared" si="15"/>
        <v>5666.5</v>
      </c>
      <c r="M100" s="8"/>
      <c r="N100" s="39" t="e">
        <f>#REF!-H100</f>
        <v>#REF!</v>
      </c>
    </row>
    <row r="101" spans="1:14" ht="15.75">
      <c r="A101" s="73"/>
      <c r="B101" s="14">
        <v>96</v>
      </c>
      <c r="C101" s="2" t="s">
        <v>181</v>
      </c>
      <c r="D101" s="15">
        <v>200000</v>
      </c>
      <c r="E101" s="15">
        <v>26660</v>
      </c>
      <c r="F101" s="15">
        <f t="shared" ref="F101:F113" si="16">SUM(D101:E101)</f>
        <v>226660</v>
      </c>
      <c r="G101" s="31">
        <v>40</v>
      </c>
      <c r="H101" s="15">
        <v>5666.5</v>
      </c>
      <c r="I101" s="105">
        <v>39</v>
      </c>
      <c r="J101" s="89">
        <f t="shared" si="13"/>
        <v>1</v>
      </c>
      <c r="K101" s="72">
        <f t="shared" si="14"/>
        <v>220993.5</v>
      </c>
      <c r="L101" s="15">
        <f t="shared" si="15"/>
        <v>5666.5</v>
      </c>
      <c r="M101" s="8"/>
      <c r="N101" s="39" t="e">
        <f>#REF!-H101</f>
        <v>#REF!</v>
      </c>
    </row>
    <row r="102" spans="1:14" ht="15.75">
      <c r="A102" s="73"/>
      <c r="B102" s="14">
        <v>97</v>
      </c>
      <c r="C102" s="2" t="s">
        <v>162</v>
      </c>
      <c r="D102" s="15">
        <v>200000</v>
      </c>
      <c r="E102" s="15">
        <v>26660</v>
      </c>
      <c r="F102" s="15">
        <f t="shared" si="16"/>
        <v>226660</v>
      </c>
      <c r="G102" s="31">
        <v>40</v>
      </c>
      <c r="H102" s="15">
        <v>5666.5</v>
      </c>
      <c r="I102" s="105">
        <v>38</v>
      </c>
      <c r="J102" s="89">
        <f t="shared" si="13"/>
        <v>2</v>
      </c>
      <c r="K102" s="72">
        <f>(38*5666.5)</f>
        <v>215327</v>
      </c>
      <c r="L102" s="15">
        <f t="shared" si="15"/>
        <v>11333</v>
      </c>
      <c r="M102" s="8"/>
      <c r="N102" s="39" t="e">
        <f>#REF!-H102</f>
        <v>#REF!</v>
      </c>
    </row>
    <row r="103" spans="1:14" ht="15.75">
      <c r="A103" s="73"/>
      <c r="B103" s="14">
        <v>98</v>
      </c>
      <c r="C103" s="2" t="s">
        <v>151</v>
      </c>
      <c r="D103" s="15">
        <v>200000</v>
      </c>
      <c r="E103" s="15">
        <v>26660</v>
      </c>
      <c r="F103" s="15">
        <f t="shared" si="16"/>
        <v>226660</v>
      </c>
      <c r="G103" s="31">
        <v>40</v>
      </c>
      <c r="H103" s="15">
        <v>5666.5</v>
      </c>
      <c r="I103" s="105">
        <v>37</v>
      </c>
      <c r="J103" s="89">
        <f t="shared" si="13"/>
        <v>3</v>
      </c>
      <c r="K103" s="72">
        <f>(37*5666.5)</f>
        <v>209660.5</v>
      </c>
      <c r="L103" s="15">
        <f t="shared" si="15"/>
        <v>16999.5</v>
      </c>
      <c r="M103" s="8"/>
      <c r="N103" s="39" t="e">
        <f>#REF!-H103</f>
        <v>#REF!</v>
      </c>
    </row>
    <row r="104" spans="1:14" ht="15.75">
      <c r="A104" s="73"/>
      <c r="B104" s="14">
        <v>99</v>
      </c>
      <c r="C104" s="2" t="s">
        <v>123</v>
      </c>
      <c r="D104" s="15">
        <v>200000</v>
      </c>
      <c r="E104" s="15">
        <v>26660</v>
      </c>
      <c r="F104" s="15">
        <f t="shared" si="16"/>
        <v>226660</v>
      </c>
      <c r="G104" s="31">
        <v>40</v>
      </c>
      <c r="H104" s="15">
        <v>5666.5</v>
      </c>
      <c r="I104" s="105">
        <v>36</v>
      </c>
      <c r="J104" s="89">
        <f t="shared" si="13"/>
        <v>4</v>
      </c>
      <c r="K104" s="72">
        <f>(36*5666.5)</f>
        <v>203994</v>
      </c>
      <c r="L104" s="15">
        <f t="shared" si="15"/>
        <v>22666</v>
      </c>
      <c r="M104" s="8"/>
      <c r="N104" s="39" t="e">
        <f>#REF!-H104</f>
        <v>#REF!</v>
      </c>
    </row>
    <row r="105" spans="1:14" ht="15.75">
      <c r="A105" s="73"/>
      <c r="B105" s="14">
        <v>100</v>
      </c>
      <c r="C105" s="2" t="s">
        <v>130</v>
      </c>
      <c r="D105" s="15">
        <v>200000</v>
      </c>
      <c r="E105" s="15">
        <v>26660</v>
      </c>
      <c r="F105" s="15">
        <f t="shared" si="16"/>
        <v>226660</v>
      </c>
      <c r="G105" s="31">
        <v>40</v>
      </c>
      <c r="H105" s="15">
        <v>5666.5</v>
      </c>
      <c r="I105" s="105">
        <v>36</v>
      </c>
      <c r="J105" s="89">
        <f t="shared" si="13"/>
        <v>4</v>
      </c>
      <c r="K105" s="72">
        <f t="shared" ref="K105:K124" si="17">(36*5666.5)</f>
        <v>203994</v>
      </c>
      <c r="L105" s="15">
        <f t="shared" si="15"/>
        <v>22666</v>
      </c>
      <c r="M105" s="8"/>
      <c r="N105" s="39" t="e">
        <f>#REF!-H105</f>
        <v>#REF!</v>
      </c>
    </row>
    <row r="106" spans="1:14" ht="15.75">
      <c r="A106" s="73"/>
      <c r="B106" s="14">
        <v>101</v>
      </c>
      <c r="C106" s="2" t="s">
        <v>134</v>
      </c>
      <c r="D106" s="15">
        <v>200000</v>
      </c>
      <c r="E106" s="15">
        <v>26660</v>
      </c>
      <c r="F106" s="15">
        <f t="shared" si="16"/>
        <v>226660</v>
      </c>
      <c r="G106" s="31">
        <v>40</v>
      </c>
      <c r="H106" s="15">
        <v>5666.5</v>
      </c>
      <c r="I106" s="105">
        <v>36</v>
      </c>
      <c r="J106" s="89">
        <f t="shared" si="13"/>
        <v>4</v>
      </c>
      <c r="K106" s="72">
        <f t="shared" si="17"/>
        <v>203994</v>
      </c>
      <c r="L106" s="15">
        <f t="shared" si="15"/>
        <v>22666</v>
      </c>
      <c r="M106" s="8"/>
      <c r="N106" s="39" t="e">
        <f>#REF!-H106</f>
        <v>#REF!</v>
      </c>
    </row>
    <row r="107" spans="1:14" ht="15.75">
      <c r="A107" s="73"/>
      <c r="B107" s="14">
        <v>102</v>
      </c>
      <c r="C107" s="2" t="s">
        <v>137</v>
      </c>
      <c r="D107" s="15">
        <v>200000</v>
      </c>
      <c r="E107" s="15">
        <v>26660</v>
      </c>
      <c r="F107" s="15">
        <f t="shared" si="16"/>
        <v>226660</v>
      </c>
      <c r="G107" s="31">
        <v>40</v>
      </c>
      <c r="H107" s="52">
        <v>5666.5</v>
      </c>
      <c r="I107" s="105">
        <v>36</v>
      </c>
      <c r="J107" s="89">
        <f t="shared" si="13"/>
        <v>4</v>
      </c>
      <c r="K107" s="72">
        <f t="shared" si="17"/>
        <v>203994</v>
      </c>
      <c r="L107" s="15">
        <f t="shared" si="15"/>
        <v>22666</v>
      </c>
      <c r="M107" s="8"/>
      <c r="N107" s="39" t="e">
        <f>#REF!-H107</f>
        <v>#REF!</v>
      </c>
    </row>
    <row r="108" spans="1:14" ht="15.75">
      <c r="A108" s="73"/>
      <c r="B108" s="14">
        <v>103</v>
      </c>
      <c r="C108" s="2" t="s">
        <v>138</v>
      </c>
      <c r="D108" s="15">
        <v>200000</v>
      </c>
      <c r="E108" s="15">
        <v>26660</v>
      </c>
      <c r="F108" s="15">
        <f t="shared" si="16"/>
        <v>226660</v>
      </c>
      <c r="G108" s="31">
        <v>40</v>
      </c>
      <c r="H108" s="15">
        <v>5666.5</v>
      </c>
      <c r="I108" s="105">
        <v>36</v>
      </c>
      <c r="J108" s="89">
        <f t="shared" si="13"/>
        <v>4</v>
      </c>
      <c r="K108" s="72">
        <f t="shared" si="17"/>
        <v>203994</v>
      </c>
      <c r="L108" s="15">
        <f t="shared" si="15"/>
        <v>22666</v>
      </c>
      <c r="M108" s="8"/>
      <c r="N108" s="39" t="e">
        <f>#REF!-H108</f>
        <v>#REF!</v>
      </c>
    </row>
    <row r="109" spans="1:14" ht="15.75">
      <c r="A109" s="73"/>
      <c r="B109" s="14">
        <v>104</v>
      </c>
      <c r="C109" s="2" t="s">
        <v>139</v>
      </c>
      <c r="D109" s="15">
        <v>200000</v>
      </c>
      <c r="E109" s="15">
        <v>26660</v>
      </c>
      <c r="F109" s="15">
        <f t="shared" si="16"/>
        <v>226660</v>
      </c>
      <c r="G109" s="31">
        <v>40</v>
      </c>
      <c r="H109" s="15">
        <v>5666.5</v>
      </c>
      <c r="I109" s="105">
        <v>36</v>
      </c>
      <c r="J109" s="89">
        <f t="shared" si="13"/>
        <v>4</v>
      </c>
      <c r="K109" s="72">
        <f t="shared" si="17"/>
        <v>203994</v>
      </c>
      <c r="L109" s="15">
        <f t="shared" si="15"/>
        <v>22666</v>
      </c>
      <c r="M109" s="8"/>
      <c r="N109" s="39" t="e">
        <f>#REF!-H109</f>
        <v>#REF!</v>
      </c>
    </row>
    <row r="110" spans="1:14" ht="15.75">
      <c r="A110" s="73"/>
      <c r="B110" s="14">
        <v>105</v>
      </c>
      <c r="C110" s="2" t="s">
        <v>141</v>
      </c>
      <c r="D110" s="15">
        <v>200000</v>
      </c>
      <c r="E110" s="15">
        <v>26660</v>
      </c>
      <c r="F110" s="15">
        <f t="shared" si="16"/>
        <v>226660</v>
      </c>
      <c r="G110" s="31">
        <v>40</v>
      </c>
      <c r="H110" s="15">
        <v>5666.5</v>
      </c>
      <c r="I110" s="8">
        <v>36</v>
      </c>
      <c r="J110" s="11">
        <f t="shared" si="13"/>
        <v>4</v>
      </c>
      <c r="K110" s="12">
        <f t="shared" si="17"/>
        <v>203994</v>
      </c>
      <c r="L110" s="15">
        <f t="shared" si="15"/>
        <v>22666</v>
      </c>
      <c r="M110" s="8"/>
      <c r="N110" s="39" t="e">
        <f>#REF!-H110</f>
        <v>#REF!</v>
      </c>
    </row>
    <row r="111" spans="1:14" ht="15.75">
      <c r="A111" s="73"/>
      <c r="B111" s="14">
        <v>106</v>
      </c>
      <c r="C111" s="2" t="s">
        <v>142</v>
      </c>
      <c r="D111" s="15">
        <v>200000</v>
      </c>
      <c r="E111" s="15">
        <v>26660</v>
      </c>
      <c r="F111" s="15">
        <f t="shared" si="16"/>
        <v>226660</v>
      </c>
      <c r="G111" s="31">
        <v>40</v>
      </c>
      <c r="H111" s="15">
        <v>5666.5</v>
      </c>
      <c r="I111" s="8">
        <v>36</v>
      </c>
      <c r="J111" s="11">
        <f t="shared" si="13"/>
        <v>4</v>
      </c>
      <c r="K111" s="12">
        <f t="shared" si="17"/>
        <v>203994</v>
      </c>
      <c r="L111" s="15">
        <f t="shared" si="15"/>
        <v>22666</v>
      </c>
      <c r="M111" s="8"/>
      <c r="N111" s="39" t="e">
        <f>#REF!-H111</f>
        <v>#REF!</v>
      </c>
    </row>
    <row r="112" spans="1:14" ht="15.75">
      <c r="A112" s="73"/>
      <c r="B112" s="14">
        <v>107</v>
      </c>
      <c r="C112" s="2" t="s">
        <v>149</v>
      </c>
      <c r="D112" s="15">
        <v>200000</v>
      </c>
      <c r="E112" s="15">
        <v>26660</v>
      </c>
      <c r="F112" s="15">
        <f t="shared" si="16"/>
        <v>226660</v>
      </c>
      <c r="G112" s="31">
        <v>40</v>
      </c>
      <c r="H112" s="15">
        <v>5666.5</v>
      </c>
      <c r="I112" s="8">
        <v>36</v>
      </c>
      <c r="J112" s="11">
        <f t="shared" si="13"/>
        <v>4</v>
      </c>
      <c r="K112" s="12">
        <f t="shared" si="17"/>
        <v>203994</v>
      </c>
      <c r="L112" s="15">
        <f t="shared" si="15"/>
        <v>22666</v>
      </c>
      <c r="M112" s="8"/>
      <c r="N112" s="39" t="e">
        <f>#REF!-H112</f>
        <v>#REF!</v>
      </c>
    </row>
    <row r="113" spans="1:14" ht="15.75">
      <c r="A113" s="73"/>
      <c r="B113" s="14">
        <v>108</v>
      </c>
      <c r="C113" s="2" t="s">
        <v>155</v>
      </c>
      <c r="D113" s="15">
        <v>200000</v>
      </c>
      <c r="E113" s="15">
        <v>26660</v>
      </c>
      <c r="F113" s="15">
        <f t="shared" si="16"/>
        <v>226660</v>
      </c>
      <c r="G113" s="31">
        <v>40</v>
      </c>
      <c r="H113" s="15">
        <v>5666.5</v>
      </c>
      <c r="I113" s="8">
        <v>36</v>
      </c>
      <c r="J113" s="11">
        <f t="shared" si="13"/>
        <v>4</v>
      </c>
      <c r="K113" s="12">
        <f t="shared" si="17"/>
        <v>203994</v>
      </c>
      <c r="L113" s="15">
        <f t="shared" si="15"/>
        <v>22666</v>
      </c>
      <c r="M113" s="8"/>
      <c r="N113" s="39" t="e">
        <f>#REF!-H113</f>
        <v>#REF!</v>
      </c>
    </row>
    <row r="114" spans="1:14" ht="15.75">
      <c r="A114" s="73"/>
      <c r="B114" s="14">
        <v>109</v>
      </c>
      <c r="C114" s="2" t="s">
        <v>232</v>
      </c>
      <c r="D114" s="15">
        <v>200000</v>
      </c>
      <c r="E114" s="15">
        <v>26660</v>
      </c>
      <c r="F114" s="15">
        <v>226660</v>
      </c>
      <c r="G114" s="31">
        <v>40</v>
      </c>
      <c r="H114" s="18">
        <v>5666.5</v>
      </c>
      <c r="I114" s="31">
        <v>36</v>
      </c>
      <c r="J114" s="11">
        <f t="shared" si="13"/>
        <v>4</v>
      </c>
      <c r="K114" s="12">
        <f t="shared" si="17"/>
        <v>203994</v>
      </c>
      <c r="L114" s="15">
        <f t="shared" si="15"/>
        <v>22666</v>
      </c>
      <c r="M114" s="8"/>
      <c r="N114" s="39" t="e">
        <f>#REF!-H114</f>
        <v>#REF!</v>
      </c>
    </row>
    <row r="115" spans="1:14" ht="15.75">
      <c r="A115" s="73"/>
      <c r="B115" s="14">
        <v>110</v>
      </c>
      <c r="C115" s="2" t="s">
        <v>164</v>
      </c>
      <c r="D115" s="15">
        <v>200000</v>
      </c>
      <c r="E115" s="15">
        <v>26660</v>
      </c>
      <c r="F115" s="15">
        <f>SUM(D115:E115)</f>
        <v>226660</v>
      </c>
      <c r="G115" s="31">
        <v>40</v>
      </c>
      <c r="H115" s="15">
        <v>5666.5</v>
      </c>
      <c r="I115" s="8">
        <v>36</v>
      </c>
      <c r="J115" s="11">
        <f t="shared" si="13"/>
        <v>4</v>
      </c>
      <c r="K115" s="12">
        <f t="shared" si="17"/>
        <v>203994</v>
      </c>
      <c r="L115" s="15">
        <f t="shared" si="15"/>
        <v>22666</v>
      </c>
      <c r="M115" s="8"/>
      <c r="N115" s="39" t="e">
        <f>#REF!-H115</f>
        <v>#REF!</v>
      </c>
    </row>
    <row r="116" spans="1:14" ht="15.75">
      <c r="A116" s="73"/>
      <c r="B116" s="14">
        <v>111</v>
      </c>
      <c r="C116" s="81" t="s">
        <v>165</v>
      </c>
      <c r="D116" s="15">
        <v>200000</v>
      </c>
      <c r="E116" s="15">
        <v>26660</v>
      </c>
      <c r="F116" s="15">
        <f>SUM(D116:E116)</f>
        <v>226660</v>
      </c>
      <c r="G116" s="31">
        <v>40</v>
      </c>
      <c r="H116" s="52">
        <v>5666.5</v>
      </c>
      <c r="I116" s="8">
        <v>36</v>
      </c>
      <c r="J116" s="11">
        <f t="shared" si="13"/>
        <v>4</v>
      </c>
      <c r="K116" s="12">
        <f t="shared" si="17"/>
        <v>203994</v>
      </c>
      <c r="L116" s="15">
        <f t="shared" si="15"/>
        <v>22666</v>
      </c>
      <c r="M116" s="8"/>
      <c r="N116" s="39" t="e">
        <f>#REF!-H116</f>
        <v>#REF!</v>
      </c>
    </row>
    <row r="117" spans="1:14" ht="15.75">
      <c r="A117" s="73"/>
      <c r="B117" s="14">
        <v>112</v>
      </c>
      <c r="C117" s="2" t="s">
        <v>167</v>
      </c>
      <c r="D117" s="15">
        <v>200000</v>
      </c>
      <c r="E117" s="15">
        <v>26660</v>
      </c>
      <c r="F117" s="15">
        <f>SUM(D117:E117)</f>
        <v>226660</v>
      </c>
      <c r="G117" s="31">
        <v>40</v>
      </c>
      <c r="H117" s="15">
        <v>5666.5</v>
      </c>
      <c r="I117" s="8">
        <v>36</v>
      </c>
      <c r="J117" s="11">
        <f t="shared" si="13"/>
        <v>4</v>
      </c>
      <c r="K117" s="12">
        <f t="shared" si="17"/>
        <v>203994</v>
      </c>
      <c r="L117" s="15">
        <f t="shared" si="15"/>
        <v>22666</v>
      </c>
      <c r="M117" s="8"/>
      <c r="N117" s="39" t="e">
        <f>#REF!-H117</f>
        <v>#REF!</v>
      </c>
    </row>
    <row r="118" spans="1:14" ht="15.75">
      <c r="A118" s="73"/>
      <c r="B118" s="14">
        <v>113</v>
      </c>
      <c r="C118" s="2" t="s">
        <v>168</v>
      </c>
      <c r="D118" s="15">
        <v>200000</v>
      </c>
      <c r="E118" s="15">
        <v>26660</v>
      </c>
      <c r="F118" s="15">
        <f>SUM(D118:E118)</f>
        <v>226660</v>
      </c>
      <c r="G118" s="31">
        <v>40</v>
      </c>
      <c r="H118" s="15">
        <v>5666.5</v>
      </c>
      <c r="I118" s="8">
        <v>36</v>
      </c>
      <c r="J118" s="11">
        <f t="shared" si="13"/>
        <v>4</v>
      </c>
      <c r="K118" s="12">
        <f t="shared" si="17"/>
        <v>203994</v>
      </c>
      <c r="L118" s="15">
        <f t="shared" si="15"/>
        <v>22666</v>
      </c>
      <c r="M118" s="8"/>
      <c r="N118" s="39" t="e">
        <f>#REF!-H118</f>
        <v>#REF!</v>
      </c>
    </row>
    <row r="119" spans="1:14" ht="15.75">
      <c r="A119" s="73"/>
      <c r="B119" s="14">
        <v>114</v>
      </c>
      <c r="C119" s="2" t="s">
        <v>228</v>
      </c>
      <c r="D119" s="15">
        <v>200000</v>
      </c>
      <c r="E119" s="15">
        <v>26660</v>
      </c>
      <c r="F119" s="15">
        <v>226660</v>
      </c>
      <c r="G119" s="31">
        <v>40</v>
      </c>
      <c r="H119" s="18">
        <v>5666.5</v>
      </c>
      <c r="I119" s="31">
        <v>36</v>
      </c>
      <c r="J119" s="11">
        <f t="shared" si="13"/>
        <v>4</v>
      </c>
      <c r="K119" s="12">
        <f t="shared" si="17"/>
        <v>203994</v>
      </c>
      <c r="L119" s="15">
        <f t="shared" si="15"/>
        <v>22666</v>
      </c>
      <c r="M119" s="8"/>
      <c r="N119" s="39" t="e">
        <f>#REF!-H119</f>
        <v>#REF!</v>
      </c>
    </row>
    <row r="120" spans="1:14" ht="15.75">
      <c r="A120" s="73"/>
      <c r="B120" s="14">
        <v>115</v>
      </c>
      <c r="C120" s="2" t="s">
        <v>170</v>
      </c>
      <c r="D120" s="15">
        <v>200000</v>
      </c>
      <c r="E120" s="15">
        <v>26660</v>
      </c>
      <c r="F120" s="15">
        <f>SUM(D120:E120)</f>
        <v>226660</v>
      </c>
      <c r="G120" s="31">
        <v>40</v>
      </c>
      <c r="H120" s="15">
        <v>5666.5</v>
      </c>
      <c r="I120" s="8">
        <v>36</v>
      </c>
      <c r="J120" s="11">
        <f t="shared" si="13"/>
        <v>4</v>
      </c>
      <c r="K120" s="12">
        <f t="shared" si="17"/>
        <v>203994</v>
      </c>
      <c r="L120" s="15">
        <f t="shared" si="15"/>
        <v>22666</v>
      </c>
      <c r="M120" s="8"/>
      <c r="N120" s="39" t="e">
        <f>#REF!-H120</f>
        <v>#REF!</v>
      </c>
    </row>
    <row r="121" spans="1:14" ht="15.75">
      <c r="A121" s="73"/>
      <c r="B121" s="14">
        <v>116</v>
      </c>
      <c r="C121" s="2" t="s">
        <v>176</v>
      </c>
      <c r="D121" s="15">
        <v>200000</v>
      </c>
      <c r="E121" s="15">
        <v>26660</v>
      </c>
      <c r="F121" s="15">
        <f>SUM(D121:E121)</f>
        <v>226660</v>
      </c>
      <c r="G121" s="31">
        <v>40</v>
      </c>
      <c r="H121" s="15">
        <v>5666.5</v>
      </c>
      <c r="I121" s="8">
        <v>36</v>
      </c>
      <c r="J121" s="11">
        <f t="shared" ref="J121:J152" si="18">G121-I121</f>
        <v>4</v>
      </c>
      <c r="K121" s="12">
        <f t="shared" si="17"/>
        <v>203994</v>
      </c>
      <c r="L121" s="15">
        <f t="shared" si="15"/>
        <v>22666</v>
      </c>
      <c r="M121" s="8"/>
      <c r="N121" s="39" t="e">
        <f>#REF!-H121</f>
        <v>#REF!</v>
      </c>
    </row>
    <row r="122" spans="1:14" ht="15.75">
      <c r="A122" s="73"/>
      <c r="B122" s="14">
        <v>117</v>
      </c>
      <c r="C122" s="2" t="s">
        <v>185</v>
      </c>
      <c r="D122" s="15">
        <v>200000</v>
      </c>
      <c r="E122" s="15">
        <v>26660</v>
      </c>
      <c r="F122" s="15">
        <f>SUM(D122:E122)</f>
        <v>226660</v>
      </c>
      <c r="G122" s="31">
        <v>40</v>
      </c>
      <c r="H122" s="15">
        <v>5666.5</v>
      </c>
      <c r="I122" s="8">
        <v>36</v>
      </c>
      <c r="J122" s="11">
        <f t="shared" si="18"/>
        <v>4</v>
      </c>
      <c r="K122" s="12">
        <f t="shared" si="17"/>
        <v>203994</v>
      </c>
      <c r="L122" s="15">
        <f t="shared" si="15"/>
        <v>22666</v>
      </c>
      <c r="M122" s="8"/>
      <c r="N122" s="39" t="e">
        <f>#REF!-H122</f>
        <v>#REF!</v>
      </c>
    </row>
    <row r="123" spans="1:14" ht="15.75">
      <c r="A123" s="73"/>
      <c r="B123" s="14">
        <v>118</v>
      </c>
      <c r="C123" s="2" t="s">
        <v>231</v>
      </c>
      <c r="D123" s="15">
        <v>200000</v>
      </c>
      <c r="E123" s="15">
        <v>26660</v>
      </c>
      <c r="F123" s="15">
        <v>226660</v>
      </c>
      <c r="G123" s="31">
        <v>40</v>
      </c>
      <c r="H123" s="18">
        <v>5666.5</v>
      </c>
      <c r="I123" s="31">
        <v>36</v>
      </c>
      <c r="J123" s="11">
        <f t="shared" si="18"/>
        <v>4</v>
      </c>
      <c r="K123" s="12">
        <f t="shared" si="17"/>
        <v>203994</v>
      </c>
      <c r="L123" s="15">
        <f t="shared" si="15"/>
        <v>22666</v>
      </c>
      <c r="M123" s="8"/>
      <c r="N123" s="39" t="e">
        <f>#REF!-H123</f>
        <v>#REF!</v>
      </c>
    </row>
    <row r="124" spans="1:14" ht="15.75">
      <c r="A124" s="73"/>
      <c r="B124" s="14">
        <v>119</v>
      </c>
      <c r="C124" s="2" t="s">
        <v>186</v>
      </c>
      <c r="D124" s="15">
        <v>200000</v>
      </c>
      <c r="E124" s="15">
        <v>26660</v>
      </c>
      <c r="F124" s="15">
        <f>SUM(D124:E124)</f>
        <v>226660</v>
      </c>
      <c r="G124" s="31">
        <v>40</v>
      </c>
      <c r="H124" s="15">
        <v>5666.5</v>
      </c>
      <c r="I124" s="8">
        <v>36</v>
      </c>
      <c r="J124" s="11">
        <f t="shared" si="18"/>
        <v>4</v>
      </c>
      <c r="K124" s="12">
        <f t="shared" si="17"/>
        <v>203994</v>
      </c>
      <c r="L124" s="15">
        <f t="shared" ref="L124:L155" si="19">F124-K124</f>
        <v>22666</v>
      </c>
      <c r="M124" s="8"/>
      <c r="N124" s="39" t="e">
        <f>#REF!-H124</f>
        <v>#REF!</v>
      </c>
    </row>
    <row r="125" spans="1:14" ht="15.75">
      <c r="A125" s="73"/>
      <c r="B125" s="14">
        <v>120</v>
      </c>
      <c r="C125" s="2" t="s">
        <v>121</v>
      </c>
      <c r="D125" s="15">
        <v>200000</v>
      </c>
      <c r="E125" s="15">
        <v>26660</v>
      </c>
      <c r="F125" s="15">
        <f>SUM(D125:E125)</f>
        <v>226660</v>
      </c>
      <c r="G125" s="31">
        <v>40</v>
      </c>
      <c r="H125" s="15">
        <v>5666.5</v>
      </c>
      <c r="I125" s="8">
        <v>35</v>
      </c>
      <c r="J125" s="11">
        <f t="shared" si="18"/>
        <v>5</v>
      </c>
      <c r="K125" s="16">
        <f>(35*5666.5)</f>
        <v>198327.5</v>
      </c>
      <c r="L125" s="15">
        <f t="shared" si="19"/>
        <v>28332.5</v>
      </c>
      <c r="M125" s="8"/>
      <c r="N125" s="39" t="e">
        <f>#REF!-H125</f>
        <v>#REF!</v>
      </c>
    </row>
    <row r="126" spans="1:14" ht="15.75">
      <c r="A126" s="73"/>
      <c r="B126" s="14">
        <v>121</v>
      </c>
      <c r="C126" s="2" t="s">
        <v>169</v>
      </c>
      <c r="D126" s="15">
        <v>200000</v>
      </c>
      <c r="E126" s="15">
        <v>26660</v>
      </c>
      <c r="F126" s="15">
        <f>SUM(D126:E126)</f>
        <v>226660</v>
      </c>
      <c r="G126" s="31">
        <v>40</v>
      </c>
      <c r="H126" s="15">
        <v>5666.5</v>
      </c>
      <c r="I126" s="8">
        <v>35</v>
      </c>
      <c r="J126" s="11">
        <f t="shared" si="18"/>
        <v>5</v>
      </c>
      <c r="K126" s="16">
        <f>(35*5666.5)</f>
        <v>198327.5</v>
      </c>
      <c r="L126" s="15">
        <f t="shared" si="19"/>
        <v>28332.5</v>
      </c>
      <c r="M126" s="8"/>
      <c r="N126" s="39" t="e">
        <f>#REF!-H126</f>
        <v>#REF!</v>
      </c>
    </row>
    <row r="127" spans="1:14" ht="15.75">
      <c r="A127" s="73"/>
      <c r="B127" s="14">
        <v>122</v>
      </c>
      <c r="C127" s="2" t="s">
        <v>229</v>
      </c>
      <c r="D127" s="15">
        <v>200000</v>
      </c>
      <c r="E127" s="15">
        <v>26660</v>
      </c>
      <c r="F127" s="15">
        <v>226660</v>
      </c>
      <c r="G127" s="31">
        <v>40</v>
      </c>
      <c r="H127" s="18">
        <v>5666.5</v>
      </c>
      <c r="I127" s="31">
        <v>35</v>
      </c>
      <c r="J127" s="11">
        <f t="shared" si="18"/>
        <v>5</v>
      </c>
      <c r="K127" s="16">
        <f>(35*5666.5)</f>
        <v>198327.5</v>
      </c>
      <c r="L127" s="15">
        <f t="shared" si="19"/>
        <v>28332.5</v>
      </c>
      <c r="M127" s="8"/>
      <c r="N127" s="39" t="e">
        <f>#REF!-H127</f>
        <v>#REF!</v>
      </c>
    </row>
    <row r="128" spans="1:14" ht="15.75">
      <c r="A128" s="73"/>
      <c r="B128" s="14">
        <v>123</v>
      </c>
      <c r="C128" s="2" t="s">
        <v>230</v>
      </c>
      <c r="D128" s="15">
        <v>200000</v>
      </c>
      <c r="E128" s="15">
        <v>26660</v>
      </c>
      <c r="F128" s="15">
        <v>226660</v>
      </c>
      <c r="G128" s="31">
        <v>40</v>
      </c>
      <c r="H128" s="18">
        <v>5666.5</v>
      </c>
      <c r="I128" s="31">
        <v>35</v>
      </c>
      <c r="J128" s="11">
        <f t="shared" si="18"/>
        <v>5</v>
      </c>
      <c r="K128" s="16">
        <f>(35*5666.5)</f>
        <v>198327.5</v>
      </c>
      <c r="L128" s="15">
        <f t="shared" si="19"/>
        <v>28332.5</v>
      </c>
      <c r="M128" s="8"/>
      <c r="N128" s="39" t="e">
        <f>#REF!-H128</f>
        <v>#REF!</v>
      </c>
    </row>
    <row r="129" spans="1:14" ht="15.75">
      <c r="A129" s="73"/>
      <c r="B129" s="14">
        <v>124</v>
      </c>
      <c r="C129" s="2" t="s">
        <v>179</v>
      </c>
      <c r="D129" s="15">
        <v>200000</v>
      </c>
      <c r="E129" s="15">
        <v>26660</v>
      </c>
      <c r="F129" s="15">
        <f>SUM(D129:E129)</f>
        <v>226660</v>
      </c>
      <c r="G129" s="31">
        <v>40</v>
      </c>
      <c r="H129" s="15">
        <v>5666.5</v>
      </c>
      <c r="I129" s="8">
        <v>35</v>
      </c>
      <c r="J129" s="11">
        <f t="shared" si="18"/>
        <v>5</v>
      </c>
      <c r="K129" s="16">
        <f>(35*5666.5)</f>
        <v>198327.5</v>
      </c>
      <c r="L129" s="15">
        <f t="shared" si="19"/>
        <v>28332.5</v>
      </c>
      <c r="M129" s="8"/>
      <c r="N129" s="39" t="e">
        <f>#REF!-H129</f>
        <v>#REF!</v>
      </c>
    </row>
    <row r="130" spans="1:14" ht="15.75">
      <c r="A130" s="73"/>
      <c r="B130" s="14">
        <v>125</v>
      </c>
      <c r="C130" s="2" t="s">
        <v>250</v>
      </c>
      <c r="D130" s="15">
        <v>200000</v>
      </c>
      <c r="E130" s="15">
        <v>26660</v>
      </c>
      <c r="F130" s="15">
        <v>226660</v>
      </c>
      <c r="G130" s="31">
        <v>40</v>
      </c>
      <c r="H130" s="18">
        <v>5666.5</v>
      </c>
      <c r="I130" s="8">
        <v>34</v>
      </c>
      <c r="J130" s="11">
        <f t="shared" si="18"/>
        <v>6</v>
      </c>
      <c r="K130" s="12">
        <f>(34*5666.5)</f>
        <v>192661</v>
      </c>
      <c r="L130" s="15">
        <f t="shared" si="19"/>
        <v>33999</v>
      </c>
      <c r="M130" s="8"/>
      <c r="N130" s="39" t="e">
        <f>#REF!-H130</f>
        <v>#REF!</v>
      </c>
    </row>
    <row r="131" spans="1:14" ht="15.75">
      <c r="A131" s="73"/>
      <c r="B131" s="14">
        <v>126</v>
      </c>
      <c r="C131" s="2" t="s">
        <v>127</v>
      </c>
      <c r="D131" s="15">
        <v>200000</v>
      </c>
      <c r="E131" s="15">
        <v>26660</v>
      </c>
      <c r="F131" s="15">
        <f t="shared" ref="F131:F137" si="20">SUM(D131:E131)</f>
        <v>226660</v>
      </c>
      <c r="G131" s="31">
        <v>40</v>
      </c>
      <c r="H131" s="15">
        <v>5666.5</v>
      </c>
      <c r="I131" s="8">
        <v>33</v>
      </c>
      <c r="J131" s="11">
        <f t="shared" si="18"/>
        <v>7</v>
      </c>
      <c r="K131" s="12">
        <f>(33*5666.5)</f>
        <v>186994.5</v>
      </c>
      <c r="L131" s="15">
        <f t="shared" si="19"/>
        <v>39665.5</v>
      </c>
      <c r="M131" s="8"/>
      <c r="N131" s="39" t="e">
        <f>#REF!-H131</f>
        <v>#REF!</v>
      </c>
    </row>
    <row r="132" spans="1:14" ht="15.75">
      <c r="A132" s="73"/>
      <c r="B132" s="14">
        <v>127</v>
      </c>
      <c r="C132" s="25" t="s">
        <v>166</v>
      </c>
      <c r="D132" s="15">
        <v>200000</v>
      </c>
      <c r="E132" s="15">
        <v>26660</v>
      </c>
      <c r="F132" s="15">
        <f t="shared" si="20"/>
        <v>226660</v>
      </c>
      <c r="G132" s="31">
        <v>40</v>
      </c>
      <c r="H132" s="15">
        <v>5666.5</v>
      </c>
      <c r="I132" s="8">
        <v>33</v>
      </c>
      <c r="J132" s="11">
        <f t="shared" si="18"/>
        <v>7</v>
      </c>
      <c r="K132" s="12">
        <f>(33*5666.5)</f>
        <v>186994.5</v>
      </c>
      <c r="L132" s="15">
        <f t="shared" si="19"/>
        <v>39665.5</v>
      </c>
      <c r="M132" s="8"/>
      <c r="N132" s="39" t="e">
        <f>#REF!-H132</f>
        <v>#REF!</v>
      </c>
    </row>
    <row r="133" spans="1:14" ht="15.75">
      <c r="A133" s="73"/>
      <c r="B133" s="14">
        <v>128</v>
      </c>
      <c r="C133" s="2" t="s">
        <v>147</v>
      </c>
      <c r="D133" s="12">
        <v>500000</v>
      </c>
      <c r="E133" s="12">
        <v>66650</v>
      </c>
      <c r="F133" s="15">
        <f t="shared" si="20"/>
        <v>566650</v>
      </c>
      <c r="G133" s="31">
        <v>50</v>
      </c>
      <c r="H133" s="24">
        <v>5666.5</v>
      </c>
      <c r="I133" s="11">
        <v>31</v>
      </c>
      <c r="J133" s="11">
        <f t="shared" si="18"/>
        <v>19</v>
      </c>
      <c r="K133" s="16">
        <f>(31*5666.5)</f>
        <v>175661.5</v>
      </c>
      <c r="L133" s="15">
        <f t="shared" si="19"/>
        <v>390988.5</v>
      </c>
      <c r="M133" s="8"/>
      <c r="N133" s="39" t="e">
        <f>#REF!-H133</f>
        <v>#REF!</v>
      </c>
    </row>
    <row r="134" spans="1:14" ht="15.75">
      <c r="A134" s="73"/>
      <c r="B134" s="14">
        <v>129</v>
      </c>
      <c r="C134" s="2" t="s">
        <v>159</v>
      </c>
      <c r="D134" s="15">
        <v>200000</v>
      </c>
      <c r="E134" s="15">
        <v>26660</v>
      </c>
      <c r="F134" s="15">
        <f t="shared" si="20"/>
        <v>226660</v>
      </c>
      <c r="G134" s="31">
        <v>40</v>
      </c>
      <c r="H134" s="15">
        <v>5666.5</v>
      </c>
      <c r="I134" s="8">
        <v>30</v>
      </c>
      <c r="J134" s="11">
        <f t="shared" si="18"/>
        <v>10</v>
      </c>
      <c r="K134" s="12">
        <f>(30*5666.5)</f>
        <v>169995</v>
      </c>
      <c r="L134" s="15">
        <f t="shared" si="19"/>
        <v>56665</v>
      </c>
      <c r="M134" s="8"/>
      <c r="N134" s="39" t="e">
        <f>#REF!-H134</f>
        <v>#REF!</v>
      </c>
    </row>
    <row r="135" spans="1:14" ht="15.75">
      <c r="A135" s="73"/>
      <c r="B135" s="14">
        <v>130</v>
      </c>
      <c r="C135" s="2" t="s">
        <v>122</v>
      </c>
      <c r="D135" s="15">
        <v>200000</v>
      </c>
      <c r="E135" s="15">
        <v>26660</v>
      </c>
      <c r="F135" s="15">
        <f t="shared" si="20"/>
        <v>226660</v>
      </c>
      <c r="G135" s="31">
        <v>40</v>
      </c>
      <c r="H135" s="15">
        <v>5666.5</v>
      </c>
      <c r="I135" s="8">
        <v>26</v>
      </c>
      <c r="J135" s="11">
        <f t="shared" si="18"/>
        <v>14</v>
      </c>
      <c r="K135" s="12">
        <f>(36*5666.5)</f>
        <v>203994</v>
      </c>
      <c r="L135" s="15">
        <f t="shared" si="19"/>
        <v>22666</v>
      </c>
      <c r="M135" s="8"/>
      <c r="N135" s="39" t="e">
        <f>#REF!-H135</f>
        <v>#REF!</v>
      </c>
    </row>
    <row r="136" spans="1:14" ht="15.75">
      <c r="A136" s="73"/>
      <c r="B136" s="14">
        <v>131</v>
      </c>
      <c r="C136" s="2" t="s">
        <v>120</v>
      </c>
      <c r="D136" s="12">
        <v>330000</v>
      </c>
      <c r="E136" s="16">
        <v>21114.720000000001</v>
      </c>
      <c r="F136" s="15">
        <f t="shared" si="20"/>
        <v>351114.72</v>
      </c>
      <c r="G136" s="31">
        <v>24</v>
      </c>
      <c r="H136" s="24">
        <v>6649.9</v>
      </c>
      <c r="I136" s="11">
        <v>22</v>
      </c>
      <c r="J136" s="11">
        <f t="shared" si="18"/>
        <v>2</v>
      </c>
      <c r="K136" s="16">
        <f>(22*6649.9)</f>
        <v>146297.79999999999</v>
      </c>
      <c r="L136" s="15">
        <f t="shared" si="19"/>
        <v>204816.91999999998</v>
      </c>
      <c r="M136" s="8"/>
      <c r="N136" s="39" t="e">
        <f>#REF!-H136</f>
        <v>#REF!</v>
      </c>
    </row>
    <row r="137" spans="1:14" ht="15.75">
      <c r="A137" s="73"/>
      <c r="B137" s="14">
        <v>132</v>
      </c>
      <c r="C137" s="25" t="s">
        <v>187</v>
      </c>
      <c r="D137" s="41">
        <v>150000</v>
      </c>
      <c r="E137" s="41">
        <v>11997</v>
      </c>
      <c r="F137" s="41">
        <f t="shared" si="20"/>
        <v>161997</v>
      </c>
      <c r="G137" s="33">
        <v>30</v>
      </c>
      <c r="H137" s="41">
        <v>5399.9</v>
      </c>
      <c r="I137" s="11">
        <v>30</v>
      </c>
      <c r="J137" s="11">
        <f t="shared" si="18"/>
        <v>0</v>
      </c>
      <c r="K137" s="16">
        <f>(30*5399.9)</f>
        <v>161997</v>
      </c>
      <c r="L137" s="41">
        <f t="shared" si="19"/>
        <v>0</v>
      </c>
      <c r="M137" s="8"/>
      <c r="N137" s="39" t="e">
        <f>#REF!-H137</f>
        <v>#REF!</v>
      </c>
    </row>
    <row r="138" spans="1:14" ht="15.75">
      <c r="A138" s="73"/>
      <c r="B138" s="14">
        <v>133</v>
      </c>
      <c r="C138" s="4" t="s">
        <v>236</v>
      </c>
      <c r="D138" s="12">
        <v>180000</v>
      </c>
      <c r="E138" s="12">
        <v>23994</v>
      </c>
      <c r="F138" s="12">
        <v>203994</v>
      </c>
      <c r="G138" s="30">
        <v>40</v>
      </c>
      <c r="H138" s="18">
        <v>5099.8500000000004</v>
      </c>
      <c r="I138" s="30">
        <v>45</v>
      </c>
      <c r="J138" s="11">
        <f t="shared" si="18"/>
        <v>-5</v>
      </c>
      <c r="K138" s="12">
        <f>(45*5099.85)</f>
        <v>229493.25000000003</v>
      </c>
      <c r="L138" s="15">
        <f t="shared" si="19"/>
        <v>-25499.250000000029</v>
      </c>
      <c r="M138" s="10"/>
      <c r="N138" s="39" t="e">
        <f>#REF!-H138</f>
        <v>#REF!</v>
      </c>
    </row>
    <row r="139" spans="1:14" ht="15.75">
      <c r="A139" s="73"/>
      <c r="B139" s="14">
        <v>134</v>
      </c>
      <c r="C139" s="4" t="s">
        <v>249</v>
      </c>
      <c r="D139" s="12">
        <v>180000</v>
      </c>
      <c r="E139" s="12">
        <v>23994</v>
      </c>
      <c r="F139" s="15">
        <f t="shared" ref="F139:F151" si="21">SUM(D139:E139)</f>
        <v>203994</v>
      </c>
      <c r="G139" s="31">
        <v>40</v>
      </c>
      <c r="H139" s="12">
        <v>5099.8500000000004</v>
      </c>
      <c r="I139" s="8">
        <v>44</v>
      </c>
      <c r="J139" s="11">
        <f t="shared" si="18"/>
        <v>-4</v>
      </c>
      <c r="K139" s="12">
        <f>(45*5099.85)</f>
        <v>229493.25000000003</v>
      </c>
      <c r="L139" s="15">
        <f t="shared" si="19"/>
        <v>-25499.250000000029</v>
      </c>
      <c r="M139" s="8"/>
      <c r="N139" s="39" t="e">
        <f>#REF!-H139</f>
        <v>#REF!</v>
      </c>
    </row>
    <row r="140" spans="1:14" ht="15.75">
      <c r="A140" s="73"/>
      <c r="B140" s="14">
        <v>135</v>
      </c>
      <c r="C140" s="4" t="s">
        <v>188</v>
      </c>
      <c r="D140" s="12">
        <v>180000</v>
      </c>
      <c r="E140" s="12">
        <v>23994</v>
      </c>
      <c r="F140" s="15">
        <f t="shared" si="21"/>
        <v>203994</v>
      </c>
      <c r="G140" s="31">
        <v>40</v>
      </c>
      <c r="H140" s="12">
        <v>5099.8500000000004</v>
      </c>
      <c r="I140" s="8">
        <v>36</v>
      </c>
      <c r="J140" s="11">
        <f t="shared" si="18"/>
        <v>4</v>
      </c>
      <c r="K140" s="12">
        <f>(36*5099.85)</f>
        <v>183594.6</v>
      </c>
      <c r="L140" s="15">
        <f t="shared" si="19"/>
        <v>20399.399999999994</v>
      </c>
      <c r="M140" s="8"/>
      <c r="N140" s="39" t="e">
        <f>#REF!-H140</f>
        <v>#REF!</v>
      </c>
    </row>
    <row r="141" spans="1:14" ht="15.75">
      <c r="A141" s="73"/>
      <c r="B141" s="14">
        <v>136</v>
      </c>
      <c r="C141" s="2" t="s">
        <v>193</v>
      </c>
      <c r="D141" s="12">
        <v>180000</v>
      </c>
      <c r="E141" s="12">
        <v>23994</v>
      </c>
      <c r="F141" s="15">
        <f t="shared" si="21"/>
        <v>203994</v>
      </c>
      <c r="G141" s="31">
        <v>40</v>
      </c>
      <c r="H141" s="12">
        <v>5099.8500000000004</v>
      </c>
      <c r="I141" s="8">
        <v>36</v>
      </c>
      <c r="J141" s="11">
        <f t="shared" si="18"/>
        <v>4</v>
      </c>
      <c r="K141" s="12">
        <f>(36*5099.85)</f>
        <v>183594.6</v>
      </c>
      <c r="L141" s="15">
        <f t="shared" si="19"/>
        <v>20399.399999999994</v>
      </c>
      <c r="M141" s="8"/>
      <c r="N141" s="39" t="e">
        <f>#REF!-H141</f>
        <v>#REF!</v>
      </c>
    </row>
    <row r="142" spans="1:14" ht="15.75">
      <c r="A142" s="73"/>
      <c r="B142" s="14">
        <v>137</v>
      </c>
      <c r="C142" s="2" t="s">
        <v>192</v>
      </c>
      <c r="D142" s="12">
        <v>180000</v>
      </c>
      <c r="E142" s="12">
        <v>23994</v>
      </c>
      <c r="F142" s="15">
        <f t="shared" si="21"/>
        <v>203994</v>
      </c>
      <c r="G142" s="31">
        <v>40</v>
      </c>
      <c r="H142" s="12">
        <v>5099.8500000000004</v>
      </c>
      <c r="I142" s="8">
        <v>33</v>
      </c>
      <c r="J142" s="11">
        <f t="shared" si="18"/>
        <v>7</v>
      </c>
      <c r="K142" s="12">
        <f>(33*5099.85)</f>
        <v>168295.05000000002</v>
      </c>
      <c r="L142" s="15">
        <f t="shared" si="19"/>
        <v>35698.949999999983</v>
      </c>
      <c r="M142" s="8"/>
      <c r="N142" s="39" t="e">
        <f>#REF!-H142</f>
        <v>#REF!</v>
      </c>
    </row>
    <row r="143" spans="1:14" ht="15.75">
      <c r="A143" s="73"/>
      <c r="B143" s="14">
        <v>138</v>
      </c>
      <c r="C143" s="81" t="s">
        <v>156</v>
      </c>
      <c r="D143" s="15">
        <v>200000</v>
      </c>
      <c r="E143" s="15">
        <v>26660</v>
      </c>
      <c r="F143" s="15">
        <f t="shared" si="21"/>
        <v>226660</v>
      </c>
      <c r="G143" s="31">
        <v>40</v>
      </c>
      <c r="H143" s="70">
        <v>3739.89</v>
      </c>
      <c r="I143" s="8">
        <v>39</v>
      </c>
      <c r="J143" s="11">
        <f t="shared" si="18"/>
        <v>1</v>
      </c>
      <c r="K143" s="12">
        <f>(39*5666.5)</f>
        <v>220993.5</v>
      </c>
      <c r="L143" s="15">
        <f t="shared" si="19"/>
        <v>5666.5</v>
      </c>
      <c r="M143" s="8"/>
      <c r="N143" s="39" t="e">
        <f>#REF!-H143</f>
        <v>#REF!</v>
      </c>
    </row>
    <row r="144" spans="1:14" ht="15.75">
      <c r="A144" s="73"/>
      <c r="B144" s="14">
        <v>139</v>
      </c>
      <c r="C144" s="2" t="s">
        <v>205</v>
      </c>
      <c r="D144" s="12">
        <v>132000</v>
      </c>
      <c r="E144" s="12">
        <v>17595.599999999999</v>
      </c>
      <c r="F144" s="15">
        <f t="shared" si="21"/>
        <v>149595.6</v>
      </c>
      <c r="G144" s="31">
        <v>40</v>
      </c>
      <c r="H144" s="12">
        <v>3739.89</v>
      </c>
      <c r="I144" s="8">
        <v>39</v>
      </c>
      <c r="J144" s="11">
        <f t="shared" si="18"/>
        <v>1</v>
      </c>
      <c r="K144" s="12">
        <f>(39*3739.89)</f>
        <v>145855.71</v>
      </c>
      <c r="L144" s="15">
        <f t="shared" si="19"/>
        <v>3739.890000000014</v>
      </c>
      <c r="M144" s="8"/>
      <c r="N144" s="39" t="e">
        <f>#REF!-H144</f>
        <v>#REF!</v>
      </c>
    </row>
    <row r="145" spans="1:14" ht="15.75">
      <c r="A145" s="73"/>
      <c r="B145" s="14">
        <v>140</v>
      </c>
      <c r="C145" s="4" t="s">
        <v>207</v>
      </c>
      <c r="D145" s="12">
        <v>132000</v>
      </c>
      <c r="E145" s="12">
        <v>17595.599999999999</v>
      </c>
      <c r="F145" s="15">
        <f t="shared" si="21"/>
        <v>149595.6</v>
      </c>
      <c r="G145" s="31">
        <v>40</v>
      </c>
      <c r="H145" s="12">
        <v>3739.89</v>
      </c>
      <c r="I145" s="8">
        <v>37</v>
      </c>
      <c r="J145" s="11">
        <f t="shared" si="18"/>
        <v>3</v>
      </c>
      <c r="K145" s="12">
        <f>(37*3739.89)</f>
        <v>138375.93</v>
      </c>
      <c r="L145" s="15">
        <f t="shared" si="19"/>
        <v>11219.670000000013</v>
      </c>
      <c r="M145" s="8"/>
      <c r="N145" s="39" t="e">
        <f>#REF!-H145</f>
        <v>#REF!</v>
      </c>
    </row>
    <row r="146" spans="1:14" ht="15.75">
      <c r="A146" s="73"/>
      <c r="B146" s="14">
        <v>141</v>
      </c>
      <c r="C146" s="4" t="s">
        <v>201</v>
      </c>
      <c r="D146" s="12">
        <v>132000</v>
      </c>
      <c r="E146" s="12">
        <v>17595.599999999999</v>
      </c>
      <c r="F146" s="15">
        <f t="shared" si="21"/>
        <v>149595.6</v>
      </c>
      <c r="G146" s="31">
        <v>40</v>
      </c>
      <c r="H146" s="12">
        <v>3739.89</v>
      </c>
      <c r="I146" s="8">
        <v>36</v>
      </c>
      <c r="J146" s="11">
        <f t="shared" si="18"/>
        <v>4</v>
      </c>
      <c r="K146" s="12">
        <f>(36*3739.89)</f>
        <v>134636.04</v>
      </c>
      <c r="L146" s="15">
        <f t="shared" si="19"/>
        <v>14959.559999999998</v>
      </c>
      <c r="M146" s="8"/>
      <c r="N146" s="39" t="e">
        <f>#REF!-H146</f>
        <v>#REF!</v>
      </c>
    </row>
    <row r="147" spans="1:14" ht="15.75">
      <c r="A147" s="73"/>
      <c r="B147" s="14">
        <v>142</v>
      </c>
      <c r="C147" s="4" t="s">
        <v>203</v>
      </c>
      <c r="D147" s="12">
        <v>132000</v>
      </c>
      <c r="E147" s="12">
        <v>17595.599999999999</v>
      </c>
      <c r="F147" s="15">
        <f t="shared" si="21"/>
        <v>149595.6</v>
      </c>
      <c r="G147" s="31">
        <v>40</v>
      </c>
      <c r="H147" s="12">
        <v>3739.89</v>
      </c>
      <c r="I147" s="8">
        <v>36</v>
      </c>
      <c r="J147" s="11">
        <f t="shared" si="18"/>
        <v>4</v>
      </c>
      <c r="K147" s="12">
        <f>(36*3739.89)</f>
        <v>134636.04</v>
      </c>
      <c r="L147" s="15">
        <f t="shared" si="19"/>
        <v>14959.559999999998</v>
      </c>
      <c r="M147" s="8"/>
      <c r="N147" s="39" t="e">
        <f>#REF!-H147</f>
        <v>#REF!</v>
      </c>
    </row>
    <row r="148" spans="1:14" ht="15.75">
      <c r="A148" s="73"/>
      <c r="B148" s="14">
        <v>143</v>
      </c>
      <c r="C148" s="4" t="s">
        <v>204</v>
      </c>
      <c r="D148" s="12">
        <v>132000</v>
      </c>
      <c r="E148" s="12">
        <v>17595.599999999999</v>
      </c>
      <c r="F148" s="15">
        <f t="shared" si="21"/>
        <v>149595.6</v>
      </c>
      <c r="G148" s="31">
        <v>40</v>
      </c>
      <c r="H148" s="12">
        <v>3739.89</v>
      </c>
      <c r="I148" s="8">
        <v>36</v>
      </c>
      <c r="J148" s="11">
        <f t="shared" si="18"/>
        <v>4</v>
      </c>
      <c r="K148" s="12">
        <f>(36*3739.89)</f>
        <v>134636.04</v>
      </c>
      <c r="L148" s="15">
        <f t="shared" si="19"/>
        <v>14959.559999999998</v>
      </c>
      <c r="M148" s="8"/>
      <c r="N148" s="39" t="e">
        <f>#REF!-H148</f>
        <v>#REF!</v>
      </c>
    </row>
    <row r="149" spans="1:14" ht="15.75">
      <c r="A149" s="73"/>
      <c r="B149" s="14">
        <v>144</v>
      </c>
      <c r="C149" s="4" t="s">
        <v>206</v>
      </c>
      <c r="D149" s="12">
        <v>132000</v>
      </c>
      <c r="E149" s="12">
        <v>17595.599999999999</v>
      </c>
      <c r="F149" s="15">
        <f t="shared" si="21"/>
        <v>149595.6</v>
      </c>
      <c r="G149" s="31">
        <v>40</v>
      </c>
      <c r="H149" s="12">
        <v>3739.89</v>
      </c>
      <c r="I149" s="8">
        <v>35</v>
      </c>
      <c r="J149" s="11">
        <f t="shared" si="18"/>
        <v>5</v>
      </c>
      <c r="K149" s="16">
        <f>(35*3739.89)</f>
        <v>130896.15</v>
      </c>
      <c r="L149" s="15">
        <f t="shared" si="19"/>
        <v>18699.450000000012</v>
      </c>
      <c r="M149" s="8"/>
      <c r="N149" s="39" t="e">
        <f>#REF!-H149</f>
        <v>#REF!</v>
      </c>
    </row>
    <row r="150" spans="1:14" ht="15.75">
      <c r="A150" s="73"/>
      <c r="B150" s="14">
        <v>145</v>
      </c>
      <c r="C150" s="4" t="s">
        <v>202</v>
      </c>
      <c r="D150" s="12">
        <v>132000</v>
      </c>
      <c r="E150" s="12">
        <v>17595.599999999999</v>
      </c>
      <c r="F150" s="15">
        <f t="shared" si="21"/>
        <v>149595.6</v>
      </c>
      <c r="G150" s="31">
        <v>40</v>
      </c>
      <c r="H150" s="12">
        <v>3739.89</v>
      </c>
      <c r="I150" s="8">
        <v>33</v>
      </c>
      <c r="J150" s="11">
        <f t="shared" si="18"/>
        <v>7</v>
      </c>
      <c r="K150" s="12">
        <f>(33*3739.89)</f>
        <v>123416.37</v>
      </c>
      <c r="L150" s="15">
        <f t="shared" si="19"/>
        <v>26179.23000000001</v>
      </c>
      <c r="M150" s="8"/>
      <c r="N150" s="39" t="e">
        <f>#REF!-H150</f>
        <v>#REF!</v>
      </c>
    </row>
    <row r="151" spans="1:14" ht="15.75">
      <c r="A151" s="73"/>
      <c r="B151" s="14">
        <v>146</v>
      </c>
      <c r="C151" s="2" t="s">
        <v>199</v>
      </c>
      <c r="D151" s="12">
        <v>132000</v>
      </c>
      <c r="E151" s="12">
        <v>17595.599999999999</v>
      </c>
      <c r="F151" s="15">
        <f t="shared" si="21"/>
        <v>149595.6</v>
      </c>
      <c r="G151" s="31">
        <v>40</v>
      </c>
      <c r="H151" s="12">
        <v>3739.89</v>
      </c>
      <c r="I151" s="8">
        <v>28</v>
      </c>
      <c r="J151" s="11">
        <f t="shared" si="18"/>
        <v>12</v>
      </c>
      <c r="K151" s="12">
        <f>(28*3739.89)</f>
        <v>104716.92</v>
      </c>
      <c r="L151" s="15">
        <f t="shared" si="19"/>
        <v>44878.680000000008</v>
      </c>
      <c r="M151" s="8"/>
      <c r="N151" s="39" t="e">
        <f>#REF!-H151</f>
        <v>#REF!</v>
      </c>
    </row>
    <row r="152" spans="1:14" ht="15.75">
      <c r="A152" s="73"/>
      <c r="B152" s="14">
        <v>147</v>
      </c>
      <c r="C152" s="2" t="s">
        <v>240</v>
      </c>
      <c r="D152" s="16">
        <v>132000</v>
      </c>
      <c r="E152" s="16">
        <v>17595.599999999999</v>
      </c>
      <c r="F152" s="16">
        <v>149595.6</v>
      </c>
      <c r="G152" s="45">
        <v>40</v>
      </c>
      <c r="H152" s="19">
        <v>3739.89</v>
      </c>
      <c r="I152" s="33">
        <v>42</v>
      </c>
      <c r="J152" s="11">
        <f t="shared" si="18"/>
        <v>-2</v>
      </c>
      <c r="K152" s="12">
        <f>(42*3739.89)</f>
        <v>157075.38</v>
      </c>
      <c r="L152" s="15">
        <f t="shared" si="19"/>
        <v>-7479.7799999999988</v>
      </c>
      <c r="M152" s="8"/>
      <c r="N152" s="39" t="e">
        <f>#REF!-H152</f>
        <v>#REF!</v>
      </c>
    </row>
    <row r="153" spans="1:14" ht="15.75">
      <c r="A153" s="73"/>
      <c r="B153" s="14">
        <v>148</v>
      </c>
      <c r="C153" s="2" t="s">
        <v>212</v>
      </c>
      <c r="D153" s="12">
        <v>150000</v>
      </c>
      <c r="E153" s="12">
        <v>19995</v>
      </c>
      <c r="F153" s="15">
        <f t="shared" ref="F153:F162" si="22">SUM(D153:E153)</f>
        <v>169995</v>
      </c>
      <c r="G153" s="31">
        <v>50</v>
      </c>
      <c r="H153" s="12">
        <v>3399.9</v>
      </c>
      <c r="I153" s="8">
        <v>31</v>
      </c>
      <c r="J153" s="11">
        <f t="shared" ref="J153:J162" si="23">G153-I153</f>
        <v>19</v>
      </c>
      <c r="K153" s="12">
        <f>(31*3399.9)</f>
        <v>105396.90000000001</v>
      </c>
      <c r="L153" s="15">
        <f t="shared" si="19"/>
        <v>64598.099999999991</v>
      </c>
      <c r="M153" s="8"/>
      <c r="N153" s="39" t="e">
        <f>#REF!-H153</f>
        <v>#REF!</v>
      </c>
    </row>
    <row r="154" spans="1:14" ht="15.75">
      <c r="A154" s="73"/>
      <c r="B154" s="14">
        <v>149</v>
      </c>
      <c r="C154" s="25" t="s">
        <v>213</v>
      </c>
      <c r="D154" s="12">
        <v>150000</v>
      </c>
      <c r="E154" s="12">
        <v>19995</v>
      </c>
      <c r="F154" s="15">
        <f t="shared" si="22"/>
        <v>169995</v>
      </c>
      <c r="G154" s="31">
        <v>50</v>
      </c>
      <c r="H154" s="12">
        <v>3399.9</v>
      </c>
      <c r="I154" s="8">
        <v>31</v>
      </c>
      <c r="J154" s="11">
        <f t="shared" si="23"/>
        <v>19</v>
      </c>
      <c r="K154" s="12">
        <f>(31*3399.9)</f>
        <v>105396.90000000001</v>
      </c>
      <c r="L154" s="15">
        <f t="shared" si="19"/>
        <v>64598.099999999991</v>
      </c>
      <c r="M154" s="8"/>
      <c r="N154" s="39" t="e">
        <f>#REF!-H154</f>
        <v>#REF!</v>
      </c>
    </row>
    <row r="155" spans="1:14" ht="15.75">
      <c r="A155" s="73"/>
      <c r="B155" s="14">
        <v>150</v>
      </c>
      <c r="C155" s="75" t="s">
        <v>264</v>
      </c>
      <c r="D155" s="20">
        <v>150000</v>
      </c>
      <c r="E155" s="20">
        <v>19995</v>
      </c>
      <c r="F155" s="20">
        <f t="shared" si="22"/>
        <v>169995</v>
      </c>
      <c r="G155" s="33">
        <v>50</v>
      </c>
      <c r="H155" s="77">
        <v>3399.9</v>
      </c>
      <c r="I155" s="11">
        <v>21</v>
      </c>
      <c r="J155" s="11">
        <f t="shared" si="23"/>
        <v>29</v>
      </c>
      <c r="K155" s="3">
        <f>(21*3399.9)</f>
        <v>71397.900000000009</v>
      </c>
      <c r="L155" s="15">
        <f t="shared" si="19"/>
        <v>98597.099999999991</v>
      </c>
      <c r="M155" s="1"/>
      <c r="N155" s="39" t="e">
        <f>#REF!-H155</f>
        <v>#REF!</v>
      </c>
    </row>
    <row r="156" spans="1:14" ht="15.75">
      <c r="A156" s="73"/>
      <c r="B156" s="14">
        <v>151</v>
      </c>
      <c r="C156" s="2" t="s">
        <v>33</v>
      </c>
      <c r="D156" s="20">
        <v>150000</v>
      </c>
      <c r="E156" s="20">
        <v>19995</v>
      </c>
      <c r="F156" s="20">
        <f t="shared" si="22"/>
        <v>169995</v>
      </c>
      <c r="G156" s="33">
        <v>50</v>
      </c>
      <c r="H156" s="3">
        <v>3399.9</v>
      </c>
      <c r="I156" s="8">
        <v>8</v>
      </c>
      <c r="J156" s="11">
        <f t="shared" si="23"/>
        <v>42</v>
      </c>
      <c r="K156" s="3">
        <f>(8*3399.9)</f>
        <v>27199.200000000001</v>
      </c>
      <c r="L156" s="12">
        <f t="shared" ref="L156:L162" si="24">F156-K156</f>
        <v>142795.79999999999</v>
      </c>
      <c r="M156" s="1"/>
      <c r="N156" s="39" t="e">
        <f>#REF!-H156</f>
        <v>#REF!</v>
      </c>
    </row>
    <row r="157" spans="1:14" ht="15.75">
      <c r="A157" s="73"/>
      <c r="B157" s="14">
        <v>152</v>
      </c>
      <c r="C157" s="2" t="s">
        <v>35</v>
      </c>
      <c r="D157" s="20">
        <v>150000</v>
      </c>
      <c r="E157" s="20">
        <v>19995</v>
      </c>
      <c r="F157" s="20">
        <f t="shared" si="22"/>
        <v>169995</v>
      </c>
      <c r="G157" s="33">
        <v>50</v>
      </c>
      <c r="H157" s="3">
        <v>3399.9</v>
      </c>
      <c r="I157" s="8">
        <v>8</v>
      </c>
      <c r="J157" s="11">
        <f t="shared" si="23"/>
        <v>42</v>
      </c>
      <c r="K157" s="3">
        <f>(8*3399.9)</f>
        <v>27199.200000000001</v>
      </c>
      <c r="L157" s="12">
        <f t="shared" si="24"/>
        <v>142795.79999999999</v>
      </c>
      <c r="M157" s="1"/>
      <c r="N157" s="39" t="e">
        <f>#REF!-H157</f>
        <v>#REF!</v>
      </c>
    </row>
    <row r="158" spans="1:14" ht="15.75">
      <c r="A158" s="73"/>
      <c r="B158" s="14">
        <v>153</v>
      </c>
      <c r="C158" s="2" t="s">
        <v>34</v>
      </c>
      <c r="D158" s="20">
        <v>150000</v>
      </c>
      <c r="E158" s="20">
        <v>19995</v>
      </c>
      <c r="F158" s="20">
        <f t="shared" si="22"/>
        <v>169995</v>
      </c>
      <c r="G158" s="33">
        <v>50</v>
      </c>
      <c r="H158" s="3">
        <v>3399.9</v>
      </c>
      <c r="I158" s="83">
        <v>6</v>
      </c>
      <c r="J158" s="78">
        <f t="shared" si="23"/>
        <v>44</v>
      </c>
      <c r="K158" s="84">
        <f>(6*3399.9)</f>
        <v>20399.400000000001</v>
      </c>
      <c r="L158" s="12">
        <f t="shared" si="24"/>
        <v>149595.6</v>
      </c>
      <c r="M158" s="85"/>
      <c r="N158" s="39" t="e">
        <f>#REF!-H158</f>
        <v>#REF!</v>
      </c>
    </row>
    <row r="159" spans="1:14" ht="15.75">
      <c r="A159" s="73"/>
      <c r="B159" s="14">
        <v>154</v>
      </c>
      <c r="C159" s="2" t="s">
        <v>218</v>
      </c>
      <c r="D159" s="12">
        <v>60000</v>
      </c>
      <c r="E159" s="12">
        <v>7998</v>
      </c>
      <c r="F159" s="15">
        <f t="shared" si="22"/>
        <v>67998</v>
      </c>
      <c r="G159" s="31">
        <v>40</v>
      </c>
      <c r="H159" s="12">
        <v>1699.95</v>
      </c>
      <c r="I159" s="8">
        <v>36</v>
      </c>
      <c r="J159" s="11">
        <f t="shared" si="23"/>
        <v>4</v>
      </c>
      <c r="K159" s="12">
        <f>(36*1699.95)</f>
        <v>61198.200000000004</v>
      </c>
      <c r="L159" s="15">
        <f t="shared" si="24"/>
        <v>6799.7999999999956</v>
      </c>
      <c r="M159" s="8"/>
      <c r="N159" s="39" t="e">
        <f>#REF!-H159</f>
        <v>#REF!</v>
      </c>
    </row>
    <row r="160" spans="1:14" ht="15.75">
      <c r="A160" s="73"/>
      <c r="B160" s="14">
        <v>155</v>
      </c>
      <c r="C160" s="2" t="s">
        <v>241</v>
      </c>
      <c r="D160" s="12">
        <v>60000</v>
      </c>
      <c r="E160" s="12">
        <v>7998</v>
      </c>
      <c r="F160" s="15">
        <f t="shared" si="22"/>
        <v>67998</v>
      </c>
      <c r="G160" s="31">
        <v>40</v>
      </c>
      <c r="H160" s="12">
        <v>1699.95</v>
      </c>
      <c r="I160" s="33">
        <v>35</v>
      </c>
      <c r="J160" s="11">
        <f t="shared" si="23"/>
        <v>5</v>
      </c>
      <c r="K160" s="12">
        <f>(35*1699.95)</f>
        <v>59498.25</v>
      </c>
      <c r="L160" s="15">
        <f t="shared" si="24"/>
        <v>8499.75</v>
      </c>
      <c r="M160" s="8"/>
      <c r="N160" s="39" t="e">
        <f>#REF!-H160</f>
        <v>#REF!</v>
      </c>
    </row>
    <row r="161" spans="1:14" ht="15.75">
      <c r="A161" s="73"/>
      <c r="B161" s="14">
        <v>156</v>
      </c>
      <c r="C161" s="75" t="s">
        <v>265</v>
      </c>
      <c r="D161" s="12">
        <v>60000</v>
      </c>
      <c r="E161" s="12">
        <v>7998</v>
      </c>
      <c r="F161" s="15">
        <f t="shared" si="22"/>
        <v>67998</v>
      </c>
      <c r="G161" s="31">
        <v>40</v>
      </c>
      <c r="H161" s="77">
        <v>1699.95</v>
      </c>
      <c r="I161" s="11"/>
      <c r="J161" s="11">
        <f t="shared" si="23"/>
        <v>40</v>
      </c>
      <c r="K161" s="12"/>
      <c r="L161" s="15">
        <f t="shared" si="24"/>
        <v>67998</v>
      </c>
      <c r="M161" s="8"/>
      <c r="N161" s="39" t="e">
        <f>#REF!-H161</f>
        <v>#REF!</v>
      </c>
    </row>
    <row r="162" spans="1:14" ht="15.75">
      <c r="A162" s="73"/>
      <c r="B162" s="14">
        <v>157</v>
      </c>
      <c r="C162" s="25" t="s">
        <v>216</v>
      </c>
      <c r="D162" s="12">
        <v>60000</v>
      </c>
      <c r="E162" s="12">
        <v>7998</v>
      </c>
      <c r="F162" s="15">
        <f t="shared" si="22"/>
        <v>67998</v>
      </c>
      <c r="G162" s="31">
        <v>40</v>
      </c>
      <c r="H162" s="24">
        <v>1699.95</v>
      </c>
      <c r="I162" s="8"/>
      <c r="J162" s="11">
        <f t="shared" si="23"/>
        <v>40</v>
      </c>
      <c r="K162" s="12"/>
      <c r="L162" s="15">
        <f t="shared" si="24"/>
        <v>67998</v>
      </c>
      <c r="M162" s="8"/>
      <c r="N162" s="39" t="e">
        <f>#REF!-H162</f>
        <v>#REF!</v>
      </c>
    </row>
    <row r="163" spans="1:14" ht="15.75">
      <c r="A163" s="73"/>
      <c r="B163" s="14"/>
      <c r="C163" s="23"/>
      <c r="D163" s="34">
        <f ca="1">SUM(D6:D222)</f>
        <v>59948000</v>
      </c>
      <c r="E163" s="34">
        <f ca="1">SUM(E6:E222)</f>
        <v>7795498.6399999987</v>
      </c>
      <c r="F163" s="34">
        <f ca="1">SUM(F6:F222)</f>
        <v>67743498.640000015</v>
      </c>
      <c r="G163" s="34"/>
      <c r="H163" s="79">
        <f>SUM(H6:H162)</f>
        <v>1280900.7299999981</v>
      </c>
      <c r="I163" s="13"/>
      <c r="J163" s="13"/>
      <c r="K163" s="34">
        <f ca="1">SUM(K6:K216)</f>
        <v>29605419.560000002</v>
      </c>
      <c r="L163" s="34">
        <f ca="1">SUM(L6:L216)</f>
        <v>24414866.48</v>
      </c>
      <c r="M163" s="8"/>
    </row>
    <row r="164" spans="1:14" ht="15.75">
      <c r="A164" s="73"/>
      <c r="H164" s="64"/>
    </row>
    <row r="165" spans="1:14" ht="15.75">
      <c r="A165" s="73"/>
      <c r="H165" s="80"/>
      <c r="N165" s="80"/>
    </row>
    <row r="166" spans="1:14" ht="15.75">
      <c r="A166" s="73"/>
    </row>
    <row r="167" spans="1:14" ht="15.75">
      <c r="A167" s="73"/>
    </row>
    <row r="168" spans="1:14" ht="15.75">
      <c r="A168" s="73"/>
    </row>
    <row r="169" spans="1:14" ht="15.75">
      <c r="A169" s="73"/>
    </row>
    <row r="170" spans="1:14" ht="15.75">
      <c r="A170" s="73"/>
    </row>
    <row r="171" spans="1:14" ht="15.75">
      <c r="A171" s="73"/>
    </row>
    <row r="172" spans="1:14" ht="15.75">
      <c r="A172" s="73"/>
    </row>
    <row r="173" spans="1:14" ht="15.75">
      <c r="A173" s="73"/>
    </row>
    <row r="174" spans="1:14" ht="15.75">
      <c r="A174" s="73"/>
    </row>
    <row r="175" spans="1:14" ht="15.75">
      <c r="A175" s="73"/>
      <c r="B175" s="14">
        <v>176</v>
      </c>
      <c r="C175" s="2" t="s">
        <v>210</v>
      </c>
      <c r="D175" s="12">
        <v>132000</v>
      </c>
      <c r="E175" s="12">
        <v>17595.599999999999</v>
      </c>
      <c r="F175" s="15">
        <f>SUM(D175:E175)</f>
        <v>149595.6</v>
      </c>
      <c r="G175" s="30">
        <v>40</v>
      </c>
      <c r="H175" s="12">
        <v>3739.89</v>
      </c>
      <c r="I175" s="22">
        <v>44</v>
      </c>
      <c r="J175" s="11">
        <f t="shared" ref="J175:J190" si="25">G175-I175</f>
        <v>-4</v>
      </c>
      <c r="K175" s="12">
        <f>(44*3739.89)</f>
        <v>164555.16</v>
      </c>
      <c r="L175" s="15">
        <f t="shared" ref="L175:L190" si="26">F175-K175</f>
        <v>-14959.559999999998</v>
      </c>
      <c r="M175" s="8"/>
      <c r="N175" s="39" t="e">
        <f>#REF!-H175</f>
        <v>#REF!</v>
      </c>
    </row>
    <row r="176" spans="1:14" ht="15.75">
      <c r="A176" s="73"/>
      <c r="B176" s="14">
        <v>186</v>
      </c>
      <c r="C176" s="2" t="s">
        <v>243</v>
      </c>
      <c r="D176" s="12">
        <v>60000</v>
      </c>
      <c r="E176" s="12">
        <v>7998</v>
      </c>
      <c r="F176" s="12">
        <v>67998</v>
      </c>
      <c r="G176" s="31">
        <v>40</v>
      </c>
      <c r="H176" s="18">
        <v>1699.95</v>
      </c>
      <c r="I176" s="31">
        <v>44</v>
      </c>
      <c r="J176" s="11">
        <f t="shared" si="25"/>
        <v>-4</v>
      </c>
      <c r="K176" s="12">
        <f>(44*1699.95)</f>
        <v>74797.8</v>
      </c>
      <c r="L176" s="15">
        <f t="shared" si="26"/>
        <v>-6799.8000000000029</v>
      </c>
      <c r="M176" s="8"/>
      <c r="N176" s="39" t="e">
        <f>#REF!-H176</f>
        <v>#REF!</v>
      </c>
    </row>
    <row r="177" spans="1:14" ht="15.75">
      <c r="A177" s="73"/>
      <c r="B177" s="14">
        <v>178</v>
      </c>
      <c r="C177" s="2" t="s">
        <v>92</v>
      </c>
      <c r="D177" s="12">
        <v>500000</v>
      </c>
      <c r="E177" s="12">
        <v>66650</v>
      </c>
      <c r="F177" s="15">
        <f t="shared" ref="F177:F188" si="27">SUM(D177:E177)</f>
        <v>566650</v>
      </c>
      <c r="G177" s="31">
        <v>50</v>
      </c>
      <c r="H177" s="12">
        <v>11333</v>
      </c>
      <c r="I177" s="8">
        <v>28</v>
      </c>
      <c r="J177" s="11">
        <f t="shared" si="25"/>
        <v>22</v>
      </c>
      <c r="K177" s="12">
        <f>(28*11333)</f>
        <v>317324</v>
      </c>
      <c r="L177" s="15">
        <f t="shared" si="26"/>
        <v>249326</v>
      </c>
      <c r="M177" s="8"/>
      <c r="N177" s="39" t="e">
        <f>#REF!-H177</f>
        <v>#REF!</v>
      </c>
    </row>
    <row r="178" spans="1:14" ht="15.75">
      <c r="A178" s="73"/>
      <c r="B178" s="14">
        <v>174</v>
      </c>
      <c r="C178" s="26" t="s">
        <v>118</v>
      </c>
      <c r="D178" s="12">
        <v>330000</v>
      </c>
      <c r="E178" s="12">
        <v>43989</v>
      </c>
      <c r="F178" s="15">
        <f t="shared" si="27"/>
        <v>373989</v>
      </c>
      <c r="G178" s="31">
        <v>50</v>
      </c>
      <c r="H178" s="12">
        <v>7479.78</v>
      </c>
      <c r="I178" s="8">
        <v>27</v>
      </c>
      <c r="J178" s="11">
        <f t="shared" si="25"/>
        <v>23</v>
      </c>
      <c r="K178" s="12">
        <f>(27*7479.78)</f>
        <v>201954.06</v>
      </c>
      <c r="L178" s="15">
        <f t="shared" si="26"/>
        <v>172034.94</v>
      </c>
      <c r="M178" s="8"/>
      <c r="N178" s="39" t="e">
        <f>#REF!-H178</f>
        <v>#REF!</v>
      </c>
    </row>
    <row r="179" spans="1:14" ht="15.75">
      <c r="A179" s="73"/>
      <c r="B179" s="14">
        <v>170</v>
      </c>
      <c r="C179" s="4" t="s">
        <v>89</v>
      </c>
      <c r="D179" s="12">
        <v>500000</v>
      </c>
      <c r="E179" s="12">
        <v>66650</v>
      </c>
      <c r="F179" s="15">
        <f t="shared" si="27"/>
        <v>566650</v>
      </c>
      <c r="G179" s="31">
        <v>50</v>
      </c>
      <c r="H179" s="12">
        <v>11333</v>
      </c>
      <c r="I179" s="8">
        <v>28</v>
      </c>
      <c r="J179" s="11">
        <f t="shared" si="25"/>
        <v>22</v>
      </c>
      <c r="K179" s="12">
        <f>(28*11333)</f>
        <v>317324</v>
      </c>
      <c r="L179" s="15">
        <f t="shared" si="26"/>
        <v>249326</v>
      </c>
      <c r="M179" s="8"/>
      <c r="N179" s="39" t="e">
        <f>#REF!-H179</f>
        <v>#REF!</v>
      </c>
    </row>
    <row r="180" spans="1:14" ht="15.75">
      <c r="A180" s="73"/>
      <c r="B180" s="14">
        <v>164</v>
      </c>
      <c r="C180" s="4" t="s">
        <v>183</v>
      </c>
      <c r="D180" s="15">
        <v>200000</v>
      </c>
      <c r="E180" s="15">
        <v>26660</v>
      </c>
      <c r="F180" s="15">
        <f t="shared" si="27"/>
        <v>226660</v>
      </c>
      <c r="G180" s="32">
        <v>40</v>
      </c>
      <c r="H180" s="15">
        <v>5666.5</v>
      </c>
      <c r="I180" s="22">
        <v>44</v>
      </c>
      <c r="J180" s="11">
        <f t="shared" si="25"/>
        <v>-4</v>
      </c>
      <c r="K180" s="15">
        <f>(44*5666.5)</f>
        <v>249326</v>
      </c>
      <c r="L180" s="15">
        <f t="shared" si="26"/>
        <v>-22666</v>
      </c>
      <c r="M180" s="10"/>
      <c r="N180" s="39" t="e">
        <f>#REF!-H180</f>
        <v>#REF!</v>
      </c>
    </row>
    <row r="181" spans="1:14" ht="15.75">
      <c r="A181" s="73"/>
      <c r="B181" s="14">
        <v>162</v>
      </c>
      <c r="C181" s="4" t="s">
        <v>116</v>
      </c>
      <c r="D181" s="12">
        <v>330000</v>
      </c>
      <c r="E181" s="12">
        <v>43989</v>
      </c>
      <c r="F181" s="15">
        <f t="shared" si="27"/>
        <v>373989</v>
      </c>
      <c r="G181" s="31">
        <v>50</v>
      </c>
      <c r="H181" s="12">
        <v>7479.78</v>
      </c>
      <c r="I181" s="8">
        <v>28</v>
      </c>
      <c r="J181" s="11">
        <f t="shared" si="25"/>
        <v>22</v>
      </c>
      <c r="K181" s="12">
        <f>(28*7479.78)</f>
        <v>209433.84</v>
      </c>
      <c r="L181" s="15">
        <f t="shared" si="26"/>
        <v>164555.16</v>
      </c>
      <c r="M181" s="8"/>
      <c r="N181" s="39" t="e">
        <f>#REF!-H181</f>
        <v>#REF!</v>
      </c>
    </row>
    <row r="182" spans="1:14" ht="15.75">
      <c r="A182" s="73"/>
      <c r="B182" s="14">
        <v>158</v>
      </c>
      <c r="C182" s="2" t="s">
        <v>115</v>
      </c>
      <c r="D182" s="12">
        <v>330000</v>
      </c>
      <c r="E182" s="12">
        <v>43989</v>
      </c>
      <c r="F182" s="15">
        <f t="shared" si="27"/>
        <v>373989</v>
      </c>
      <c r="G182" s="31">
        <v>50</v>
      </c>
      <c r="H182" s="12">
        <v>7479.78</v>
      </c>
      <c r="I182" s="8">
        <v>28</v>
      </c>
      <c r="J182" s="11">
        <f t="shared" si="25"/>
        <v>22</v>
      </c>
      <c r="K182" s="12">
        <f>(28*7479.78)</f>
        <v>209433.84</v>
      </c>
      <c r="L182" s="15">
        <f t="shared" si="26"/>
        <v>164555.16</v>
      </c>
      <c r="M182" s="8"/>
      <c r="N182" s="39" t="e">
        <f>#REF!-H182</f>
        <v>#REF!</v>
      </c>
    </row>
    <row r="183" spans="1:14" ht="15.75">
      <c r="A183" s="73"/>
      <c r="B183" s="14">
        <v>156</v>
      </c>
      <c r="C183" s="4" t="s">
        <v>209</v>
      </c>
      <c r="D183" s="12">
        <v>132000</v>
      </c>
      <c r="E183" s="12">
        <v>17595.599999999999</v>
      </c>
      <c r="F183" s="15">
        <f t="shared" si="27"/>
        <v>149595.6</v>
      </c>
      <c r="G183" s="30">
        <v>40</v>
      </c>
      <c r="H183" s="12">
        <v>3739.89</v>
      </c>
      <c r="I183" s="22">
        <v>44</v>
      </c>
      <c r="J183" s="11">
        <f t="shared" si="25"/>
        <v>-4</v>
      </c>
      <c r="K183" s="12">
        <f>(44*3739.89)</f>
        <v>164555.16</v>
      </c>
      <c r="L183" s="15">
        <f t="shared" si="26"/>
        <v>-14959.559999999998</v>
      </c>
      <c r="M183" s="8"/>
      <c r="N183" s="39" t="e">
        <f>#REF!-H183</f>
        <v>#REF!</v>
      </c>
    </row>
    <row r="184" spans="1:14" ht="15.75">
      <c r="A184" s="73"/>
      <c r="B184" s="14">
        <v>151</v>
      </c>
      <c r="C184" s="2" t="s">
        <v>180</v>
      </c>
      <c r="D184" s="15">
        <v>200000</v>
      </c>
      <c r="E184" s="15">
        <v>26660</v>
      </c>
      <c r="F184" s="15">
        <f t="shared" si="27"/>
        <v>226660</v>
      </c>
      <c r="G184" s="32">
        <v>40</v>
      </c>
      <c r="H184" s="15">
        <v>5666.5</v>
      </c>
      <c r="I184" s="22">
        <v>44</v>
      </c>
      <c r="J184" s="11">
        <f t="shared" si="25"/>
        <v>-4</v>
      </c>
      <c r="K184" s="15">
        <f>(44*5666.5)</f>
        <v>249326</v>
      </c>
      <c r="L184" s="15">
        <f t="shared" si="26"/>
        <v>-22666</v>
      </c>
      <c r="M184" s="10"/>
      <c r="N184" s="39" t="e">
        <f>#REF!-H184</f>
        <v>#REF!</v>
      </c>
    </row>
    <row r="185" spans="1:14" ht="15.75">
      <c r="A185" s="73"/>
      <c r="B185" s="14">
        <v>144</v>
      </c>
      <c r="C185" s="2" t="s">
        <v>83</v>
      </c>
      <c r="D185" s="12">
        <v>500000</v>
      </c>
      <c r="E185" s="12">
        <v>66650</v>
      </c>
      <c r="F185" s="15">
        <f t="shared" si="27"/>
        <v>566650</v>
      </c>
      <c r="G185" s="31">
        <v>50</v>
      </c>
      <c r="H185" s="12">
        <v>11333</v>
      </c>
      <c r="I185" s="8">
        <v>26</v>
      </c>
      <c r="J185" s="11">
        <f t="shared" si="25"/>
        <v>24</v>
      </c>
      <c r="K185" s="12">
        <f>(26*11333)</f>
        <v>294658</v>
      </c>
      <c r="L185" s="15">
        <f t="shared" si="26"/>
        <v>271992</v>
      </c>
      <c r="M185" s="8"/>
      <c r="N185" s="39" t="e">
        <f>#REF!-H185</f>
        <v>#REF!</v>
      </c>
    </row>
    <row r="186" spans="1:14" ht="15.75">
      <c r="A186" s="73"/>
      <c r="B186" s="14">
        <v>142</v>
      </c>
      <c r="C186" s="2" t="s">
        <v>178</v>
      </c>
      <c r="D186" s="15">
        <v>200000</v>
      </c>
      <c r="E186" s="15">
        <v>26660</v>
      </c>
      <c r="F186" s="15">
        <f t="shared" si="27"/>
        <v>226660</v>
      </c>
      <c r="G186" s="31">
        <v>40</v>
      </c>
      <c r="H186" s="15">
        <v>5666.5</v>
      </c>
      <c r="I186" s="8">
        <v>41</v>
      </c>
      <c r="J186" s="11">
        <f t="shared" si="25"/>
        <v>-1</v>
      </c>
      <c r="K186" s="12">
        <f>(41*5666.5)</f>
        <v>232326.5</v>
      </c>
      <c r="L186" s="15">
        <f t="shared" si="26"/>
        <v>-5666.5</v>
      </c>
      <c r="M186" s="8"/>
      <c r="N186" s="39" t="e">
        <f>#REF!-H186</f>
        <v>#REF!</v>
      </c>
    </row>
    <row r="187" spans="1:14" ht="15.75">
      <c r="A187" s="73"/>
      <c r="B187" s="14">
        <v>137</v>
      </c>
      <c r="C187" s="2" t="s">
        <v>81</v>
      </c>
      <c r="D187" s="12">
        <v>500000</v>
      </c>
      <c r="E187" s="12">
        <v>66650</v>
      </c>
      <c r="F187" s="15">
        <f t="shared" si="27"/>
        <v>566650</v>
      </c>
      <c r="G187" s="31">
        <v>50</v>
      </c>
      <c r="H187" s="12">
        <v>11333</v>
      </c>
      <c r="I187" s="8">
        <v>28</v>
      </c>
      <c r="J187" s="11">
        <f t="shared" si="25"/>
        <v>22</v>
      </c>
      <c r="K187" s="12">
        <f>(28*11333)</f>
        <v>317324</v>
      </c>
      <c r="L187" s="15">
        <f t="shared" si="26"/>
        <v>249326</v>
      </c>
      <c r="M187" s="8"/>
      <c r="N187" s="39" t="e">
        <f>#REF!-H187</f>
        <v>#REF!</v>
      </c>
    </row>
    <row r="188" spans="1:14" ht="15.75">
      <c r="A188" s="73"/>
      <c r="B188" s="14">
        <v>98</v>
      </c>
      <c r="C188" s="2" t="s">
        <v>163</v>
      </c>
      <c r="D188" s="15">
        <v>200000</v>
      </c>
      <c r="E188" s="15">
        <v>26660</v>
      </c>
      <c r="F188" s="15">
        <f t="shared" si="27"/>
        <v>226660</v>
      </c>
      <c r="G188" s="32">
        <v>40</v>
      </c>
      <c r="H188" s="15">
        <v>5666.5</v>
      </c>
      <c r="I188" s="22">
        <v>44</v>
      </c>
      <c r="J188" s="11">
        <f t="shared" si="25"/>
        <v>-4</v>
      </c>
      <c r="K188" s="15">
        <f>(44*5666.5)</f>
        <v>249326</v>
      </c>
      <c r="L188" s="15">
        <f t="shared" si="26"/>
        <v>-22666</v>
      </c>
      <c r="M188" s="10"/>
      <c r="N188" s="39" t="e">
        <f>#REF!-H188</f>
        <v>#REF!</v>
      </c>
    </row>
    <row r="189" spans="1:14" ht="15.75">
      <c r="A189" s="73"/>
      <c r="B189" s="14">
        <v>87</v>
      </c>
      <c r="C189" s="2" t="s">
        <v>235</v>
      </c>
      <c r="D189" s="12">
        <v>180000</v>
      </c>
      <c r="E189" s="12">
        <v>23994</v>
      </c>
      <c r="F189" s="12">
        <v>203994</v>
      </c>
      <c r="G189" s="30">
        <v>40</v>
      </c>
      <c r="H189" s="18">
        <v>5099.8500000000004</v>
      </c>
      <c r="I189" s="30">
        <v>44</v>
      </c>
      <c r="J189" s="11">
        <f t="shared" si="25"/>
        <v>-4</v>
      </c>
      <c r="K189" s="12">
        <f>(44*5099.85)</f>
        <v>224393.40000000002</v>
      </c>
      <c r="L189" s="15">
        <f t="shared" si="26"/>
        <v>-20399.400000000023</v>
      </c>
      <c r="M189" s="10"/>
      <c r="N189" s="39" t="e">
        <f>#REF!-H189</f>
        <v>#REF!</v>
      </c>
    </row>
    <row r="190" spans="1:14" ht="15.75">
      <c r="A190" s="73"/>
      <c r="B190" s="14">
        <v>79</v>
      </c>
      <c r="C190" s="2" t="s">
        <v>154</v>
      </c>
      <c r="D190" s="15">
        <v>200000</v>
      </c>
      <c r="E190" s="15">
        <v>26660</v>
      </c>
      <c r="F190" s="15">
        <f>SUM(D190:E190)</f>
        <v>226660</v>
      </c>
      <c r="G190" s="32">
        <v>40</v>
      </c>
      <c r="H190" s="15">
        <v>5666.5</v>
      </c>
      <c r="I190" s="22">
        <v>44</v>
      </c>
      <c r="J190" s="11">
        <f t="shared" si="25"/>
        <v>-4</v>
      </c>
      <c r="K190" s="15">
        <f>(44*5666.5)</f>
        <v>249326</v>
      </c>
      <c r="L190" s="15">
        <f t="shared" si="26"/>
        <v>-22666</v>
      </c>
      <c r="M190" s="10"/>
      <c r="N190" s="39" t="e">
        <f>#REF!-H190</f>
        <v>#REF!</v>
      </c>
    </row>
    <row r="191" spans="1:14" ht="15.75">
      <c r="A191" s="73"/>
      <c r="B191" s="14">
        <v>77</v>
      </c>
      <c r="C191" s="73" t="s">
        <v>257</v>
      </c>
      <c r="D191" s="15">
        <v>200000</v>
      </c>
      <c r="E191" s="15">
        <v>26660</v>
      </c>
      <c r="F191" s="15">
        <f>SUM(D191:E191)</f>
        <v>226660</v>
      </c>
      <c r="G191" s="32">
        <v>40</v>
      </c>
      <c r="H191" s="74">
        <v>5666.5</v>
      </c>
      <c r="I191" s="8"/>
      <c r="J191" s="11"/>
      <c r="K191" s="12"/>
      <c r="L191" s="15"/>
      <c r="M191" s="8"/>
      <c r="N191" s="39" t="e">
        <f>#REF!-H191</f>
        <v>#REF!</v>
      </c>
    </row>
    <row r="192" spans="1:14" ht="15.75">
      <c r="A192" s="73"/>
      <c r="B192" s="14">
        <v>75</v>
      </c>
      <c r="C192" s="2" t="s">
        <v>65</v>
      </c>
      <c r="D192" s="12">
        <v>500000</v>
      </c>
      <c r="E192" s="12">
        <v>66650</v>
      </c>
      <c r="F192" s="15">
        <f>SUM(D192:E192)</f>
        <v>566650</v>
      </c>
      <c r="G192" s="31">
        <v>50</v>
      </c>
      <c r="H192" s="12">
        <v>11333</v>
      </c>
      <c r="I192" s="8">
        <v>28</v>
      </c>
      <c r="J192" s="11">
        <f t="shared" ref="J192:J199" si="28">G192-I192</f>
        <v>22</v>
      </c>
      <c r="K192" s="12">
        <f>(28*11333)</f>
        <v>317324</v>
      </c>
      <c r="L192" s="15">
        <f t="shared" ref="L192:L199" si="29">F192-K192</f>
        <v>249326</v>
      </c>
      <c r="M192" s="8"/>
      <c r="N192" s="39" t="e">
        <f>#REF!-H192</f>
        <v>#REF!</v>
      </c>
    </row>
    <row r="193" spans="1:14" ht="15.75">
      <c r="A193" s="73"/>
      <c r="B193" s="14">
        <v>67</v>
      </c>
      <c r="C193" s="2" t="s">
        <v>152</v>
      </c>
      <c r="D193" s="15">
        <v>200000</v>
      </c>
      <c r="E193" s="15">
        <v>26660</v>
      </c>
      <c r="F193" s="15">
        <f>SUM(D193:E193)</f>
        <v>226660</v>
      </c>
      <c r="G193" s="32">
        <v>40</v>
      </c>
      <c r="H193" s="15">
        <v>5666.5</v>
      </c>
      <c r="I193" s="22">
        <v>44</v>
      </c>
      <c r="J193" s="11">
        <f t="shared" si="28"/>
        <v>-4</v>
      </c>
      <c r="K193" s="15">
        <f>(44*5666.5)</f>
        <v>249326</v>
      </c>
      <c r="L193" s="15">
        <f t="shared" si="29"/>
        <v>-22666</v>
      </c>
      <c r="M193" s="10"/>
      <c r="N193" s="39" t="e">
        <f>#REF!-H193</f>
        <v>#REF!</v>
      </c>
    </row>
    <row r="194" spans="1:14" ht="15.75">
      <c r="A194" s="73"/>
      <c r="B194" s="14">
        <v>68</v>
      </c>
      <c r="C194" s="2" t="s">
        <v>237</v>
      </c>
      <c r="D194" s="12">
        <v>132000</v>
      </c>
      <c r="E194" s="12">
        <v>17595.599999999999</v>
      </c>
      <c r="F194" s="12">
        <v>149595.6</v>
      </c>
      <c r="G194" s="30">
        <v>40</v>
      </c>
      <c r="H194" s="18">
        <v>3739.89</v>
      </c>
      <c r="I194" s="33">
        <v>32</v>
      </c>
      <c r="J194" s="11">
        <f t="shared" si="28"/>
        <v>8</v>
      </c>
      <c r="K194" s="12">
        <f>(32*3739.89)</f>
        <v>119676.48</v>
      </c>
      <c r="L194" s="15">
        <f t="shared" si="29"/>
        <v>29919.12000000001</v>
      </c>
      <c r="M194" s="8"/>
      <c r="N194" s="39" t="e">
        <f>#REF!-H194</f>
        <v>#REF!</v>
      </c>
    </row>
    <row r="195" spans="1:14" ht="15.75">
      <c r="A195" s="73"/>
      <c r="B195" s="14">
        <v>69</v>
      </c>
      <c r="C195" s="2" t="s">
        <v>153</v>
      </c>
      <c r="D195" s="15">
        <v>200000</v>
      </c>
      <c r="E195" s="15">
        <v>26660</v>
      </c>
      <c r="F195" s="15">
        <f t="shared" ref="F195:F204" si="30">SUM(D195:E195)</f>
        <v>226660</v>
      </c>
      <c r="G195" s="31">
        <v>40</v>
      </c>
      <c r="H195" s="15">
        <v>5666.5</v>
      </c>
      <c r="I195" s="8">
        <v>35</v>
      </c>
      <c r="J195" s="11">
        <f t="shared" si="28"/>
        <v>5</v>
      </c>
      <c r="K195" s="12">
        <f>(34*5666.5)</f>
        <v>192661</v>
      </c>
      <c r="L195" s="15">
        <f t="shared" si="29"/>
        <v>33999</v>
      </c>
      <c r="M195" s="8"/>
      <c r="N195" s="39" t="e">
        <f>#REF!-H195</f>
        <v>#REF!</v>
      </c>
    </row>
    <row r="196" spans="1:14" ht="15.75">
      <c r="A196" s="73"/>
      <c r="B196" s="14">
        <v>64</v>
      </c>
      <c r="C196" s="2" t="s">
        <v>211</v>
      </c>
      <c r="D196" s="12">
        <v>150000</v>
      </c>
      <c r="E196" s="12">
        <v>19995</v>
      </c>
      <c r="F196" s="15">
        <f t="shared" si="30"/>
        <v>169995</v>
      </c>
      <c r="G196" s="31">
        <v>50</v>
      </c>
      <c r="H196" s="12">
        <v>3399.9</v>
      </c>
      <c r="I196" s="8">
        <v>28</v>
      </c>
      <c r="J196" s="11">
        <f t="shared" si="28"/>
        <v>22</v>
      </c>
      <c r="K196" s="12">
        <f>(28*3399.9)</f>
        <v>95197.2</v>
      </c>
      <c r="L196" s="15">
        <f t="shared" si="29"/>
        <v>74797.8</v>
      </c>
      <c r="M196" s="8"/>
      <c r="N196" s="39" t="e">
        <f>#REF!-H196</f>
        <v>#REF!</v>
      </c>
    </row>
    <row r="197" spans="1:14" ht="15.75">
      <c r="A197" s="73"/>
      <c r="B197" s="14">
        <v>62</v>
      </c>
      <c r="C197" s="2" t="s">
        <v>194</v>
      </c>
      <c r="D197" s="12">
        <v>180000</v>
      </c>
      <c r="E197" s="12">
        <v>23994</v>
      </c>
      <c r="F197" s="15">
        <f t="shared" si="30"/>
        <v>203994</v>
      </c>
      <c r="G197" s="30">
        <v>40</v>
      </c>
      <c r="H197" s="12">
        <v>5099.8500000000004</v>
      </c>
      <c r="I197" s="22">
        <v>44</v>
      </c>
      <c r="J197" s="11">
        <f t="shared" si="28"/>
        <v>-4</v>
      </c>
      <c r="K197" s="12">
        <f>(44*5099.85)</f>
        <v>224393.40000000002</v>
      </c>
      <c r="L197" s="15">
        <f t="shared" si="29"/>
        <v>-20399.400000000023</v>
      </c>
      <c r="M197" s="10"/>
      <c r="N197" s="39" t="e">
        <f>#REF!-H197</f>
        <v>#REF!</v>
      </c>
    </row>
    <row r="198" spans="1:14" ht="15.75">
      <c r="A198" s="73"/>
      <c r="B198" s="14">
        <v>55</v>
      </c>
      <c r="C198" s="2" t="s">
        <v>145</v>
      </c>
      <c r="D198" s="15">
        <v>200000</v>
      </c>
      <c r="E198" s="15">
        <v>26660</v>
      </c>
      <c r="F198" s="15">
        <f t="shared" si="30"/>
        <v>226660</v>
      </c>
      <c r="G198" s="32">
        <v>40</v>
      </c>
      <c r="H198" s="15">
        <v>5666.5</v>
      </c>
      <c r="I198" s="22">
        <v>44</v>
      </c>
      <c r="J198" s="11">
        <f t="shared" si="28"/>
        <v>-4</v>
      </c>
      <c r="K198" s="15">
        <f>(44*5666.5)</f>
        <v>249326</v>
      </c>
      <c r="L198" s="15">
        <f t="shared" si="29"/>
        <v>-22666</v>
      </c>
      <c r="M198" s="10"/>
      <c r="N198" s="39" t="e">
        <f>#REF!-H198</f>
        <v>#REF!</v>
      </c>
    </row>
    <row r="199" spans="1:14" ht="15.75">
      <c r="A199" s="73"/>
      <c r="B199" s="14">
        <v>56</v>
      </c>
      <c r="C199" s="2" t="s">
        <v>146</v>
      </c>
      <c r="D199" s="15">
        <v>200000</v>
      </c>
      <c r="E199" s="15">
        <v>26660</v>
      </c>
      <c r="F199" s="15">
        <f t="shared" si="30"/>
        <v>226660</v>
      </c>
      <c r="G199" s="32">
        <v>40</v>
      </c>
      <c r="H199" s="15">
        <v>5666.5</v>
      </c>
      <c r="I199" s="22">
        <v>44</v>
      </c>
      <c r="J199" s="11">
        <f t="shared" si="28"/>
        <v>-4</v>
      </c>
      <c r="K199" s="15">
        <f>(44*5666.5)</f>
        <v>249326</v>
      </c>
      <c r="L199" s="15">
        <f t="shared" si="29"/>
        <v>-22666</v>
      </c>
      <c r="M199" s="10"/>
      <c r="N199" s="39" t="e">
        <f>#REF!-H199</f>
        <v>#REF!</v>
      </c>
    </row>
    <row r="200" spans="1:14" ht="15.75">
      <c r="A200" s="73"/>
      <c r="B200" s="14">
        <v>179</v>
      </c>
      <c r="C200" s="2" t="s">
        <v>93</v>
      </c>
      <c r="D200" s="12">
        <v>500000</v>
      </c>
      <c r="E200" s="12">
        <v>66650</v>
      </c>
      <c r="F200" s="15">
        <f t="shared" si="30"/>
        <v>566650</v>
      </c>
      <c r="G200" s="31">
        <v>50</v>
      </c>
      <c r="H200" s="12">
        <v>11333</v>
      </c>
      <c r="I200" s="8">
        <v>41</v>
      </c>
      <c r="J200" s="11">
        <f t="shared" ref="J200:J212" si="31">G200-I200</f>
        <v>9</v>
      </c>
      <c r="K200" s="12">
        <f>(41*11333)</f>
        <v>464653</v>
      </c>
      <c r="L200" s="15">
        <f t="shared" ref="L200:L212" si="32">F200-K200</f>
        <v>101997</v>
      </c>
      <c r="M200" s="8"/>
      <c r="N200" s="39" t="e">
        <f>#REF!-H200</f>
        <v>#REF!</v>
      </c>
    </row>
    <row r="201" spans="1:14" ht="15.75">
      <c r="A201" s="73"/>
      <c r="B201" s="14">
        <v>174</v>
      </c>
      <c r="C201" s="2" t="s">
        <v>119</v>
      </c>
      <c r="D201" s="12">
        <v>330000</v>
      </c>
      <c r="E201" s="16">
        <v>43989</v>
      </c>
      <c r="F201" s="15">
        <f t="shared" si="30"/>
        <v>373989</v>
      </c>
      <c r="G201" s="33">
        <v>50</v>
      </c>
      <c r="H201" s="16">
        <v>7479.78</v>
      </c>
      <c r="I201" s="11">
        <v>19</v>
      </c>
      <c r="J201" s="11">
        <f t="shared" si="31"/>
        <v>31</v>
      </c>
      <c r="K201" s="12">
        <f>(19*7479.78)</f>
        <v>142115.82</v>
      </c>
      <c r="L201" s="15">
        <f t="shared" si="32"/>
        <v>231873.18</v>
      </c>
      <c r="M201" s="8"/>
      <c r="N201" s="39" t="e">
        <f>#REF!-H201</f>
        <v>#REF!</v>
      </c>
    </row>
    <row r="202" spans="1:14" ht="15.75">
      <c r="A202" s="73"/>
      <c r="B202" s="14">
        <v>152</v>
      </c>
      <c r="C202" s="4" t="s">
        <v>102</v>
      </c>
      <c r="D202" s="12">
        <v>450000</v>
      </c>
      <c r="E202" s="12">
        <v>59985</v>
      </c>
      <c r="F202" s="15">
        <f t="shared" si="30"/>
        <v>509985</v>
      </c>
      <c r="G202" s="31">
        <v>50</v>
      </c>
      <c r="H202" s="12">
        <v>10199.700000000001</v>
      </c>
      <c r="I202" s="11">
        <v>20</v>
      </c>
      <c r="J202" s="11">
        <f t="shared" si="31"/>
        <v>30</v>
      </c>
      <c r="K202" s="12">
        <f>(20*10199.7)</f>
        <v>203994</v>
      </c>
      <c r="L202" s="15">
        <f t="shared" si="32"/>
        <v>305991</v>
      </c>
      <c r="M202" s="8"/>
      <c r="N202" s="39" t="e">
        <f>#REF!-H202</f>
        <v>#REF!</v>
      </c>
    </row>
    <row r="203" spans="1:14" ht="15.75">
      <c r="A203" s="73"/>
      <c r="B203" s="14">
        <v>167</v>
      </c>
      <c r="C203" s="2" t="s">
        <v>184</v>
      </c>
      <c r="D203" s="15">
        <v>200000</v>
      </c>
      <c r="E203" s="15">
        <v>26660</v>
      </c>
      <c r="F203" s="15">
        <f t="shared" si="30"/>
        <v>226660</v>
      </c>
      <c r="G203" s="31">
        <v>40</v>
      </c>
      <c r="H203" s="15">
        <v>5666.5</v>
      </c>
      <c r="I203" s="8">
        <v>37</v>
      </c>
      <c r="J203" s="11">
        <f t="shared" si="31"/>
        <v>3</v>
      </c>
      <c r="K203" s="12">
        <f>(37*5666.5)</f>
        <v>209660.5</v>
      </c>
      <c r="L203" s="15">
        <f t="shared" si="32"/>
        <v>16999.5</v>
      </c>
      <c r="M203" s="8"/>
      <c r="N203" s="39" t="e">
        <f>#REF!-H203</f>
        <v>#REF!</v>
      </c>
    </row>
    <row r="204" spans="1:14" ht="15.75">
      <c r="A204" s="73"/>
      <c r="B204" s="14">
        <v>147</v>
      </c>
      <c r="C204" s="2" t="s">
        <v>114</v>
      </c>
      <c r="D204" s="12">
        <v>330000</v>
      </c>
      <c r="E204" s="12">
        <v>43989</v>
      </c>
      <c r="F204" s="15">
        <f t="shared" si="30"/>
        <v>373989</v>
      </c>
      <c r="G204" s="31">
        <v>50</v>
      </c>
      <c r="H204" s="12">
        <v>7479.78</v>
      </c>
      <c r="I204" s="8">
        <v>27</v>
      </c>
      <c r="J204" s="11">
        <f t="shared" si="31"/>
        <v>23</v>
      </c>
      <c r="K204" s="12">
        <f>(27*7479.78)</f>
        <v>201954.06</v>
      </c>
      <c r="L204" s="15">
        <f t="shared" si="32"/>
        <v>172034.94</v>
      </c>
      <c r="M204" s="8"/>
      <c r="N204" s="39" t="e">
        <f>#REF!-H204</f>
        <v>#REF!</v>
      </c>
    </row>
    <row r="205" spans="1:14" ht="15.75">
      <c r="A205" s="73"/>
      <c r="B205" s="14">
        <v>142</v>
      </c>
      <c r="C205" s="23" t="s">
        <v>238</v>
      </c>
      <c r="D205" s="12">
        <v>132000</v>
      </c>
      <c r="E205" s="12">
        <v>17595.599999999999</v>
      </c>
      <c r="F205" s="12">
        <v>149595.6</v>
      </c>
      <c r="G205" s="30">
        <v>40</v>
      </c>
      <c r="H205" s="18">
        <v>3739.89</v>
      </c>
      <c r="I205" s="30">
        <v>43</v>
      </c>
      <c r="J205" s="11">
        <f t="shared" si="31"/>
        <v>-3</v>
      </c>
      <c r="K205" s="12">
        <f>(43*3739.89)</f>
        <v>160815.26999999999</v>
      </c>
      <c r="L205" s="15">
        <f t="shared" si="32"/>
        <v>-11219.669999999984</v>
      </c>
      <c r="M205" s="10"/>
      <c r="N205" s="39" t="e">
        <f>#REF!-H205</f>
        <v>#REF!</v>
      </c>
    </row>
    <row r="206" spans="1:14">
      <c r="B206" s="14">
        <v>135</v>
      </c>
      <c r="C206" s="2" t="s">
        <v>98</v>
      </c>
      <c r="D206" s="12">
        <v>450000</v>
      </c>
      <c r="E206" s="16">
        <v>59985</v>
      </c>
      <c r="F206" s="15">
        <f t="shared" ref="F206:F211" si="33">SUM(D206:E206)</f>
        <v>509985</v>
      </c>
      <c r="G206" s="33">
        <v>50</v>
      </c>
      <c r="H206" s="38">
        <v>10199.700000000001</v>
      </c>
      <c r="I206" s="8">
        <v>6</v>
      </c>
      <c r="J206" s="11">
        <f t="shared" si="31"/>
        <v>44</v>
      </c>
      <c r="K206" s="12">
        <f>(6*10199.7)</f>
        <v>61198.200000000004</v>
      </c>
      <c r="L206" s="15">
        <f t="shared" si="32"/>
        <v>448786.8</v>
      </c>
      <c r="M206" s="8"/>
      <c r="N206" s="39" t="e">
        <f>#REF!-H206</f>
        <v>#REF!</v>
      </c>
    </row>
    <row r="207" spans="1:14">
      <c r="B207" s="14">
        <v>133</v>
      </c>
      <c r="C207" s="2" t="s">
        <v>177</v>
      </c>
      <c r="D207" s="15">
        <v>200000</v>
      </c>
      <c r="E207" s="15">
        <v>26660</v>
      </c>
      <c r="F207" s="15">
        <f t="shared" si="33"/>
        <v>226660</v>
      </c>
      <c r="G207" s="31">
        <v>40</v>
      </c>
      <c r="H207" s="15">
        <v>5666.5</v>
      </c>
      <c r="I207" s="8">
        <v>33</v>
      </c>
      <c r="J207" s="11">
        <f t="shared" si="31"/>
        <v>7</v>
      </c>
      <c r="K207" s="12">
        <f>(33*5666.5)</f>
        <v>186994.5</v>
      </c>
      <c r="L207" s="15">
        <f t="shared" si="32"/>
        <v>39665.5</v>
      </c>
      <c r="M207" s="8"/>
      <c r="N207" s="39" t="e">
        <f>#REF!-H207</f>
        <v>#REF!</v>
      </c>
    </row>
    <row r="208" spans="1:14">
      <c r="B208" s="14">
        <v>120</v>
      </c>
      <c r="C208" s="2" t="s">
        <v>76</v>
      </c>
      <c r="D208" s="12">
        <v>500000</v>
      </c>
      <c r="E208" s="12">
        <v>66650</v>
      </c>
      <c r="F208" s="15">
        <f t="shared" si="33"/>
        <v>566650</v>
      </c>
      <c r="G208" s="33">
        <v>50</v>
      </c>
      <c r="H208" s="12">
        <v>11333</v>
      </c>
      <c r="I208" s="11">
        <v>19</v>
      </c>
      <c r="J208" s="11">
        <f t="shared" si="31"/>
        <v>31</v>
      </c>
      <c r="K208" s="12">
        <f>(19*11333)</f>
        <v>215327</v>
      </c>
      <c r="L208" s="15">
        <f t="shared" si="32"/>
        <v>351323</v>
      </c>
      <c r="M208" s="8"/>
      <c r="N208" s="39" t="e">
        <f>#REF!-H208</f>
        <v>#REF!</v>
      </c>
    </row>
    <row r="209" spans="2:14">
      <c r="B209" s="14">
        <v>110</v>
      </c>
      <c r="C209" s="2" t="s">
        <v>171</v>
      </c>
      <c r="D209" s="15">
        <v>200000</v>
      </c>
      <c r="E209" s="15">
        <v>26660</v>
      </c>
      <c r="F209" s="15">
        <f t="shared" si="33"/>
        <v>226660</v>
      </c>
      <c r="G209" s="31">
        <v>40</v>
      </c>
      <c r="H209" s="15">
        <v>5666.5</v>
      </c>
      <c r="I209" s="8">
        <v>34</v>
      </c>
      <c r="J209" s="11">
        <f t="shared" si="31"/>
        <v>6</v>
      </c>
      <c r="K209" s="12">
        <f>(33*5666.5)</f>
        <v>186994.5</v>
      </c>
      <c r="L209" s="15">
        <f t="shared" si="32"/>
        <v>39665.5</v>
      </c>
      <c r="M209" s="8"/>
      <c r="N209" s="39" t="e">
        <f>#REF!-H209</f>
        <v>#REF!</v>
      </c>
    </row>
    <row r="210" spans="2:14">
      <c r="B210" s="14">
        <v>73</v>
      </c>
      <c r="C210" s="2" t="s">
        <v>195</v>
      </c>
      <c r="D210" s="12">
        <v>180000</v>
      </c>
      <c r="E210" s="12">
        <v>23994</v>
      </c>
      <c r="F210" s="15">
        <f t="shared" si="33"/>
        <v>203994</v>
      </c>
      <c r="G210" s="31">
        <v>40</v>
      </c>
      <c r="H210" s="12">
        <v>5099.8500000000004</v>
      </c>
      <c r="I210" s="8">
        <v>40</v>
      </c>
      <c r="J210" s="11">
        <f t="shared" si="31"/>
        <v>0</v>
      </c>
      <c r="K210" s="12">
        <f>(40*5099.85)</f>
        <v>203994</v>
      </c>
      <c r="L210" s="15">
        <f t="shared" si="32"/>
        <v>0</v>
      </c>
      <c r="M210" s="8"/>
      <c r="N210" s="39" t="e">
        <f>#REF!-H210</f>
        <v>#REF!</v>
      </c>
    </row>
    <row r="211" spans="2:14">
      <c r="B211" s="14">
        <v>70</v>
      </c>
      <c r="C211" s="2" t="s">
        <v>66</v>
      </c>
      <c r="D211" s="12">
        <v>500000</v>
      </c>
      <c r="E211" s="12">
        <v>66650</v>
      </c>
      <c r="F211" s="15">
        <f t="shared" si="33"/>
        <v>566650</v>
      </c>
      <c r="G211" s="31">
        <v>50</v>
      </c>
      <c r="H211" s="18">
        <v>11333</v>
      </c>
      <c r="I211" s="8">
        <v>9</v>
      </c>
      <c r="J211" s="11">
        <f t="shared" si="31"/>
        <v>41</v>
      </c>
      <c r="K211" s="12">
        <f>(9*11333)</f>
        <v>101997</v>
      </c>
      <c r="L211" s="15">
        <f t="shared" si="32"/>
        <v>464653</v>
      </c>
      <c r="M211" s="8"/>
      <c r="N211" s="39" t="e">
        <f>#REF!-H211</f>
        <v>#REF!</v>
      </c>
    </row>
    <row r="212" spans="2:14">
      <c r="B212" s="14">
        <v>81</v>
      </c>
      <c r="C212" s="2" t="s">
        <v>22</v>
      </c>
      <c r="D212" s="18">
        <v>500000</v>
      </c>
      <c r="E212" s="18">
        <v>66650</v>
      </c>
      <c r="F212" s="18">
        <v>566650</v>
      </c>
      <c r="G212" s="33">
        <v>50</v>
      </c>
      <c r="H212" s="16">
        <v>11333</v>
      </c>
      <c r="I212" s="8">
        <v>5</v>
      </c>
      <c r="J212" s="11">
        <f t="shared" si="31"/>
        <v>45</v>
      </c>
      <c r="K212" s="12">
        <f>(5*11333)</f>
        <v>56665</v>
      </c>
      <c r="L212" s="12">
        <f t="shared" si="32"/>
        <v>509985</v>
      </c>
      <c r="M212" s="8"/>
      <c r="N212" s="39" t="e">
        <f>#REF!-H212</f>
        <v>#REF!</v>
      </c>
    </row>
    <row r="213" spans="2:14">
      <c r="B213" s="14">
        <v>5</v>
      </c>
      <c r="C213" s="4" t="s">
        <v>189</v>
      </c>
      <c r="D213" s="12">
        <v>180000</v>
      </c>
      <c r="E213" s="12">
        <v>23994</v>
      </c>
      <c r="F213" s="15">
        <f t="shared" ref="F213:F222" si="34">SUM(D213:E213)</f>
        <v>203994</v>
      </c>
      <c r="G213" s="31">
        <v>40</v>
      </c>
      <c r="H213" s="12">
        <v>5099.8500000000004</v>
      </c>
      <c r="I213" s="8">
        <v>32</v>
      </c>
      <c r="J213" s="11">
        <f t="shared" ref="J213:J222" si="35">G213-I213</f>
        <v>8</v>
      </c>
      <c r="K213" s="12">
        <f>(32*5099.85)</f>
        <v>163195.20000000001</v>
      </c>
      <c r="L213" s="15">
        <f t="shared" ref="L213:L222" si="36">F213-K213</f>
        <v>40798.799999999988</v>
      </c>
      <c r="M213" s="8"/>
      <c r="N213" s="39" t="e">
        <f>#REF!-H213</f>
        <v>#REF!</v>
      </c>
    </row>
    <row r="214" spans="2:14">
      <c r="B214" s="14">
        <v>9</v>
      </c>
      <c r="C214" s="2" t="s">
        <v>190</v>
      </c>
      <c r="D214" s="12">
        <v>180000</v>
      </c>
      <c r="E214" s="12">
        <v>23994</v>
      </c>
      <c r="F214" s="15">
        <f t="shared" si="34"/>
        <v>203994</v>
      </c>
      <c r="G214" s="30">
        <v>40</v>
      </c>
      <c r="H214" s="12">
        <v>5099.8500000000004</v>
      </c>
      <c r="I214" s="22">
        <v>43</v>
      </c>
      <c r="J214" s="11">
        <f t="shared" si="35"/>
        <v>-3</v>
      </c>
      <c r="K214" s="12">
        <f>(43*5099.85)</f>
        <v>219293.55000000002</v>
      </c>
      <c r="L214" s="15">
        <f t="shared" si="36"/>
        <v>-15299.550000000017</v>
      </c>
      <c r="M214" s="10"/>
      <c r="N214" s="39" t="e">
        <f>#REF!-H214</f>
        <v>#REF!</v>
      </c>
    </row>
    <row r="215" spans="2:14">
      <c r="B215" s="14">
        <v>148</v>
      </c>
      <c r="C215" s="2" t="s">
        <v>175</v>
      </c>
      <c r="D215" s="15">
        <v>200000</v>
      </c>
      <c r="E215" s="15">
        <v>26660</v>
      </c>
      <c r="F215" s="15">
        <f t="shared" si="34"/>
        <v>226660</v>
      </c>
      <c r="G215" s="32">
        <v>40</v>
      </c>
      <c r="H215" s="15">
        <v>5666.5</v>
      </c>
      <c r="I215" s="22">
        <v>43</v>
      </c>
      <c r="J215" s="11">
        <f t="shared" si="35"/>
        <v>-3</v>
      </c>
      <c r="K215" s="15">
        <f>(43*5666.5)</f>
        <v>243659.5</v>
      </c>
      <c r="L215" s="15">
        <f t="shared" si="36"/>
        <v>-16999.5</v>
      </c>
      <c r="M215" s="10"/>
      <c r="N215" s="39" t="e">
        <f>#REF!-H215</f>
        <v>#REF!</v>
      </c>
    </row>
    <row r="216" spans="2:14">
      <c r="B216" s="14">
        <v>11</v>
      </c>
      <c r="C216" s="2" t="s">
        <v>191</v>
      </c>
      <c r="D216" s="12">
        <v>180000</v>
      </c>
      <c r="E216" s="12">
        <v>23994</v>
      </c>
      <c r="F216" s="15">
        <f t="shared" si="34"/>
        <v>203994</v>
      </c>
      <c r="G216" s="30">
        <v>40</v>
      </c>
      <c r="H216" s="12">
        <v>5099.8500000000004</v>
      </c>
      <c r="I216" s="22">
        <v>43</v>
      </c>
      <c r="J216" s="11">
        <f t="shared" si="35"/>
        <v>-3</v>
      </c>
      <c r="K216" s="12">
        <f>(43*5099.85)</f>
        <v>219293.55000000002</v>
      </c>
      <c r="L216" s="15">
        <f t="shared" si="36"/>
        <v>-15299.550000000017</v>
      </c>
      <c r="M216" s="10"/>
      <c r="N216" s="39" t="e">
        <f>#REF!-H216</f>
        <v>#REF!</v>
      </c>
    </row>
    <row r="217" spans="2:14">
      <c r="B217" s="14">
        <v>12</v>
      </c>
      <c r="C217" s="2" t="s">
        <v>52</v>
      </c>
      <c r="D217" s="12">
        <v>500000</v>
      </c>
      <c r="E217" s="12">
        <v>66650</v>
      </c>
      <c r="F217" s="15">
        <f t="shared" si="34"/>
        <v>566650</v>
      </c>
      <c r="G217" s="31">
        <v>50</v>
      </c>
      <c r="H217" s="18">
        <v>11333</v>
      </c>
      <c r="I217" s="31">
        <v>28</v>
      </c>
      <c r="J217" s="11">
        <f t="shared" si="35"/>
        <v>22</v>
      </c>
      <c r="K217" s="12">
        <f>(28*11333)</f>
        <v>317324</v>
      </c>
      <c r="L217" s="15">
        <f t="shared" si="36"/>
        <v>249326</v>
      </c>
      <c r="M217" s="8"/>
      <c r="N217" s="39" t="e">
        <f>#REF!-H217</f>
        <v>#REF!</v>
      </c>
    </row>
    <row r="218" spans="2:14">
      <c r="B218" s="14">
        <v>173</v>
      </c>
      <c r="C218" s="4" t="s">
        <v>219</v>
      </c>
      <c r="D218" s="12">
        <v>60000</v>
      </c>
      <c r="E218" s="12">
        <v>7998</v>
      </c>
      <c r="F218" s="15">
        <f t="shared" si="34"/>
        <v>67998</v>
      </c>
      <c r="G218" s="31">
        <v>40</v>
      </c>
      <c r="H218" s="12">
        <v>1699.95</v>
      </c>
      <c r="I218" s="8">
        <v>34</v>
      </c>
      <c r="J218" s="11">
        <f t="shared" si="35"/>
        <v>6</v>
      </c>
      <c r="K218" s="12">
        <f>(34*1699.95)</f>
        <v>57798.3</v>
      </c>
      <c r="L218" s="15">
        <f t="shared" si="36"/>
        <v>10199.699999999997</v>
      </c>
      <c r="M218" s="8"/>
      <c r="N218" s="39" t="e">
        <f>#REF!-H218</f>
        <v>#REF!</v>
      </c>
    </row>
    <row r="219" spans="2:14">
      <c r="B219" s="14">
        <v>176</v>
      </c>
      <c r="C219" s="2" t="s">
        <v>101</v>
      </c>
      <c r="D219" s="12">
        <v>450000</v>
      </c>
      <c r="E219" s="16">
        <v>59985</v>
      </c>
      <c r="F219" s="15">
        <f t="shared" si="34"/>
        <v>509985</v>
      </c>
      <c r="G219" s="33">
        <v>50</v>
      </c>
      <c r="H219" s="16">
        <v>10199.700000000001</v>
      </c>
      <c r="I219" s="8">
        <v>19</v>
      </c>
      <c r="J219" s="11">
        <f t="shared" si="35"/>
        <v>31</v>
      </c>
      <c r="K219" s="12">
        <f>(19*10199.7)</f>
        <v>193794.30000000002</v>
      </c>
      <c r="L219" s="15">
        <f t="shared" si="36"/>
        <v>316190.69999999995</v>
      </c>
      <c r="M219" s="8"/>
      <c r="N219" s="39" t="e">
        <f>#REF!-H219</f>
        <v>#REF!</v>
      </c>
    </row>
    <row r="220" spans="2:14">
      <c r="B220" s="14">
        <v>14</v>
      </c>
      <c r="C220" s="2" t="s">
        <v>126</v>
      </c>
      <c r="D220" s="15">
        <v>200000</v>
      </c>
      <c r="E220" s="15">
        <v>26660</v>
      </c>
      <c r="F220" s="15">
        <f t="shared" si="34"/>
        <v>226660</v>
      </c>
      <c r="G220" s="32">
        <v>40</v>
      </c>
      <c r="H220" s="15">
        <v>5666.5</v>
      </c>
      <c r="I220" s="22">
        <v>44</v>
      </c>
      <c r="J220" s="11">
        <f t="shared" si="35"/>
        <v>-4</v>
      </c>
      <c r="K220" s="15">
        <f>(44*5666.5)</f>
        <v>249326</v>
      </c>
      <c r="L220" s="15">
        <f t="shared" si="36"/>
        <v>-22666</v>
      </c>
      <c r="M220" s="10"/>
      <c r="N220" s="39" t="e">
        <f>#REF!-H220</f>
        <v>#REF!</v>
      </c>
    </row>
    <row r="221" spans="2:14">
      <c r="B221" s="14">
        <v>18</v>
      </c>
      <c r="C221" s="2" t="s">
        <v>214</v>
      </c>
      <c r="D221" s="12">
        <v>60000</v>
      </c>
      <c r="E221" s="12">
        <v>7998</v>
      </c>
      <c r="F221" s="15">
        <f t="shared" si="34"/>
        <v>67998</v>
      </c>
      <c r="G221" s="31">
        <v>40</v>
      </c>
      <c r="H221" s="12">
        <v>1699.95</v>
      </c>
      <c r="I221" s="8">
        <v>44</v>
      </c>
      <c r="J221" s="11">
        <f t="shared" si="35"/>
        <v>-4</v>
      </c>
      <c r="K221" s="12">
        <f>(44*1699.95)</f>
        <v>74797.8</v>
      </c>
      <c r="L221" s="15">
        <f t="shared" si="36"/>
        <v>-6799.8000000000029</v>
      </c>
      <c r="M221" s="8"/>
      <c r="N221" s="39" t="e">
        <f>#REF!-H221</f>
        <v>#REF!</v>
      </c>
    </row>
    <row r="222" spans="2:14">
      <c r="B222" s="14">
        <v>45</v>
      </c>
      <c r="C222" s="25" t="s">
        <v>94</v>
      </c>
      <c r="D222" s="12">
        <v>450000</v>
      </c>
      <c r="E222" s="12">
        <v>59985</v>
      </c>
      <c r="F222" s="15">
        <f t="shared" si="34"/>
        <v>509985</v>
      </c>
      <c r="G222" s="31">
        <v>50</v>
      </c>
      <c r="H222" s="12">
        <v>10199.700000000001</v>
      </c>
      <c r="I222" s="8">
        <v>26</v>
      </c>
      <c r="J222" s="11">
        <f t="shared" si="35"/>
        <v>24</v>
      </c>
      <c r="K222" s="12">
        <f>(26*10199.7)</f>
        <v>265192.2</v>
      </c>
      <c r="L222" s="15">
        <f t="shared" si="36"/>
        <v>244792.8</v>
      </c>
      <c r="M222" s="8"/>
      <c r="N222" s="39" t="e">
        <f>#REF!-H222</f>
        <v>#REF!</v>
      </c>
    </row>
    <row r="224" spans="2:14">
      <c r="B224" s="14">
        <v>7</v>
      </c>
      <c r="C224" s="25" t="s">
        <v>43</v>
      </c>
      <c r="D224" s="12">
        <v>330000</v>
      </c>
      <c r="E224" s="12">
        <v>21114.720000000001</v>
      </c>
      <c r="F224" s="15">
        <f>SUM(D224:E224)</f>
        <v>351114.72</v>
      </c>
      <c r="G224" s="31">
        <v>24</v>
      </c>
      <c r="H224" s="12">
        <v>14629.78</v>
      </c>
      <c r="I224" s="11">
        <v>20</v>
      </c>
      <c r="J224" s="11">
        <f t="shared" ref="J224:J230" si="37">G224-I224</f>
        <v>4</v>
      </c>
      <c r="K224" s="16">
        <f>(20*14629.78)</f>
        <v>292595.60000000003</v>
      </c>
      <c r="L224" s="15">
        <f t="shared" ref="L224:L230" si="38">F224-K224</f>
        <v>58519.119999999937</v>
      </c>
      <c r="M224" s="8"/>
      <c r="N224" s="39" t="e">
        <f>#REF!-H224</f>
        <v>#REF!</v>
      </c>
    </row>
    <row r="225" spans="2:14">
      <c r="B225" s="14">
        <v>15</v>
      </c>
      <c r="C225" s="2" t="s">
        <v>129</v>
      </c>
      <c r="D225" s="15">
        <v>200000</v>
      </c>
      <c r="E225" s="15">
        <v>26660</v>
      </c>
      <c r="F225" s="15">
        <f>SUM(D225:E225)</f>
        <v>226660</v>
      </c>
      <c r="G225" s="31">
        <v>40</v>
      </c>
      <c r="H225" s="15">
        <v>5666.5</v>
      </c>
      <c r="I225" s="8">
        <v>37</v>
      </c>
      <c r="J225" s="11">
        <f t="shared" si="37"/>
        <v>3</v>
      </c>
      <c r="K225" s="12">
        <f>(37*5666.5)</f>
        <v>209660.5</v>
      </c>
      <c r="L225" s="15">
        <f t="shared" si="38"/>
        <v>16999.5</v>
      </c>
      <c r="M225" s="8"/>
      <c r="N225" s="39" t="e">
        <f>#REF!-H225</f>
        <v>#REF!</v>
      </c>
    </row>
    <row r="226" spans="2:14">
      <c r="B226" s="14">
        <v>18</v>
      </c>
      <c r="C226" s="2" t="s">
        <v>215</v>
      </c>
      <c r="D226" s="12">
        <v>60000</v>
      </c>
      <c r="E226" s="12">
        <v>7998</v>
      </c>
      <c r="F226" s="15">
        <f>SUM(D226:E226)</f>
        <v>67998</v>
      </c>
      <c r="G226" s="31">
        <v>40</v>
      </c>
      <c r="H226" s="12">
        <v>1699.95</v>
      </c>
      <c r="I226" s="8">
        <v>43</v>
      </c>
      <c r="J226" s="11">
        <f t="shared" si="37"/>
        <v>-3</v>
      </c>
      <c r="K226" s="12">
        <f>(43*1699.95)</f>
        <v>73097.850000000006</v>
      </c>
      <c r="L226" s="15">
        <f t="shared" si="38"/>
        <v>-5099.8500000000058</v>
      </c>
      <c r="M226" s="8"/>
      <c r="N226" s="39" t="e">
        <f>#REF!-H226</f>
        <v>#REF!</v>
      </c>
    </row>
    <row r="227" spans="2:14">
      <c r="B227" s="14">
        <v>45</v>
      </c>
      <c r="C227" s="2" t="s">
        <v>109</v>
      </c>
      <c r="D227" s="12">
        <v>330000</v>
      </c>
      <c r="E227" s="16">
        <v>43989</v>
      </c>
      <c r="F227" s="15">
        <f>SUM(D227:E227)</f>
        <v>373989</v>
      </c>
      <c r="G227" s="33">
        <v>50</v>
      </c>
      <c r="H227" s="16">
        <v>7479.78</v>
      </c>
      <c r="I227" s="11">
        <v>19</v>
      </c>
      <c r="J227" s="11">
        <f t="shared" si="37"/>
        <v>31</v>
      </c>
      <c r="K227" s="12">
        <f>(19*7479.78)</f>
        <v>142115.82</v>
      </c>
      <c r="L227" s="15">
        <f t="shared" si="38"/>
        <v>231873.18</v>
      </c>
      <c r="M227" s="8"/>
      <c r="N227" s="39" t="e">
        <f>#REF!-H227</f>
        <v>#REF!</v>
      </c>
    </row>
    <row r="228" spans="2:14">
      <c r="B228" s="14">
        <v>52</v>
      </c>
      <c r="C228" s="17" t="s">
        <v>31</v>
      </c>
      <c r="D228" s="20">
        <v>330000</v>
      </c>
      <c r="E228" s="20">
        <v>43989</v>
      </c>
      <c r="F228" s="20">
        <f>SUM(D228:E228)</f>
        <v>373989</v>
      </c>
      <c r="G228" s="33">
        <v>50</v>
      </c>
      <c r="H228" s="3">
        <v>7479.78</v>
      </c>
      <c r="I228" s="8">
        <v>6</v>
      </c>
      <c r="J228" s="11">
        <f t="shared" si="37"/>
        <v>44</v>
      </c>
      <c r="K228" s="3">
        <f>(6*7479.78)</f>
        <v>44878.68</v>
      </c>
      <c r="L228" s="12">
        <f t="shared" si="38"/>
        <v>329110.32</v>
      </c>
      <c r="M228" s="1"/>
      <c r="N228" s="39" t="e">
        <f>#REF!-H228</f>
        <v>#REF!</v>
      </c>
    </row>
    <row r="229" spans="2:14">
      <c r="B229" s="14">
        <v>53</v>
      </c>
      <c r="C229" s="2" t="s">
        <v>227</v>
      </c>
      <c r="D229" s="15">
        <v>200000</v>
      </c>
      <c r="E229" s="15">
        <v>26660</v>
      </c>
      <c r="F229" s="15">
        <v>226660</v>
      </c>
      <c r="G229" s="31">
        <v>40</v>
      </c>
      <c r="H229" s="18">
        <v>5666.5</v>
      </c>
      <c r="I229" s="31">
        <v>33</v>
      </c>
      <c r="J229" s="11">
        <f t="shared" si="37"/>
        <v>7</v>
      </c>
      <c r="K229" s="12">
        <f>(33*5666.5)</f>
        <v>186994.5</v>
      </c>
      <c r="L229" s="15">
        <f t="shared" si="38"/>
        <v>39665.5</v>
      </c>
      <c r="M229" s="8"/>
      <c r="N229" s="39" t="e">
        <f>#REF!-H229</f>
        <v>#REF!</v>
      </c>
    </row>
    <row r="230" spans="2:14">
      <c r="B230" s="14">
        <v>54</v>
      </c>
      <c r="C230" s="25" t="s">
        <v>110</v>
      </c>
      <c r="D230" s="12">
        <v>330000</v>
      </c>
      <c r="E230" s="16">
        <v>43989</v>
      </c>
      <c r="F230" s="15">
        <f>SUM(D230:E230)</f>
        <v>373989</v>
      </c>
      <c r="G230" s="33">
        <v>50</v>
      </c>
      <c r="H230" s="16">
        <v>7479.78</v>
      </c>
      <c r="I230" s="8">
        <v>29</v>
      </c>
      <c r="J230" s="11">
        <f t="shared" si="37"/>
        <v>21</v>
      </c>
      <c r="K230" s="12">
        <f>(29*7479.78)</f>
        <v>216913.62</v>
      </c>
      <c r="L230" s="15">
        <f t="shared" si="38"/>
        <v>157075.38</v>
      </c>
      <c r="M230" s="8"/>
      <c r="N230" s="39" t="e">
        <f>#REF!-H230</f>
        <v>#REF!</v>
      </c>
    </row>
    <row r="231" spans="2:14" ht="20.25">
      <c r="B231" s="59" t="s">
        <v>245</v>
      </c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</row>
    <row r="232" spans="2:14" ht="18">
      <c r="B232" s="58" t="s">
        <v>246</v>
      </c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</row>
    <row r="233" spans="2:14" ht="18">
      <c r="B233" s="60" t="s">
        <v>252</v>
      </c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2"/>
    </row>
    <row r="234" spans="2:14" ht="36">
      <c r="B234" s="49" t="s">
        <v>0</v>
      </c>
      <c r="C234" s="49" t="s">
        <v>1</v>
      </c>
      <c r="D234" s="50" t="s">
        <v>2</v>
      </c>
      <c r="E234" s="50" t="s">
        <v>3</v>
      </c>
      <c r="F234" s="49" t="s">
        <v>4</v>
      </c>
      <c r="G234" s="50" t="s">
        <v>5</v>
      </c>
      <c r="H234" s="51" t="s">
        <v>6</v>
      </c>
      <c r="I234" s="50" t="s">
        <v>7</v>
      </c>
      <c r="J234" s="51" t="s">
        <v>8</v>
      </c>
      <c r="K234" s="50" t="s">
        <v>9</v>
      </c>
      <c r="L234" s="51" t="s">
        <v>10</v>
      </c>
      <c r="M234" s="51" t="s">
        <v>11</v>
      </c>
      <c r="N234" s="44"/>
    </row>
    <row r="235" spans="2:14">
      <c r="B235" s="14">
        <v>1</v>
      </c>
      <c r="C235" s="2" t="s">
        <v>40</v>
      </c>
      <c r="D235" s="12">
        <v>450000</v>
      </c>
      <c r="E235" s="16">
        <v>59985</v>
      </c>
      <c r="F235" s="16">
        <v>509985</v>
      </c>
      <c r="G235" s="33">
        <v>50</v>
      </c>
      <c r="H235" s="16">
        <v>10199.700000000001</v>
      </c>
      <c r="I235" s="8">
        <v>5</v>
      </c>
      <c r="J235" s="11">
        <f>G235-I235</f>
        <v>45</v>
      </c>
      <c r="K235" s="12">
        <f>(5*10199)</f>
        <v>50995</v>
      </c>
      <c r="L235" s="12">
        <f>F235-K235</f>
        <v>458990</v>
      </c>
      <c r="M235" s="1"/>
    </row>
    <row r="236" spans="2:14">
      <c r="C236" s="2" t="s">
        <v>158</v>
      </c>
    </row>
    <row r="239" spans="2:14" s="44" customFormat="1" ht="35.25" customHeight="1"/>
    <row r="240" spans="2:14">
      <c r="B240" s="14">
        <v>15</v>
      </c>
      <c r="C240" s="2" t="s">
        <v>242</v>
      </c>
      <c r="D240" s="12">
        <v>60000</v>
      </c>
      <c r="E240" s="12">
        <v>7998</v>
      </c>
      <c r="F240" s="15">
        <f>SUM(D240:E240)</f>
        <v>67998</v>
      </c>
      <c r="G240" s="31">
        <v>40</v>
      </c>
      <c r="H240" s="12">
        <v>1699.95</v>
      </c>
      <c r="I240" s="33">
        <v>40</v>
      </c>
      <c r="J240" s="11">
        <f>G240-I240</f>
        <v>0</v>
      </c>
      <c r="K240" s="12">
        <f>(40*1699.95)</f>
        <v>67998</v>
      </c>
      <c r="L240" s="15">
        <f>F240-K240</f>
        <v>0</v>
      </c>
      <c r="M240" s="8"/>
    </row>
    <row r="243" spans="2:14">
      <c r="B243" s="14">
        <v>20</v>
      </c>
      <c r="C243" s="2" t="s">
        <v>225</v>
      </c>
      <c r="D243" s="15">
        <v>200000</v>
      </c>
      <c r="E243" s="15">
        <v>26660</v>
      </c>
      <c r="F243" s="15">
        <v>226660</v>
      </c>
      <c r="G243" s="32">
        <v>40</v>
      </c>
      <c r="H243" s="18">
        <v>5666.5</v>
      </c>
      <c r="I243" s="30">
        <v>42</v>
      </c>
      <c r="J243" s="11">
        <f>G243-I243</f>
        <v>-2</v>
      </c>
      <c r="K243" s="15">
        <f>(42*5666.5)</f>
        <v>237993</v>
      </c>
      <c r="L243" s="15">
        <f>F243-K243</f>
        <v>-11333</v>
      </c>
      <c r="M243" s="10"/>
    </row>
    <row r="246" spans="2:14">
      <c r="B246" s="14"/>
      <c r="C246" s="29"/>
      <c r="D246" s="34">
        <f>SUM(D235:D245)</f>
        <v>710000</v>
      </c>
      <c r="E246" s="34">
        <f>SUM(E235:E244)</f>
        <v>94643</v>
      </c>
      <c r="F246" s="34">
        <f>SUM(F235:F244)</f>
        <v>804643</v>
      </c>
      <c r="G246" s="42"/>
      <c r="H246" s="34">
        <f>SUM(H235:H245)</f>
        <v>17566.150000000001</v>
      </c>
      <c r="I246" s="40"/>
      <c r="J246" s="35"/>
      <c r="K246" s="34">
        <f>SUM(K235:K244)</f>
        <v>356986</v>
      </c>
      <c r="L246" s="36">
        <f>SUM(L235:L244)</f>
        <v>447657</v>
      </c>
      <c r="M246" s="8"/>
    </row>
    <row r="247" spans="2:14">
      <c r="B247" s="14"/>
      <c r="C247" s="29"/>
      <c r="D247" s="34">
        <f ca="1">D163+D246</f>
        <v>60808000</v>
      </c>
      <c r="E247" s="34">
        <f ca="1">E163+E246</f>
        <v>7910136.6399999987</v>
      </c>
      <c r="F247" s="34">
        <f ca="1">F163+F246</f>
        <v>68718136.640000015</v>
      </c>
      <c r="G247" s="42"/>
      <c r="H247" s="34">
        <f>H163+H246</f>
        <v>1298466.879999998</v>
      </c>
      <c r="I247" s="33"/>
      <c r="J247" s="33"/>
      <c r="K247" s="34">
        <f ca="1">K163+K246</f>
        <v>29958439.710000001</v>
      </c>
      <c r="L247" s="34">
        <f ca="1">L163+L246</f>
        <v>25036484.330000002</v>
      </c>
      <c r="M247" s="8"/>
    </row>
    <row r="249" spans="2:14">
      <c r="B249" s="14">
        <v>29</v>
      </c>
      <c r="C249" s="2" t="s">
        <v>133</v>
      </c>
      <c r="D249" s="15">
        <v>200000</v>
      </c>
      <c r="E249" s="15">
        <v>26660</v>
      </c>
      <c r="F249" s="15">
        <f t="shared" ref="F249:F257" si="39">SUM(D249:E249)</f>
        <v>226660</v>
      </c>
      <c r="G249" s="31">
        <v>40</v>
      </c>
      <c r="H249" s="15">
        <v>5666.5</v>
      </c>
      <c r="I249" s="8">
        <v>38</v>
      </c>
      <c r="J249" s="8">
        <v>3</v>
      </c>
      <c r="K249" s="12">
        <f>(38*5666.5)</f>
        <v>215327</v>
      </c>
      <c r="L249" s="15">
        <f t="shared" ref="L249:L271" si="40">F249-K249</f>
        <v>11333</v>
      </c>
      <c r="M249" s="8"/>
      <c r="N249" s="39" t="e">
        <f>#REF!-H249</f>
        <v>#REF!</v>
      </c>
    </row>
    <row r="250" spans="2:14">
      <c r="B250" s="14">
        <v>85</v>
      </c>
      <c r="C250" s="25" t="s">
        <v>67</v>
      </c>
      <c r="D250" s="12">
        <v>500000</v>
      </c>
      <c r="E250" s="12">
        <v>66650</v>
      </c>
      <c r="F250" s="15">
        <f t="shared" si="39"/>
        <v>566650</v>
      </c>
      <c r="G250" s="31">
        <v>50</v>
      </c>
      <c r="H250" s="18">
        <v>11333</v>
      </c>
      <c r="I250" s="8">
        <v>21</v>
      </c>
      <c r="J250" s="8">
        <v>30</v>
      </c>
      <c r="K250" s="12">
        <f>(21*11333)</f>
        <v>237993</v>
      </c>
      <c r="L250" s="15">
        <f t="shared" si="40"/>
        <v>328657</v>
      </c>
      <c r="M250" s="8"/>
      <c r="N250" s="39" t="e">
        <f>#REF!-H250</f>
        <v>#REF!</v>
      </c>
    </row>
    <row r="251" spans="2:14">
      <c r="B251" s="14">
        <v>104</v>
      </c>
      <c r="C251" s="2" t="s">
        <v>161</v>
      </c>
      <c r="D251" s="15">
        <v>200000</v>
      </c>
      <c r="E251" s="15">
        <v>26660</v>
      </c>
      <c r="F251" s="15">
        <f t="shared" si="39"/>
        <v>226660</v>
      </c>
      <c r="G251" s="32">
        <v>40</v>
      </c>
      <c r="H251" s="15">
        <v>5666.5</v>
      </c>
      <c r="I251" s="22">
        <v>39</v>
      </c>
      <c r="J251" s="21">
        <v>2</v>
      </c>
      <c r="K251" s="15">
        <f>(39*5666.5)</f>
        <v>220993.5</v>
      </c>
      <c r="L251" s="15">
        <f t="shared" si="40"/>
        <v>5666.5</v>
      </c>
      <c r="M251" s="10"/>
      <c r="N251" s="39" t="e">
        <f>#REF!-H251</f>
        <v>#REF!</v>
      </c>
    </row>
    <row r="252" spans="2:14">
      <c r="B252" s="14">
        <v>127</v>
      </c>
      <c r="C252" s="2" t="s">
        <v>196</v>
      </c>
      <c r="D252" s="12">
        <v>180000</v>
      </c>
      <c r="E252" s="12">
        <v>23994</v>
      </c>
      <c r="F252" s="15">
        <f t="shared" si="39"/>
        <v>203994</v>
      </c>
      <c r="G252" s="31">
        <v>40</v>
      </c>
      <c r="H252" s="12">
        <v>5099.8500000000004</v>
      </c>
      <c r="I252" s="8">
        <v>34</v>
      </c>
      <c r="J252" s="8">
        <v>8</v>
      </c>
      <c r="K252" s="12">
        <f>(34*5099.85)</f>
        <v>173394.90000000002</v>
      </c>
      <c r="L252" s="15">
        <f t="shared" si="40"/>
        <v>30599.099999999977</v>
      </c>
      <c r="M252" s="8"/>
      <c r="N252" s="39" t="e">
        <f>#REF!-H252</f>
        <v>#REF!</v>
      </c>
    </row>
    <row r="253" spans="2:14">
      <c r="B253" s="14">
        <v>3</v>
      </c>
      <c r="C253" s="2" t="s">
        <v>200</v>
      </c>
      <c r="D253" s="12">
        <v>132000</v>
      </c>
      <c r="E253" s="12">
        <v>17595.599999999999</v>
      </c>
      <c r="F253" s="15">
        <f t="shared" si="39"/>
        <v>149595.6</v>
      </c>
      <c r="G253" s="31">
        <v>40</v>
      </c>
      <c r="H253" s="12">
        <v>3739.89</v>
      </c>
      <c r="I253" s="8">
        <v>40</v>
      </c>
      <c r="J253" s="11">
        <f t="shared" ref="J253:J271" si="41">G253-I253</f>
        <v>0</v>
      </c>
      <c r="K253" s="12">
        <f>(40*3739.89)</f>
        <v>149595.6</v>
      </c>
      <c r="L253" s="15">
        <f t="shared" si="40"/>
        <v>0</v>
      </c>
      <c r="M253" s="8"/>
      <c r="N253" s="39" t="e">
        <f>#REF!-H253</f>
        <v>#REF!</v>
      </c>
    </row>
    <row r="254" spans="2:14">
      <c r="B254" s="14">
        <v>10</v>
      </c>
      <c r="C254" s="2" t="s">
        <v>125</v>
      </c>
      <c r="D254" s="15">
        <v>200000</v>
      </c>
      <c r="E254" s="15">
        <v>26660</v>
      </c>
      <c r="F254" s="15">
        <f t="shared" si="39"/>
        <v>226660</v>
      </c>
      <c r="G254" s="31">
        <v>40</v>
      </c>
      <c r="H254" s="15">
        <v>5666.5</v>
      </c>
      <c r="I254" s="8">
        <v>40</v>
      </c>
      <c r="J254" s="11">
        <f t="shared" si="41"/>
        <v>0</v>
      </c>
      <c r="K254" s="12">
        <f>(40*5666.5)</f>
        <v>226660</v>
      </c>
      <c r="L254" s="15">
        <f t="shared" si="40"/>
        <v>0</v>
      </c>
      <c r="M254" s="8"/>
      <c r="N254" s="39" t="e">
        <f>#REF!-H254</f>
        <v>#REF!</v>
      </c>
    </row>
    <row r="255" spans="2:14">
      <c r="B255" s="14">
        <v>20</v>
      </c>
      <c r="C255" s="2" t="s">
        <v>128</v>
      </c>
      <c r="D255" s="15">
        <v>200000</v>
      </c>
      <c r="E255" s="15">
        <v>26660</v>
      </c>
      <c r="F255" s="15">
        <f t="shared" si="39"/>
        <v>226660</v>
      </c>
      <c r="G255" s="32">
        <v>40</v>
      </c>
      <c r="H255" s="15">
        <v>5666.5</v>
      </c>
      <c r="I255" s="22">
        <v>42</v>
      </c>
      <c r="J255" s="11">
        <f t="shared" si="41"/>
        <v>-2</v>
      </c>
      <c r="K255" s="15">
        <f>(42*5666.5)</f>
        <v>237993</v>
      </c>
      <c r="L255" s="15">
        <f t="shared" si="40"/>
        <v>-11333</v>
      </c>
      <c r="M255" s="10"/>
      <c r="N255" s="39" t="e">
        <f>#REF!-H255</f>
        <v>#REF!</v>
      </c>
    </row>
    <row r="256" spans="2:14">
      <c r="B256" s="14">
        <v>27</v>
      </c>
      <c r="C256" s="2" t="s">
        <v>132</v>
      </c>
      <c r="D256" s="15">
        <v>200000</v>
      </c>
      <c r="E256" s="15">
        <v>26660</v>
      </c>
      <c r="F256" s="15">
        <f t="shared" si="39"/>
        <v>226660</v>
      </c>
      <c r="G256" s="31">
        <v>40</v>
      </c>
      <c r="H256" s="15">
        <v>5666.5</v>
      </c>
      <c r="I256" s="8">
        <v>40</v>
      </c>
      <c r="J256" s="11">
        <f t="shared" si="41"/>
        <v>0</v>
      </c>
      <c r="K256" s="12">
        <f>(40*5666.5)</f>
        <v>226660</v>
      </c>
      <c r="L256" s="15">
        <f t="shared" si="40"/>
        <v>0</v>
      </c>
      <c r="M256" s="8"/>
      <c r="N256" s="39" t="e">
        <f>#REF!-H256</f>
        <v>#REF!</v>
      </c>
    </row>
    <row r="257" spans="2:14">
      <c r="B257" s="14">
        <v>30</v>
      </c>
      <c r="C257" s="2" t="s">
        <v>135</v>
      </c>
      <c r="D257" s="15">
        <v>200000</v>
      </c>
      <c r="E257" s="15">
        <v>26660</v>
      </c>
      <c r="F257" s="15">
        <f t="shared" si="39"/>
        <v>226660</v>
      </c>
      <c r="G257" s="31">
        <v>40</v>
      </c>
      <c r="H257" s="15">
        <v>5666.5</v>
      </c>
      <c r="I257" s="8">
        <v>33</v>
      </c>
      <c r="J257" s="11">
        <f t="shared" si="41"/>
        <v>7</v>
      </c>
      <c r="K257" s="12">
        <f>(33*5666.5)</f>
        <v>186994.5</v>
      </c>
      <c r="L257" s="15">
        <f t="shared" si="40"/>
        <v>39665.5</v>
      </c>
      <c r="M257" s="8"/>
      <c r="N257" s="39" t="e">
        <f>#REF!-H257</f>
        <v>#REF!</v>
      </c>
    </row>
    <row r="258" spans="2:14">
      <c r="B258" s="14">
        <v>43</v>
      </c>
      <c r="C258" s="2" t="s">
        <v>239</v>
      </c>
      <c r="D258" s="12">
        <v>132000</v>
      </c>
      <c r="E258" s="12">
        <v>17595.599999999999</v>
      </c>
      <c r="F258" s="12">
        <v>149595.6</v>
      </c>
      <c r="G258" s="30">
        <v>40</v>
      </c>
      <c r="H258" s="18">
        <v>3739.89</v>
      </c>
      <c r="I258" s="33">
        <v>43</v>
      </c>
      <c r="J258" s="11">
        <f t="shared" si="41"/>
        <v>-3</v>
      </c>
      <c r="K258" s="12">
        <f>(43*3739.89)</f>
        <v>160815.26999999999</v>
      </c>
      <c r="L258" s="15">
        <f t="shared" si="40"/>
        <v>-11219.669999999984</v>
      </c>
      <c r="M258" s="8"/>
      <c r="N258" s="39" t="e">
        <f>#REF!-H258</f>
        <v>#REF!</v>
      </c>
    </row>
    <row r="259" spans="2:14">
      <c r="B259" s="14">
        <v>45</v>
      </c>
      <c r="C259" s="2" t="s">
        <v>140</v>
      </c>
      <c r="D259" s="15">
        <v>200000</v>
      </c>
      <c r="E259" s="15">
        <v>26660</v>
      </c>
      <c r="F259" s="15">
        <f>SUM(D259:E259)</f>
        <v>226660</v>
      </c>
      <c r="G259" s="31">
        <v>40</v>
      </c>
      <c r="H259" s="15">
        <v>5666.5</v>
      </c>
      <c r="I259" s="8">
        <v>29</v>
      </c>
      <c r="J259" s="11">
        <f t="shared" si="41"/>
        <v>11</v>
      </c>
      <c r="K259" s="12">
        <f>(29*5666.5)</f>
        <v>164328.5</v>
      </c>
      <c r="L259" s="15">
        <f t="shared" si="40"/>
        <v>62331.5</v>
      </c>
      <c r="M259" s="8"/>
      <c r="N259" s="39" t="e">
        <f>#REF!-H259</f>
        <v>#REF!</v>
      </c>
    </row>
    <row r="260" spans="2:14">
      <c r="B260" s="14">
        <v>50</v>
      </c>
      <c r="C260" s="2" t="s">
        <v>143</v>
      </c>
      <c r="D260" s="15">
        <v>200000</v>
      </c>
      <c r="E260" s="15">
        <v>26660</v>
      </c>
      <c r="F260" s="15">
        <f>SUM(D260:E260)</f>
        <v>226660</v>
      </c>
      <c r="G260" s="31">
        <v>40</v>
      </c>
      <c r="H260" s="15">
        <v>5666.5</v>
      </c>
      <c r="I260" s="8">
        <v>40</v>
      </c>
      <c r="J260" s="11">
        <f t="shared" si="41"/>
        <v>0</v>
      </c>
      <c r="K260" s="12">
        <f>(40*5666.5)</f>
        <v>226660</v>
      </c>
      <c r="L260" s="15">
        <f t="shared" si="40"/>
        <v>0</v>
      </c>
      <c r="M260" s="8"/>
      <c r="N260" s="39" t="e">
        <f>#REF!-H260</f>
        <v>#REF!</v>
      </c>
    </row>
    <row r="261" spans="2:14">
      <c r="B261" s="14">
        <v>97</v>
      </c>
      <c r="C261" s="2" t="s">
        <v>217</v>
      </c>
      <c r="D261" s="12">
        <v>60000</v>
      </c>
      <c r="E261" s="12">
        <v>7998</v>
      </c>
      <c r="F261" s="15">
        <f>SUM(D261:E261)</f>
        <v>67998</v>
      </c>
      <c r="G261" s="31">
        <v>40</v>
      </c>
      <c r="H261" s="12">
        <v>1699.95</v>
      </c>
      <c r="I261" s="8">
        <v>43</v>
      </c>
      <c r="J261" s="11">
        <f t="shared" si="41"/>
        <v>-3</v>
      </c>
      <c r="K261" s="12">
        <f>(43*1699.95)</f>
        <v>73097.850000000006</v>
      </c>
      <c r="L261" s="15">
        <f t="shared" si="40"/>
        <v>-5099.8500000000058</v>
      </c>
      <c r="M261" s="8"/>
      <c r="N261" s="39" t="e">
        <f>#REF!-H261</f>
        <v>#REF!</v>
      </c>
    </row>
    <row r="262" spans="2:14">
      <c r="B262" s="14">
        <v>99</v>
      </c>
      <c r="C262" s="2" t="s">
        <v>221</v>
      </c>
      <c r="D262" s="12">
        <v>330000</v>
      </c>
      <c r="E262" s="12">
        <v>21975</v>
      </c>
      <c r="F262" s="12">
        <v>351975</v>
      </c>
      <c r="G262" s="31">
        <v>25</v>
      </c>
      <c r="H262" s="18">
        <v>14079</v>
      </c>
      <c r="I262" s="33">
        <v>28</v>
      </c>
      <c r="J262" s="11">
        <f t="shared" si="41"/>
        <v>-3</v>
      </c>
      <c r="K262" s="16">
        <f>(28*14079)</f>
        <v>394212</v>
      </c>
      <c r="L262" s="15">
        <f t="shared" si="40"/>
        <v>-42237</v>
      </c>
      <c r="M262" s="8"/>
      <c r="N262" s="39" t="e">
        <f>#REF!-H262</f>
        <v>#REF!</v>
      </c>
    </row>
    <row r="263" spans="2:14">
      <c r="B263" s="14">
        <v>129</v>
      </c>
      <c r="C263" s="2" t="s">
        <v>95</v>
      </c>
      <c r="D263" s="12">
        <v>450000</v>
      </c>
      <c r="E263" s="12">
        <v>59985</v>
      </c>
      <c r="F263" s="15">
        <f>SUM(D263:E263)</f>
        <v>509985</v>
      </c>
      <c r="G263" s="31">
        <v>50</v>
      </c>
      <c r="H263" s="12">
        <v>10199.700000000001</v>
      </c>
      <c r="I263" s="8">
        <v>26</v>
      </c>
      <c r="J263" s="11">
        <f t="shared" si="41"/>
        <v>24</v>
      </c>
      <c r="K263" s="12">
        <f>(26*10199.7)</f>
        <v>265192.2</v>
      </c>
      <c r="L263" s="15">
        <f t="shared" si="40"/>
        <v>244792.8</v>
      </c>
      <c r="M263" s="8"/>
      <c r="N263" s="39" t="e">
        <f>#REF!-H263</f>
        <v>#REF!</v>
      </c>
    </row>
    <row r="264" spans="2:14">
      <c r="B264" s="14">
        <v>131</v>
      </c>
      <c r="C264" s="2" t="s">
        <v>172</v>
      </c>
      <c r="D264" s="15">
        <v>200000</v>
      </c>
      <c r="E264" s="15">
        <v>26660</v>
      </c>
      <c r="F264" s="15">
        <f>SUM(D264:E264)</f>
        <v>226660</v>
      </c>
      <c r="G264" s="31">
        <v>40</v>
      </c>
      <c r="H264" s="15">
        <v>5666.5</v>
      </c>
      <c r="I264" s="8">
        <v>40</v>
      </c>
      <c r="J264" s="11">
        <f t="shared" si="41"/>
        <v>0</v>
      </c>
      <c r="K264" s="12">
        <f>(40*5666.5)</f>
        <v>226660</v>
      </c>
      <c r="L264" s="15">
        <f t="shared" si="40"/>
        <v>0</v>
      </c>
      <c r="M264" s="8"/>
      <c r="N264" s="39" t="e">
        <f>#REF!-H264</f>
        <v>#REF!</v>
      </c>
    </row>
    <row r="265" spans="2:14">
      <c r="B265" s="14">
        <v>141</v>
      </c>
      <c r="C265" s="2" t="s">
        <v>197</v>
      </c>
      <c r="D265" s="12">
        <v>180000</v>
      </c>
      <c r="E265" s="12">
        <v>23994</v>
      </c>
      <c r="F265" s="15">
        <f>SUM(D265:E265)</f>
        <v>203994</v>
      </c>
      <c r="G265" s="31">
        <v>40</v>
      </c>
      <c r="H265" s="12">
        <v>5099.8500000000004</v>
      </c>
      <c r="I265" s="8">
        <v>40</v>
      </c>
      <c r="J265" s="11">
        <f t="shared" si="41"/>
        <v>0</v>
      </c>
      <c r="K265" s="12">
        <f>(40*5099.85)</f>
        <v>203994</v>
      </c>
      <c r="L265" s="15">
        <f t="shared" si="40"/>
        <v>0</v>
      </c>
      <c r="M265" s="8"/>
      <c r="N265" s="39" t="e">
        <f>#REF!-H265</f>
        <v>#REF!</v>
      </c>
    </row>
    <row r="266" spans="2:14">
      <c r="B266" s="14">
        <v>142</v>
      </c>
      <c r="C266" s="2" t="s">
        <v>16</v>
      </c>
      <c r="D266" s="12">
        <v>450000</v>
      </c>
      <c r="E266" s="12">
        <v>59985</v>
      </c>
      <c r="F266" s="12">
        <v>509985</v>
      </c>
      <c r="G266" s="33">
        <v>50</v>
      </c>
      <c r="H266" s="19">
        <v>11333</v>
      </c>
      <c r="I266" s="31">
        <v>8</v>
      </c>
      <c r="J266" s="11">
        <f t="shared" si="41"/>
        <v>42</v>
      </c>
      <c r="K266" s="12">
        <f>(8*11333)</f>
        <v>90664</v>
      </c>
      <c r="L266" s="15">
        <f t="shared" si="40"/>
        <v>419321</v>
      </c>
      <c r="M266" s="8"/>
      <c r="N266" s="39" t="e">
        <f>#REF!-H266</f>
        <v>#REF!</v>
      </c>
    </row>
    <row r="267" spans="2:14">
      <c r="B267" s="14">
        <v>144</v>
      </c>
      <c r="C267" s="2" t="s">
        <v>174</v>
      </c>
      <c r="D267" s="15">
        <v>200000</v>
      </c>
      <c r="E267" s="15">
        <v>26660</v>
      </c>
      <c r="F267" s="15">
        <f>SUM(D267:E267)</f>
        <v>226660</v>
      </c>
      <c r="G267" s="31">
        <v>40</v>
      </c>
      <c r="H267" s="15">
        <v>5666.5</v>
      </c>
      <c r="I267" s="8">
        <v>40</v>
      </c>
      <c r="J267" s="11">
        <f t="shared" si="41"/>
        <v>0</v>
      </c>
      <c r="K267" s="12">
        <f>(40*5666.5)</f>
        <v>226660</v>
      </c>
      <c r="L267" s="15">
        <f t="shared" si="40"/>
        <v>0</v>
      </c>
      <c r="M267" s="8"/>
      <c r="N267" s="39" t="e">
        <f>#REF!-H267</f>
        <v>#REF!</v>
      </c>
    </row>
    <row r="268" spans="2:14">
      <c r="B268" s="14">
        <v>159</v>
      </c>
      <c r="C268" s="2" t="s">
        <v>198</v>
      </c>
      <c r="D268" s="12">
        <v>180000</v>
      </c>
      <c r="E268" s="12">
        <v>23994</v>
      </c>
      <c r="F268" s="15">
        <f>SUM(D268:E268)</f>
        <v>203994</v>
      </c>
      <c r="G268" s="30">
        <v>40</v>
      </c>
      <c r="H268" s="12">
        <v>5099.8500000000004</v>
      </c>
      <c r="I268" s="22">
        <v>42</v>
      </c>
      <c r="J268" s="11">
        <f t="shared" si="41"/>
        <v>-2</v>
      </c>
      <c r="K268" s="12">
        <f>(42*5099.85)</f>
        <v>214193.7</v>
      </c>
      <c r="L268" s="15">
        <f t="shared" si="40"/>
        <v>-10199.700000000012</v>
      </c>
      <c r="M268" s="10"/>
      <c r="N268" s="39" t="e">
        <f>#REF!-H268</f>
        <v>#REF!</v>
      </c>
    </row>
    <row r="269" spans="2:14">
      <c r="B269" s="14">
        <v>178</v>
      </c>
      <c r="C269" s="4" t="s">
        <v>208</v>
      </c>
      <c r="D269" s="12">
        <v>132000</v>
      </c>
      <c r="E269" s="12">
        <v>17595.599999999999</v>
      </c>
      <c r="F269" s="15">
        <f>SUM(D269:E269)</f>
        <v>149595.6</v>
      </c>
      <c r="G269" s="30">
        <v>40</v>
      </c>
      <c r="H269" s="12">
        <v>3739.89</v>
      </c>
      <c r="I269" s="22">
        <v>42</v>
      </c>
      <c r="J269" s="11">
        <f t="shared" si="41"/>
        <v>-2</v>
      </c>
      <c r="K269" s="12">
        <f>(42*3739.89)</f>
        <v>157075.38</v>
      </c>
      <c r="L269" s="15">
        <f t="shared" si="40"/>
        <v>-7479.7799999999988</v>
      </c>
      <c r="M269" s="8"/>
      <c r="N269" s="39" t="e">
        <f>#REF!-H269</f>
        <v>#REF!</v>
      </c>
    </row>
    <row r="270" spans="2:14">
      <c r="B270" s="14">
        <v>179</v>
      </c>
      <c r="C270" s="4" t="s">
        <v>220</v>
      </c>
      <c r="D270" s="12">
        <v>60000</v>
      </c>
      <c r="E270" s="12">
        <v>7998</v>
      </c>
      <c r="F270" s="15">
        <f>SUM(D270:E270)</f>
        <v>67998</v>
      </c>
      <c r="G270" s="31">
        <v>40</v>
      </c>
      <c r="H270" s="12">
        <v>1699.95</v>
      </c>
      <c r="I270" s="8">
        <v>39</v>
      </c>
      <c r="J270" s="11">
        <f t="shared" si="41"/>
        <v>1</v>
      </c>
      <c r="K270" s="12">
        <f>(39*1699.89)</f>
        <v>66295.710000000006</v>
      </c>
      <c r="L270" s="15">
        <f t="shared" si="40"/>
        <v>1702.2899999999936</v>
      </c>
      <c r="M270" s="8"/>
      <c r="N270" s="39" t="e">
        <f>#REF!-H270</f>
        <v>#REF!</v>
      </c>
    </row>
    <row r="271" spans="2:14">
      <c r="B271" s="14">
        <v>188</v>
      </c>
      <c r="C271" s="4" t="s">
        <v>182</v>
      </c>
      <c r="D271" s="15">
        <v>200000</v>
      </c>
      <c r="E271" s="15">
        <v>26660</v>
      </c>
      <c r="F271" s="15">
        <f>SUM(D271:E271)</f>
        <v>226660</v>
      </c>
      <c r="G271" s="31">
        <v>40</v>
      </c>
      <c r="H271" s="15">
        <v>5666.5</v>
      </c>
      <c r="I271" s="8">
        <v>40</v>
      </c>
      <c r="J271" s="11">
        <f t="shared" si="41"/>
        <v>0</v>
      </c>
      <c r="K271" s="12">
        <f>(40*5666.5)</f>
        <v>226660</v>
      </c>
      <c r="L271" s="15">
        <f t="shared" si="40"/>
        <v>0</v>
      </c>
      <c r="M271" s="8"/>
      <c r="N271" s="39" t="e">
        <f>#REF!-H271</f>
        <v>#REF!</v>
      </c>
    </row>
    <row r="279" spans="2:14">
      <c r="B279" s="14">
        <v>67</v>
      </c>
      <c r="C279" s="2" t="s">
        <v>61</v>
      </c>
      <c r="D279" s="12">
        <v>500000</v>
      </c>
      <c r="E279" s="12">
        <v>66650</v>
      </c>
      <c r="F279" s="15">
        <f>SUM(D279:E279)</f>
        <v>566650</v>
      </c>
      <c r="G279" s="31">
        <v>50</v>
      </c>
      <c r="H279" s="12">
        <v>11333</v>
      </c>
      <c r="I279" s="11">
        <v>29</v>
      </c>
      <c r="J279" s="11">
        <f>G279-I279</f>
        <v>21</v>
      </c>
      <c r="K279" s="12">
        <f>(29*11333)</f>
        <v>328657</v>
      </c>
      <c r="L279" s="15">
        <f>F279-K279</f>
        <v>237993</v>
      </c>
      <c r="M279" s="8"/>
      <c r="N279" s="39" t="e">
        <f>#REF!-H279</f>
        <v>#REF!</v>
      </c>
    </row>
    <row r="280" spans="2:14">
      <c r="B280" s="14">
        <v>71</v>
      </c>
      <c r="C280" s="23" t="s">
        <v>148</v>
      </c>
      <c r="D280" s="15">
        <v>200000</v>
      </c>
      <c r="E280" s="15">
        <v>26660</v>
      </c>
      <c r="F280" s="15">
        <f>SUM(D280:E280)</f>
        <v>226660</v>
      </c>
      <c r="G280" s="31">
        <v>40</v>
      </c>
      <c r="H280" s="15">
        <v>5666.5</v>
      </c>
      <c r="I280" s="8">
        <v>31</v>
      </c>
      <c r="J280" s="11">
        <f>G280-I280</f>
        <v>9</v>
      </c>
      <c r="K280" s="72">
        <f>(31*5666.5)</f>
        <v>175661.5</v>
      </c>
      <c r="L280" s="15">
        <f>F280-K280</f>
        <v>50998.5</v>
      </c>
      <c r="M280" s="8"/>
      <c r="N280" s="39" t="e">
        <f>#REF!-H280</f>
        <v>#REF!</v>
      </c>
    </row>
  </sheetData>
  <sortState ref="C159:N162">
    <sortCondition descending="1" ref="I159:I162"/>
  </sortState>
  <mergeCells count="2">
    <mergeCell ref="B3:M3"/>
    <mergeCell ref="B4:M4"/>
  </mergeCells>
  <conditionalFormatting sqref="C252">
    <cfRule type="duplicateValues" dxfId="4035" priority="432" stopIfTrue="1"/>
    <cfRule type="duplicateValues" dxfId="4034" priority="433" stopIfTrue="1"/>
  </conditionalFormatting>
  <conditionalFormatting sqref="C252">
    <cfRule type="duplicateValues" dxfId="4033" priority="431" stopIfTrue="1"/>
  </conditionalFormatting>
  <conditionalFormatting sqref="C213">
    <cfRule type="duplicateValues" dxfId="4032" priority="429" stopIfTrue="1"/>
    <cfRule type="duplicateValues" dxfId="4031" priority="430" stopIfTrue="1"/>
  </conditionalFormatting>
  <conditionalFormatting sqref="C213">
    <cfRule type="duplicateValues" dxfId="4030" priority="428" stopIfTrue="1"/>
  </conditionalFormatting>
  <conditionalFormatting sqref="C224">
    <cfRule type="duplicateValues" dxfId="4029" priority="426" stopIfTrue="1"/>
    <cfRule type="duplicateValues" dxfId="4028" priority="427" stopIfTrue="1"/>
  </conditionalFormatting>
  <conditionalFormatting sqref="C224">
    <cfRule type="duplicateValues" dxfId="4027" priority="425" stopIfTrue="1"/>
  </conditionalFormatting>
  <conditionalFormatting sqref="C11">
    <cfRule type="duplicateValues" dxfId="4026" priority="423" stopIfTrue="1"/>
    <cfRule type="duplicateValues" dxfId="4025" priority="424" stopIfTrue="1"/>
  </conditionalFormatting>
  <conditionalFormatting sqref="C11">
    <cfRule type="duplicateValues" dxfId="4024" priority="422" stopIfTrue="1"/>
  </conditionalFormatting>
  <conditionalFormatting sqref="C12">
    <cfRule type="duplicateValues" dxfId="4023" priority="420" stopIfTrue="1"/>
    <cfRule type="duplicateValues" dxfId="4022" priority="421" stopIfTrue="1"/>
  </conditionalFormatting>
  <conditionalFormatting sqref="C12">
    <cfRule type="duplicateValues" dxfId="4021" priority="419" stopIfTrue="1"/>
  </conditionalFormatting>
  <conditionalFormatting sqref="C214">
    <cfRule type="duplicateValues" dxfId="4020" priority="417" stopIfTrue="1"/>
    <cfRule type="duplicateValues" dxfId="4019" priority="418" stopIfTrue="1"/>
  </conditionalFormatting>
  <conditionalFormatting sqref="C214">
    <cfRule type="duplicateValues" dxfId="4018" priority="416" stopIfTrue="1"/>
  </conditionalFormatting>
  <conditionalFormatting sqref="C13">
    <cfRule type="duplicateValues" dxfId="4017" priority="414" stopIfTrue="1"/>
    <cfRule type="duplicateValues" dxfId="4016" priority="415" stopIfTrue="1"/>
  </conditionalFormatting>
  <conditionalFormatting sqref="C13">
    <cfRule type="duplicateValues" dxfId="4015" priority="413" stopIfTrue="1"/>
  </conditionalFormatting>
  <conditionalFormatting sqref="C216">
    <cfRule type="duplicateValues" dxfId="4014" priority="411" stopIfTrue="1"/>
    <cfRule type="duplicateValues" dxfId="4013" priority="412" stopIfTrue="1"/>
  </conditionalFormatting>
  <conditionalFormatting sqref="C216">
    <cfRule type="duplicateValues" dxfId="4012" priority="410" stopIfTrue="1"/>
  </conditionalFormatting>
  <conditionalFormatting sqref="C217">
    <cfRule type="duplicateValues" dxfId="4011" priority="408" stopIfTrue="1"/>
    <cfRule type="duplicateValues" dxfId="4010" priority="409" stopIfTrue="1"/>
  </conditionalFormatting>
  <conditionalFormatting sqref="C217">
    <cfRule type="duplicateValues" dxfId="4009" priority="407" stopIfTrue="1"/>
  </conditionalFormatting>
  <conditionalFormatting sqref="C14">
    <cfRule type="duplicateValues" dxfId="4008" priority="405" stopIfTrue="1"/>
    <cfRule type="duplicateValues" dxfId="4007" priority="406" stopIfTrue="1"/>
  </conditionalFormatting>
  <conditionalFormatting sqref="C14">
    <cfRule type="duplicateValues" dxfId="4006" priority="404" stopIfTrue="1"/>
  </conditionalFormatting>
  <conditionalFormatting sqref="C220">
    <cfRule type="duplicateValues" dxfId="4005" priority="402" stopIfTrue="1"/>
    <cfRule type="duplicateValues" dxfId="4004" priority="403" stopIfTrue="1"/>
  </conditionalFormatting>
  <conditionalFormatting sqref="C220">
    <cfRule type="duplicateValues" dxfId="4003" priority="401" stopIfTrue="1"/>
  </conditionalFormatting>
  <conditionalFormatting sqref="C15">
    <cfRule type="duplicateValues" dxfId="4002" priority="399" stopIfTrue="1"/>
    <cfRule type="duplicateValues" dxfId="4001" priority="400" stopIfTrue="1"/>
  </conditionalFormatting>
  <conditionalFormatting sqref="C15">
    <cfRule type="duplicateValues" dxfId="4000" priority="398" stopIfTrue="1"/>
  </conditionalFormatting>
  <conditionalFormatting sqref="C16">
    <cfRule type="duplicateValues" dxfId="3999" priority="396" stopIfTrue="1"/>
    <cfRule type="duplicateValues" dxfId="3998" priority="397" stopIfTrue="1"/>
  </conditionalFormatting>
  <conditionalFormatting sqref="C16">
    <cfRule type="duplicateValues" dxfId="3997" priority="395" stopIfTrue="1"/>
  </conditionalFormatting>
  <conditionalFormatting sqref="C255">
    <cfRule type="duplicateValues" dxfId="3996" priority="393" stopIfTrue="1"/>
    <cfRule type="duplicateValues" dxfId="3995" priority="394" stopIfTrue="1"/>
  </conditionalFormatting>
  <conditionalFormatting sqref="C255">
    <cfRule type="duplicateValues" dxfId="3994" priority="392" stopIfTrue="1"/>
  </conditionalFormatting>
  <conditionalFormatting sqref="C225">
    <cfRule type="duplicateValues" dxfId="3993" priority="390" stopIfTrue="1"/>
    <cfRule type="duplicateValues" dxfId="3992" priority="391" stopIfTrue="1"/>
  </conditionalFormatting>
  <conditionalFormatting sqref="C225">
    <cfRule type="duplicateValues" dxfId="3991" priority="389" stopIfTrue="1"/>
  </conditionalFormatting>
  <conditionalFormatting sqref="C221">
    <cfRule type="duplicateValues" dxfId="3990" priority="387" stopIfTrue="1"/>
    <cfRule type="duplicateValues" dxfId="3989" priority="388" stopIfTrue="1"/>
  </conditionalFormatting>
  <conditionalFormatting sqref="C221">
    <cfRule type="duplicateValues" dxfId="3988" priority="386" stopIfTrue="1"/>
  </conditionalFormatting>
  <conditionalFormatting sqref="C226">
    <cfRule type="duplicateValues" dxfId="3987" priority="384" stopIfTrue="1"/>
    <cfRule type="duplicateValues" dxfId="3986" priority="385" stopIfTrue="1"/>
  </conditionalFormatting>
  <conditionalFormatting sqref="C226">
    <cfRule type="duplicateValues" dxfId="3985" priority="383" stopIfTrue="1"/>
  </conditionalFormatting>
  <conditionalFormatting sqref="C256">
    <cfRule type="duplicateValues" dxfId="3984" priority="381" stopIfTrue="1"/>
    <cfRule type="duplicateValues" dxfId="3983" priority="382" stopIfTrue="1"/>
  </conditionalFormatting>
  <conditionalFormatting sqref="C256">
    <cfRule type="duplicateValues" dxfId="3982" priority="380" stopIfTrue="1"/>
  </conditionalFormatting>
  <conditionalFormatting sqref="C20">
    <cfRule type="duplicateValues" dxfId="3981" priority="378" stopIfTrue="1"/>
    <cfRule type="duplicateValues" dxfId="3980" priority="379" stopIfTrue="1"/>
  </conditionalFormatting>
  <conditionalFormatting sqref="C20">
    <cfRule type="duplicateValues" dxfId="3979" priority="377" stopIfTrue="1"/>
  </conditionalFormatting>
  <conditionalFormatting sqref="C249">
    <cfRule type="duplicateValues" dxfId="3978" priority="375" stopIfTrue="1"/>
    <cfRule type="duplicateValues" dxfId="3977" priority="376" stopIfTrue="1"/>
  </conditionalFormatting>
  <conditionalFormatting sqref="C249">
    <cfRule type="duplicateValues" dxfId="3976" priority="374" stopIfTrue="1"/>
  </conditionalFormatting>
  <conditionalFormatting sqref="C257">
    <cfRule type="duplicateValues" dxfId="3975" priority="372" stopIfTrue="1"/>
    <cfRule type="duplicateValues" dxfId="3974" priority="373" stopIfTrue="1"/>
  </conditionalFormatting>
  <conditionalFormatting sqref="C257">
    <cfRule type="duplicateValues" dxfId="3973" priority="371" stopIfTrue="1"/>
  </conditionalFormatting>
  <conditionalFormatting sqref="C22">
    <cfRule type="duplicateValues" dxfId="3972" priority="369" stopIfTrue="1"/>
    <cfRule type="duplicateValues" dxfId="3971" priority="370" stopIfTrue="1"/>
  </conditionalFormatting>
  <conditionalFormatting sqref="C22">
    <cfRule type="duplicateValues" dxfId="3970" priority="368" stopIfTrue="1"/>
  </conditionalFormatting>
  <conditionalFormatting sqref="C25">
    <cfRule type="duplicateValues" dxfId="3969" priority="366" stopIfTrue="1"/>
    <cfRule type="duplicateValues" dxfId="3968" priority="367" stopIfTrue="1"/>
  </conditionalFormatting>
  <conditionalFormatting sqref="C25">
    <cfRule type="duplicateValues" dxfId="3967" priority="365" stopIfTrue="1"/>
  </conditionalFormatting>
  <conditionalFormatting sqref="C26">
    <cfRule type="duplicateValues" dxfId="3966" priority="363" stopIfTrue="1"/>
    <cfRule type="duplicateValues" dxfId="3965" priority="364" stopIfTrue="1"/>
  </conditionalFormatting>
  <conditionalFormatting sqref="C26">
    <cfRule type="duplicateValues" dxfId="3964" priority="362" stopIfTrue="1"/>
  </conditionalFormatting>
  <conditionalFormatting sqref="C27">
    <cfRule type="duplicateValues" dxfId="3963" priority="360" stopIfTrue="1"/>
    <cfRule type="duplicateValues" dxfId="3962" priority="361" stopIfTrue="1"/>
  </conditionalFormatting>
  <conditionalFormatting sqref="C27">
    <cfRule type="duplicateValues" dxfId="3961" priority="359" stopIfTrue="1"/>
  </conditionalFormatting>
  <conditionalFormatting sqref="C33">
    <cfRule type="duplicateValues" dxfId="3960" priority="357" stopIfTrue="1"/>
    <cfRule type="duplicateValues" dxfId="3959" priority="358" stopIfTrue="1"/>
  </conditionalFormatting>
  <conditionalFormatting sqref="C33">
    <cfRule type="duplicateValues" dxfId="3958" priority="356" stopIfTrue="1"/>
  </conditionalFormatting>
  <conditionalFormatting sqref="C34">
    <cfRule type="duplicateValues" dxfId="3957" priority="354" stopIfTrue="1"/>
    <cfRule type="duplicateValues" dxfId="3956" priority="355" stopIfTrue="1"/>
  </conditionalFormatting>
  <conditionalFormatting sqref="C34">
    <cfRule type="duplicateValues" dxfId="3955" priority="353" stopIfTrue="1"/>
  </conditionalFormatting>
  <conditionalFormatting sqref="C35">
    <cfRule type="duplicateValues" dxfId="3954" priority="351" stopIfTrue="1"/>
    <cfRule type="duplicateValues" dxfId="3953" priority="352" stopIfTrue="1"/>
  </conditionalFormatting>
  <conditionalFormatting sqref="C35">
    <cfRule type="duplicateValues" dxfId="3952" priority="350" stopIfTrue="1"/>
  </conditionalFormatting>
  <conditionalFormatting sqref="C258">
    <cfRule type="duplicateValues" dxfId="3951" priority="348" stopIfTrue="1"/>
    <cfRule type="duplicateValues" dxfId="3950" priority="349" stopIfTrue="1"/>
  </conditionalFormatting>
  <conditionalFormatting sqref="C258">
    <cfRule type="duplicateValues" dxfId="3949" priority="347" stopIfTrue="1"/>
  </conditionalFormatting>
  <conditionalFormatting sqref="C38">
    <cfRule type="duplicateValues" dxfId="3948" priority="345" stopIfTrue="1"/>
    <cfRule type="duplicateValues" dxfId="3947" priority="346" stopIfTrue="1"/>
  </conditionalFormatting>
  <conditionalFormatting sqref="C38">
    <cfRule type="duplicateValues" dxfId="3946" priority="344" stopIfTrue="1"/>
  </conditionalFormatting>
  <conditionalFormatting sqref="C259">
    <cfRule type="duplicateValues" dxfId="3945" priority="342" stopIfTrue="1"/>
    <cfRule type="duplicateValues" dxfId="3944" priority="343" stopIfTrue="1"/>
  </conditionalFormatting>
  <conditionalFormatting sqref="C259">
    <cfRule type="duplicateValues" dxfId="3943" priority="341" stopIfTrue="1"/>
  </conditionalFormatting>
  <conditionalFormatting sqref="C39">
    <cfRule type="duplicateValues" dxfId="3942" priority="339" stopIfTrue="1"/>
    <cfRule type="duplicateValues" dxfId="3941" priority="340" stopIfTrue="1"/>
  </conditionalFormatting>
  <conditionalFormatting sqref="C39">
    <cfRule type="duplicateValues" dxfId="3940" priority="338" stopIfTrue="1"/>
  </conditionalFormatting>
  <conditionalFormatting sqref="C40">
    <cfRule type="duplicateValues" dxfId="3939" priority="336" stopIfTrue="1"/>
    <cfRule type="duplicateValues" dxfId="3938" priority="337" stopIfTrue="1"/>
  </conditionalFormatting>
  <conditionalFormatting sqref="C40">
    <cfRule type="duplicateValues" dxfId="3937" priority="335" stopIfTrue="1"/>
  </conditionalFormatting>
  <conditionalFormatting sqref="C41">
    <cfRule type="duplicateValues" dxfId="3936" priority="333" stopIfTrue="1"/>
    <cfRule type="duplicateValues" dxfId="3935" priority="334" stopIfTrue="1"/>
  </conditionalFormatting>
  <conditionalFormatting sqref="C41">
    <cfRule type="duplicateValues" dxfId="3934" priority="332" stopIfTrue="1"/>
  </conditionalFormatting>
  <conditionalFormatting sqref="C42">
    <cfRule type="duplicateValues" dxfId="3933" priority="330" stopIfTrue="1"/>
    <cfRule type="duplicateValues" dxfId="3932" priority="331" stopIfTrue="1"/>
  </conditionalFormatting>
  <conditionalFormatting sqref="C42">
    <cfRule type="duplicateValues" dxfId="3931" priority="329" stopIfTrue="1"/>
  </conditionalFormatting>
  <conditionalFormatting sqref="C260">
    <cfRule type="duplicateValues" dxfId="3930" priority="327" stopIfTrue="1"/>
    <cfRule type="duplicateValues" dxfId="3929" priority="328" stopIfTrue="1"/>
  </conditionalFormatting>
  <conditionalFormatting sqref="C260">
    <cfRule type="duplicateValues" dxfId="3928" priority="326" stopIfTrue="1"/>
  </conditionalFormatting>
  <conditionalFormatting sqref="C44">
    <cfRule type="duplicateValues" dxfId="3927" priority="324" stopIfTrue="1"/>
    <cfRule type="duplicateValues" dxfId="3926" priority="325" stopIfTrue="1"/>
  </conditionalFormatting>
  <conditionalFormatting sqref="C44">
    <cfRule type="duplicateValues" dxfId="3925" priority="323" stopIfTrue="1"/>
  </conditionalFormatting>
  <conditionalFormatting sqref="C222">
    <cfRule type="duplicateValues" dxfId="3924" priority="321" stopIfTrue="1"/>
    <cfRule type="duplicateValues" dxfId="3923" priority="322" stopIfTrue="1"/>
  </conditionalFormatting>
  <conditionalFormatting sqref="C222">
    <cfRule type="duplicateValues" dxfId="3922" priority="320" stopIfTrue="1"/>
  </conditionalFormatting>
  <conditionalFormatting sqref="C45">
    <cfRule type="duplicateValues" dxfId="3921" priority="318" stopIfTrue="1"/>
    <cfRule type="duplicateValues" dxfId="3920" priority="319" stopIfTrue="1"/>
  </conditionalFormatting>
  <conditionalFormatting sqref="C45">
    <cfRule type="duplicateValues" dxfId="3919" priority="317" stopIfTrue="1"/>
  </conditionalFormatting>
  <conditionalFormatting sqref="C49">
    <cfRule type="duplicateValues" dxfId="3918" priority="315" stopIfTrue="1"/>
    <cfRule type="duplicateValues" dxfId="3917" priority="316" stopIfTrue="1"/>
  </conditionalFormatting>
  <conditionalFormatting sqref="C49">
    <cfRule type="duplicateValues" dxfId="3916" priority="314" stopIfTrue="1"/>
  </conditionalFormatting>
  <conditionalFormatting sqref="C50">
    <cfRule type="duplicateValues" dxfId="3915" priority="312" stopIfTrue="1"/>
    <cfRule type="duplicateValues" dxfId="3914" priority="313" stopIfTrue="1"/>
  </conditionalFormatting>
  <conditionalFormatting sqref="C50">
    <cfRule type="duplicateValues" dxfId="3913" priority="311" stopIfTrue="1"/>
  </conditionalFormatting>
  <conditionalFormatting sqref="C52">
    <cfRule type="duplicateValues" dxfId="3912" priority="309" stopIfTrue="1"/>
    <cfRule type="duplicateValues" dxfId="3911" priority="310" stopIfTrue="1"/>
  </conditionalFormatting>
  <conditionalFormatting sqref="C52">
    <cfRule type="duplicateValues" dxfId="3910" priority="308" stopIfTrue="1"/>
  </conditionalFormatting>
  <conditionalFormatting sqref="C53">
    <cfRule type="duplicateValues" dxfId="3909" priority="306" stopIfTrue="1"/>
    <cfRule type="duplicateValues" dxfId="3908" priority="307" stopIfTrue="1"/>
  </conditionalFormatting>
  <conditionalFormatting sqref="C53">
    <cfRule type="duplicateValues" dxfId="3907" priority="305" stopIfTrue="1"/>
  </conditionalFormatting>
  <conditionalFormatting sqref="C198">
    <cfRule type="duplicateValues" dxfId="3906" priority="303" stopIfTrue="1"/>
    <cfRule type="duplicateValues" dxfId="3905" priority="304" stopIfTrue="1"/>
  </conditionalFormatting>
  <conditionalFormatting sqref="C198">
    <cfRule type="duplicateValues" dxfId="3904" priority="302" stopIfTrue="1"/>
  </conditionalFormatting>
  <conditionalFormatting sqref="C228">
    <cfRule type="duplicateValues" dxfId="3903" priority="300" stopIfTrue="1"/>
    <cfRule type="duplicateValues" dxfId="3902" priority="301" stopIfTrue="1"/>
  </conditionalFormatting>
  <conditionalFormatting sqref="C228">
    <cfRule type="duplicateValues" dxfId="3901" priority="299" stopIfTrue="1"/>
  </conditionalFormatting>
  <conditionalFormatting sqref="C229">
    <cfRule type="duplicateValues" dxfId="3900" priority="297" stopIfTrue="1"/>
    <cfRule type="duplicateValues" dxfId="3899" priority="298" stopIfTrue="1"/>
  </conditionalFormatting>
  <conditionalFormatting sqref="C229">
    <cfRule type="duplicateValues" dxfId="3898" priority="296" stopIfTrue="1"/>
  </conditionalFormatting>
  <conditionalFormatting sqref="C230">
    <cfRule type="duplicateValues" dxfId="3897" priority="294" stopIfTrue="1"/>
    <cfRule type="duplicateValues" dxfId="3896" priority="295" stopIfTrue="1"/>
  </conditionalFormatting>
  <conditionalFormatting sqref="C230">
    <cfRule type="duplicateValues" dxfId="3895" priority="293" stopIfTrue="1"/>
  </conditionalFormatting>
  <conditionalFormatting sqref="C54">
    <cfRule type="duplicateValues" dxfId="3894" priority="291" stopIfTrue="1"/>
    <cfRule type="duplicateValues" dxfId="3893" priority="292" stopIfTrue="1"/>
  </conditionalFormatting>
  <conditionalFormatting sqref="C54">
    <cfRule type="duplicateValues" dxfId="3892" priority="290" stopIfTrue="1"/>
  </conditionalFormatting>
  <conditionalFormatting sqref="C55">
    <cfRule type="duplicateValues" dxfId="3891" priority="288" stopIfTrue="1"/>
    <cfRule type="duplicateValues" dxfId="3890" priority="289" stopIfTrue="1"/>
  </conditionalFormatting>
  <conditionalFormatting sqref="C55">
    <cfRule type="duplicateValues" dxfId="3889" priority="287" stopIfTrue="1"/>
  </conditionalFormatting>
  <conditionalFormatting sqref="C56">
    <cfRule type="duplicateValues" dxfId="3888" priority="285" stopIfTrue="1"/>
    <cfRule type="duplicateValues" dxfId="3887" priority="286" stopIfTrue="1"/>
  </conditionalFormatting>
  <conditionalFormatting sqref="C56">
    <cfRule type="duplicateValues" dxfId="3886" priority="284" stopIfTrue="1"/>
  </conditionalFormatting>
  <conditionalFormatting sqref="C57">
    <cfRule type="duplicateValues" dxfId="3885" priority="282" stopIfTrue="1"/>
    <cfRule type="duplicateValues" dxfId="3884" priority="283" stopIfTrue="1"/>
  </conditionalFormatting>
  <conditionalFormatting sqref="C57">
    <cfRule type="duplicateValues" dxfId="3883" priority="281" stopIfTrue="1"/>
  </conditionalFormatting>
  <conditionalFormatting sqref="C58">
    <cfRule type="duplicateValues" dxfId="3882" priority="279" stopIfTrue="1"/>
    <cfRule type="duplicateValues" dxfId="3881" priority="280" stopIfTrue="1"/>
  </conditionalFormatting>
  <conditionalFormatting sqref="C58">
    <cfRule type="duplicateValues" dxfId="3880" priority="278" stopIfTrue="1"/>
  </conditionalFormatting>
  <conditionalFormatting sqref="C197">
    <cfRule type="duplicateValues" dxfId="3879" priority="276" stopIfTrue="1"/>
    <cfRule type="duplicateValues" dxfId="3878" priority="277" stopIfTrue="1"/>
  </conditionalFormatting>
  <conditionalFormatting sqref="C197">
    <cfRule type="duplicateValues" dxfId="3877" priority="275" stopIfTrue="1"/>
  </conditionalFormatting>
  <conditionalFormatting sqref="C59">
    <cfRule type="duplicateValues" dxfId="3876" priority="273" stopIfTrue="1"/>
    <cfRule type="duplicateValues" dxfId="3875" priority="274" stopIfTrue="1"/>
  </conditionalFormatting>
  <conditionalFormatting sqref="C59">
    <cfRule type="duplicateValues" dxfId="3874" priority="272" stopIfTrue="1"/>
  </conditionalFormatting>
  <conditionalFormatting sqref="C196">
    <cfRule type="duplicateValues" dxfId="3873" priority="270" stopIfTrue="1"/>
    <cfRule type="duplicateValues" dxfId="3872" priority="271" stopIfTrue="1"/>
  </conditionalFormatting>
  <conditionalFormatting sqref="C196">
    <cfRule type="duplicateValues" dxfId="3871" priority="269" stopIfTrue="1"/>
  </conditionalFormatting>
  <conditionalFormatting sqref="C60">
    <cfRule type="duplicateValues" dxfId="3870" priority="267" stopIfTrue="1"/>
    <cfRule type="duplicateValues" dxfId="3869" priority="268" stopIfTrue="1"/>
  </conditionalFormatting>
  <conditionalFormatting sqref="C60">
    <cfRule type="duplicateValues" dxfId="3868" priority="266" stopIfTrue="1"/>
  </conditionalFormatting>
  <conditionalFormatting sqref="C61">
    <cfRule type="duplicateValues" dxfId="3867" priority="264" stopIfTrue="1"/>
    <cfRule type="duplicateValues" dxfId="3866" priority="265" stopIfTrue="1"/>
  </conditionalFormatting>
  <conditionalFormatting sqref="C61">
    <cfRule type="duplicateValues" dxfId="3865" priority="263" stopIfTrue="1"/>
  </conditionalFormatting>
  <conditionalFormatting sqref="C193">
    <cfRule type="duplicateValues" dxfId="3864" priority="261" stopIfTrue="1"/>
    <cfRule type="duplicateValues" dxfId="3863" priority="262" stopIfTrue="1"/>
  </conditionalFormatting>
  <conditionalFormatting sqref="C193">
    <cfRule type="duplicateValues" dxfId="3862" priority="260" stopIfTrue="1"/>
  </conditionalFormatting>
  <conditionalFormatting sqref="C194">
    <cfRule type="duplicateValues" dxfId="3861" priority="258" stopIfTrue="1"/>
    <cfRule type="duplicateValues" dxfId="3860" priority="259" stopIfTrue="1"/>
  </conditionalFormatting>
  <conditionalFormatting sqref="C194">
    <cfRule type="duplicateValues" dxfId="3859" priority="257" stopIfTrue="1"/>
  </conditionalFormatting>
  <conditionalFormatting sqref="C195">
    <cfRule type="duplicateValues" dxfId="3858" priority="255" stopIfTrue="1"/>
    <cfRule type="duplicateValues" dxfId="3857" priority="256" stopIfTrue="1"/>
  </conditionalFormatting>
  <conditionalFormatting sqref="C195">
    <cfRule type="duplicateValues" dxfId="3856" priority="254" stopIfTrue="1"/>
  </conditionalFormatting>
  <conditionalFormatting sqref="C62">
    <cfRule type="duplicateValues" dxfId="3855" priority="252" stopIfTrue="1"/>
    <cfRule type="duplicateValues" dxfId="3854" priority="253" stopIfTrue="1"/>
  </conditionalFormatting>
  <conditionalFormatting sqref="C62">
    <cfRule type="duplicateValues" dxfId="3853" priority="251" stopIfTrue="1"/>
  </conditionalFormatting>
  <conditionalFormatting sqref="C250">
    <cfRule type="duplicateValues" dxfId="3852" priority="249" stopIfTrue="1"/>
    <cfRule type="duplicateValues" dxfId="3851" priority="250" stopIfTrue="1"/>
  </conditionalFormatting>
  <conditionalFormatting sqref="C250">
    <cfRule type="duplicateValues" dxfId="3850" priority="248" stopIfTrue="1"/>
  </conditionalFormatting>
  <conditionalFormatting sqref="C64">
    <cfRule type="duplicateValues" dxfId="3849" priority="246" stopIfTrue="1"/>
    <cfRule type="duplicateValues" dxfId="3848" priority="247" stopIfTrue="1"/>
  </conditionalFormatting>
  <conditionalFormatting sqref="C64">
    <cfRule type="duplicateValues" dxfId="3847" priority="245" stopIfTrue="1"/>
  </conditionalFormatting>
  <conditionalFormatting sqref="C65">
    <cfRule type="duplicateValues" dxfId="3846" priority="243" stopIfTrue="1"/>
    <cfRule type="duplicateValues" dxfId="3845" priority="244" stopIfTrue="1"/>
  </conditionalFormatting>
  <conditionalFormatting sqref="C65">
    <cfRule type="duplicateValues" dxfId="3844" priority="242" stopIfTrue="1"/>
  </conditionalFormatting>
  <conditionalFormatting sqref="C192">
    <cfRule type="duplicateValues" dxfId="3843" priority="240" stopIfTrue="1"/>
    <cfRule type="duplicateValues" dxfId="3842" priority="241" stopIfTrue="1"/>
  </conditionalFormatting>
  <conditionalFormatting sqref="C192">
    <cfRule type="duplicateValues" dxfId="3841" priority="239" stopIfTrue="1"/>
  </conditionalFormatting>
  <conditionalFormatting sqref="C211">
    <cfRule type="duplicateValues" dxfId="3840" priority="237" stopIfTrue="1"/>
    <cfRule type="duplicateValues" dxfId="3839" priority="238" stopIfTrue="1"/>
  </conditionalFormatting>
  <conditionalFormatting sqref="C211">
    <cfRule type="duplicateValues" dxfId="3838" priority="236" stopIfTrue="1"/>
  </conditionalFormatting>
  <conditionalFormatting sqref="C67">
    <cfRule type="duplicateValues" dxfId="3837" priority="234" stopIfTrue="1"/>
    <cfRule type="duplicateValues" dxfId="3836" priority="235" stopIfTrue="1"/>
  </conditionalFormatting>
  <conditionalFormatting sqref="C67">
    <cfRule type="duplicateValues" dxfId="3835" priority="233" stopIfTrue="1"/>
  </conditionalFormatting>
  <conditionalFormatting sqref="C190">
    <cfRule type="duplicateValues" dxfId="3834" priority="231" stopIfTrue="1"/>
    <cfRule type="duplicateValues" dxfId="3833" priority="232" stopIfTrue="1"/>
  </conditionalFormatting>
  <conditionalFormatting sqref="C190">
    <cfRule type="duplicateValues" dxfId="3832" priority="230" stopIfTrue="1"/>
  </conditionalFormatting>
  <conditionalFormatting sqref="C69">
    <cfRule type="duplicateValues" dxfId="3831" priority="228" stopIfTrue="1"/>
    <cfRule type="duplicateValues" dxfId="3830" priority="229" stopIfTrue="1"/>
  </conditionalFormatting>
  <conditionalFormatting sqref="C69">
    <cfRule type="duplicateValues" dxfId="3829" priority="227" stopIfTrue="1"/>
  </conditionalFormatting>
  <conditionalFormatting sqref="C70">
    <cfRule type="duplicateValues" dxfId="3828" priority="225" stopIfTrue="1"/>
    <cfRule type="duplicateValues" dxfId="3827" priority="226" stopIfTrue="1"/>
  </conditionalFormatting>
  <conditionalFormatting sqref="C70">
    <cfRule type="duplicateValues" dxfId="3826" priority="224" stopIfTrue="1"/>
  </conditionalFormatting>
  <conditionalFormatting sqref="C161">
    <cfRule type="duplicateValues" dxfId="3825" priority="222" stopIfTrue="1"/>
    <cfRule type="duplicateValues" dxfId="3824" priority="223" stopIfTrue="1"/>
  </conditionalFormatting>
  <conditionalFormatting sqref="C161">
    <cfRule type="duplicateValues" dxfId="3823" priority="221" stopIfTrue="1"/>
  </conditionalFormatting>
  <conditionalFormatting sqref="C71">
    <cfRule type="duplicateValues" dxfId="3822" priority="219" stopIfTrue="1"/>
    <cfRule type="duplicateValues" dxfId="3821" priority="220" stopIfTrue="1"/>
  </conditionalFormatting>
  <conditionalFormatting sqref="C71">
    <cfRule type="duplicateValues" dxfId="3820" priority="218" stopIfTrue="1"/>
  </conditionalFormatting>
  <conditionalFormatting sqref="C72">
    <cfRule type="duplicateValues" dxfId="3819" priority="216" stopIfTrue="1"/>
    <cfRule type="duplicateValues" dxfId="3818" priority="217" stopIfTrue="1"/>
  </conditionalFormatting>
  <conditionalFormatting sqref="C72">
    <cfRule type="duplicateValues" dxfId="3817" priority="215" stopIfTrue="1"/>
  </conditionalFormatting>
  <conditionalFormatting sqref="C261">
    <cfRule type="duplicateValues" dxfId="3816" priority="213" stopIfTrue="1"/>
    <cfRule type="duplicateValues" dxfId="3815" priority="214" stopIfTrue="1"/>
  </conditionalFormatting>
  <conditionalFormatting sqref="C261">
    <cfRule type="duplicateValues" dxfId="3814" priority="212" stopIfTrue="1"/>
  </conditionalFormatting>
  <conditionalFormatting sqref="C73">
    <cfRule type="duplicateValues" dxfId="3813" priority="210" stopIfTrue="1"/>
    <cfRule type="duplicateValues" dxfId="3812" priority="211" stopIfTrue="1"/>
  </conditionalFormatting>
  <conditionalFormatting sqref="C73">
    <cfRule type="duplicateValues" dxfId="3811" priority="209" stopIfTrue="1"/>
  </conditionalFormatting>
  <conditionalFormatting sqref="C262">
    <cfRule type="duplicateValues" dxfId="3810" priority="207" stopIfTrue="1"/>
    <cfRule type="duplicateValues" dxfId="3809" priority="208" stopIfTrue="1"/>
  </conditionalFormatting>
  <conditionalFormatting sqref="C262">
    <cfRule type="duplicateValues" dxfId="3808" priority="206" stopIfTrue="1"/>
  </conditionalFormatting>
  <conditionalFormatting sqref="C74">
    <cfRule type="duplicateValues" dxfId="3807" priority="204" stopIfTrue="1"/>
    <cfRule type="duplicateValues" dxfId="3806" priority="205" stopIfTrue="1"/>
  </conditionalFormatting>
  <conditionalFormatting sqref="C74">
    <cfRule type="duplicateValues" dxfId="3805" priority="203" stopIfTrue="1"/>
  </conditionalFormatting>
  <conditionalFormatting sqref="C251">
    <cfRule type="duplicateValues" dxfId="3804" priority="201" stopIfTrue="1"/>
    <cfRule type="duplicateValues" dxfId="3803" priority="202" stopIfTrue="1"/>
  </conditionalFormatting>
  <conditionalFormatting sqref="C251">
    <cfRule type="duplicateValues" dxfId="3802" priority="200" stopIfTrue="1"/>
  </conditionalFormatting>
  <conditionalFormatting sqref="C75">
    <cfRule type="duplicateValues" dxfId="3801" priority="198" stopIfTrue="1"/>
    <cfRule type="duplicateValues" dxfId="3800" priority="199" stopIfTrue="1"/>
  </conditionalFormatting>
  <conditionalFormatting sqref="C75">
    <cfRule type="duplicateValues" dxfId="3799" priority="197" stopIfTrue="1"/>
  </conditionalFormatting>
  <conditionalFormatting sqref="C76">
    <cfRule type="duplicateValues" dxfId="3798" priority="195" stopIfTrue="1"/>
    <cfRule type="duplicateValues" dxfId="3797" priority="196" stopIfTrue="1"/>
  </conditionalFormatting>
  <conditionalFormatting sqref="C76">
    <cfRule type="duplicateValues" dxfId="3796" priority="194" stopIfTrue="1"/>
  </conditionalFormatting>
  <conditionalFormatting sqref="C77">
    <cfRule type="duplicateValues" dxfId="3795" priority="192" stopIfTrue="1"/>
    <cfRule type="duplicateValues" dxfId="3794" priority="193" stopIfTrue="1"/>
  </conditionalFormatting>
  <conditionalFormatting sqref="C77">
    <cfRule type="duplicateValues" dxfId="3793" priority="191" stopIfTrue="1"/>
  </conditionalFormatting>
  <conditionalFormatting sqref="C78">
    <cfRule type="duplicateValues" dxfId="3792" priority="189" stopIfTrue="1"/>
    <cfRule type="duplicateValues" dxfId="3791" priority="190" stopIfTrue="1"/>
  </conditionalFormatting>
  <conditionalFormatting sqref="C78">
    <cfRule type="duplicateValues" dxfId="3790" priority="188" stopIfTrue="1"/>
  </conditionalFormatting>
  <conditionalFormatting sqref="C79">
    <cfRule type="duplicateValues" dxfId="3789" priority="186" stopIfTrue="1"/>
    <cfRule type="duplicateValues" dxfId="3788" priority="187" stopIfTrue="1"/>
  </conditionalFormatting>
  <conditionalFormatting sqref="C79">
    <cfRule type="duplicateValues" dxfId="3787" priority="185" stopIfTrue="1"/>
  </conditionalFormatting>
  <conditionalFormatting sqref="C80">
    <cfRule type="duplicateValues" dxfId="3786" priority="183" stopIfTrue="1"/>
    <cfRule type="duplicateValues" dxfId="3785" priority="184" stopIfTrue="1"/>
  </conditionalFormatting>
  <conditionalFormatting sqref="C80">
    <cfRule type="duplicateValues" dxfId="3784" priority="182" stopIfTrue="1"/>
  </conditionalFormatting>
  <conditionalFormatting sqref="C81">
    <cfRule type="duplicateValues" dxfId="3783" priority="180" stopIfTrue="1"/>
    <cfRule type="duplicateValues" dxfId="3782" priority="181" stopIfTrue="1"/>
  </conditionalFormatting>
  <conditionalFormatting sqref="C81">
    <cfRule type="duplicateValues" dxfId="3781" priority="179" stopIfTrue="1"/>
  </conditionalFormatting>
  <conditionalFormatting sqref="C83">
    <cfRule type="duplicateValues" dxfId="3780" priority="177" stopIfTrue="1"/>
    <cfRule type="duplicateValues" dxfId="3779" priority="178" stopIfTrue="1"/>
  </conditionalFormatting>
  <conditionalFormatting sqref="C83">
    <cfRule type="duplicateValues" dxfId="3778" priority="176" stopIfTrue="1"/>
  </conditionalFormatting>
  <conditionalFormatting sqref="C85">
    <cfRule type="duplicateValues" dxfId="3777" priority="174" stopIfTrue="1"/>
    <cfRule type="duplicateValues" dxfId="3776" priority="175" stopIfTrue="1"/>
  </conditionalFormatting>
  <conditionalFormatting sqref="C85">
    <cfRule type="duplicateValues" dxfId="3775" priority="173" stopIfTrue="1"/>
  </conditionalFormatting>
  <conditionalFormatting sqref="C188">
    <cfRule type="duplicateValues" dxfId="3774" priority="171" stopIfTrue="1"/>
    <cfRule type="duplicateValues" dxfId="3773" priority="172" stopIfTrue="1"/>
  </conditionalFormatting>
  <conditionalFormatting sqref="C188">
    <cfRule type="duplicateValues" dxfId="3772" priority="170" stopIfTrue="1"/>
  </conditionalFormatting>
  <conditionalFormatting sqref="C86">
    <cfRule type="duplicateValues" dxfId="3771" priority="168" stopIfTrue="1"/>
    <cfRule type="duplicateValues" dxfId="3770" priority="169" stopIfTrue="1"/>
  </conditionalFormatting>
  <conditionalFormatting sqref="C86">
    <cfRule type="duplicateValues" dxfId="3769" priority="167" stopIfTrue="1"/>
  </conditionalFormatting>
  <conditionalFormatting sqref="C88">
    <cfRule type="duplicateValues" dxfId="3768" priority="165" stopIfTrue="1"/>
    <cfRule type="duplicateValues" dxfId="3767" priority="166" stopIfTrue="1"/>
  </conditionalFormatting>
  <conditionalFormatting sqref="C88">
    <cfRule type="duplicateValues" dxfId="3766" priority="164" stopIfTrue="1"/>
  </conditionalFormatting>
  <conditionalFormatting sqref="C89">
    <cfRule type="duplicateValues" dxfId="3765" priority="162" stopIfTrue="1"/>
    <cfRule type="duplicateValues" dxfId="3764" priority="163" stopIfTrue="1"/>
  </conditionalFormatting>
  <conditionalFormatting sqref="C89">
    <cfRule type="duplicateValues" dxfId="3763" priority="161" stopIfTrue="1"/>
  </conditionalFormatting>
  <conditionalFormatting sqref="C176">
    <cfRule type="duplicateValues" dxfId="3762" priority="159" stopIfTrue="1"/>
    <cfRule type="duplicateValues" dxfId="3761" priority="160" stopIfTrue="1"/>
  </conditionalFormatting>
  <conditionalFormatting sqref="C176">
    <cfRule type="duplicateValues" dxfId="3760" priority="158" stopIfTrue="1"/>
  </conditionalFormatting>
  <conditionalFormatting sqref="C91">
    <cfRule type="duplicateValues" dxfId="3759" priority="156" stopIfTrue="1"/>
    <cfRule type="duplicateValues" dxfId="3758" priority="157" stopIfTrue="1"/>
  </conditionalFormatting>
  <conditionalFormatting sqref="C91">
    <cfRule type="duplicateValues" dxfId="3757" priority="155" stopIfTrue="1"/>
  </conditionalFormatting>
  <conditionalFormatting sqref="C94">
    <cfRule type="duplicateValues" dxfId="3756" priority="153" stopIfTrue="1"/>
    <cfRule type="duplicateValues" dxfId="3755" priority="154" stopIfTrue="1"/>
  </conditionalFormatting>
  <conditionalFormatting sqref="C94">
    <cfRule type="duplicateValues" dxfId="3754" priority="152" stopIfTrue="1"/>
  </conditionalFormatting>
  <conditionalFormatting sqref="C95">
    <cfRule type="duplicateValues" dxfId="3753" priority="150" stopIfTrue="1"/>
    <cfRule type="duplicateValues" dxfId="3752" priority="151" stopIfTrue="1"/>
  </conditionalFormatting>
  <conditionalFormatting sqref="C95">
    <cfRule type="duplicateValues" dxfId="3751" priority="149" stopIfTrue="1"/>
  </conditionalFormatting>
  <conditionalFormatting sqref="C96">
    <cfRule type="duplicateValues" dxfId="3750" priority="147" stopIfTrue="1"/>
    <cfRule type="duplicateValues" dxfId="3749" priority="148" stopIfTrue="1"/>
  </conditionalFormatting>
  <conditionalFormatting sqref="C96">
    <cfRule type="duplicateValues" dxfId="3748" priority="146" stopIfTrue="1"/>
  </conditionalFormatting>
  <conditionalFormatting sqref="C97">
    <cfRule type="duplicateValues" dxfId="3747" priority="144" stopIfTrue="1"/>
    <cfRule type="duplicateValues" dxfId="3746" priority="145" stopIfTrue="1"/>
  </conditionalFormatting>
  <conditionalFormatting sqref="C97">
    <cfRule type="duplicateValues" dxfId="3745" priority="143" stopIfTrue="1"/>
  </conditionalFormatting>
  <conditionalFormatting sqref="C98">
    <cfRule type="duplicateValues" dxfId="3744" priority="141" stopIfTrue="1"/>
    <cfRule type="duplicateValues" dxfId="3743" priority="142" stopIfTrue="1"/>
  </conditionalFormatting>
  <conditionalFormatting sqref="C98">
    <cfRule type="duplicateValues" dxfId="3742" priority="140" stopIfTrue="1"/>
  </conditionalFormatting>
  <conditionalFormatting sqref="C99">
    <cfRule type="duplicateValues" dxfId="3741" priority="138" stopIfTrue="1"/>
    <cfRule type="duplicateValues" dxfId="3740" priority="139" stopIfTrue="1"/>
  </conditionalFormatting>
  <conditionalFormatting sqref="C99">
    <cfRule type="duplicateValues" dxfId="3739" priority="137" stopIfTrue="1"/>
  </conditionalFormatting>
  <conditionalFormatting sqref="C253">
    <cfRule type="duplicateValues" dxfId="3738" priority="135" stopIfTrue="1"/>
    <cfRule type="duplicateValues" dxfId="3737" priority="136" stopIfTrue="1"/>
  </conditionalFormatting>
  <conditionalFormatting sqref="C253">
    <cfRule type="duplicateValues" dxfId="3736" priority="134" stopIfTrue="1"/>
  </conditionalFormatting>
  <conditionalFormatting sqref="C203">
    <cfRule type="duplicateValues" dxfId="3735" priority="132" stopIfTrue="1"/>
    <cfRule type="duplicateValues" dxfId="3734" priority="133" stopIfTrue="1"/>
  </conditionalFormatting>
  <conditionalFormatting sqref="C203">
    <cfRule type="duplicateValues" dxfId="3733" priority="131" stopIfTrue="1"/>
  </conditionalFormatting>
  <conditionalFormatting sqref="C153">
    <cfRule type="duplicateValues" dxfId="3732" priority="129" stopIfTrue="1"/>
    <cfRule type="duplicateValues" dxfId="3731" priority="130" stopIfTrue="1"/>
  </conditionalFormatting>
  <conditionalFormatting sqref="C153">
    <cfRule type="duplicateValues" dxfId="3730" priority="128" stopIfTrue="1"/>
  </conditionalFormatting>
  <conditionalFormatting sqref="C178">
    <cfRule type="duplicateValues" dxfId="3729" priority="126" stopIfTrue="1"/>
    <cfRule type="duplicateValues" dxfId="3728" priority="127" stopIfTrue="1"/>
  </conditionalFormatting>
  <conditionalFormatting sqref="C178">
    <cfRule type="duplicateValues" dxfId="3727" priority="125" stopIfTrue="1"/>
  </conditionalFormatting>
  <conditionalFormatting sqref="C154">
    <cfRule type="duplicateValues" dxfId="3726" priority="123" stopIfTrue="1"/>
    <cfRule type="duplicateValues" dxfId="3725" priority="124" stopIfTrue="1"/>
  </conditionalFormatting>
  <conditionalFormatting sqref="C154">
    <cfRule type="duplicateValues" dxfId="3724" priority="122" stopIfTrue="1"/>
  </conditionalFormatting>
  <conditionalFormatting sqref="C189">
    <cfRule type="duplicateValues" dxfId="3723" priority="120" stopIfTrue="1"/>
    <cfRule type="duplicateValues" dxfId="3722" priority="121" stopIfTrue="1"/>
  </conditionalFormatting>
  <conditionalFormatting sqref="C189">
    <cfRule type="duplicateValues" dxfId="3721" priority="119" stopIfTrue="1"/>
  </conditionalFormatting>
  <conditionalFormatting sqref="C212">
    <cfRule type="duplicateValues" dxfId="3720" priority="117" stopIfTrue="1"/>
    <cfRule type="duplicateValues" dxfId="3719" priority="118" stopIfTrue="1"/>
  </conditionalFormatting>
  <conditionalFormatting sqref="C212">
    <cfRule type="duplicateValues" dxfId="3718" priority="116" stopIfTrue="1"/>
  </conditionalFormatting>
  <conditionalFormatting sqref="C175">
    <cfRule type="duplicateValues" dxfId="3717" priority="114" stopIfTrue="1"/>
    <cfRule type="duplicateValues" dxfId="3716" priority="115" stopIfTrue="1"/>
  </conditionalFormatting>
  <conditionalFormatting sqref="C175">
    <cfRule type="duplicateValues" dxfId="3715" priority="113" stopIfTrue="1"/>
  </conditionalFormatting>
  <conditionalFormatting sqref="C82">
    <cfRule type="duplicateValues" dxfId="3714" priority="111" stopIfTrue="1"/>
    <cfRule type="duplicateValues" dxfId="3713" priority="112" stopIfTrue="1"/>
  </conditionalFormatting>
  <conditionalFormatting sqref="C82">
    <cfRule type="duplicateValues" dxfId="3712" priority="110" stopIfTrue="1"/>
  </conditionalFormatting>
  <conditionalFormatting sqref="C155">
    <cfRule type="duplicateValues" dxfId="3711" priority="108" stopIfTrue="1"/>
    <cfRule type="duplicateValues" dxfId="3710" priority="109" stopIfTrue="1"/>
  </conditionalFormatting>
  <conditionalFormatting sqref="C155">
    <cfRule type="duplicateValues" dxfId="3709" priority="107" stopIfTrue="1"/>
  </conditionalFormatting>
  <conditionalFormatting sqref="C100">
    <cfRule type="duplicateValues" dxfId="3708" priority="105" stopIfTrue="1"/>
    <cfRule type="duplicateValues" dxfId="3707" priority="106" stopIfTrue="1"/>
  </conditionalFormatting>
  <conditionalFormatting sqref="C100">
    <cfRule type="duplicateValues" dxfId="3706" priority="104" stopIfTrue="1"/>
  </conditionalFormatting>
  <conditionalFormatting sqref="C240">
    <cfRule type="duplicateValues" dxfId="3705" priority="102" stopIfTrue="1"/>
    <cfRule type="duplicateValues" dxfId="3704" priority="103" stopIfTrue="1"/>
  </conditionalFormatting>
  <conditionalFormatting sqref="C240">
    <cfRule type="duplicateValues" dxfId="3703" priority="101" stopIfTrue="1"/>
  </conditionalFormatting>
  <conditionalFormatting sqref="C104">
    <cfRule type="duplicateValues" dxfId="3702" priority="99" stopIfTrue="1"/>
    <cfRule type="duplicateValues" dxfId="3701" priority="100" stopIfTrue="1"/>
  </conditionalFormatting>
  <conditionalFormatting sqref="C104">
    <cfRule type="duplicateValues" dxfId="3700" priority="98" stopIfTrue="1"/>
  </conditionalFormatting>
  <conditionalFormatting sqref="C201">
    <cfRule type="duplicateValues" dxfId="3699" priority="96" stopIfTrue="1"/>
    <cfRule type="duplicateValues" dxfId="3698" priority="97" stopIfTrue="1"/>
  </conditionalFormatting>
  <conditionalFormatting sqref="C201">
    <cfRule type="duplicateValues" dxfId="3697" priority="95" stopIfTrue="1"/>
  </conditionalFormatting>
  <conditionalFormatting sqref="C103">
    <cfRule type="duplicateValues" dxfId="3696" priority="93" stopIfTrue="1"/>
    <cfRule type="duplicateValues" dxfId="3695" priority="94" stopIfTrue="1"/>
  </conditionalFormatting>
  <conditionalFormatting sqref="C103">
    <cfRule type="duplicateValues" dxfId="3694" priority="92" stopIfTrue="1"/>
  </conditionalFormatting>
  <conditionalFormatting sqref="C204">
    <cfRule type="duplicateValues" dxfId="3693" priority="90" stopIfTrue="1"/>
    <cfRule type="duplicateValues" dxfId="3692" priority="91" stopIfTrue="1"/>
  </conditionalFormatting>
  <conditionalFormatting sqref="C204">
    <cfRule type="duplicateValues" dxfId="3691" priority="89" stopIfTrue="1"/>
  </conditionalFormatting>
  <conditionalFormatting sqref="C218">
    <cfRule type="duplicateValues" dxfId="3690" priority="87" stopIfTrue="1"/>
    <cfRule type="duplicateValues" dxfId="3689" priority="88" stopIfTrue="1"/>
  </conditionalFormatting>
  <conditionalFormatting sqref="C218">
    <cfRule type="duplicateValues" dxfId="3688" priority="86" stopIfTrue="1"/>
  </conditionalFormatting>
  <conditionalFormatting sqref="C138">
    <cfRule type="duplicateValues" dxfId="3687" priority="84" stopIfTrue="1"/>
    <cfRule type="duplicateValues" dxfId="3686" priority="85" stopIfTrue="1"/>
  </conditionalFormatting>
  <conditionalFormatting sqref="C138">
    <cfRule type="duplicateValues" dxfId="3685" priority="83" stopIfTrue="1"/>
  </conditionalFormatting>
  <conditionalFormatting sqref="C139">
    <cfRule type="duplicateValues" dxfId="3684" priority="81" stopIfTrue="1"/>
    <cfRule type="duplicateValues" dxfId="3683" priority="82" stopIfTrue="1"/>
  </conditionalFormatting>
  <conditionalFormatting sqref="C139">
    <cfRule type="duplicateValues" dxfId="3682" priority="80" stopIfTrue="1"/>
  </conditionalFormatting>
  <conditionalFormatting sqref="C219">
    <cfRule type="duplicateValues" dxfId="3681" priority="78" stopIfTrue="1"/>
    <cfRule type="duplicateValues" dxfId="3680" priority="79" stopIfTrue="1"/>
  </conditionalFormatting>
  <conditionalFormatting sqref="C219">
    <cfRule type="duplicateValues" dxfId="3679" priority="77" stopIfTrue="1"/>
  </conditionalFormatting>
  <conditionalFormatting sqref="C140">
    <cfRule type="duplicateValues" dxfId="3678" priority="75" stopIfTrue="1"/>
    <cfRule type="duplicateValues" dxfId="3677" priority="76" stopIfTrue="1"/>
  </conditionalFormatting>
  <conditionalFormatting sqref="C140">
    <cfRule type="duplicateValues" dxfId="3676" priority="74" stopIfTrue="1"/>
  </conditionalFormatting>
  <conditionalFormatting sqref="C269">
    <cfRule type="duplicateValues" dxfId="3675" priority="72" stopIfTrue="1"/>
    <cfRule type="duplicateValues" dxfId="3674" priority="73" stopIfTrue="1"/>
  </conditionalFormatting>
  <conditionalFormatting sqref="C269">
    <cfRule type="duplicateValues" dxfId="3673" priority="71" stopIfTrue="1"/>
  </conditionalFormatting>
  <conditionalFormatting sqref="C270">
    <cfRule type="duplicateValues" dxfId="3672" priority="69" stopIfTrue="1"/>
    <cfRule type="duplicateValues" dxfId="3671" priority="70" stopIfTrue="1"/>
  </conditionalFormatting>
  <conditionalFormatting sqref="C270">
    <cfRule type="duplicateValues" dxfId="3670" priority="68" stopIfTrue="1"/>
  </conditionalFormatting>
  <conditionalFormatting sqref="C183">
    <cfRule type="duplicateValues" dxfId="3669" priority="66" stopIfTrue="1"/>
    <cfRule type="duplicateValues" dxfId="3668" priority="67" stopIfTrue="1"/>
  </conditionalFormatting>
  <conditionalFormatting sqref="C183">
    <cfRule type="duplicateValues" dxfId="3667" priority="65" stopIfTrue="1"/>
  </conditionalFormatting>
  <conditionalFormatting sqref="C202">
    <cfRule type="duplicateValues" dxfId="3666" priority="63" stopIfTrue="1"/>
    <cfRule type="duplicateValues" dxfId="3665" priority="64" stopIfTrue="1"/>
  </conditionalFormatting>
  <conditionalFormatting sqref="C202">
    <cfRule type="duplicateValues" dxfId="3664" priority="62" stopIfTrue="1"/>
  </conditionalFormatting>
  <conditionalFormatting sqref="C141">
    <cfRule type="duplicateValues" dxfId="3663" priority="60" stopIfTrue="1"/>
    <cfRule type="duplicateValues" dxfId="3662" priority="61" stopIfTrue="1"/>
  </conditionalFormatting>
  <conditionalFormatting sqref="C141">
    <cfRule type="duplicateValues" dxfId="3661" priority="59" stopIfTrue="1"/>
  </conditionalFormatting>
  <conditionalFormatting sqref="C182">
    <cfRule type="duplicateValues" dxfId="3660" priority="57" stopIfTrue="1"/>
    <cfRule type="duplicateValues" dxfId="3659" priority="58" stopIfTrue="1"/>
  </conditionalFormatting>
  <conditionalFormatting sqref="C182">
    <cfRule type="duplicateValues" dxfId="3658" priority="56" stopIfTrue="1"/>
  </conditionalFormatting>
  <conditionalFormatting sqref="C142">
    <cfRule type="duplicateValues" dxfId="3657" priority="54" stopIfTrue="1"/>
    <cfRule type="duplicateValues" dxfId="3656" priority="55" stopIfTrue="1"/>
  </conditionalFormatting>
  <conditionalFormatting sqref="C142">
    <cfRule type="duplicateValues" dxfId="3655" priority="53" stopIfTrue="1"/>
  </conditionalFormatting>
  <conditionalFormatting sqref="C144">
    <cfRule type="duplicateValues" dxfId="3654" priority="51" stopIfTrue="1"/>
    <cfRule type="duplicateValues" dxfId="3653" priority="52" stopIfTrue="1"/>
  </conditionalFormatting>
  <conditionalFormatting sqref="C144">
    <cfRule type="duplicateValues" dxfId="3652" priority="50" stopIfTrue="1"/>
  </conditionalFormatting>
  <conditionalFormatting sqref="C181">
    <cfRule type="duplicateValues" dxfId="3651" priority="48" stopIfTrue="1"/>
    <cfRule type="duplicateValues" dxfId="3650" priority="49" stopIfTrue="1"/>
  </conditionalFormatting>
  <conditionalFormatting sqref="C181">
    <cfRule type="duplicateValues" dxfId="3649" priority="47" stopIfTrue="1"/>
  </conditionalFormatting>
  <conditionalFormatting sqref="C145">
    <cfRule type="duplicateValues" dxfId="3648" priority="45" stopIfTrue="1"/>
    <cfRule type="duplicateValues" dxfId="3647" priority="46" stopIfTrue="1"/>
  </conditionalFormatting>
  <conditionalFormatting sqref="C145">
    <cfRule type="duplicateValues" dxfId="3646" priority="44" stopIfTrue="1"/>
  </conditionalFormatting>
  <conditionalFormatting sqref="C271">
    <cfRule type="duplicateValues" dxfId="3645" priority="42" stopIfTrue="1"/>
    <cfRule type="duplicateValues" dxfId="3644" priority="43" stopIfTrue="1"/>
  </conditionalFormatting>
  <conditionalFormatting sqref="C271">
    <cfRule type="duplicateValues" dxfId="3643" priority="41" stopIfTrue="1"/>
  </conditionalFormatting>
  <conditionalFormatting sqref="C180">
    <cfRule type="duplicateValues" dxfId="3642" priority="39" stopIfTrue="1"/>
    <cfRule type="duplicateValues" dxfId="3641" priority="40" stopIfTrue="1"/>
  </conditionalFormatting>
  <conditionalFormatting sqref="C180">
    <cfRule type="duplicateValues" dxfId="3640" priority="38" stopIfTrue="1"/>
  </conditionalFormatting>
  <conditionalFormatting sqref="C146">
    <cfRule type="duplicateValues" dxfId="3639" priority="36" stopIfTrue="1"/>
    <cfRule type="duplicateValues" dxfId="3638" priority="37" stopIfTrue="1"/>
  </conditionalFormatting>
  <conditionalFormatting sqref="C146">
    <cfRule type="duplicateValues" dxfId="3637" priority="35" stopIfTrue="1"/>
  </conditionalFormatting>
  <conditionalFormatting sqref="C147">
    <cfRule type="duplicateValues" dxfId="3636" priority="33" stopIfTrue="1"/>
    <cfRule type="duplicateValues" dxfId="3635" priority="34" stopIfTrue="1"/>
  </conditionalFormatting>
  <conditionalFormatting sqref="C147">
    <cfRule type="duplicateValues" dxfId="3634" priority="32" stopIfTrue="1"/>
  </conditionalFormatting>
  <conditionalFormatting sqref="C112">
    <cfRule type="duplicateValues" dxfId="3633" priority="30" stopIfTrue="1"/>
    <cfRule type="duplicateValues" dxfId="3632" priority="31" stopIfTrue="1"/>
  </conditionalFormatting>
  <conditionalFormatting sqref="C112">
    <cfRule type="duplicateValues" dxfId="3631" priority="29" stopIfTrue="1"/>
  </conditionalFormatting>
  <conditionalFormatting sqref="C148">
    <cfRule type="duplicateValues" dxfId="3630" priority="27" stopIfTrue="1"/>
    <cfRule type="duplicateValues" dxfId="3629" priority="28" stopIfTrue="1"/>
  </conditionalFormatting>
  <conditionalFormatting sqref="C148">
    <cfRule type="duplicateValues" dxfId="3628" priority="26" stopIfTrue="1"/>
  </conditionalFormatting>
  <conditionalFormatting sqref="C149">
    <cfRule type="duplicateValues" dxfId="3627" priority="24" stopIfTrue="1"/>
    <cfRule type="duplicateValues" dxfId="3626" priority="25" stopIfTrue="1"/>
  </conditionalFormatting>
  <conditionalFormatting sqref="C149">
    <cfRule type="duplicateValues" dxfId="3625" priority="23" stopIfTrue="1"/>
  </conditionalFormatting>
  <conditionalFormatting sqref="C3">
    <cfRule type="duplicateValues" dxfId="3624" priority="22"/>
  </conditionalFormatting>
  <conditionalFormatting sqref="C150">
    <cfRule type="duplicateValues" dxfId="3623" priority="19" stopIfTrue="1"/>
    <cfRule type="duplicateValues" dxfId="3622" priority="20" stopIfTrue="1"/>
  </conditionalFormatting>
  <conditionalFormatting sqref="C150">
    <cfRule type="duplicateValues" dxfId="3621" priority="21" stopIfTrue="1"/>
  </conditionalFormatting>
  <conditionalFormatting sqref="C231:C234">
    <cfRule type="duplicateValues" dxfId="3620" priority="17" stopIfTrue="1"/>
    <cfRule type="duplicateValues" dxfId="3619" priority="18" stopIfTrue="1"/>
  </conditionalFormatting>
  <conditionalFormatting sqref="C231:C234">
    <cfRule type="duplicateValues" dxfId="3618" priority="16" stopIfTrue="1"/>
  </conditionalFormatting>
  <conditionalFormatting sqref="C231:C232">
    <cfRule type="duplicateValues" dxfId="3617" priority="15"/>
  </conditionalFormatting>
  <conditionalFormatting sqref="C231:C232">
    <cfRule type="duplicateValues" dxfId="3616" priority="13" stopIfTrue="1"/>
    <cfRule type="duplicateValues" dxfId="3615" priority="14" stopIfTrue="1"/>
  </conditionalFormatting>
  <conditionalFormatting sqref="C234">
    <cfRule type="duplicateValues" dxfId="3614" priority="12"/>
  </conditionalFormatting>
  <conditionalFormatting sqref="C179">
    <cfRule type="duplicateValues" dxfId="3613" priority="434" stopIfTrue="1"/>
    <cfRule type="duplicateValues" dxfId="3612" priority="435" stopIfTrue="1"/>
  </conditionalFormatting>
  <conditionalFormatting sqref="C179">
    <cfRule type="duplicateValues" dxfId="3611" priority="436" stopIfTrue="1"/>
  </conditionalFormatting>
  <conditionalFormatting sqref="C236">
    <cfRule type="duplicateValues" dxfId="3610" priority="8" stopIfTrue="1"/>
    <cfRule type="duplicateValues" dxfId="3609" priority="9" stopIfTrue="1"/>
  </conditionalFormatting>
  <conditionalFormatting sqref="C236">
    <cfRule type="duplicateValues" dxfId="3608" priority="7" stopIfTrue="1"/>
  </conditionalFormatting>
  <conditionalFormatting sqref="C236">
    <cfRule type="duplicateValues" dxfId="3607" priority="10"/>
  </conditionalFormatting>
  <conditionalFormatting sqref="C236">
    <cfRule type="duplicateValues" dxfId="3606" priority="11"/>
  </conditionalFormatting>
  <conditionalFormatting sqref="C162 C263:C268 C105:C111 C215 C114:C115 C205:C209 C117:C135 C137 C184:C187">
    <cfRule type="duplicateValues" dxfId="3605" priority="437" stopIfTrue="1"/>
    <cfRule type="duplicateValues" dxfId="3604" priority="438" stopIfTrue="1"/>
  </conditionalFormatting>
  <conditionalFormatting sqref="C162 C263:C268 C105:C111 C215 C114:C115 C205:C209 C117:C135 C137 C184:C187">
    <cfRule type="duplicateValues" dxfId="3603" priority="439" stopIfTrue="1"/>
  </conditionalFormatting>
  <conditionalFormatting sqref="C18">
    <cfRule type="duplicateValues" dxfId="3602" priority="440" stopIfTrue="1"/>
    <cfRule type="duplicateValues" dxfId="3601" priority="441" stopIfTrue="1"/>
  </conditionalFormatting>
  <conditionalFormatting sqref="C18">
    <cfRule type="duplicateValues" dxfId="3600" priority="442" stopIfTrue="1"/>
  </conditionalFormatting>
  <conditionalFormatting sqref="C29">
    <cfRule type="duplicateValues" dxfId="3599" priority="6"/>
  </conditionalFormatting>
  <conditionalFormatting sqref="C36">
    <cfRule type="duplicateValues" dxfId="3598" priority="5"/>
  </conditionalFormatting>
  <conditionalFormatting sqref="C47">
    <cfRule type="duplicateValues" dxfId="3597" priority="443" stopIfTrue="1"/>
    <cfRule type="duplicateValues" dxfId="3596" priority="444" stopIfTrue="1"/>
  </conditionalFormatting>
  <conditionalFormatting sqref="C47">
    <cfRule type="duplicateValues" dxfId="3595" priority="445" stopIfTrue="1"/>
  </conditionalFormatting>
  <conditionalFormatting sqref="A6:A205">
    <cfRule type="duplicateValues" dxfId="3594" priority="446"/>
  </conditionalFormatting>
  <conditionalFormatting sqref="C63">
    <cfRule type="duplicateValues" dxfId="3593" priority="4"/>
  </conditionalFormatting>
  <conditionalFormatting sqref="C191">
    <cfRule type="duplicateValues" dxfId="3592" priority="3"/>
  </conditionalFormatting>
  <conditionalFormatting sqref="C113">
    <cfRule type="duplicateValues" dxfId="3591" priority="2"/>
  </conditionalFormatting>
  <conditionalFormatting sqref="C158">
    <cfRule type="duplicateValues" dxfId="3590" priority="1"/>
  </conditionalFormatting>
  <conditionalFormatting sqref="C157 C159:C160 C200 C204 C246:C247 C243 C136 C112 C202 C269:C271 C144:C149 C218:C219 C138:C142 C180:C183">
    <cfRule type="duplicateValues" dxfId="3589" priority="447" stopIfTrue="1"/>
    <cfRule type="duplicateValues" dxfId="3588" priority="448" stopIfTrue="1"/>
  </conditionalFormatting>
  <conditionalFormatting sqref="C157 C159:C160 C200 C204 C246:C247 C243 C136 C112 C202 C269:C271 C144:C149 C218:C219 C138:C142 C180:C183">
    <cfRule type="duplicateValues" dxfId="3587" priority="449" stopIfTrue="1"/>
  </conditionalFormatting>
  <conditionalFormatting sqref="C162:C163 C231:C234 C102 C105:C111 C215 C114:C115 C205:C209 C263:C268 C117:C135 C137 C184:C187">
    <cfRule type="duplicateValues" dxfId="3586" priority="450" stopIfTrue="1"/>
    <cfRule type="duplicateValues" dxfId="3585" priority="451" stopIfTrue="1"/>
  </conditionalFormatting>
  <conditionalFormatting sqref="C162:C163 C231:C234 C102 C105:C111 C215 C114:C115 C205:C209 C263:C268 C117:C135 C137 C184:C187">
    <cfRule type="duplicateValues" dxfId="3584" priority="452" stopIfTrue="1"/>
  </conditionalFormatting>
  <conditionalFormatting sqref="C151:C157 C240 C94:C112 C32:C35 C1:C2 C243 C246:C271 C279:C1048576 C4:C28 C30 C38:C45 C47:C62 C224:C235 C159:C163 C175:C178 C144:C149 C114:C115 C64:C92 C192:C222 C117:C142 C180:C190">
    <cfRule type="duplicateValues" dxfId="3583" priority="453"/>
  </conditionalFormatting>
  <conditionalFormatting sqref="C240 C94:C112 C32:C35 C243 C246:C271 C279:C1048576 C1:C28 C30 C38:C45 C47:C62 C224:C235 C159:C163 C114:C115 C64:C92 C192:C222 C117:C142 C144:C157 C175:C190">
    <cfRule type="duplicateValues" dxfId="3582" priority="454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3:M281"/>
  <sheetViews>
    <sheetView topLeftCell="A213" workbookViewId="0">
      <selection activeCell="B246" sqref="B246:G246"/>
    </sheetView>
  </sheetViews>
  <sheetFormatPr defaultRowHeight="15"/>
  <cols>
    <col min="1" max="1" width="6.85546875" customWidth="1"/>
    <col min="2" max="2" width="35.7109375" customWidth="1"/>
    <col min="3" max="3" width="15" bestFit="1" customWidth="1"/>
    <col min="4" max="4" width="14" bestFit="1" customWidth="1"/>
    <col min="5" max="5" width="15" bestFit="1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bestFit="1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277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>
      <c r="A6" s="14">
        <v>1</v>
      </c>
      <c r="B6" s="2" t="s">
        <v>95</v>
      </c>
      <c r="C6" s="12">
        <v>450000</v>
      </c>
      <c r="D6" s="12">
        <v>59985</v>
      </c>
      <c r="E6" s="15">
        <f t="shared" ref="E6:E18" si="0">SUM(C6:D6)</f>
        <v>509985</v>
      </c>
      <c r="F6" s="31">
        <v>50</v>
      </c>
      <c r="G6" s="12">
        <v>30599.100000000002</v>
      </c>
      <c r="H6" s="101"/>
      <c r="I6" s="96"/>
      <c r="J6" s="12">
        <f>(26*10199.7)</f>
        <v>265192.2</v>
      </c>
      <c r="K6" s="15">
        <f t="shared" ref="K6:K37" si="1">E6-J6</f>
        <v>244792.8</v>
      </c>
      <c r="L6" s="8"/>
      <c r="M6" s="39" t="e">
        <f>#REF!-G6</f>
        <v>#REF!</v>
      </c>
    </row>
    <row r="7" spans="1:13">
      <c r="A7" s="14">
        <v>2</v>
      </c>
      <c r="B7" s="2" t="s">
        <v>135</v>
      </c>
      <c r="C7" s="15">
        <v>200000</v>
      </c>
      <c r="D7" s="15">
        <v>26660</v>
      </c>
      <c r="E7" s="15">
        <f t="shared" si="0"/>
        <v>226660</v>
      </c>
      <c r="F7" s="31">
        <v>40</v>
      </c>
      <c r="G7" s="15">
        <v>28332.5</v>
      </c>
      <c r="H7" s="101"/>
      <c r="I7" s="96"/>
      <c r="J7" s="12">
        <f>(33*5666.5)</f>
        <v>186994.5</v>
      </c>
      <c r="K7" s="15">
        <f t="shared" si="1"/>
        <v>39665.5</v>
      </c>
      <c r="L7" s="8"/>
      <c r="M7" s="39" t="e">
        <f>#REF!-G7</f>
        <v>#REF!</v>
      </c>
    </row>
    <row r="8" spans="1:13">
      <c r="A8" s="14">
        <v>3</v>
      </c>
      <c r="B8" s="2" t="s">
        <v>140</v>
      </c>
      <c r="C8" s="15">
        <v>200000</v>
      </c>
      <c r="D8" s="15">
        <v>26660</v>
      </c>
      <c r="E8" s="15">
        <f t="shared" si="0"/>
        <v>226660</v>
      </c>
      <c r="F8" s="31">
        <v>40</v>
      </c>
      <c r="G8" s="15">
        <v>28332.5</v>
      </c>
      <c r="H8" s="101"/>
      <c r="I8" s="96"/>
      <c r="J8" s="12">
        <f>(29*5666.5)</f>
        <v>164328.5</v>
      </c>
      <c r="K8" s="15">
        <f t="shared" si="1"/>
        <v>62331.5</v>
      </c>
      <c r="L8" s="8"/>
      <c r="M8" s="39" t="e">
        <f>#REF!-G8</f>
        <v>#REF!</v>
      </c>
    </row>
    <row r="9" spans="1:13">
      <c r="A9" s="14">
        <v>4</v>
      </c>
      <c r="B9" s="2" t="s">
        <v>198</v>
      </c>
      <c r="C9" s="12">
        <v>180000</v>
      </c>
      <c r="D9" s="12">
        <v>23994</v>
      </c>
      <c r="E9" s="15">
        <f t="shared" si="0"/>
        <v>203994</v>
      </c>
      <c r="F9" s="30">
        <v>40</v>
      </c>
      <c r="G9" s="12">
        <v>25499.25</v>
      </c>
      <c r="H9" s="101"/>
      <c r="I9" s="96"/>
      <c r="J9" s="12">
        <f>(42*5099.85)</f>
        <v>214193.7</v>
      </c>
      <c r="K9" s="15">
        <f t="shared" si="1"/>
        <v>-10199.700000000012</v>
      </c>
      <c r="L9" s="8"/>
      <c r="M9" s="39" t="e">
        <f>#REF!-G9</f>
        <v>#REF!</v>
      </c>
    </row>
    <row r="10" spans="1:13">
      <c r="A10" s="14">
        <v>5</v>
      </c>
      <c r="B10" s="2" t="s">
        <v>45</v>
      </c>
      <c r="C10" s="12">
        <v>500000</v>
      </c>
      <c r="D10" s="16">
        <v>33325</v>
      </c>
      <c r="E10" s="15">
        <f t="shared" si="0"/>
        <v>533325</v>
      </c>
      <c r="F10" s="33">
        <v>25</v>
      </c>
      <c r="G10" s="16">
        <v>21333</v>
      </c>
      <c r="H10" s="102">
        <v>13</v>
      </c>
      <c r="I10" s="97">
        <f t="shared" ref="I10:I41" si="2">F10-H10</f>
        <v>12</v>
      </c>
      <c r="J10" s="91">
        <f t="shared" ref="J10:J41" si="3">H10*G10</f>
        <v>277329</v>
      </c>
      <c r="K10" s="93">
        <f t="shared" si="1"/>
        <v>255996</v>
      </c>
      <c r="L10" s="8"/>
      <c r="M10" s="39" t="e">
        <f>#REF!-G10</f>
        <v>#REF!</v>
      </c>
    </row>
    <row r="11" spans="1:13">
      <c r="A11" s="14">
        <v>6</v>
      </c>
      <c r="B11" s="2" t="s">
        <v>46</v>
      </c>
      <c r="C11" s="12">
        <v>450000</v>
      </c>
      <c r="D11" s="16">
        <v>28792.799999999999</v>
      </c>
      <c r="E11" s="15">
        <f t="shared" si="0"/>
        <v>478792.8</v>
      </c>
      <c r="F11" s="31">
        <v>24</v>
      </c>
      <c r="G11" s="16">
        <v>19949.7</v>
      </c>
      <c r="H11" s="101">
        <v>23</v>
      </c>
      <c r="I11" s="96">
        <f t="shared" si="2"/>
        <v>1</v>
      </c>
      <c r="J11" s="16">
        <f t="shared" si="3"/>
        <v>458843.10000000003</v>
      </c>
      <c r="K11" s="15">
        <f t="shared" si="1"/>
        <v>19949.699999999953</v>
      </c>
      <c r="L11" s="8"/>
      <c r="M11" s="39" t="e">
        <f>#REF!-G11</f>
        <v>#REF!</v>
      </c>
    </row>
    <row r="12" spans="1:13">
      <c r="A12" s="14">
        <v>7</v>
      </c>
      <c r="B12" s="23" t="s">
        <v>47</v>
      </c>
      <c r="C12" s="12">
        <v>500000</v>
      </c>
      <c r="D12" s="16">
        <v>47992</v>
      </c>
      <c r="E12" s="15">
        <f t="shared" si="0"/>
        <v>547992</v>
      </c>
      <c r="F12" s="33">
        <v>36</v>
      </c>
      <c r="G12" s="16">
        <v>15222</v>
      </c>
      <c r="H12" s="102">
        <v>22</v>
      </c>
      <c r="I12" s="97">
        <f t="shared" si="2"/>
        <v>14</v>
      </c>
      <c r="J12" s="91">
        <f t="shared" si="3"/>
        <v>334884</v>
      </c>
      <c r="K12" s="93">
        <f t="shared" si="1"/>
        <v>213108</v>
      </c>
      <c r="L12" s="8"/>
      <c r="M12" s="39" t="e">
        <f>#REF!-G12</f>
        <v>#REF!</v>
      </c>
    </row>
    <row r="13" spans="1:13">
      <c r="A13" s="14">
        <v>8</v>
      </c>
      <c r="B13" s="2" t="s">
        <v>48</v>
      </c>
      <c r="C13" s="12">
        <v>500000</v>
      </c>
      <c r="D13" s="16">
        <v>47992</v>
      </c>
      <c r="E13" s="15">
        <f t="shared" si="0"/>
        <v>547992</v>
      </c>
      <c r="F13" s="33">
        <v>36</v>
      </c>
      <c r="G13" s="16">
        <v>15222</v>
      </c>
      <c r="H13" s="102">
        <v>22</v>
      </c>
      <c r="I13" s="97">
        <f t="shared" si="2"/>
        <v>14</v>
      </c>
      <c r="J13" s="91">
        <f t="shared" si="3"/>
        <v>334884</v>
      </c>
      <c r="K13" s="93">
        <f t="shared" si="1"/>
        <v>213108</v>
      </c>
      <c r="L13" s="8"/>
      <c r="M13" s="39" t="e">
        <f>#REF!-G13</f>
        <v>#REF!</v>
      </c>
    </row>
    <row r="14" spans="1:13">
      <c r="A14" s="14">
        <v>9</v>
      </c>
      <c r="B14" s="2" t="s">
        <v>49</v>
      </c>
      <c r="C14" s="12">
        <v>500000</v>
      </c>
      <c r="D14" s="12">
        <v>53320</v>
      </c>
      <c r="E14" s="15">
        <f t="shared" si="0"/>
        <v>553320</v>
      </c>
      <c r="F14" s="31">
        <v>40</v>
      </c>
      <c r="G14" s="12">
        <v>13833</v>
      </c>
      <c r="H14" s="101">
        <v>44</v>
      </c>
      <c r="I14" s="96">
        <f t="shared" si="2"/>
        <v>-4</v>
      </c>
      <c r="J14" s="16">
        <f t="shared" si="3"/>
        <v>608652</v>
      </c>
      <c r="K14" s="15">
        <f t="shared" si="1"/>
        <v>-55332</v>
      </c>
      <c r="L14" s="8"/>
      <c r="M14" s="39" t="e">
        <f>#REF!-G14</f>
        <v>#REF!</v>
      </c>
    </row>
    <row r="15" spans="1:13">
      <c r="A15" s="14">
        <v>10</v>
      </c>
      <c r="B15" s="2" t="s">
        <v>50</v>
      </c>
      <c r="C15" s="12">
        <v>500000</v>
      </c>
      <c r="D15" s="12">
        <v>53320</v>
      </c>
      <c r="E15" s="15">
        <f t="shared" si="0"/>
        <v>553320</v>
      </c>
      <c r="F15" s="31">
        <v>40</v>
      </c>
      <c r="G15" s="12">
        <v>13833</v>
      </c>
      <c r="H15" s="102">
        <v>44</v>
      </c>
      <c r="I15" s="97">
        <f t="shared" si="2"/>
        <v>-4</v>
      </c>
      <c r="J15" s="91">
        <f t="shared" si="3"/>
        <v>608652</v>
      </c>
      <c r="K15" s="93">
        <f t="shared" si="1"/>
        <v>-55332</v>
      </c>
      <c r="L15" s="8"/>
      <c r="M15" s="39" t="e">
        <f>#REF!-G15</f>
        <v>#REF!</v>
      </c>
    </row>
    <row r="16" spans="1:13">
      <c r="A16" s="14">
        <v>11</v>
      </c>
      <c r="B16" s="2" t="s">
        <v>51</v>
      </c>
      <c r="C16" s="12">
        <v>500000</v>
      </c>
      <c r="D16" s="12">
        <v>53320</v>
      </c>
      <c r="E16" s="15">
        <f t="shared" si="0"/>
        <v>553320</v>
      </c>
      <c r="F16" s="31">
        <v>40</v>
      </c>
      <c r="G16" s="12">
        <v>13833</v>
      </c>
      <c r="H16" s="102">
        <v>44</v>
      </c>
      <c r="I16" s="97">
        <f t="shared" si="2"/>
        <v>-4</v>
      </c>
      <c r="J16" s="91">
        <f t="shared" si="3"/>
        <v>608652</v>
      </c>
      <c r="K16" s="93">
        <f t="shared" si="1"/>
        <v>-55332</v>
      </c>
      <c r="L16" s="8"/>
      <c r="M16" s="39" t="e">
        <f>#REF!-G16</f>
        <v>#REF!</v>
      </c>
    </row>
    <row r="17" spans="1:13">
      <c r="A17" s="14">
        <v>12</v>
      </c>
      <c r="B17" s="25" t="s">
        <v>53</v>
      </c>
      <c r="C17" s="12">
        <v>500000</v>
      </c>
      <c r="D17" s="12">
        <v>66650</v>
      </c>
      <c r="E17" s="15">
        <f t="shared" si="0"/>
        <v>566650</v>
      </c>
      <c r="F17" s="31">
        <v>50</v>
      </c>
      <c r="G17" s="12">
        <v>11333</v>
      </c>
      <c r="H17" s="101">
        <v>23</v>
      </c>
      <c r="I17" s="96">
        <f t="shared" si="2"/>
        <v>27</v>
      </c>
      <c r="J17" s="16">
        <f t="shared" si="3"/>
        <v>260659</v>
      </c>
      <c r="K17" s="15">
        <f t="shared" si="1"/>
        <v>305991</v>
      </c>
      <c r="L17" s="8"/>
      <c r="M17" s="39" t="e">
        <f>#REF!-G17</f>
        <v>#REF!</v>
      </c>
    </row>
    <row r="18" spans="1:13">
      <c r="A18" s="14">
        <v>13</v>
      </c>
      <c r="B18" s="2" t="s">
        <v>54</v>
      </c>
      <c r="C18" s="12">
        <v>500000</v>
      </c>
      <c r="D18" s="12">
        <v>66650</v>
      </c>
      <c r="E18" s="15">
        <f t="shared" si="0"/>
        <v>566650</v>
      </c>
      <c r="F18" s="31">
        <v>50</v>
      </c>
      <c r="G18" s="12">
        <v>11333</v>
      </c>
      <c r="H18" s="101">
        <v>32</v>
      </c>
      <c r="I18" s="96">
        <f t="shared" si="2"/>
        <v>18</v>
      </c>
      <c r="J18" s="16">
        <f t="shared" si="3"/>
        <v>362656</v>
      </c>
      <c r="K18" s="15">
        <f t="shared" si="1"/>
        <v>203994</v>
      </c>
      <c r="L18" s="8"/>
      <c r="M18" s="39" t="e">
        <f>#REF!-G18</f>
        <v>#REF!</v>
      </c>
    </row>
    <row r="19" spans="1:13">
      <c r="A19" s="14">
        <v>14</v>
      </c>
      <c r="B19" s="2" t="s">
        <v>36</v>
      </c>
      <c r="C19" s="18">
        <v>500000</v>
      </c>
      <c r="D19" s="18">
        <v>66650</v>
      </c>
      <c r="E19" s="18">
        <v>566650</v>
      </c>
      <c r="F19" s="33">
        <v>50</v>
      </c>
      <c r="G19" s="16">
        <v>11333</v>
      </c>
      <c r="H19" s="101">
        <v>9</v>
      </c>
      <c r="I19" s="96">
        <f t="shared" si="2"/>
        <v>41</v>
      </c>
      <c r="J19" s="16">
        <f t="shared" si="3"/>
        <v>101997</v>
      </c>
      <c r="K19" s="12">
        <f t="shared" si="1"/>
        <v>464653</v>
      </c>
      <c r="L19" s="8"/>
      <c r="M19" s="39" t="e">
        <f>#REF!-G19</f>
        <v>#REF!</v>
      </c>
    </row>
    <row r="20" spans="1:13">
      <c r="A20" s="14">
        <v>15</v>
      </c>
      <c r="B20" s="2" t="s">
        <v>55</v>
      </c>
      <c r="C20" s="12">
        <v>500000</v>
      </c>
      <c r="D20" s="12">
        <v>66650</v>
      </c>
      <c r="E20" s="15">
        <f>SUM(C20:D20)</f>
        <v>566650</v>
      </c>
      <c r="F20" s="31">
        <v>50</v>
      </c>
      <c r="G20" s="12">
        <v>11333</v>
      </c>
      <c r="H20" s="101">
        <v>44</v>
      </c>
      <c r="I20" s="96">
        <f t="shared" si="2"/>
        <v>6</v>
      </c>
      <c r="J20" s="16">
        <f t="shared" si="3"/>
        <v>498652</v>
      </c>
      <c r="K20" s="15">
        <f t="shared" si="1"/>
        <v>67998</v>
      </c>
      <c r="L20" s="8"/>
      <c r="M20" s="39" t="e">
        <f>#REF!-G20</f>
        <v>#REF!</v>
      </c>
    </row>
    <row r="21" spans="1:13">
      <c r="A21" s="14">
        <v>16</v>
      </c>
      <c r="B21" s="2" t="s">
        <v>56</v>
      </c>
      <c r="C21" s="12">
        <v>500000</v>
      </c>
      <c r="D21" s="12">
        <v>66650</v>
      </c>
      <c r="E21" s="15">
        <f>SUM(C21:D21)</f>
        <v>566650</v>
      </c>
      <c r="F21" s="31">
        <v>50</v>
      </c>
      <c r="G21" s="12">
        <v>11333</v>
      </c>
      <c r="H21" s="102">
        <v>44</v>
      </c>
      <c r="I21" s="97">
        <f t="shared" si="2"/>
        <v>6</v>
      </c>
      <c r="J21" s="91">
        <f t="shared" si="3"/>
        <v>498652</v>
      </c>
      <c r="K21" s="93">
        <f t="shared" si="1"/>
        <v>67998</v>
      </c>
      <c r="L21" s="8"/>
      <c r="M21" s="39" t="e">
        <f>#REF!-G21</f>
        <v>#REF!</v>
      </c>
    </row>
    <row r="22" spans="1:13">
      <c r="A22" s="14">
        <v>17</v>
      </c>
      <c r="B22" s="2" t="s">
        <v>57</v>
      </c>
      <c r="C22" s="12">
        <v>500000</v>
      </c>
      <c r="D22" s="12">
        <v>66650</v>
      </c>
      <c r="E22" s="15">
        <f>SUM(C22:D22)</f>
        <v>566650</v>
      </c>
      <c r="F22" s="31">
        <v>50</v>
      </c>
      <c r="G22" s="12">
        <v>11333</v>
      </c>
      <c r="H22" s="102">
        <v>23</v>
      </c>
      <c r="I22" s="97">
        <f t="shared" si="2"/>
        <v>27</v>
      </c>
      <c r="J22" s="91">
        <f t="shared" si="3"/>
        <v>260659</v>
      </c>
      <c r="K22" s="93">
        <f t="shared" si="1"/>
        <v>305991</v>
      </c>
      <c r="L22" s="8"/>
      <c r="M22" s="39" t="e">
        <f>#REF!-G22</f>
        <v>#REF!</v>
      </c>
    </row>
    <row r="23" spans="1:13" ht="15.75">
      <c r="A23" s="14">
        <v>18</v>
      </c>
      <c r="B23" s="75" t="s">
        <v>272</v>
      </c>
      <c r="C23" s="12">
        <v>500000</v>
      </c>
      <c r="D23" s="12">
        <v>66650</v>
      </c>
      <c r="E23" s="15">
        <f>SUM(C23:D23)</f>
        <v>566650</v>
      </c>
      <c r="F23" s="31">
        <v>50</v>
      </c>
      <c r="G23" s="87">
        <v>11333</v>
      </c>
      <c r="H23" s="102">
        <v>33</v>
      </c>
      <c r="I23" s="97">
        <f t="shared" si="2"/>
        <v>17</v>
      </c>
      <c r="J23" s="91">
        <f t="shared" si="3"/>
        <v>373989</v>
      </c>
      <c r="K23" s="93">
        <f t="shared" si="1"/>
        <v>192661</v>
      </c>
      <c r="L23" s="8"/>
      <c r="M23" s="39" t="e">
        <f>#REF!-G23</f>
        <v>#REF!</v>
      </c>
    </row>
    <row r="24" spans="1:13">
      <c r="A24" s="14">
        <v>19</v>
      </c>
      <c r="B24" s="2" t="s">
        <v>24</v>
      </c>
      <c r="C24" s="18">
        <v>500000</v>
      </c>
      <c r="D24" s="18">
        <v>66650</v>
      </c>
      <c r="E24" s="18">
        <v>566650</v>
      </c>
      <c r="F24" s="33">
        <v>50</v>
      </c>
      <c r="G24" s="16">
        <v>11333</v>
      </c>
      <c r="H24" s="102">
        <v>9</v>
      </c>
      <c r="I24" s="97">
        <f t="shared" si="2"/>
        <v>41</v>
      </c>
      <c r="J24" s="91">
        <f t="shared" si="3"/>
        <v>101997</v>
      </c>
      <c r="K24" s="72">
        <f t="shared" si="1"/>
        <v>464653</v>
      </c>
      <c r="L24" s="10"/>
      <c r="M24" s="39" t="e">
        <f>#REF!-G24</f>
        <v>#REF!</v>
      </c>
    </row>
    <row r="25" spans="1:13">
      <c r="A25" s="14">
        <v>20</v>
      </c>
      <c r="B25" s="2" t="s">
        <v>25</v>
      </c>
      <c r="C25" s="18">
        <v>500000</v>
      </c>
      <c r="D25" s="18">
        <v>66650</v>
      </c>
      <c r="E25" s="18">
        <v>566650</v>
      </c>
      <c r="F25" s="33">
        <v>50</v>
      </c>
      <c r="G25" s="16">
        <v>11333</v>
      </c>
      <c r="H25" s="102">
        <v>9</v>
      </c>
      <c r="I25" s="97">
        <f t="shared" si="2"/>
        <v>41</v>
      </c>
      <c r="J25" s="91">
        <f t="shared" si="3"/>
        <v>101997</v>
      </c>
      <c r="K25" s="72">
        <f t="shared" si="1"/>
        <v>464653</v>
      </c>
      <c r="L25" s="8"/>
      <c r="M25" s="39" t="e">
        <f>#REF!-G25</f>
        <v>#REF!</v>
      </c>
    </row>
    <row r="26" spans="1:13" ht="15.75">
      <c r="A26" s="14">
        <v>21</v>
      </c>
      <c r="B26" s="75" t="s">
        <v>261</v>
      </c>
      <c r="C26" s="18">
        <v>500000</v>
      </c>
      <c r="D26" s="18">
        <v>66650</v>
      </c>
      <c r="E26" s="18">
        <v>566650</v>
      </c>
      <c r="F26" s="33">
        <v>50</v>
      </c>
      <c r="G26" s="88">
        <v>11333</v>
      </c>
      <c r="H26" s="102">
        <v>29</v>
      </c>
      <c r="I26" s="97">
        <f t="shared" si="2"/>
        <v>21</v>
      </c>
      <c r="J26" s="91">
        <f t="shared" si="3"/>
        <v>328657</v>
      </c>
      <c r="K26" s="72">
        <f t="shared" si="1"/>
        <v>237993</v>
      </c>
      <c r="L26" s="1"/>
      <c r="M26" s="39" t="e">
        <f>#REF!-G26</f>
        <v>#REF!</v>
      </c>
    </row>
    <row r="27" spans="1:13">
      <c r="A27" s="14">
        <v>22</v>
      </c>
      <c r="B27" s="2" t="s">
        <v>58</v>
      </c>
      <c r="C27" s="12">
        <v>500000</v>
      </c>
      <c r="D27" s="12">
        <v>66650</v>
      </c>
      <c r="E27" s="15">
        <f t="shared" ref="E27:E34" si="4">SUM(C27:D27)</f>
        <v>566650</v>
      </c>
      <c r="F27" s="33">
        <v>50</v>
      </c>
      <c r="G27" s="12">
        <v>11333</v>
      </c>
      <c r="H27" s="102">
        <v>22</v>
      </c>
      <c r="I27" s="97">
        <f t="shared" si="2"/>
        <v>28</v>
      </c>
      <c r="J27" s="91">
        <f t="shared" si="3"/>
        <v>249326</v>
      </c>
      <c r="K27" s="93">
        <f t="shared" si="1"/>
        <v>317324</v>
      </c>
      <c r="L27" s="8"/>
      <c r="M27" s="39" t="e">
        <f>#REF!-G27</f>
        <v>#REF!</v>
      </c>
    </row>
    <row r="28" spans="1:13">
      <c r="A28" s="14">
        <v>23</v>
      </c>
      <c r="B28" s="2" t="s">
        <v>59</v>
      </c>
      <c r="C28" s="12">
        <v>500000</v>
      </c>
      <c r="D28" s="12">
        <v>66650</v>
      </c>
      <c r="E28" s="15">
        <f t="shared" si="4"/>
        <v>566650</v>
      </c>
      <c r="F28" s="31">
        <v>50</v>
      </c>
      <c r="G28" s="12">
        <v>11333</v>
      </c>
      <c r="H28" s="102">
        <v>32</v>
      </c>
      <c r="I28" s="97">
        <f t="shared" si="2"/>
        <v>18</v>
      </c>
      <c r="J28" s="91">
        <f t="shared" si="3"/>
        <v>362656</v>
      </c>
      <c r="K28" s="93">
        <f t="shared" si="1"/>
        <v>203994</v>
      </c>
      <c r="L28" s="8"/>
      <c r="M28" s="39" t="e">
        <f>#REF!-G28</f>
        <v>#REF!</v>
      </c>
    </row>
    <row r="29" spans="1:13">
      <c r="A29" s="14">
        <v>24</v>
      </c>
      <c r="B29" s="81" t="s">
        <v>60</v>
      </c>
      <c r="C29" s="12">
        <v>500000</v>
      </c>
      <c r="D29" s="12">
        <v>66650</v>
      </c>
      <c r="E29" s="15">
        <f t="shared" si="4"/>
        <v>566650</v>
      </c>
      <c r="F29" s="31">
        <v>50</v>
      </c>
      <c r="G29" s="308">
        <v>11333</v>
      </c>
      <c r="H29" s="102">
        <v>32</v>
      </c>
      <c r="I29" s="97">
        <f t="shared" si="2"/>
        <v>18</v>
      </c>
      <c r="J29" s="91">
        <f t="shared" si="3"/>
        <v>362656</v>
      </c>
      <c r="K29" s="93">
        <f t="shared" si="1"/>
        <v>203994</v>
      </c>
      <c r="L29" s="8"/>
      <c r="M29" s="39" t="e">
        <f>#REF!-G29</f>
        <v>#REF!</v>
      </c>
    </row>
    <row r="30" spans="1:13">
      <c r="A30" s="14">
        <v>25</v>
      </c>
      <c r="B30" s="2" t="s">
        <v>12</v>
      </c>
      <c r="C30" s="12">
        <v>450000</v>
      </c>
      <c r="D30" s="12">
        <v>59985</v>
      </c>
      <c r="E30" s="15">
        <f t="shared" si="4"/>
        <v>509985</v>
      </c>
      <c r="F30" s="33">
        <v>50</v>
      </c>
      <c r="G30" s="16">
        <v>11333</v>
      </c>
      <c r="H30" s="102">
        <v>12</v>
      </c>
      <c r="I30" s="97">
        <f t="shared" si="2"/>
        <v>38</v>
      </c>
      <c r="J30" s="91">
        <f t="shared" si="3"/>
        <v>135996</v>
      </c>
      <c r="K30" s="93">
        <f t="shared" si="1"/>
        <v>373989</v>
      </c>
      <c r="L30" s="8"/>
      <c r="M30" s="39" t="e">
        <f>#REF!-G30</f>
        <v>#REF!</v>
      </c>
    </row>
    <row r="31" spans="1:13">
      <c r="A31" s="14">
        <v>26</v>
      </c>
      <c r="B31" s="81" t="s">
        <v>62</v>
      </c>
      <c r="C31" s="12">
        <v>500000</v>
      </c>
      <c r="D31" s="12">
        <v>66650</v>
      </c>
      <c r="E31" s="15">
        <f t="shared" si="4"/>
        <v>566650</v>
      </c>
      <c r="F31" s="33">
        <v>50</v>
      </c>
      <c r="G31" s="12">
        <v>11333</v>
      </c>
      <c r="H31" s="102">
        <v>22</v>
      </c>
      <c r="I31" s="97">
        <f t="shared" si="2"/>
        <v>28</v>
      </c>
      <c r="J31" s="91">
        <f t="shared" si="3"/>
        <v>249326</v>
      </c>
      <c r="K31" s="93">
        <f t="shared" si="1"/>
        <v>317324</v>
      </c>
      <c r="L31" s="8"/>
      <c r="M31" s="39" t="e">
        <f>#REF!-G31</f>
        <v>#REF!</v>
      </c>
    </row>
    <row r="32" spans="1:13">
      <c r="A32" s="14">
        <v>27</v>
      </c>
      <c r="B32" s="2" t="s">
        <v>63</v>
      </c>
      <c r="C32" s="12">
        <v>500000</v>
      </c>
      <c r="D32" s="12">
        <v>66650</v>
      </c>
      <c r="E32" s="15">
        <f t="shared" si="4"/>
        <v>566650</v>
      </c>
      <c r="F32" s="31">
        <v>50</v>
      </c>
      <c r="G32" s="12">
        <v>11333</v>
      </c>
      <c r="H32" s="102">
        <v>23</v>
      </c>
      <c r="I32" s="97">
        <f t="shared" si="2"/>
        <v>27</v>
      </c>
      <c r="J32" s="91">
        <f t="shared" si="3"/>
        <v>260659</v>
      </c>
      <c r="K32" s="93">
        <f t="shared" si="1"/>
        <v>305991</v>
      </c>
      <c r="L32" s="8"/>
      <c r="M32" s="39" t="e">
        <f>#REF!-G32</f>
        <v>#REF!</v>
      </c>
    </row>
    <row r="33" spans="1:13">
      <c r="A33" s="14">
        <v>28</v>
      </c>
      <c r="B33" s="2" t="s">
        <v>64</v>
      </c>
      <c r="C33" s="12">
        <v>500000</v>
      </c>
      <c r="D33" s="12">
        <v>66650</v>
      </c>
      <c r="E33" s="15">
        <f t="shared" si="4"/>
        <v>566650</v>
      </c>
      <c r="F33" s="33">
        <v>50</v>
      </c>
      <c r="G33" s="12">
        <v>11333</v>
      </c>
      <c r="H33" s="102">
        <v>22</v>
      </c>
      <c r="I33" s="97">
        <f t="shared" si="2"/>
        <v>28</v>
      </c>
      <c r="J33" s="91">
        <f t="shared" si="3"/>
        <v>249326</v>
      </c>
      <c r="K33" s="93">
        <f t="shared" si="1"/>
        <v>317324</v>
      </c>
      <c r="L33" s="8"/>
      <c r="M33" s="39" t="e">
        <f>#REF!-G33</f>
        <v>#REF!</v>
      </c>
    </row>
    <row r="34" spans="1:13">
      <c r="A34" s="14">
        <v>29</v>
      </c>
      <c r="B34" s="2" t="s">
        <v>68</v>
      </c>
      <c r="C34" s="12">
        <v>500000</v>
      </c>
      <c r="D34" s="12">
        <v>66650</v>
      </c>
      <c r="E34" s="15">
        <f t="shared" si="4"/>
        <v>566650</v>
      </c>
      <c r="F34" s="31">
        <v>50</v>
      </c>
      <c r="G34" s="12">
        <v>11333</v>
      </c>
      <c r="H34" s="102">
        <v>44</v>
      </c>
      <c r="I34" s="97">
        <f t="shared" si="2"/>
        <v>6</v>
      </c>
      <c r="J34" s="91">
        <f t="shared" si="3"/>
        <v>498652</v>
      </c>
      <c r="K34" s="93">
        <f t="shared" si="1"/>
        <v>67998</v>
      </c>
      <c r="L34" s="8"/>
      <c r="M34" s="39" t="e">
        <f>#REF!-G34</f>
        <v>#REF!</v>
      </c>
    </row>
    <row r="35" spans="1:13">
      <c r="A35" s="14">
        <v>30</v>
      </c>
      <c r="B35" s="2" t="s">
        <v>28</v>
      </c>
      <c r="C35" s="18">
        <v>500000</v>
      </c>
      <c r="D35" s="18">
        <v>66650</v>
      </c>
      <c r="E35" s="18">
        <v>566650</v>
      </c>
      <c r="F35" s="33">
        <v>50</v>
      </c>
      <c r="G35" s="16">
        <v>11333</v>
      </c>
      <c r="H35" s="102">
        <v>8</v>
      </c>
      <c r="I35" s="97">
        <f t="shared" si="2"/>
        <v>42</v>
      </c>
      <c r="J35" s="91">
        <f t="shared" si="3"/>
        <v>90664</v>
      </c>
      <c r="K35" s="72">
        <f t="shared" si="1"/>
        <v>475986</v>
      </c>
      <c r="L35" s="8"/>
      <c r="M35" s="39" t="e">
        <f>#REF!-G35</f>
        <v>#REF!</v>
      </c>
    </row>
    <row r="36" spans="1:13">
      <c r="A36" s="14">
        <v>31</v>
      </c>
      <c r="B36" s="2" t="s">
        <v>223</v>
      </c>
      <c r="C36" s="12">
        <v>500000</v>
      </c>
      <c r="D36" s="12">
        <v>66650</v>
      </c>
      <c r="E36" s="12">
        <v>566650</v>
      </c>
      <c r="F36" s="31">
        <v>50</v>
      </c>
      <c r="G36" s="18">
        <v>11333</v>
      </c>
      <c r="H36" s="102">
        <v>23</v>
      </c>
      <c r="I36" s="97">
        <f t="shared" si="2"/>
        <v>27</v>
      </c>
      <c r="J36" s="91">
        <f t="shared" si="3"/>
        <v>260659</v>
      </c>
      <c r="K36" s="93">
        <f t="shared" si="1"/>
        <v>305991</v>
      </c>
      <c r="L36" s="8"/>
      <c r="M36" s="39" t="e">
        <f>#REF!-G36</f>
        <v>#REF!</v>
      </c>
    </row>
    <row r="37" spans="1:13">
      <c r="A37" s="14">
        <v>32</v>
      </c>
      <c r="B37" s="2" t="s">
        <v>69</v>
      </c>
      <c r="C37" s="12">
        <v>500000</v>
      </c>
      <c r="D37" s="12">
        <v>66650</v>
      </c>
      <c r="E37" s="15">
        <f>SUM(C37:D37)</f>
        <v>566650</v>
      </c>
      <c r="F37" s="31">
        <v>50</v>
      </c>
      <c r="G37" s="12">
        <v>11333</v>
      </c>
      <c r="H37" s="102">
        <v>23</v>
      </c>
      <c r="I37" s="97">
        <f t="shared" si="2"/>
        <v>27</v>
      </c>
      <c r="J37" s="91">
        <f t="shared" si="3"/>
        <v>260659</v>
      </c>
      <c r="K37" s="93">
        <f t="shared" si="1"/>
        <v>305991</v>
      </c>
      <c r="L37" s="8" t="s">
        <v>276</v>
      </c>
      <c r="M37" s="39" t="e">
        <f>#REF!-G37</f>
        <v>#REF!</v>
      </c>
    </row>
    <row r="38" spans="1:13">
      <c r="A38" s="14">
        <v>33</v>
      </c>
      <c r="B38" s="2" t="s">
        <v>70</v>
      </c>
      <c r="C38" s="12">
        <v>500000</v>
      </c>
      <c r="D38" s="12">
        <v>66650</v>
      </c>
      <c r="E38" s="15">
        <f>SUM(C38:D38)</f>
        <v>566650</v>
      </c>
      <c r="F38" s="31">
        <v>50</v>
      </c>
      <c r="G38" s="18">
        <v>11333</v>
      </c>
      <c r="H38" s="102">
        <v>28</v>
      </c>
      <c r="I38" s="97">
        <f t="shared" si="2"/>
        <v>22</v>
      </c>
      <c r="J38" s="91">
        <f t="shared" si="3"/>
        <v>317324</v>
      </c>
      <c r="K38" s="93">
        <f t="shared" ref="K38:K69" si="5">E38-J38</f>
        <v>249326</v>
      </c>
      <c r="L38" s="8"/>
      <c r="M38" s="39" t="e">
        <f>#REF!-G38</f>
        <v>#REF!</v>
      </c>
    </row>
    <row r="39" spans="1:13">
      <c r="A39" s="14">
        <v>34</v>
      </c>
      <c r="B39" s="2" t="s">
        <v>71</v>
      </c>
      <c r="C39" s="12">
        <v>500000</v>
      </c>
      <c r="D39" s="12">
        <v>66650</v>
      </c>
      <c r="E39" s="15">
        <f>SUM(C39:D39)</f>
        <v>566650</v>
      </c>
      <c r="F39" s="31">
        <v>50</v>
      </c>
      <c r="G39" s="12">
        <v>11333</v>
      </c>
      <c r="H39" s="102">
        <v>44</v>
      </c>
      <c r="I39" s="97">
        <f t="shared" si="2"/>
        <v>6</v>
      </c>
      <c r="J39" s="91">
        <f t="shared" si="3"/>
        <v>498652</v>
      </c>
      <c r="K39" s="93">
        <f t="shared" si="5"/>
        <v>67998</v>
      </c>
      <c r="L39" s="8"/>
      <c r="M39" s="39" t="e">
        <f>#REF!-G39</f>
        <v>#REF!</v>
      </c>
    </row>
    <row r="40" spans="1:13">
      <c r="A40" s="14">
        <v>35</v>
      </c>
      <c r="B40" s="23" t="s">
        <v>72</v>
      </c>
      <c r="C40" s="12">
        <v>500000</v>
      </c>
      <c r="D40" s="12">
        <v>66650</v>
      </c>
      <c r="E40" s="15">
        <f>SUM(C40:D40)</f>
        <v>566650</v>
      </c>
      <c r="F40" s="31">
        <v>50</v>
      </c>
      <c r="G40" s="12">
        <v>11333</v>
      </c>
      <c r="H40" s="102">
        <v>44</v>
      </c>
      <c r="I40" s="97">
        <f t="shared" si="2"/>
        <v>6</v>
      </c>
      <c r="J40" s="91">
        <f t="shared" si="3"/>
        <v>498652</v>
      </c>
      <c r="K40" s="93">
        <f t="shared" si="5"/>
        <v>67998</v>
      </c>
      <c r="L40" s="8"/>
      <c r="M40" s="39" t="e">
        <f>#REF!-G40</f>
        <v>#REF!</v>
      </c>
    </row>
    <row r="41" spans="1:13">
      <c r="A41" s="14">
        <v>36</v>
      </c>
      <c r="B41" s="2" t="s">
        <v>23</v>
      </c>
      <c r="C41" s="18">
        <v>500000</v>
      </c>
      <c r="D41" s="18">
        <v>66650</v>
      </c>
      <c r="E41" s="18">
        <v>566650</v>
      </c>
      <c r="F41" s="33">
        <v>50</v>
      </c>
      <c r="G41" s="16">
        <v>11333</v>
      </c>
      <c r="H41" s="102">
        <v>9</v>
      </c>
      <c r="I41" s="97">
        <f t="shared" si="2"/>
        <v>41</v>
      </c>
      <c r="J41" s="91">
        <f t="shared" si="3"/>
        <v>101997</v>
      </c>
      <c r="K41" s="72">
        <f t="shared" si="5"/>
        <v>464653</v>
      </c>
      <c r="L41" s="8"/>
      <c r="M41" s="39" t="e">
        <f>#REF!-G41</f>
        <v>#REF!</v>
      </c>
    </row>
    <row r="42" spans="1:13">
      <c r="A42" s="14">
        <v>37</v>
      </c>
      <c r="B42" s="2" t="s">
        <v>73</v>
      </c>
      <c r="C42" s="12">
        <v>500000</v>
      </c>
      <c r="D42" s="12">
        <v>66650</v>
      </c>
      <c r="E42" s="15">
        <f>SUM(C42:D42)</f>
        <v>566650</v>
      </c>
      <c r="F42" s="31">
        <v>50</v>
      </c>
      <c r="G42" s="12">
        <v>11333</v>
      </c>
      <c r="H42" s="102">
        <v>32</v>
      </c>
      <c r="I42" s="97">
        <f t="shared" ref="I42:I73" si="6">F42-H42</f>
        <v>18</v>
      </c>
      <c r="J42" s="91">
        <f t="shared" ref="J42:J58" si="7">H42*G42</f>
        <v>362656</v>
      </c>
      <c r="K42" s="93">
        <f t="shared" si="5"/>
        <v>203994</v>
      </c>
      <c r="L42" s="8"/>
      <c r="M42" s="39" t="e">
        <f>#REF!-G42</f>
        <v>#REF!</v>
      </c>
    </row>
    <row r="43" spans="1:13">
      <c r="A43" s="14">
        <v>38</v>
      </c>
      <c r="B43" s="2" t="s">
        <v>74</v>
      </c>
      <c r="C43" s="12">
        <v>500000</v>
      </c>
      <c r="D43" s="12">
        <v>66650</v>
      </c>
      <c r="E43" s="15">
        <f>SUM(C43:D43)</f>
        <v>566650</v>
      </c>
      <c r="F43" s="31">
        <v>50</v>
      </c>
      <c r="G43" s="12">
        <v>11333</v>
      </c>
      <c r="H43" s="102">
        <v>44</v>
      </c>
      <c r="I43" s="97">
        <f t="shared" si="6"/>
        <v>6</v>
      </c>
      <c r="J43" s="91">
        <f t="shared" si="7"/>
        <v>498652</v>
      </c>
      <c r="K43" s="93">
        <f t="shared" si="5"/>
        <v>67998</v>
      </c>
      <c r="L43" s="1"/>
      <c r="M43" s="39" t="e">
        <f>#REF!-G43</f>
        <v>#REF!</v>
      </c>
    </row>
    <row r="44" spans="1:13">
      <c r="A44" s="14">
        <v>39</v>
      </c>
      <c r="B44" s="2" t="s">
        <v>37</v>
      </c>
      <c r="C44" s="18">
        <v>500000</v>
      </c>
      <c r="D44" s="18">
        <v>66650</v>
      </c>
      <c r="E44" s="18">
        <v>566650</v>
      </c>
      <c r="F44" s="33">
        <v>50</v>
      </c>
      <c r="G44" s="16">
        <v>11333</v>
      </c>
      <c r="H44" s="102">
        <v>9</v>
      </c>
      <c r="I44" s="97">
        <f t="shared" si="6"/>
        <v>41</v>
      </c>
      <c r="J44" s="91">
        <f t="shared" si="7"/>
        <v>101997</v>
      </c>
      <c r="K44" s="72">
        <f t="shared" si="5"/>
        <v>464653</v>
      </c>
      <c r="L44" s="8"/>
      <c r="M44" s="39" t="e">
        <f>#REF!-G44</f>
        <v>#REF!</v>
      </c>
    </row>
    <row r="45" spans="1:13">
      <c r="A45" s="14">
        <v>40</v>
      </c>
      <c r="B45" s="2" t="s">
        <v>75</v>
      </c>
      <c r="C45" s="12">
        <v>500000</v>
      </c>
      <c r="D45" s="12">
        <v>66650</v>
      </c>
      <c r="E45" s="15">
        <f>SUM(C45:D45)</f>
        <v>566650</v>
      </c>
      <c r="F45" s="33">
        <v>50</v>
      </c>
      <c r="G45" s="12">
        <v>11333</v>
      </c>
      <c r="H45" s="102">
        <v>22</v>
      </c>
      <c r="I45" s="97">
        <f t="shared" si="6"/>
        <v>28</v>
      </c>
      <c r="J45" s="91">
        <f t="shared" si="7"/>
        <v>249326</v>
      </c>
      <c r="K45" s="93">
        <f t="shared" si="5"/>
        <v>317324</v>
      </c>
      <c r="L45" s="1"/>
      <c r="M45" s="39" t="e">
        <f>#REF!-G45</f>
        <v>#REF!</v>
      </c>
    </row>
    <row r="46" spans="1:13">
      <c r="A46" s="14">
        <v>41</v>
      </c>
      <c r="B46" s="2" t="s">
        <v>222</v>
      </c>
      <c r="C46" s="12">
        <v>500000</v>
      </c>
      <c r="D46" s="12">
        <v>66650</v>
      </c>
      <c r="E46" s="12">
        <v>566650</v>
      </c>
      <c r="F46" s="31">
        <v>50</v>
      </c>
      <c r="G46" s="18">
        <v>11333</v>
      </c>
      <c r="H46" s="102">
        <v>22</v>
      </c>
      <c r="I46" s="97">
        <f t="shared" si="6"/>
        <v>28</v>
      </c>
      <c r="J46" s="91">
        <f t="shared" si="7"/>
        <v>249326</v>
      </c>
      <c r="K46" s="93">
        <f t="shared" si="5"/>
        <v>317324</v>
      </c>
      <c r="L46" s="1"/>
      <c r="M46" s="39" t="e">
        <f>#REF!-G46</f>
        <v>#REF!</v>
      </c>
    </row>
    <row r="47" spans="1:13">
      <c r="A47" s="14">
        <v>42</v>
      </c>
      <c r="B47" s="2" t="s">
        <v>77</v>
      </c>
      <c r="C47" s="12">
        <v>500000</v>
      </c>
      <c r="D47" s="12">
        <v>66650</v>
      </c>
      <c r="E47" s="15">
        <f>SUM(C47:D47)</f>
        <v>566650</v>
      </c>
      <c r="F47" s="31">
        <v>50</v>
      </c>
      <c r="G47" s="12">
        <v>11333</v>
      </c>
      <c r="H47" s="102">
        <v>23</v>
      </c>
      <c r="I47" s="97">
        <f t="shared" si="6"/>
        <v>27</v>
      </c>
      <c r="J47" s="91">
        <f t="shared" si="7"/>
        <v>260659</v>
      </c>
      <c r="K47" s="93">
        <f t="shared" si="5"/>
        <v>305991</v>
      </c>
      <c r="L47" s="8"/>
      <c r="M47" s="39" t="e">
        <f>#REF!-G47</f>
        <v>#REF!</v>
      </c>
    </row>
    <row r="48" spans="1:13" ht="15.75">
      <c r="A48" s="14">
        <v>43</v>
      </c>
      <c r="B48" s="75" t="s">
        <v>268</v>
      </c>
      <c r="C48" s="12">
        <v>500000</v>
      </c>
      <c r="D48" s="12">
        <v>66650</v>
      </c>
      <c r="E48" s="15">
        <f>SUM(C48:D48)</f>
        <v>566650</v>
      </c>
      <c r="F48" s="31">
        <v>50</v>
      </c>
      <c r="G48" s="77">
        <v>11333</v>
      </c>
      <c r="H48" s="102">
        <v>23</v>
      </c>
      <c r="I48" s="97">
        <f t="shared" si="6"/>
        <v>27</v>
      </c>
      <c r="J48" s="91">
        <f t="shared" si="7"/>
        <v>260659</v>
      </c>
      <c r="K48" s="93">
        <f t="shared" si="5"/>
        <v>305991</v>
      </c>
      <c r="L48" s="8"/>
      <c r="M48" s="39" t="e">
        <f>#REF!-G48</f>
        <v>#REF!</v>
      </c>
    </row>
    <row r="49" spans="1:13">
      <c r="A49" s="14">
        <v>44</v>
      </c>
      <c r="B49" s="2" t="s">
        <v>78</v>
      </c>
      <c r="C49" s="12">
        <v>500000</v>
      </c>
      <c r="D49" s="12">
        <v>66650</v>
      </c>
      <c r="E49" s="15">
        <f>SUM(C49:D49)</f>
        <v>566650</v>
      </c>
      <c r="F49" s="31">
        <v>50</v>
      </c>
      <c r="G49" s="12">
        <v>11333</v>
      </c>
      <c r="H49" s="102">
        <v>44</v>
      </c>
      <c r="I49" s="97">
        <f t="shared" si="6"/>
        <v>6</v>
      </c>
      <c r="J49" s="91">
        <f t="shared" si="7"/>
        <v>498652</v>
      </c>
      <c r="K49" s="93">
        <f t="shared" si="5"/>
        <v>67998</v>
      </c>
      <c r="L49" s="8"/>
      <c r="M49" s="39" t="e">
        <f>#REF!-G49</f>
        <v>#REF!</v>
      </c>
    </row>
    <row r="50" spans="1:13">
      <c r="A50" s="14">
        <v>45</v>
      </c>
      <c r="B50" s="2" t="s">
        <v>21</v>
      </c>
      <c r="C50" s="18">
        <v>500000</v>
      </c>
      <c r="D50" s="18">
        <v>66650</v>
      </c>
      <c r="E50" s="18">
        <v>566650</v>
      </c>
      <c r="F50" s="33">
        <v>50</v>
      </c>
      <c r="G50" s="16">
        <v>11333</v>
      </c>
      <c r="H50" s="102">
        <v>9</v>
      </c>
      <c r="I50" s="97">
        <f t="shared" si="6"/>
        <v>41</v>
      </c>
      <c r="J50" s="91">
        <f t="shared" si="7"/>
        <v>101997</v>
      </c>
      <c r="K50" s="72">
        <f t="shared" si="5"/>
        <v>464653</v>
      </c>
      <c r="L50" s="8"/>
      <c r="M50" s="39" t="e">
        <f>#REF!-G50</f>
        <v>#REF!</v>
      </c>
    </row>
    <row r="51" spans="1:13">
      <c r="A51" s="14">
        <v>46</v>
      </c>
      <c r="B51" s="2" t="s">
        <v>79</v>
      </c>
      <c r="C51" s="12">
        <v>500000</v>
      </c>
      <c r="D51" s="12">
        <v>66650</v>
      </c>
      <c r="E51" s="15">
        <f>SUM(C51:D51)</f>
        <v>566650</v>
      </c>
      <c r="F51" s="31">
        <v>50</v>
      </c>
      <c r="G51" s="12">
        <v>11333</v>
      </c>
      <c r="H51" s="102">
        <v>23</v>
      </c>
      <c r="I51" s="97">
        <f t="shared" si="6"/>
        <v>27</v>
      </c>
      <c r="J51" s="91">
        <f t="shared" si="7"/>
        <v>260659</v>
      </c>
      <c r="K51" s="93">
        <f t="shared" si="5"/>
        <v>305991</v>
      </c>
      <c r="L51" s="8"/>
      <c r="M51" s="39" t="e">
        <f>#REF!-G51</f>
        <v>#REF!</v>
      </c>
    </row>
    <row r="52" spans="1:13">
      <c r="A52" s="14">
        <v>47</v>
      </c>
      <c r="B52" s="2" t="s">
        <v>27</v>
      </c>
      <c r="C52" s="18">
        <v>500000</v>
      </c>
      <c r="D52" s="18">
        <v>66650</v>
      </c>
      <c r="E52" s="18">
        <v>566650</v>
      </c>
      <c r="F52" s="33">
        <v>50</v>
      </c>
      <c r="G52" s="16">
        <v>11333</v>
      </c>
      <c r="H52" s="102">
        <v>9</v>
      </c>
      <c r="I52" s="97">
        <f t="shared" si="6"/>
        <v>41</v>
      </c>
      <c r="J52" s="91">
        <f t="shared" si="7"/>
        <v>101997</v>
      </c>
      <c r="K52" s="72">
        <f t="shared" si="5"/>
        <v>464653</v>
      </c>
      <c r="L52" s="8"/>
      <c r="M52" s="39" t="e">
        <f>#REF!-G52</f>
        <v>#REF!</v>
      </c>
    </row>
    <row r="53" spans="1:13">
      <c r="A53" s="14">
        <v>48</v>
      </c>
      <c r="B53" s="2" t="s">
        <v>80</v>
      </c>
      <c r="C53" s="12">
        <v>500000</v>
      </c>
      <c r="D53" s="12">
        <v>66650</v>
      </c>
      <c r="E53" s="15">
        <f>SUM(C53:D53)</f>
        <v>566650</v>
      </c>
      <c r="F53" s="31">
        <v>50</v>
      </c>
      <c r="G53" s="12">
        <v>11333</v>
      </c>
      <c r="H53" s="102">
        <v>44</v>
      </c>
      <c r="I53" s="97">
        <f t="shared" si="6"/>
        <v>6</v>
      </c>
      <c r="J53" s="91">
        <f t="shared" si="7"/>
        <v>498652</v>
      </c>
      <c r="K53" s="93">
        <f t="shared" si="5"/>
        <v>67998</v>
      </c>
      <c r="L53" s="8"/>
      <c r="M53" s="39" t="e">
        <f>#REF!-G53</f>
        <v>#REF!</v>
      </c>
    </row>
    <row r="54" spans="1:13">
      <c r="A54" s="14">
        <v>49</v>
      </c>
      <c r="B54" s="23" t="s">
        <v>82</v>
      </c>
      <c r="C54" s="12">
        <v>500000</v>
      </c>
      <c r="D54" s="12">
        <v>66650</v>
      </c>
      <c r="E54" s="15">
        <f>SUM(C54:D54)</f>
        <v>566650</v>
      </c>
      <c r="F54" s="31">
        <v>50</v>
      </c>
      <c r="G54" s="12">
        <v>11333</v>
      </c>
      <c r="H54" s="102">
        <v>44</v>
      </c>
      <c r="I54" s="97">
        <f t="shared" si="6"/>
        <v>6</v>
      </c>
      <c r="J54" s="91">
        <f t="shared" si="7"/>
        <v>498652</v>
      </c>
      <c r="K54" s="93">
        <f t="shared" si="5"/>
        <v>67998</v>
      </c>
      <c r="L54" s="8"/>
      <c r="M54" s="39" t="e">
        <f>#REF!-G54</f>
        <v>#REF!</v>
      </c>
    </row>
    <row r="55" spans="1:13">
      <c r="A55" s="14">
        <v>50</v>
      </c>
      <c r="B55" s="2" t="s">
        <v>26</v>
      </c>
      <c r="C55" s="18">
        <v>500000</v>
      </c>
      <c r="D55" s="18">
        <v>66650</v>
      </c>
      <c r="E55" s="18">
        <v>566650</v>
      </c>
      <c r="F55" s="33">
        <v>50</v>
      </c>
      <c r="G55" s="16">
        <v>11333</v>
      </c>
      <c r="H55" s="102">
        <v>9</v>
      </c>
      <c r="I55" s="97">
        <f t="shared" si="6"/>
        <v>41</v>
      </c>
      <c r="J55" s="91">
        <f t="shared" si="7"/>
        <v>101997</v>
      </c>
      <c r="K55" s="72">
        <f t="shared" si="5"/>
        <v>464653</v>
      </c>
      <c r="L55" s="8"/>
      <c r="M55" s="39" t="e">
        <f>#REF!-G55</f>
        <v>#REF!</v>
      </c>
    </row>
    <row r="56" spans="1:13">
      <c r="A56" s="14">
        <v>51</v>
      </c>
      <c r="B56" s="2" t="s">
        <v>17</v>
      </c>
      <c r="C56" s="18">
        <v>500000</v>
      </c>
      <c r="D56" s="18">
        <v>66650</v>
      </c>
      <c r="E56" s="18">
        <v>566650</v>
      </c>
      <c r="F56" s="33">
        <v>50</v>
      </c>
      <c r="G56" s="16">
        <v>11333</v>
      </c>
      <c r="H56" s="102">
        <v>9</v>
      </c>
      <c r="I56" s="97">
        <f t="shared" si="6"/>
        <v>41</v>
      </c>
      <c r="J56" s="91">
        <f t="shared" si="7"/>
        <v>101997</v>
      </c>
      <c r="K56" s="72">
        <f t="shared" si="5"/>
        <v>464653</v>
      </c>
      <c r="L56" s="8"/>
      <c r="M56" s="39" t="e">
        <f>#REF!-G56</f>
        <v>#REF!</v>
      </c>
    </row>
    <row r="57" spans="1:13">
      <c r="A57" s="14">
        <v>52</v>
      </c>
      <c r="B57" s="2" t="s">
        <v>84</v>
      </c>
      <c r="C57" s="12">
        <v>500000</v>
      </c>
      <c r="D57" s="12">
        <v>66650</v>
      </c>
      <c r="E57" s="15">
        <f t="shared" ref="E57:E64" si="8">SUM(C57:D57)</f>
        <v>566650</v>
      </c>
      <c r="F57" s="31">
        <v>50</v>
      </c>
      <c r="G57" s="12">
        <v>11333</v>
      </c>
      <c r="H57" s="102">
        <v>23</v>
      </c>
      <c r="I57" s="97">
        <f t="shared" si="6"/>
        <v>27</v>
      </c>
      <c r="J57" s="91">
        <f t="shared" si="7"/>
        <v>260659</v>
      </c>
      <c r="K57" s="93">
        <f t="shared" si="5"/>
        <v>305991</v>
      </c>
      <c r="L57" s="8"/>
      <c r="M57" s="39" t="e">
        <f>#REF!-G57</f>
        <v>#REF!</v>
      </c>
    </row>
    <row r="58" spans="1:13" ht="25.5">
      <c r="A58" s="14">
        <v>53</v>
      </c>
      <c r="B58" s="142" t="s">
        <v>85</v>
      </c>
      <c r="C58" s="143">
        <v>500000</v>
      </c>
      <c r="D58" s="143">
        <v>66650</v>
      </c>
      <c r="E58" s="144">
        <f t="shared" si="8"/>
        <v>566650</v>
      </c>
      <c r="F58" s="145">
        <v>50</v>
      </c>
      <c r="G58" s="143">
        <v>11333</v>
      </c>
      <c r="H58" s="102">
        <v>23</v>
      </c>
      <c r="I58" s="97">
        <f t="shared" si="6"/>
        <v>27</v>
      </c>
      <c r="J58" s="146">
        <f t="shared" si="7"/>
        <v>260659</v>
      </c>
      <c r="K58" s="147">
        <f t="shared" si="5"/>
        <v>305991</v>
      </c>
      <c r="L58" s="8"/>
      <c r="M58" s="39" t="e">
        <f>#REF!-G58</f>
        <v>#REF!</v>
      </c>
    </row>
    <row r="59" spans="1:13">
      <c r="A59" s="14">
        <v>54</v>
      </c>
      <c r="B59" s="70" t="s">
        <v>271</v>
      </c>
      <c r="C59" s="12">
        <v>500000</v>
      </c>
      <c r="D59" s="12">
        <v>66650</v>
      </c>
      <c r="E59" s="15">
        <f t="shared" si="8"/>
        <v>566650</v>
      </c>
      <c r="F59" s="31">
        <v>50</v>
      </c>
      <c r="G59" s="3">
        <v>11333</v>
      </c>
      <c r="H59" s="102">
        <v>1</v>
      </c>
      <c r="I59" s="97">
        <f t="shared" si="6"/>
        <v>49</v>
      </c>
      <c r="J59" s="92">
        <f>(1*11333)</f>
        <v>11333</v>
      </c>
      <c r="K59" s="72">
        <f t="shared" si="5"/>
        <v>555317</v>
      </c>
      <c r="L59" s="8"/>
      <c r="M59" s="39" t="e">
        <f>#REF!-G59</f>
        <v>#REF!</v>
      </c>
    </row>
    <row r="60" spans="1:13">
      <c r="A60" s="14">
        <v>55</v>
      </c>
      <c r="B60" s="70" t="s">
        <v>270</v>
      </c>
      <c r="C60" s="12">
        <v>500000</v>
      </c>
      <c r="D60" s="12">
        <v>66650</v>
      </c>
      <c r="E60" s="15">
        <f t="shared" si="8"/>
        <v>566650</v>
      </c>
      <c r="F60" s="31">
        <v>50</v>
      </c>
      <c r="G60" s="3">
        <v>11333</v>
      </c>
      <c r="H60" s="102">
        <v>1</v>
      </c>
      <c r="I60" s="97">
        <f t="shared" si="6"/>
        <v>49</v>
      </c>
      <c r="J60" s="92">
        <f>(1*11333)</f>
        <v>11333</v>
      </c>
      <c r="K60" s="72">
        <f t="shared" si="5"/>
        <v>555317</v>
      </c>
      <c r="L60" s="8"/>
      <c r="M60" s="39" t="e">
        <f>#REF!-G60</f>
        <v>#REF!</v>
      </c>
    </row>
    <row r="61" spans="1:13">
      <c r="A61" s="14">
        <v>56</v>
      </c>
      <c r="B61" s="2" t="s">
        <v>86</v>
      </c>
      <c r="C61" s="12">
        <v>500000</v>
      </c>
      <c r="D61" s="12">
        <v>66650</v>
      </c>
      <c r="E61" s="15">
        <f t="shared" si="8"/>
        <v>566650</v>
      </c>
      <c r="F61" s="33">
        <v>50</v>
      </c>
      <c r="G61" s="12">
        <v>11333</v>
      </c>
      <c r="H61" s="102">
        <v>22</v>
      </c>
      <c r="I61" s="97">
        <f t="shared" si="6"/>
        <v>28</v>
      </c>
      <c r="J61" s="91">
        <f t="shared" ref="J61:J70" si="9">H61*G61</f>
        <v>249326</v>
      </c>
      <c r="K61" s="93">
        <f t="shared" si="5"/>
        <v>317324</v>
      </c>
      <c r="L61" s="8"/>
      <c r="M61" s="39" t="e">
        <f>#REF!-G61</f>
        <v>#REF!</v>
      </c>
    </row>
    <row r="62" spans="1:13" ht="15.75">
      <c r="A62" s="14">
        <v>57</v>
      </c>
      <c r="B62" s="75" t="s">
        <v>260</v>
      </c>
      <c r="C62" s="12">
        <v>500000</v>
      </c>
      <c r="D62" s="12">
        <v>66650</v>
      </c>
      <c r="E62" s="15">
        <f t="shared" si="8"/>
        <v>566650</v>
      </c>
      <c r="F62" s="33">
        <v>50</v>
      </c>
      <c r="G62" s="12">
        <v>11333</v>
      </c>
      <c r="H62" s="102">
        <v>27</v>
      </c>
      <c r="I62" s="97">
        <f t="shared" si="6"/>
        <v>23</v>
      </c>
      <c r="J62" s="91">
        <f t="shared" si="9"/>
        <v>305991</v>
      </c>
      <c r="K62" s="93">
        <f t="shared" si="5"/>
        <v>260659</v>
      </c>
      <c r="L62" s="8"/>
      <c r="M62" s="39" t="e">
        <f>#REF!-G62</f>
        <v>#REF!</v>
      </c>
    </row>
    <row r="63" spans="1:13">
      <c r="A63" s="14">
        <v>58</v>
      </c>
      <c r="B63" s="2" t="s">
        <v>87</v>
      </c>
      <c r="C63" s="12">
        <v>500000</v>
      </c>
      <c r="D63" s="12">
        <v>66650</v>
      </c>
      <c r="E63" s="15">
        <f t="shared" si="8"/>
        <v>566650</v>
      </c>
      <c r="F63" s="31">
        <v>50</v>
      </c>
      <c r="G63" s="12">
        <v>11333</v>
      </c>
      <c r="H63" s="102">
        <v>44</v>
      </c>
      <c r="I63" s="97">
        <f t="shared" si="6"/>
        <v>6</v>
      </c>
      <c r="J63" s="91">
        <f t="shared" si="9"/>
        <v>498652</v>
      </c>
      <c r="K63" s="93">
        <f t="shared" si="5"/>
        <v>67998</v>
      </c>
      <c r="L63" s="1"/>
      <c r="M63" s="39" t="e">
        <f>#REF!-G63</f>
        <v>#REF!</v>
      </c>
    </row>
    <row r="64" spans="1:13">
      <c r="A64" s="14">
        <v>59</v>
      </c>
      <c r="B64" s="2" t="s">
        <v>88</v>
      </c>
      <c r="C64" s="12">
        <v>500000</v>
      </c>
      <c r="D64" s="12">
        <v>66650</v>
      </c>
      <c r="E64" s="15">
        <f t="shared" si="8"/>
        <v>566650</v>
      </c>
      <c r="F64" s="31">
        <v>50</v>
      </c>
      <c r="G64" s="12">
        <v>11333</v>
      </c>
      <c r="H64" s="102">
        <v>23</v>
      </c>
      <c r="I64" s="97">
        <f t="shared" si="6"/>
        <v>27</v>
      </c>
      <c r="J64" s="91">
        <f t="shared" si="9"/>
        <v>260659</v>
      </c>
      <c r="K64" s="93">
        <f t="shared" si="5"/>
        <v>305991</v>
      </c>
      <c r="L64" s="8"/>
      <c r="M64" s="39" t="e">
        <f>#REF!-G64</f>
        <v>#REF!</v>
      </c>
    </row>
    <row r="65" spans="1:13">
      <c r="A65" s="14">
        <v>60</v>
      </c>
      <c r="B65" s="2" t="s">
        <v>38</v>
      </c>
      <c r="C65" s="18">
        <v>500000</v>
      </c>
      <c r="D65" s="18">
        <v>66650</v>
      </c>
      <c r="E65" s="18">
        <v>566650</v>
      </c>
      <c r="F65" s="33">
        <v>50</v>
      </c>
      <c r="G65" s="16">
        <v>11333</v>
      </c>
      <c r="H65" s="102">
        <v>9</v>
      </c>
      <c r="I65" s="97">
        <f t="shared" si="6"/>
        <v>41</v>
      </c>
      <c r="J65" s="91">
        <f t="shared" si="9"/>
        <v>101997</v>
      </c>
      <c r="K65" s="72">
        <f t="shared" si="5"/>
        <v>464653</v>
      </c>
      <c r="L65" s="8"/>
      <c r="M65" s="39" t="e">
        <f>#REF!-G65</f>
        <v>#REF!</v>
      </c>
    </row>
    <row r="66" spans="1:13">
      <c r="A66" s="14">
        <v>61</v>
      </c>
      <c r="B66" s="2" t="s">
        <v>90</v>
      </c>
      <c r="C66" s="12">
        <v>500000</v>
      </c>
      <c r="D66" s="12">
        <v>66650</v>
      </c>
      <c r="E66" s="15">
        <f>SUM(C66:D66)</f>
        <v>566650</v>
      </c>
      <c r="F66" s="31">
        <v>50</v>
      </c>
      <c r="G66" s="12">
        <v>11333</v>
      </c>
      <c r="H66" s="102">
        <v>43</v>
      </c>
      <c r="I66" s="97">
        <f t="shared" si="6"/>
        <v>7</v>
      </c>
      <c r="J66" s="91">
        <f t="shared" si="9"/>
        <v>487319</v>
      </c>
      <c r="K66" s="93">
        <f t="shared" si="5"/>
        <v>79331</v>
      </c>
      <c r="L66" s="8"/>
      <c r="M66" s="39" t="e">
        <f>#REF!-G66</f>
        <v>#REF!</v>
      </c>
    </row>
    <row r="67" spans="1:13">
      <c r="A67" s="14">
        <v>62</v>
      </c>
      <c r="B67" s="2" t="s">
        <v>91</v>
      </c>
      <c r="C67" s="12">
        <v>500000</v>
      </c>
      <c r="D67" s="12">
        <v>66650</v>
      </c>
      <c r="E67" s="15">
        <f>SUM(C67:D67)</f>
        <v>566650</v>
      </c>
      <c r="F67" s="33">
        <v>50</v>
      </c>
      <c r="G67" s="12">
        <v>11333</v>
      </c>
      <c r="H67" s="102">
        <v>22</v>
      </c>
      <c r="I67" s="97">
        <f t="shared" si="6"/>
        <v>28</v>
      </c>
      <c r="J67" s="91">
        <f t="shared" si="9"/>
        <v>249326</v>
      </c>
      <c r="K67" s="93">
        <f t="shared" si="5"/>
        <v>317324</v>
      </c>
      <c r="L67" s="8"/>
      <c r="M67" s="39" t="e">
        <f>#REF!-G67</f>
        <v>#REF!</v>
      </c>
    </row>
    <row r="68" spans="1:13">
      <c r="A68" s="14">
        <v>63</v>
      </c>
      <c r="B68" s="2" t="s">
        <v>39</v>
      </c>
      <c r="C68" s="12">
        <v>500000</v>
      </c>
      <c r="D68" s="12">
        <v>66650</v>
      </c>
      <c r="E68" s="12">
        <v>566650</v>
      </c>
      <c r="F68" s="33">
        <v>50</v>
      </c>
      <c r="G68" s="16">
        <v>11333</v>
      </c>
      <c r="H68" s="102">
        <v>9</v>
      </c>
      <c r="I68" s="97">
        <f t="shared" si="6"/>
        <v>41</v>
      </c>
      <c r="J68" s="91">
        <f t="shared" si="9"/>
        <v>101997</v>
      </c>
      <c r="K68" s="72">
        <f t="shared" si="5"/>
        <v>464653</v>
      </c>
      <c r="L68" s="8"/>
      <c r="M68" s="39" t="e">
        <f>#REF!-G68</f>
        <v>#REF!</v>
      </c>
    </row>
    <row r="69" spans="1:13">
      <c r="A69" s="14">
        <v>64</v>
      </c>
      <c r="B69" s="70" t="s">
        <v>255</v>
      </c>
      <c r="C69" s="12">
        <v>450000</v>
      </c>
      <c r="D69" s="16">
        <v>59985</v>
      </c>
      <c r="E69" s="16">
        <v>509985</v>
      </c>
      <c r="F69" s="33">
        <v>50</v>
      </c>
      <c r="G69" s="16">
        <v>10199.700000000001</v>
      </c>
      <c r="H69" s="102">
        <v>8</v>
      </c>
      <c r="I69" s="97">
        <f t="shared" si="6"/>
        <v>42</v>
      </c>
      <c r="J69" s="91">
        <f t="shared" si="9"/>
        <v>81597.600000000006</v>
      </c>
      <c r="K69" s="72">
        <f t="shared" si="5"/>
        <v>428387.4</v>
      </c>
      <c r="L69" s="8"/>
      <c r="M69" s="39" t="e">
        <f>#REF!-G69</f>
        <v>#REF!</v>
      </c>
    </row>
    <row r="70" spans="1:13">
      <c r="A70" s="14">
        <v>65</v>
      </c>
      <c r="B70" s="2" t="s">
        <v>224</v>
      </c>
      <c r="C70" s="12">
        <v>450000</v>
      </c>
      <c r="D70" s="12">
        <v>59985</v>
      </c>
      <c r="E70" s="12">
        <v>509985</v>
      </c>
      <c r="F70" s="31">
        <v>50</v>
      </c>
      <c r="G70" s="18">
        <v>10199.700000000001</v>
      </c>
      <c r="H70" s="102">
        <v>23</v>
      </c>
      <c r="I70" s="97">
        <f t="shared" si="6"/>
        <v>27</v>
      </c>
      <c r="J70" s="91">
        <f t="shared" si="9"/>
        <v>234593.1</v>
      </c>
      <c r="K70" s="93">
        <f t="shared" ref="K70:K101" si="10">E70-J70</f>
        <v>275391.90000000002</v>
      </c>
      <c r="L70" s="8"/>
      <c r="M70" s="39" t="e">
        <f>#REF!-G70</f>
        <v>#REF!</v>
      </c>
    </row>
    <row r="71" spans="1:13">
      <c r="A71" s="14">
        <v>66</v>
      </c>
      <c r="B71" s="70" t="s">
        <v>269</v>
      </c>
      <c r="C71" s="12">
        <v>450000</v>
      </c>
      <c r="D71" s="12">
        <v>59985</v>
      </c>
      <c r="E71" s="12">
        <v>509985</v>
      </c>
      <c r="F71" s="31">
        <v>50</v>
      </c>
      <c r="G71" s="3">
        <v>10199.700000000001</v>
      </c>
      <c r="H71" s="102">
        <v>1</v>
      </c>
      <c r="I71" s="97">
        <f t="shared" si="6"/>
        <v>49</v>
      </c>
      <c r="J71" s="72">
        <f>(1*10199.7)</f>
        <v>10199.700000000001</v>
      </c>
      <c r="K71" s="93">
        <f t="shared" si="10"/>
        <v>499785.3</v>
      </c>
      <c r="L71" s="1"/>
      <c r="M71" s="39" t="e">
        <f>#REF!-G71</f>
        <v>#REF!</v>
      </c>
    </row>
    <row r="72" spans="1:13">
      <c r="A72" s="14">
        <v>67</v>
      </c>
      <c r="B72" s="70" t="s">
        <v>256</v>
      </c>
      <c r="C72" s="12">
        <v>450000</v>
      </c>
      <c r="D72" s="16">
        <v>59985</v>
      </c>
      <c r="E72" s="16">
        <v>509985</v>
      </c>
      <c r="F72" s="33">
        <v>50</v>
      </c>
      <c r="G72" s="16">
        <v>10199.700000000001</v>
      </c>
      <c r="H72" s="102">
        <v>11</v>
      </c>
      <c r="I72" s="97">
        <f t="shared" si="6"/>
        <v>39</v>
      </c>
      <c r="J72" s="91">
        <f t="shared" ref="J72:J84" si="11">H72*G72</f>
        <v>112196.70000000001</v>
      </c>
      <c r="K72" s="93">
        <f t="shared" si="10"/>
        <v>397788.3</v>
      </c>
      <c r="L72" s="8"/>
      <c r="M72" s="39" t="e">
        <f>#REF!-G72</f>
        <v>#REF!</v>
      </c>
    </row>
    <row r="73" spans="1:13">
      <c r="A73" s="14">
        <v>68</v>
      </c>
      <c r="B73" s="2" t="s">
        <v>42</v>
      </c>
      <c r="C73" s="12">
        <v>450000</v>
      </c>
      <c r="D73" s="16">
        <v>59985</v>
      </c>
      <c r="E73" s="16">
        <v>509985</v>
      </c>
      <c r="F73" s="33">
        <v>50</v>
      </c>
      <c r="G73" s="16">
        <v>10199.700000000001</v>
      </c>
      <c r="H73" s="102">
        <v>8</v>
      </c>
      <c r="I73" s="97">
        <f t="shared" si="6"/>
        <v>42</v>
      </c>
      <c r="J73" s="91">
        <f t="shared" si="11"/>
        <v>81597.600000000006</v>
      </c>
      <c r="K73" s="72">
        <f t="shared" si="10"/>
        <v>428387.4</v>
      </c>
      <c r="L73" s="8"/>
      <c r="M73" s="39" t="e">
        <f>#REF!-G73</f>
        <v>#REF!</v>
      </c>
    </row>
    <row r="74" spans="1:13" ht="15.75">
      <c r="A74" s="14">
        <v>69</v>
      </c>
      <c r="B74" s="75" t="s">
        <v>262</v>
      </c>
      <c r="C74" s="12">
        <v>450000</v>
      </c>
      <c r="D74" s="16">
        <v>59985</v>
      </c>
      <c r="E74" s="16">
        <v>509985</v>
      </c>
      <c r="F74" s="33">
        <v>50</v>
      </c>
      <c r="G74" s="77">
        <v>10199.700000000001</v>
      </c>
      <c r="H74" s="102">
        <v>16</v>
      </c>
      <c r="I74" s="97">
        <f t="shared" ref="I74:I105" si="12">F74-H74</f>
        <v>34</v>
      </c>
      <c r="J74" s="91">
        <f t="shared" si="11"/>
        <v>163195.20000000001</v>
      </c>
      <c r="K74" s="93">
        <f t="shared" si="10"/>
        <v>346789.8</v>
      </c>
      <c r="L74" s="8"/>
      <c r="M74" s="39" t="e">
        <f>#REF!-G74</f>
        <v>#REF!</v>
      </c>
    </row>
    <row r="75" spans="1:13">
      <c r="A75" s="14">
        <v>70</v>
      </c>
      <c r="B75" s="2" t="s">
        <v>96</v>
      </c>
      <c r="C75" s="12">
        <v>450000</v>
      </c>
      <c r="D75" s="16">
        <v>59985</v>
      </c>
      <c r="E75" s="15">
        <f>SUM(C75:D75)</f>
        <v>509985</v>
      </c>
      <c r="F75" s="33">
        <v>50</v>
      </c>
      <c r="G75" s="16">
        <v>10199.700000000001</v>
      </c>
      <c r="H75" s="102">
        <v>28</v>
      </c>
      <c r="I75" s="97">
        <f t="shared" si="12"/>
        <v>22</v>
      </c>
      <c r="J75" s="91">
        <f t="shared" si="11"/>
        <v>285591.60000000003</v>
      </c>
      <c r="K75" s="93">
        <f t="shared" si="10"/>
        <v>224393.39999999997</v>
      </c>
      <c r="L75" s="8"/>
      <c r="M75" s="39" t="e">
        <f>#REF!-G75</f>
        <v>#REF!</v>
      </c>
    </row>
    <row r="76" spans="1:13">
      <c r="A76" s="14">
        <v>71</v>
      </c>
      <c r="B76" s="2" t="s">
        <v>97</v>
      </c>
      <c r="C76" s="12">
        <v>450000</v>
      </c>
      <c r="D76" s="12">
        <v>59985</v>
      </c>
      <c r="E76" s="15">
        <f>SUM(C76:D76)</f>
        <v>509985</v>
      </c>
      <c r="F76" s="31">
        <v>50</v>
      </c>
      <c r="G76" s="12">
        <v>10199.700000000001</v>
      </c>
      <c r="H76" s="102">
        <v>23</v>
      </c>
      <c r="I76" s="97">
        <f t="shared" si="12"/>
        <v>27</v>
      </c>
      <c r="J76" s="91">
        <f t="shared" si="11"/>
        <v>234593.1</v>
      </c>
      <c r="K76" s="93">
        <f t="shared" si="10"/>
        <v>275391.90000000002</v>
      </c>
      <c r="L76" s="8"/>
      <c r="M76" s="39" t="e">
        <f>#REF!-G76</f>
        <v>#REF!</v>
      </c>
    </row>
    <row r="77" spans="1:13">
      <c r="A77" s="14">
        <v>72</v>
      </c>
      <c r="B77" s="2" t="s">
        <v>99</v>
      </c>
      <c r="C77" s="12">
        <v>450000</v>
      </c>
      <c r="D77" s="16">
        <v>59985</v>
      </c>
      <c r="E77" s="15">
        <f>SUM(C77:D77)</f>
        <v>509985</v>
      </c>
      <c r="F77" s="33">
        <v>50</v>
      </c>
      <c r="G77" s="16">
        <v>10199.700000000001</v>
      </c>
      <c r="H77" s="102">
        <v>32</v>
      </c>
      <c r="I77" s="97">
        <f t="shared" si="12"/>
        <v>18</v>
      </c>
      <c r="J77" s="91">
        <f t="shared" si="11"/>
        <v>326390.40000000002</v>
      </c>
      <c r="K77" s="93">
        <f t="shared" si="10"/>
        <v>183594.59999999998</v>
      </c>
      <c r="L77" s="8"/>
      <c r="M77" s="39" t="e">
        <f>#REF!-G77</f>
        <v>#REF!</v>
      </c>
    </row>
    <row r="78" spans="1:13">
      <c r="A78" s="14">
        <v>73</v>
      </c>
      <c r="B78" s="2" t="s">
        <v>41</v>
      </c>
      <c r="C78" s="12">
        <v>450000</v>
      </c>
      <c r="D78" s="16">
        <v>59985</v>
      </c>
      <c r="E78" s="16">
        <v>509985</v>
      </c>
      <c r="F78" s="33">
        <v>50</v>
      </c>
      <c r="G78" s="16">
        <v>10199.700000000001</v>
      </c>
      <c r="H78" s="102">
        <v>8</v>
      </c>
      <c r="I78" s="97">
        <f t="shared" si="12"/>
        <v>42</v>
      </c>
      <c r="J78" s="91">
        <f t="shared" si="11"/>
        <v>81597.600000000006</v>
      </c>
      <c r="K78" s="72">
        <f t="shared" si="10"/>
        <v>428387.4</v>
      </c>
      <c r="L78" s="8"/>
      <c r="M78" s="39" t="e">
        <f>#REF!-G78</f>
        <v>#REF!</v>
      </c>
    </row>
    <row r="79" spans="1:13">
      <c r="A79" s="14">
        <v>74</v>
      </c>
      <c r="B79" s="2" t="s">
        <v>100</v>
      </c>
      <c r="C79" s="12">
        <v>450000</v>
      </c>
      <c r="D79" s="16">
        <v>59985</v>
      </c>
      <c r="E79" s="15">
        <f>SUM(C79:D79)</f>
        <v>509985</v>
      </c>
      <c r="F79" s="33">
        <v>50</v>
      </c>
      <c r="G79" s="16">
        <v>10199.700000000001</v>
      </c>
      <c r="H79" s="102">
        <v>22</v>
      </c>
      <c r="I79" s="97">
        <f t="shared" si="12"/>
        <v>28</v>
      </c>
      <c r="J79" s="91">
        <f t="shared" si="11"/>
        <v>224393.40000000002</v>
      </c>
      <c r="K79" s="93">
        <f t="shared" si="10"/>
        <v>285591.59999999998</v>
      </c>
      <c r="L79" s="8"/>
      <c r="M79" s="39" t="e">
        <f>#REF!-G79</f>
        <v>#REF!</v>
      </c>
    </row>
    <row r="80" spans="1:13">
      <c r="A80" s="14">
        <v>75</v>
      </c>
      <c r="B80" s="2" t="s">
        <v>103</v>
      </c>
      <c r="C80" s="12">
        <v>450000</v>
      </c>
      <c r="D80" s="16">
        <v>59985</v>
      </c>
      <c r="E80" s="15">
        <f>SUM(C80:D80)</f>
        <v>509985</v>
      </c>
      <c r="F80" s="33">
        <v>50</v>
      </c>
      <c r="G80" s="16">
        <v>10199.700000000001</v>
      </c>
      <c r="H80" s="102">
        <v>23</v>
      </c>
      <c r="I80" s="97">
        <f t="shared" si="12"/>
        <v>27</v>
      </c>
      <c r="J80" s="91">
        <f t="shared" si="11"/>
        <v>234593.1</v>
      </c>
      <c r="K80" s="93">
        <f t="shared" si="10"/>
        <v>275391.90000000002</v>
      </c>
      <c r="L80" s="8"/>
      <c r="M80" s="39" t="e">
        <f>#REF!-G80</f>
        <v>#REF!</v>
      </c>
    </row>
    <row r="81" spans="1:13">
      <c r="A81" s="14">
        <v>76</v>
      </c>
      <c r="B81" s="2" t="s">
        <v>104</v>
      </c>
      <c r="C81" s="12">
        <v>450000</v>
      </c>
      <c r="D81" s="12">
        <v>59985</v>
      </c>
      <c r="E81" s="15">
        <f>SUM(C81:D81)</f>
        <v>509985</v>
      </c>
      <c r="F81" s="31">
        <v>50</v>
      </c>
      <c r="G81" s="12">
        <v>10199.700000000001</v>
      </c>
      <c r="H81" s="102">
        <v>23</v>
      </c>
      <c r="I81" s="97">
        <f t="shared" si="12"/>
        <v>27</v>
      </c>
      <c r="J81" s="91">
        <f t="shared" si="11"/>
        <v>234593.1</v>
      </c>
      <c r="K81" s="93">
        <f t="shared" si="10"/>
        <v>275391.90000000002</v>
      </c>
      <c r="L81" s="8"/>
      <c r="M81" s="39" t="e">
        <f>#REF!-G81</f>
        <v>#REF!</v>
      </c>
    </row>
    <row r="82" spans="1:13">
      <c r="A82" s="14">
        <v>77</v>
      </c>
      <c r="B82" s="2" t="s">
        <v>29</v>
      </c>
      <c r="C82" s="18">
        <v>450000</v>
      </c>
      <c r="D82" s="19">
        <v>59985</v>
      </c>
      <c r="E82" s="19">
        <v>509985</v>
      </c>
      <c r="F82" s="33">
        <v>50</v>
      </c>
      <c r="G82" s="16">
        <v>10199.700000000001</v>
      </c>
      <c r="H82" s="102">
        <v>9</v>
      </c>
      <c r="I82" s="97">
        <f t="shared" si="12"/>
        <v>41</v>
      </c>
      <c r="J82" s="91">
        <f t="shared" si="11"/>
        <v>91797.3</v>
      </c>
      <c r="K82" s="72">
        <f t="shared" si="10"/>
        <v>418187.7</v>
      </c>
      <c r="L82" s="8"/>
      <c r="M82" s="39" t="e">
        <f>#REF!-G82</f>
        <v>#REF!</v>
      </c>
    </row>
    <row r="83" spans="1:13">
      <c r="A83" s="14">
        <v>78</v>
      </c>
      <c r="B83" s="25" t="s">
        <v>105</v>
      </c>
      <c r="C83" s="12">
        <v>330000</v>
      </c>
      <c r="D83" s="16">
        <v>43989</v>
      </c>
      <c r="E83" s="15">
        <f t="shared" ref="E83:E110" si="13">SUM(C83:D83)</f>
        <v>373989</v>
      </c>
      <c r="F83" s="33">
        <v>50</v>
      </c>
      <c r="G83" s="16">
        <v>7479.78</v>
      </c>
      <c r="H83" s="101">
        <v>32</v>
      </c>
      <c r="I83" s="96">
        <f t="shared" si="12"/>
        <v>18</v>
      </c>
      <c r="J83" s="16">
        <f t="shared" si="11"/>
        <v>239352.95999999999</v>
      </c>
      <c r="K83" s="15">
        <f t="shared" si="10"/>
        <v>134636.04</v>
      </c>
      <c r="L83" s="8"/>
      <c r="M83" s="39" t="e">
        <f>#REF!-G83</f>
        <v>#REF!</v>
      </c>
    </row>
    <row r="84" spans="1:13">
      <c r="A84" s="14">
        <v>79</v>
      </c>
      <c r="B84" s="2" t="s">
        <v>106</v>
      </c>
      <c r="C84" s="12">
        <v>330000</v>
      </c>
      <c r="D84" s="12">
        <v>43989</v>
      </c>
      <c r="E84" s="15">
        <f t="shared" si="13"/>
        <v>373989</v>
      </c>
      <c r="F84" s="31">
        <v>50</v>
      </c>
      <c r="G84" s="12">
        <v>7479.78</v>
      </c>
      <c r="H84" s="101">
        <v>23</v>
      </c>
      <c r="I84" s="96">
        <f t="shared" si="12"/>
        <v>27</v>
      </c>
      <c r="J84" s="16">
        <f t="shared" si="11"/>
        <v>172034.94</v>
      </c>
      <c r="K84" s="15">
        <f t="shared" si="10"/>
        <v>201954.06</v>
      </c>
      <c r="L84" s="8"/>
      <c r="M84" s="39" t="e">
        <f>#REF!-G84</f>
        <v>#REF!</v>
      </c>
    </row>
    <row r="85" spans="1:13" ht="15.75">
      <c r="A85" s="14">
        <v>80</v>
      </c>
      <c r="B85" s="75" t="s">
        <v>263</v>
      </c>
      <c r="C85" s="12">
        <v>330000</v>
      </c>
      <c r="D85" s="12">
        <v>43989</v>
      </c>
      <c r="E85" s="15">
        <f t="shared" si="13"/>
        <v>373989</v>
      </c>
      <c r="F85" s="31">
        <v>50</v>
      </c>
      <c r="G85" s="77">
        <v>7479.78</v>
      </c>
      <c r="H85" s="102">
        <v>32</v>
      </c>
      <c r="I85" s="97">
        <f t="shared" si="12"/>
        <v>18</v>
      </c>
      <c r="J85" s="72">
        <f>(32*7479.78)</f>
        <v>239352.95999999999</v>
      </c>
      <c r="K85" s="93">
        <f t="shared" si="10"/>
        <v>134636.04</v>
      </c>
      <c r="L85" s="8"/>
      <c r="M85" s="39" t="e">
        <f>#REF!-G85</f>
        <v>#REF!</v>
      </c>
    </row>
    <row r="86" spans="1:13">
      <c r="A86" s="14">
        <v>81</v>
      </c>
      <c r="B86" s="2" t="s">
        <v>107</v>
      </c>
      <c r="C86" s="12">
        <v>330000</v>
      </c>
      <c r="D86" s="12">
        <v>43989</v>
      </c>
      <c r="E86" s="15">
        <f t="shared" si="13"/>
        <v>373989</v>
      </c>
      <c r="F86" s="31">
        <v>50</v>
      </c>
      <c r="G86" s="12">
        <v>7479.78</v>
      </c>
      <c r="H86" s="102">
        <v>44</v>
      </c>
      <c r="I86" s="97">
        <f t="shared" si="12"/>
        <v>6</v>
      </c>
      <c r="J86" s="91">
        <f t="shared" ref="J86:J117" si="14">H86*G86</f>
        <v>329110.32</v>
      </c>
      <c r="K86" s="93">
        <f t="shared" si="10"/>
        <v>44878.679999999993</v>
      </c>
      <c r="L86" s="8"/>
      <c r="M86" s="39" t="e">
        <f>#REF!-G86</f>
        <v>#REF!</v>
      </c>
    </row>
    <row r="87" spans="1:13">
      <c r="A87" s="14">
        <v>82</v>
      </c>
      <c r="B87" s="2" t="s">
        <v>108</v>
      </c>
      <c r="C87" s="12">
        <v>330000</v>
      </c>
      <c r="D87" s="12">
        <v>43989</v>
      </c>
      <c r="E87" s="15">
        <f t="shared" si="13"/>
        <v>373989</v>
      </c>
      <c r="F87" s="31">
        <v>50</v>
      </c>
      <c r="G87" s="12">
        <v>7479.78</v>
      </c>
      <c r="H87" s="102">
        <v>44</v>
      </c>
      <c r="I87" s="97">
        <f t="shared" si="12"/>
        <v>6</v>
      </c>
      <c r="J87" s="91">
        <f t="shared" si="14"/>
        <v>329110.32</v>
      </c>
      <c r="K87" s="93">
        <f t="shared" si="10"/>
        <v>44878.679999999993</v>
      </c>
      <c r="L87" s="8"/>
      <c r="M87" s="39" t="e">
        <f>#REF!-G87</f>
        <v>#REF!</v>
      </c>
    </row>
    <row r="88" spans="1:13">
      <c r="A88" s="14">
        <v>83</v>
      </c>
      <c r="B88" s="2" t="s">
        <v>111</v>
      </c>
      <c r="C88" s="12">
        <v>330000</v>
      </c>
      <c r="D88" s="12">
        <v>43989</v>
      </c>
      <c r="E88" s="15">
        <f t="shared" si="13"/>
        <v>373989</v>
      </c>
      <c r="F88" s="31">
        <v>50</v>
      </c>
      <c r="G88" s="12">
        <v>7479.78</v>
      </c>
      <c r="H88" s="102">
        <v>23</v>
      </c>
      <c r="I88" s="97">
        <f t="shared" si="12"/>
        <v>27</v>
      </c>
      <c r="J88" s="91">
        <f t="shared" si="14"/>
        <v>172034.94</v>
      </c>
      <c r="K88" s="93">
        <f t="shared" si="10"/>
        <v>201954.06</v>
      </c>
      <c r="L88" s="8"/>
      <c r="M88" s="39" t="e">
        <f>#REF!-G88</f>
        <v>#REF!</v>
      </c>
    </row>
    <row r="89" spans="1:13">
      <c r="A89" s="14">
        <v>84</v>
      </c>
      <c r="B89" s="2" t="s">
        <v>112</v>
      </c>
      <c r="C89" s="12">
        <v>330000</v>
      </c>
      <c r="D89" s="12">
        <v>43989</v>
      </c>
      <c r="E89" s="15">
        <f t="shared" si="13"/>
        <v>373989</v>
      </c>
      <c r="F89" s="31">
        <v>50</v>
      </c>
      <c r="G89" s="12">
        <v>7479.78</v>
      </c>
      <c r="H89" s="102">
        <v>23</v>
      </c>
      <c r="I89" s="97">
        <f t="shared" si="12"/>
        <v>27</v>
      </c>
      <c r="J89" s="91">
        <f t="shared" si="14"/>
        <v>172034.94</v>
      </c>
      <c r="K89" s="93">
        <f t="shared" si="10"/>
        <v>201954.06</v>
      </c>
      <c r="L89" s="8"/>
      <c r="M89" s="39" t="e">
        <f>#REF!-G89</f>
        <v>#REF!</v>
      </c>
    </row>
    <row r="90" spans="1:13">
      <c r="A90" s="14">
        <v>85</v>
      </c>
      <c r="B90" s="2" t="s">
        <v>113</v>
      </c>
      <c r="C90" s="12">
        <v>330000</v>
      </c>
      <c r="D90" s="12">
        <v>43989</v>
      </c>
      <c r="E90" s="15">
        <f t="shared" si="13"/>
        <v>373989</v>
      </c>
      <c r="F90" s="31">
        <v>50</v>
      </c>
      <c r="G90" s="12">
        <v>7479.78</v>
      </c>
      <c r="H90" s="102">
        <v>44</v>
      </c>
      <c r="I90" s="97">
        <f t="shared" si="12"/>
        <v>6</v>
      </c>
      <c r="J90" s="91">
        <f t="shared" si="14"/>
        <v>329110.32</v>
      </c>
      <c r="K90" s="93">
        <f t="shared" si="10"/>
        <v>44878.679999999993</v>
      </c>
      <c r="L90" s="8"/>
      <c r="M90" s="39" t="e">
        <f>#REF!-G90</f>
        <v>#REF!</v>
      </c>
    </row>
    <row r="91" spans="1:13">
      <c r="A91" s="14">
        <v>86</v>
      </c>
      <c r="B91" s="2" t="s">
        <v>32</v>
      </c>
      <c r="C91" s="20">
        <v>330000</v>
      </c>
      <c r="D91" s="20">
        <v>43989</v>
      </c>
      <c r="E91" s="20">
        <f t="shared" si="13"/>
        <v>373989</v>
      </c>
      <c r="F91" s="33">
        <v>50</v>
      </c>
      <c r="G91" s="3">
        <v>7479.78</v>
      </c>
      <c r="H91" s="102">
        <v>9</v>
      </c>
      <c r="I91" s="97">
        <f t="shared" si="12"/>
        <v>41</v>
      </c>
      <c r="J91" s="91">
        <f t="shared" si="14"/>
        <v>67318.02</v>
      </c>
      <c r="K91" s="72">
        <f t="shared" si="10"/>
        <v>306670.98</v>
      </c>
      <c r="L91" s="8"/>
      <c r="M91" s="39" t="e">
        <f>#REF!-G91</f>
        <v>#REF!</v>
      </c>
    </row>
    <row r="92" spans="1:13">
      <c r="A92" s="14">
        <v>87</v>
      </c>
      <c r="B92" s="81" t="s">
        <v>117</v>
      </c>
      <c r="C92" s="12">
        <v>330000</v>
      </c>
      <c r="D92" s="12">
        <v>43989</v>
      </c>
      <c r="E92" s="15">
        <f t="shared" si="13"/>
        <v>373989</v>
      </c>
      <c r="F92" s="31">
        <v>50</v>
      </c>
      <c r="G92" s="12">
        <v>7479.78</v>
      </c>
      <c r="H92" s="102">
        <v>31</v>
      </c>
      <c r="I92" s="97">
        <f t="shared" si="12"/>
        <v>19</v>
      </c>
      <c r="J92" s="91">
        <f t="shared" si="14"/>
        <v>231873.18</v>
      </c>
      <c r="K92" s="93">
        <f t="shared" si="10"/>
        <v>142115.82</v>
      </c>
      <c r="L92" s="8"/>
      <c r="M92" s="39" t="e">
        <f>#REF!-G92</f>
        <v>#REF!</v>
      </c>
    </row>
    <row r="93" spans="1:13">
      <c r="A93" s="14">
        <v>88</v>
      </c>
      <c r="B93" s="2" t="s">
        <v>30</v>
      </c>
      <c r="C93" s="20">
        <v>330000</v>
      </c>
      <c r="D93" s="20">
        <v>43989</v>
      </c>
      <c r="E93" s="20">
        <f t="shared" si="13"/>
        <v>373989</v>
      </c>
      <c r="F93" s="33">
        <v>50</v>
      </c>
      <c r="G93" s="3">
        <v>7479.78</v>
      </c>
      <c r="H93" s="102">
        <v>9</v>
      </c>
      <c r="I93" s="97">
        <f t="shared" si="12"/>
        <v>41</v>
      </c>
      <c r="J93" s="91">
        <f t="shared" si="14"/>
        <v>67318.02</v>
      </c>
      <c r="K93" s="72">
        <f t="shared" si="10"/>
        <v>306670.98</v>
      </c>
      <c r="L93" s="8"/>
      <c r="M93" s="39" t="e">
        <f>#REF!-G93</f>
        <v>#REF!</v>
      </c>
    </row>
    <row r="94" spans="1:13" ht="15.75">
      <c r="A94" s="14">
        <v>89</v>
      </c>
      <c r="B94" s="75" t="s">
        <v>266</v>
      </c>
      <c r="C94" s="12">
        <v>330000</v>
      </c>
      <c r="D94" s="12">
        <v>43989</v>
      </c>
      <c r="E94" s="15">
        <f t="shared" si="13"/>
        <v>373989</v>
      </c>
      <c r="F94" s="31">
        <v>50</v>
      </c>
      <c r="G94" s="77">
        <v>7479</v>
      </c>
      <c r="H94" s="102">
        <v>8</v>
      </c>
      <c r="I94" s="97">
        <f t="shared" si="12"/>
        <v>42</v>
      </c>
      <c r="J94" s="91">
        <f t="shared" si="14"/>
        <v>59832</v>
      </c>
      <c r="K94" s="93">
        <f t="shared" si="10"/>
        <v>314157</v>
      </c>
      <c r="L94" s="8"/>
      <c r="M94" s="39" t="e">
        <f>#REF!-G94</f>
        <v>#REF!</v>
      </c>
    </row>
    <row r="95" spans="1:13">
      <c r="A95" s="14">
        <v>90</v>
      </c>
      <c r="B95" s="70" t="s">
        <v>273</v>
      </c>
      <c r="C95" s="12">
        <v>330000</v>
      </c>
      <c r="D95" s="16">
        <v>43989</v>
      </c>
      <c r="E95" s="15">
        <f t="shared" si="13"/>
        <v>373989</v>
      </c>
      <c r="F95" s="33">
        <v>50</v>
      </c>
      <c r="G95" s="3">
        <v>7478.78</v>
      </c>
      <c r="H95" s="101">
        <v>32</v>
      </c>
      <c r="I95" s="96">
        <f t="shared" si="12"/>
        <v>18</v>
      </c>
      <c r="J95" s="12">
        <f t="shared" si="14"/>
        <v>239320.95999999999</v>
      </c>
      <c r="K95" s="15">
        <f t="shared" si="10"/>
        <v>134668.04</v>
      </c>
      <c r="L95" s="8"/>
      <c r="M95" s="39" t="e">
        <f>#REF!-G95</f>
        <v>#REF!</v>
      </c>
    </row>
    <row r="96" spans="1:13">
      <c r="A96" s="14">
        <v>91</v>
      </c>
      <c r="B96" s="2" t="s">
        <v>120</v>
      </c>
      <c r="C96" s="12">
        <v>330000</v>
      </c>
      <c r="D96" s="16">
        <v>21114.720000000001</v>
      </c>
      <c r="E96" s="15">
        <f t="shared" si="13"/>
        <v>351114.72</v>
      </c>
      <c r="F96" s="31">
        <v>24</v>
      </c>
      <c r="G96" s="24">
        <v>6649.9</v>
      </c>
      <c r="H96" s="101">
        <v>23</v>
      </c>
      <c r="I96" s="96">
        <f t="shared" si="12"/>
        <v>1</v>
      </c>
      <c r="J96" s="16">
        <f t="shared" si="14"/>
        <v>152947.69999999998</v>
      </c>
      <c r="K96" s="15">
        <f t="shared" si="10"/>
        <v>198167.02</v>
      </c>
      <c r="L96" s="8"/>
      <c r="M96" s="39" t="e">
        <f>#REF!-G96</f>
        <v>#REF!</v>
      </c>
    </row>
    <row r="97" spans="1:13">
      <c r="A97" s="14">
        <v>92</v>
      </c>
      <c r="B97" s="2" t="s">
        <v>121</v>
      </c>
      <c r="C97" s="15">
        <v>200000</v>
      </c>
      <c r="D97" s="15">
        <v>26660</v>
      </c>
      <c r="E97" s="15">
        <f t="shared" si="13"/>
        <v>226660</v>
      </c>
      <c r="F97" s="31">
        <v>40</v>
      </c>
      <c r="G97" s="15">
        <v>5666.5</v>
      </c>
      <c r="H97" s="101">
        <v>36</v>
      </c>
      <c r="I97" s="96">
        <f t="shared" si="12"/>
        <v>4</v>
      </c>
      <c r="J97" s="16">
        <f t="shared" si="14"/>
        <v>203994</v>
      </c>
      <c r="K97" s="15">
        <f t="shared" si="10"/>
        <v>22666</v>
      </c>
      <c r="L97" s="8"/>
      <c r="M97" s="39" t="e">
        <f>#REF!-G97</f>
        <v>#REF!</v>
      </c>
    </row>
    <row r="98" spans="1:13">
      <c r="A98" s="14">
        <v>93</v>
      </c>
      <c r="B98" s="2" t="s">
        <v>122</v>
      </c>
      <c r="C98" s="15">
        <v>200000</v>
      </c>
      <c r="D98" s="15">
        <v>26660</v>
      </c>
      <c r="E98" s="15">
        <f t="shared" si="13"/>
        <v>226660</v>
      </c>
      <c r="F98" s="31">
        <v>40</v>
      </c>
      <c r="G98" s="15">
        <v>5666.5</v>
      </c>
      <c r="H98" s="101">
        <v>27</v>
      </c>
      <c r="I98" s="96">
        <f t="shared" si="12"/>
        <v>13</v>
      </c>
      <c r="J98" s="16">
        <f t="shared" si="14"/>
        <v>152995.5</v>
      </c>
      <c r="K98" s="15">
        <f t="shared" si="10"/>
        <v>73664.5</v>
      </c>
      <c r="L98" s="8"/>
      <c r="M98" s="39" t="e">
        <f>#REF!-G98</f>
        <v>#REF!</v>
      </c>
    </row>
    <row r="99" spans="1:13">
      <c r="A99" s="14">
        <v>94</v>
      </c>
      <c r="B99" s="2" t="s">
        <v>123</v>
      </c>
      <c r="C99" s="15">
        <v>200000</v>
      </c>
      <c r="D99" s="15">
        <v>26660</v>
      </c>
      <c r="E99" s="15">
        <f t="shared" si="13"/>
        <v>226660</v>
      </c>
      <c r="F99" s="31">
        <v>40</v>
      </c>
      <c r="G99" s="15">
        <v>5666.5</v>
      </c>
      <c r="H99" s="101">
        <v>37</v>
      </c>
      <c r="I99" s="96">
        <f t="shared" si="12"/>
        <v>3</v>
      </c>
      <c r="J99" s="16">
        <f t="shared" si="14"/>
        <v>209660.5</v>
      </c>
      <c r="K99" s="15">
        <f t="shared" si="10"/>
        <v>16999.5</v>
      </c>
      <c r="L99" s="1"/>
      <c r="M99" s="39" t="e">
        <f>#REF!-G99</f>
        <v>#REF!</v>
      </c>
    </row>
    <row r="100" spans="1:13">
      <c r="A100" s="14">
        <v>95</v>
      </c>
      <c r="B100" s="2" t="s">
        <v>124</v>
      </c>
      <c r="C100" s="15">
        <v>200000</v>
      </c>
      <c r="D100" s="15">
        <v>26660</v>
      </c>
      <c r="E100" s="15">
        <f t="shared" si="13"/>
        <v>226660</v>
      </c>
      <c r="F100" s="31">
        <v>40</v>
      </c>
      <c r="G100" s="15">
        <v>5666.5</v>
      </c>
      <c r="H100" s="101">
        <v>40</v>
      </c>
      <c r="I100" s="96">
        <f t="shared" si="12"/>
        <v>0</v>
      </c>
      <c r="J100" s="16">
        <f t="shared" si="14"/>
        <v>226660</v>
      </c>
      <c r="K100" s="15">
        <f t="shared" si="10"/>
        <v>0</v>
      </c>
      <c r="L100" s="8"/>
      <c r="M100" s="39" t="e">
        <f>#REF!-G100</f>
        <v>#REF!</v>
      </c>
    </row>
    <row r="101" spans="1:13">
      <c r="A101" s="14">
        <v>96</v>
      </c>
      <c r="B101" s="2" t="s">
        <v>129</v>
      </c>
      <c r="C101" s="15">
        <v>200000</v>
      </c>
      <c r="D101" s="15">
        <v>26660</v>
      </c>
      <c r="E101" s="15">
        <f t="shared" si="13"/>
        <v>226660</v>
      </c>
      <c r="F101" s="31">
        <v>40</v>
      </c>
      <c r="G101" s="15">
        <v>5666.5</v>
      </c>
      <c r="H101" s="101">
        <v>38</v>
      </c>
      <c r="I101" s="96">
        <f t="shared" si="12"/>
        <v>2</v>
      </c>
      <c r="J101" s="16">
        <f t="shared" si="14"/>
        <v>215327</v>
      </c>
      <c r="K101" s="15">
        <f t="shared" si="10"/>
        <v>11333</v>
      </c>
      <c r="L101" s="1"/>
      <c r="M101" s="39" t="e">
        <f>#REF!-G101</f>
        <v>#REF!</v>
      </c>
    </row>
    <row r="102" spans="1:13">
      <c r="A102" s="14">
        <v>97</v>
      </c>
      <c r="B102" s="2" t="s">
        <v>130</v>
      </c>
      <c r="C102" s="15">
        <v>200000</v>
      </c>
      <c r="D102" s="15">
        <v>26660</v>
      </c>
      <c r="E102" s="15">
        <f t="shared" si="13"/>
        <v>226660</v>
      </c>
      <c r="F102" s="31">
        <v>40</v>
      </c>
      <c r="G102" s="15">
        <v>5666.5</v>
      </c>
      <c r="H102" s="101">
        <v>37</v>
      </c>
      <c r="I102" s="96">
        <f t="shared" si="12"/>
        <v>3</v>
      </c>
      <c r="J102" s="16">
        <f t="shared" si="14"/>
        <v>209660.5</v>
      </c>
      <c r="K102" s="15">
        <f t="shared" ref="K102:K133" si="15">E102-J102</f>
        <v>16999.5</v>
      </c>
      <c r="L102" s="8"/>
      <c r="M102" s="39" t="e">
        <f>#REF!-G102</f>
        <v>#REF!</v>
      </c>
    </row>
    <row r="103" spans="1:13">
      <c r="A103" s="14">
        <v>98</v>
      </c>
      <c r="B103" s="2" t="s">
        <v>134</v>
      </c>
      <c r="C103" s="15">
        <v>200000</v>
      </c>
      <c r="D103" s="15">
        <v>26660</v>
      </c>
      <c r="E103" s="15">
        <f t="shared" si="13"/>
        <v>226660</v>
      </c>
      <c r="F103" s="31">
        <v>40</v>
      </c>
      <c r="G103" s="15">
        <v>5666.5</v>
      </c>
      <c r="H103" s="101">
        <v>37</v>
      </c>
      <c r="I103" s="96">
        <f t="shared" si="12"/>
        <v>3</v>
      </c>
      <c r="J103" s="16">
        <f t="shared" si="14"/>
        <v>209660.5</v>
      </c>
      <c r="K103" s="15">
        <f t="shared" si="15"/>
        <v>16999.5</v>
      </c>
      <c r="L103" s="8"/>
      <c r="M103" s="39" t="e">
        <f>#REF!-G103</f>
        <v>#REF!</v>
      </c>
    </row>
    <row r="104" spans="1:13">
      <c r="A104" s="14">
        <v>99</v>
      </c>
      <c r="B104" s="2" t="s">
        <v>136</v>
      </c>
      <c r="C104" s="15">
        <v>200000</v>
      </c>
      <c r="D104" s="15">
        <v>26660</v>
      </c>
      <c r="E104" s="15">
        <f t="shared" si="13"/>
        <v>226660</v>
      </c>
      <c r="F104" s="32">
        <v>40</v>
      </c>
      <c r="G104" s="15">
        <v>5666.5</v>
      </c>
      <c r="H104" s="101">
        <v>47</v>
      </c>
      <c r="I104" s="96">
        <f t="shared" si="12"/>
        <v>-7</v>
      </c>
      <c r="J104" s="16">
        <f t="shared" si="14"/>
        <v>266325.5</v>
      </c>
      <c r="K104" s="15">
        <f t="shared" si="15"/>
        <v>-39665.5</v>
      </c>
      <c r="L104" s="8"/>
      <c r="M104" s="39" t="e">
        <f>#REF!-G104</f>
        <v>#REF!</v>
      </c>
    </row>
    <row r="105" spans="1:13">
      <c r="A105" s="14">
        <v>100</v>
      </c>
      <c r="B105" s="2" t="s">
        <v>137</v>
      </c>
      <c r="C105" s="15">
        <v>200000</v>
      </c>
      <c r="D105" s="15">
        <v>26660</v>
      </c>
      <c r="E105" s="15">
        <f t="shared" si="13"/>
        <v>226660</v>
      </c>
      <c r="F105" s="31">
        <v>40</v>
      </c>
      <c r="G105" s="15">
        <v>5666.5</v>
      </c>
      <c r="H105" s="101">
        <v>37</v>
      </c>
      <c r="I105" s="96">
        <f t="shared" si="12"/>
        <v>3</v>
      </c>
      <c r="J105" s="16">
        <f t="shared" si="14"/>
        <v>209660.5</v>
      </c>
      <c r="K105" s="15">
        <f t="shared" si="15"/>
        <v>16999.5</v>
      </c>
      <c r="L105" s="8"/>
      <c r="M105" s="39" t="e">
        <f>#REF!-G105</f>
        <v>#REF!</v>
      </c>
    </row>
    <row r="106" spans="1:13">
      <c r="A106" s="14">
        <v>101</v>
      </c>
      <c r="B106" s="2" t="s">
        <v>138</v>
      </c>
      <c r="C106" s="15">
        <v>200000</v>
      </c>
      <c r="D106" s="15">
        <v>26660</v>
      </c>
      <c r="E106" s="15">
        <f t="shared" si="13"/>
        <v>226660</v>
      </c>
      <c r="F106" s="31">
        <v>40</v>
      </c>
      <c r="G106" s="52">
        <v>5666.5</v>
      </c>
      <c r="H106" s="102">
        <v>37</v>
      </c>
      <c r="I106" s="97">
        <f t="shared" ref="I106:I137" si="16">F106-H106</f>
        <v>3</v>
      </c>
      <c r="J106" s="91">
        <f t="shared" si="14"/>
        <v>209660.5</v>
      </c>
      <c r="K106" s="93">
        <f t="shared" si="15"/>
        <v>16999.5</v>
      </c>
      <c r="L106" s="8"/>
      <c r="M106" s="39" t="e">
        <f>#REF!-G106</f>
        <v>#REF!</v>
      </c>
    </row>
    <row r="107" spans="1:13">
      <c r="A107" s="14">
        <v>102</v>
      </c>
      <c r="B107" s="2" t="s">
        <v>139</v>
      </c>
      <c r="C107" s="15">
        <v>200000</v>
      </c>
      <c r="D107" s="15">
        <v>26660</v>
      </c>
      <c r="E107" s="15">
        <f t="shared" si="13"/>
        <v>226660</v>
      </c>
      <c r="F107" s="31">
        <v>40</v>
      </c>
      <c r="G107" s="15">
        <v>5666.5</v>
      </c>
      <c r="H107" s="102">
        <v>37</v>
      </c>
      <c r="I107" s="97">
        <f t="shared" si="16"/>
        <v>3</v>
      </c>
      <c r="J107" s="91">
        <f t="shared" si="14"/>
        <v>209660.5</v>
      </c>
      <c r="K107" s="93">
        <f t="shared" si="15"/>
        <v>16999.5</v>
      </c>
      <c r="L107" s="8"/>
      <c r="M107" s="39" t="e">
        <f>#REF!-G107</f>
        <v>#REF!</v>
      </c>
    </row>
    <row r="108" spans="1:13">
      <c r="A108" s="14">
        <v>103</v>
      </c>
      <c r="B108" s="2" t="s">
        <v>141</v>
      </c>
      <c r="C108" s="15">
        <v>200000</v>
      </c>
      <c r="D108" s="15">
        <v>26660</v>
      </c>
      <c r="E108" s="15">
        <f t="shared" si="13"/>
        <v>226660</v>
      </c>
      <c r="F108" s="31">
        <v>40</v>
      </c>
      <c r="G108" s="15">
        <v>5666.5</v>
      </c>
      <c r="H108" s="102">
        <v>37</v>
      </c>
      <c r="I108" s="97">
        <f t="shared" si="16"/>
        <v>3</v>
      </c>
      <c r="J108" s="91">
        <f t="shared" si="14"/>
        <v>209660.5</v>
      </c>
      <c r="K108" s="93">
        <f t="shared" si="15"/>
        <v>16999.5</v>
      </c>
      <c r="L108" s="8"/>
      <c r="M108" s="39" t="e">
        <f>#REF!-G108</f>
        <v>#REF!</v>
      </c>
    </row>
    <row r="109" spans="1:13">
      <c r="A109" s="14">
        <v>104</v>
      </c>
      <c r="B109" s="2" t="s">
        <v>142</v>
      </c>
      <c r="C109" s="15">
        <v>200000</v>
      </c>
      <c r="D109" s="15">
        <v>26660</v>
      </c>
      <c r="E109" s="15">
        <f t="shared" si="13"/>
        <v>226660</v>
      </c>
      <c r="F109" s="31">
        <v>40</v>
      </c>
      <c r="G109" s="15">
        <v>5666.5</v>
      </c>
      <c r="H109" s="102">
        <v>37</v>
      </c>
      <c r="I109" s="97">
        <f t="shared" si="16"/>
        <v>3</v>
      </c>
      <c r="J109" s="91">
        <f t="shared" si="14"/>
        <v>209660.5</v>
      </c>
      <c r="K109" s="93">
        <f t="shared" si="15"/>
        <v>16999.5</v>
      </c>
      <c r="L109" s="1"/>
      <c r="M109" s="39" t="e">
        <f>#REF!-G109</f>
        <v>#REF!</v>
      </c>
    </row>
    <row r="110" spans="1:13">
      <c r="A110" s="14">
        <v>105</v>
      </c>
      <c r="B110" s="2" t="s">
        <v>144</v>
      </c>
      <c r="C110" s="15">
        <v>200000</v>
      </c>
      <c r="D110" s="15">
        <v>26660</v>
      </c>
      <c r="E110" s="15">
        <f t="shared" si="13"/>
        <v>226660</v>
      </c>
      <c r="F110" s="31">
        <v>40</v>
      </c>
      <c r="G110" s="15">
        <v>5666.5</v>
      </c>
      <c r="H110" s="102">
        <v>40</v>
      </c>
      <c r="I110" s="97">
        <f t="shared" si="16"/>
        <v>0</v>
      </c>
      <c r="J110" s="91">
        <f t="shared" si="14"/>
        <v>226660</v>
      </c>
      <c r="K110" s="93">
        <f t="shared" si="15"/>
        <v>0</v>
      </c>
      <c r="L110" s="8"/>
      <c r="M110" s="39" t="e">
        <f>#REF!-G110</f>
        <v>#REF!</v>
      </c>
    </row>
    <row r="111" spans="1:13">
      <c r="A111" s="14">
        <v>106</v>
      </c>
      <c r="B111" s="2" t="s">
        <v>234</v>
      </c>
      <c r="C111" s="15">
        <v>200000</v>
      </c>
      <c r="D111" s="15">
        <v>26660</v>
      </c>
      <c r="E111" s="15">
        <v>226660</v>
      </c>
      <c r="F111" s="31">
        <v>40</v>
      </c>
      <c r="G111" s="18">
        <v>5666.5</v>
      </c>
      <c r="H111" s="102">
        <v>40</v>
      </c>
      <c r="I111" s="97">
        <f t="shared" si="16"/>
        <v>0</v>
      </c>
      <c r="J111" s="91">
        <f t="shared" si="14"/>
        <v>226660</v>
      </c>
      <c r="K111" s="93">
        <f t="shared" si="15"/>
        <v>0</v>
      </c>
      <c r="L111" s="8"/>
      <c r="M111" s="39" t="e">
        <f>#REF!-G111</f>
        <v>#REF!</v>
      </c>
    </row>
    <row r="112" spans="1:13">
      <c r="A112" s="14">
        <v>107</v>
      </c>
      <c r="B112" s="2" t="s">
        <v>147</v>
      </c>
      <c r="C112" s="12">
        <v>500000</v>
      </c>
      <c r="D112" s="12">
        <v>66650</v>
      </c>
      <c r="E112" s="15">
        <f t="shared" ref="E112:E119" si="17">SUM(C112:D112)</f>
        <v>566650</v>
      </c>
      <c r="F112" s="31">
        <v>50</v>
      </c>
      <c r="G112" s="24">
        <v>5666.5</v>
      </c>
      <c r="H112" s="102">
        <v>32</v>
      </c>
      <c r="I112" s="97">
        <f t="shared" si="16"/>
        <v>18</v>
      </c>
      <c r="J112" s="91">
        <f t="shared" si="14"/>
        <v>181328</v>
      </c>
      <c r="K112" s="93">
        <f t="shared" si="15"/>
        <v>385322</v>
      </c>
      <c r="L112" s="1"/>
      <c r="M112" s="39" t="e">
        <f>#REF!-G112</f>
        <v>#REF!</v>
      </c>
    </row>
    <row r="113" spans="1:13">
      <c r="A113" s="14">
        <v>108</v>
      </c>
      <c r="B113" s="2" t="s">
        <v>149</v>
      </c>
      <c r="C113" s="15">
        <v>200000</v>
      </c>
      <c r="D113" s="15">
        <v>26660</v>
      </c>
      <c r="E113" s="15">
        <f t="shared" si="17"/>
        <v>226660</v>
      </c>
      <c r="F113" s="31">
        <v>40</v>
      </c>
      <c r="G113" s="15">
        <v>5666.5</v>
      </c>
      <c r="H113" s="102">
        <v>37</v>
      </c>
      <c r="I113" s="97">
        <f t="shared" si="16"/>
        <v>3</v>
      </c>
      <c r="J113" s="91">
        <f t="shared" si="14"/>
        <v>209660.5</v>
      </c>
      <c r="K113" s="93">
        <f t="shared" si="15"/>
        <v>16999.5</v>
      </c>
      <c r="L113" s="8"/>
      <c r="M113" s="39" t="e">
        <f>#REF!-G113</f>
        <v>#REF!</v>
      </c>
    </row>
    <row r="114" spans="1:13">
      <c r="A114" s="14">
        <v>109</v>
      </c>
      <c r="B114" s="2" t="s">
        <v>150</v>
      </c>
      <c r="C114" s="15">
        <v>200000</v>
      </c>
      <c r="D114" s="15">
        <v>26660</v>
      </c>
      <c r="E114" s="15">
        <f t="shared" si="17"/>
        <v>226660</v>
      </c>
      <c r="F114" s="31">
        <v>40</v>
      </c>
      <c r="G114" s="15">
        <v>5666.5</v>
      </c>
      <c r="H114" s="102">
        <v>40</v>
      </c>
      <c r="I114" s="97">
        <f t="shared" si="16"/>
        <v>0</v>
      </c>
      <c r="J114" s="91">
        <f t="shared" si="14"/>
        <v>226660</v>
      </c>
      <c r="K114" s="93">
        <f t="shared" si="15"/>
        <v>0</v>
      </c>
      <c r="L114" s="8"/>
      <c r="M114" s="39" t="e">
        <f>#REF!-G114</f>
        <v>#REF!</v>
      </c>
    </row>
    <row r="115" spans="1:13">
      <c r="A115" s="14">
        <v>110</v>
      </c>
      <c r="B115" s="81" t="s">
        <v>151</v>
      </c>
      <c r="C115" s="15">
        <v>200000</v>
      </c>
      <c r="D115" s="15">
        <v>26660</v>
      </c>
      <c r="E115" s="15">
        <f t="shared" si="17"/>
        <v>226660</v>
      </c>
      <c r="F115" s="31">
        <v>40</v>
      </c>
      <c r="G115" s="52">
        <v>5666.5</v>
      </c>
      <c r="H115" s="102">
        <v>38</v>
      </c>
      <c r="I115" s="97">
        <f t="shared" si="16"/>
        <v>2</v>
      </c>
      <c r="J115" s="91">
        <f t="shared" si="14"/>
        <v>215327</v>
      </c>
      <c r="K115" s="93">
        <f t="shared" si="15"/>
        <v>11333</v>
      </c>
      <c r="L115" s="8"/>
      <c r="M115" s="39" t="e">
        <f>#REF!-G115</f>
        <v>#REF!</v>
      </c>
    </row>
    <row r="116" spans="1:13">
      <c r="A116" s="14">
        <v>111</v>
      </c>
      <c r="B116" s="2" t="s">
        <v>155</v>
      </c>
      <c r="C116" s="15">
        <v>200000</v>
      </c>
      <c r="D116" s="15">
        <v>26660</v>
      </c>
      <c r="E116" s="15">
        <f t="shared" si="17"/>
        <v>226660</v>
      </c>
      <c r="F116" s="31">
        <v>40</v>
      </c>
      <c r="G116" s="15">
        <v>5666.5</v>
      </c>
      <c r="H116" s="102">
        <v>37</v>
      </c>
      <c r="I116" s="97">
        <f t="shared" si="16"/>
        <v>3</v>
      </c>
      <c r="J116" s="91">
        <f t="shared" si="14"/>
        <v>209660.5</v>
      </c>
      <c r="K116" s="93">
        <f t="shared" si="15"/>
        <v>16999.5</v>
      </c>
      <c r="L116" s="8"/>
      <c r="M116" s="39" t="e">
        <f>#REF!-G116</f>
        <v>#REF!</v>
      </c>
    </row>
    <row r="117" spans="1:13">
      <c r="A117" s="14">
        <v>112</v>
      </c>
      <c r="B117" s="2" t="s">
        <v>157</v>
      </c>
      <c r="C117" s="15">
        <v>200000</v>
      </c>
      <c r="D117" s="15">
        <v>26660</v>
      </c>
      <c r="E117" s="15">
        <f t="shared" si="17"/>
        <v>226660</v>
      </c>
      <c r="F117" s="31">
        <v>40</v>
      </c>
      <c r="G117" s="15">
        <v>5666.5</v>
      </c>
      <c r="H117" s="102">
        <v>40</v>
      </c>
      <c r="I117" s="97">
        <f t="shared" si="16"/>
        <v>0</v>
      </c>
      <c r="J117" s="91">
        <f t="shared" si="14"/>
        <v>226660</v>
      </c>
      <c r="K117" s="93">
        <f t="shared" si="15"/>
        <v>0</v>
      </c>
      <c r="L117" s="8"/>
      <c r="M117" s="39" t="e">
        <f>#REF!-G117</f>
        <v>#REF!</v>
      </c>
    </row>
    <row r="118" spans="1:13">
      <c r="A118" s="14">
        <v>113</v>
      </c>
      <c r="B118" s="2" t="s">
        <v>158</v>
      </c>
      <c r="C118" s="15">
        <v>200000</v>
      </c>
      <c r="D118" s="15">
        <v>26660</v>
      </c>
      <c r="E118" s="15">
        <f t="shared" si="17"/>
        <v>226660</v>
      </c>
      <c r="F118" s="31">
        <v>40</v>
      </c>
      <c r="G118" s="15">
        <v>5666.5</v>
      </c>
      <c r="H118" s="102">
        <v>40</v>
      </c>
      <c r="I118" s="97">
        <f t="shared" si="16"/>
        <v>0</v>
      </c>
      <c r="J118" s="91">
        <f t="shared" ref="J118:J146" si="18">H118*G118</f>
        <v>226660</v>
      </c>
      <c r="K118" s="93">
        <f t="shared" si="15"/>
        <v>0</v>
      </c>
      <c r="L118" s="8"/>
      <c r="M118" s="39" t="e">
        <f>#REF!-G118</f>
        <v>#REF!</v>
      </c>
    </row>
    <row r="119" spans="1:13">
      <c r="A119" s="14">
        <v>114</v>
      </c>
      <c r="B119" s="2" t="s">
        <v>159</v>
      </c>
      <c r="C119" s="15">
        <v>200000</v>
      </c>
      <c r="D119" s="15">
        <v>26660</v>
      </c>
      <c r="E119" s="15">
        <f t="shared" si="17"/>
        <v>226660</v>
      </c>
      <c r="F119" s="31">
        <v>40</v>
      </c>
      <c r="G119" s="15">
        <v>5666.5</v>
      </c>
      <c r="H119" s="102">
        <v>31</v>
      </c>
      <c r="I119" s="97">
        <f t="shared" si="16"/>
        <v>9</v>
      </c>
      <c r="J119" s="91">
        <f t="shared" si="18"/>
        <v>175661.5</v>
      </c>
      <c r="K119" s="93">
        <f t="shared" si="15"/>
        <v>50998.5</v>
      </c>
      <c r="L119" s="1"/>
      <c r="M119" s="39" t="e">
        <f>#REF!-G119</f>
        <v>#REF!</v>
      </c>
    </row>
    <row r="120" spans="1:13">
      <c r="A120" s="14">
        <v>115</v>
      </c>
      <c r="B120" s="2" t="s">
        <v>233</v>
      </c>
      <c r="C120" s="15">
        <v>200000</v>
      </c>
      <c r="D120" s="15">
        <v>26660</v>
      </c>
      <c r="E120" s="15">
        <v>226660</v>
      </c>
      <c r="F120" s="31">
        <v>40</v>
      </c>
      <c r="G120" s="18">
        <v>5666.5</v>
      </c>
      <c r="H120" s="102">
        <v>40</v>
      </c>
      <c r="I120" s="97">
        <f t="shared" si="16"/>
        <v>0</v>
      </c>
      <c r="J120" s="91">
        <f t="shared" si="18"/>
        <v>226660</v>
      </c>
      <c r="K120" s="93">
        <f t="shared" si="15"/>
        <v>0</v>
      </c>
      <c r="L120" s="8"/>
      <c r="M120" s="39" t="e">
        <f>#REF!-G120</f>
        <v>#REF!</v>
      </c>
    </row>
    <row r="121" spans="1:13">
      <c r="A121" s="14">
        <v>116</v>
      </c>
      <c r="B121" s="2" t="s">
        <v>160</v>
      </c>
      <c r="C121" s="15">
        <v>200000</v>
      </c>
      <c r="D121" s="15">
        <v>26660</v>
      </c>
      <c r="E121" s="15">
        <f>SUM(C121:D121)</f>
        <v>226660</v>
      </c>
      <c r="F121" s="31">
        <v>40</v>
      </c>
      <c r="G121" s="15">
        <v>5666.5</v>
      </c>
      <c r="H121" s="102">
        <v>40</v>
      </c>
      <c r="I121" s="97">
        <f t="shared" si="16"/>
        <v>0</v>
      </c>
      <c r="J121" s="91">
        <f t="shared" si="18"/>
        <v>226660</v>
      </c>
      <c r="K121" s="93">
        <f t="shared" si="15"/>
        <v>0</v>
      </c>
      <c r="L121" s="8"/>
      <c r="M121" s="39" t="e">
        <f>#REF!-G121</f>
        <v>#REF!</v>
      </c>
    </row>
    <row r="122" spans="1:13">
      <c r="A122" s="14">
        <v>117</v>
      </c>
      <c r="B122" s="2" t="s">
        <v>232</v>
      </c>
      <c r="C122" s="15">
        <v>200000</v>
      </c>
      <c r="D122" s="15">
        <v>26660</v>
      </c>
      <c r="E122" s="15">
        <v>226660</v>
      </c>
      <c r="F122" s="31">
        <v>40</v>
      </c>
      <c r="G122" s="18">
        <v>5666.5</v>
      </c>
      <c r="H122" s="102">
        <v>37</v>
      </c>
      <c r="I122" s="97">
        <f t="shared" si="16"/>
        <v>3</v>
      </c>
      <c r="J122" s="91">
        <f t="shared" si="18"/>
        <v>209660.5</v>
      </c>
      <c r="K122" s="93">
        <f t="shared" si="15"/>
        <v>16999.5</v>
      </c>
      <c r="L122" s="8"/>
      <c r="M122" s="39" t="e">
        <f>#REF!-G122</f>
        <v>#REF!</v>
      </c>
    </row>
    <row r="123" spans="1:13">
      <c r="A123" s="14">
        <v>118</v>
      </c>
      <c r="B123" s="2" t="s">
        <v>162</v>
      </c>
      <c r="C123" s="15">
        <v>200000</v>
      </c>
      <c r="D123" s="15">
        <v>26660</v>
      </c>
      <c r="E123" s="15">
        <f t="shared" ref="E123:E129" si="19">SUM(C123:D123)</f>
        <v>226660</v>
      </c>
      <c r="F123" s="31">
        <v>40</v>
      </c>
      <c r="G123" s="15">
        <v>5666.5</v>
      </c>
      <c r="H123" s="102">
        <v>39</v>
      </c>
      <c r="I123" s="97">
        <f t="shared" si="16"/>
        <v>1</v>
      </c>
      <c r="J123" s="91">
        <f t="shared" si="18"/>
        <v>220993.5</v>
      </c>
      <c r="K123" s="93">
        <f t="shared" si="15"/>
        <v>5666.5</v>
      </c>
      <c r="L123" s="8"/>
      <c r="M123" s="39" t="e">
        <f>#REF!-G123</f>
        <v>#REF!</v>
      </c>
    </row>
    <row r="124" spans="1:13">
      <c r="A124" s="14">
        <v>119</v>
      </c>
      <c r="B124" s="2" t="s">
        <v>164</v>
      </c>
      <c r="C124" s="15">
        <v>200000</v>
      </c>
      <c r="D124" s="15">
        <v>26660</v>
      </c>
      <c r="E124" s="15">
        <f t="shared" si="19"/>
        <v>226660</v>
      </c>
      <c r="F124" s="31">
        <v>40</v>
      </c>
      <c r="G124" s="15">
        <v>5666.5</v>
      </c>
      <c r="H124" s="102">
        <v>37</v>
      </c>
      <c r="I124" s="97">
        <f t="shared" si="16"/>
        <v>3</v>
      </c>
      <c r="J124" s="91">
        <f t="shared" si="18"/>
        <v>209660.5</v>
      </c>
      <c r="K124" s="93">
        <f t="shared" si="15"/>
        <v>16999.5</v>
      </c>
      <c r="L124" s="8"/>
      <c r="M124" s="39" t="e">
        <f>#REF!-G124</f>
        <v>#REF!</v>
      </c>
    </row>
    <row r="125" spans="1:13">
      <c r="A125" s="14">
        <v>120</v>
      </c>
      <c r="B125" s="2" t="s">
        <v>165</v>
      </c>
      <c r="C125" s="15">
        <v>200000</v>
      </c>
      <c r="D125" s="15">
        <v>26660</v>
      </c>
      <c r="E125" s="15">
        <f t="shared" si="19"/>
        <v>226660</v>
      </c>
      <c r="F125" s="31">
        <v>40</v>
      </c>
      <c r="G125" s="15">
        <v>5666.5</v>
      </c>
      <c r="H125" s="102">
        <v>37</v>
      </c>
      <c r="I125" s="97">
        <f t="shared" si="16"/>
        <v>3</v>
      </c>
      <c r="J125" s="91">
        <f t="shared" si="18"/>
        <v>209660.5</v>
      </c>
      <c r="K125" s="93">
        <f t="shared" si="15"/>
        <v>16999.5</v>
      </c>
      <c r="L125" s="1"/>
      <c r="M125" s="39" t="e">
        <f>#REF!-G125</f>
        <v>#REF!</v>
      </c>
    </row>
    <row r="126" spans="1:13">
      <c r="A126" s="14">
        <v>121</v>
      </c>
      <c r="B126" s="25" t="s">
        <v>166</v>
      </c>
      <c r="C126" s="15">
        <v>200000</v>
      </c>
      <c r="D126" s="15">
        <v>26660</v>
      </c>
      <c r="E126" s="15">
        <f t="shared" si="19"/>
        <v>226660</v>
      </c>
      <c r="F126" s="31">
        <v>40</v>
      </c>
      <c r="G126" s="15">
        <v>5666.5</v>
      </c>
      <c r="H126" s="102">
        <v>34</v>
      </c>
      <c r="I126" s="97">
        <f t="shared" si="16"/>
        <v>6</v>
      </c>
      <c r="J126" s="91">
        <f t="shared" si="18"/>
        <v>192661</v>
      </c>
      <c r="K126" s="93">
        <f t="shared" si="15"/>
        <v>33999</v>
      </c>
      <c r="L126" s="8"/>
      <c r="M126" s="39" t="e">
        <f>#REF!-G126</f>
        <v>#REF!</v>
      </c>
    </row>
    <row r="127" spans="1:13">
      <c r="A127" s="14">
        <v>122</v>
      </c>
      <c r="B127" s="2" t="s">
        <v>167</v>
      </c>
      <c r="C127" s="15">
        <v>200000</v>
      </c>
      <c r="D127" s="15">
        <v>26660</v>
      </c>
      <c r="E127" s="15">
        <f t="shared" si="19"/>
        <v>226660</v>
      </c>
      <c r="F127" s="31">
        <v>40</v>
      </c>
      <c r="G127" s="15">
        <v>5666.5</v>
      </c>
      <c r="H127" s="102">
        <v>37</v>
      </c>
      <c r="I127" s="97">
        <f t="shared" si="16"/>
        <v>3</v>
      </c>
      <c r="J127" s="91">
        <f t="shared" si="18"/>
        <v>209660.5</v>
      </c>
      <c r="K127" s="93">
        <f t="shared" si="15"/>
        <v>16999.5</v>
      </c>
      <c r="L127" s="8"/>
      <c r="M127" s="39" t="e">
        <f>#REF!-G127</f>
        <v>#REF!</v>
      </c>
    </row>
    <row r="128" spans="1:13">
      <c r="A128" s="14">
        <v>123</v>
      </c>
      <c r="B128" s="2" t="s">
        <v>168</v>
      </c>
      <c r="C128" s="15">
        <v>200000</v>
      </c>
      <c r="D128" s="15">
        <v>26660</v>
      </c>
      <c r="E128" s="15">
        <f t="shared" si="19"/>
        <v>226660</v>
      </c>
      <c r="F128" s="31">
        <v>40</v>
      </c>
      <c r="G128" s="15">
        <v>5666.5</v>
      </c>
      <c r="H128" s="102">
        <v>37</v>
      </c>
      <c r="I128" s="97">
        <f t="shared" si="16"/>
        <v>3</v>
      </c>
      <c r="J128" s="91">
        <f t="shared" si="18"/>
        <v>209660.5</v>
      </c>
      <c r="K128" s="93">
        <f t="shared" si="15"/>
        <v>16999.5</v>
      </c>
      <c r="L128" s="8"/>
      <c r="M128" s="39" t="e">
        <f>#REF!-G128</f>
        <v>#REF!</v>
      </c>
    </row>
    <row r="129" spans="1:13">
      <c r="A129" s="14">
        <v>124</v>
      </c>
      <c r="B129" s="2" t="s">
        <v>169</v>
      </c>
      <c r="C129" s="15">
        <v>200000</v>
      </c>
      <c r="D129" s="15">
        <v>26660</v>
      </c>
      <c r="E129" s="15">
        <f t="shared" si="19"/>
        <v>226660</v>
      </c>
      <c r="F129" s="31">
        <v>40</v>
      </c>
      <c r="G129" s="15">
        <v>5666.5</v>
      </c>
      <c r="H129" s="102">
        <v>36</v>
      </c>
      <c r="I129" s="97">
        <f t="shared" si="16"/>
        <v>4</v>
      </c>
      <c r="J129" s="91">
        <f t="shared" si="18"/>
        <v>203994</v>
      </c>
      <c r="K129" s="93">
        <f t="shared" si="15"/>
        <v>22666</v>
      </c>
      <c r="L129" s="1"/>
      <c r="M129" s="39" t="e">
        <f>#REF!-G129</f>
        <v>#REF!</v>
      </c>
    </row>
    <row r="130" spans="1:13">
      <c r="A130" s="14">
        <v>125</v>
      </c>
      <c r="B130" s="2" t="s">
        <v>228</v>
      </c>
      <c r="C130" s="15">
        <v>200000</v>
      </c>
      <c r="D130" s="15">
        <v>26660</v>
      </c>
      <c r="E130" s="15">
        <v>226660</v>
      </c>
      <c r="F130" s="31">
        <v>40</v>
      </c>
      <c r="G130" s="18">
        <v>5666.5</v>
      </c>
      <c r="H130" s="102">
        <v>37</v>
      </c>
      <c r="I130" s="97">
        <f t="shared" si="16"/>
        <v>3</v>
      </c>
      <c r="J130" s="91">
        <f t="shared" si="18"/>
        <v>209660.5</v>
      </c>
      <c r="K130" s="93">
        <f t="shared" si="15"/>
        <v>16999.5</v>
      </c>
      <c r="L130" s="8"/>
      <c r="M130" s="39" t="e">
        <f>#REF!-G130</f>
        <v>#REF!</v>
      </c>
    </row>
    <row r="131" spans="1:13">
      <c r="A131" s="14">
        <v>126</v>
      </c>
      <c r="B131" s="2" t="s">
        <v>170</v>
      </c>
      <c r="C131" s="15">
        <v>200000</v>
      </c>
      <c r="D131" s="15">
        <v>26660</v>
      </c>
      <c r="E131" s="15">
        <f>SUM(C131:D131)</f>
        <v>226660</v>
      </c>
      <c r="F131" s="31">
        <v>40</v>
      </c>
      <c r="G131" s="15">
        <v>5666.5</v>
      </c>
      <c r="H131" s="102">
        <v>37</v>
      </c>
      <c r="I131" s="97">
        <f t="shared" si="16"/>
        <v>3</v>
      </c>
      <c r="J131" s="91">
        <f t="shared" si="18"/>
        <v>209660.5</v>
      </c>
      <c r="K131" s="93">
        <f t="shared" si="15"/>
        <v>16999.5</v>
      </c>
      <c r="L131" s="10"/>
      <c r="M131" s="39" t="e">
        <f>#REF!-G131</f>
        <v>#REF!</v>
      </c>
    </row>
    <row r="132" spans="1:13">
      <c r="A132" s="14">
        <v>127</v>
      </c>
      <c r="B132" s="2" t="s">
        <v>173</v>
      </c>
      <c r="C132" s="15">
        <v>200000</v>
      </c>
      <c r="D132" s="15">
        <v>26660</v>
      </c>
      <c r="E132" s="15">
        <f>SUM(C132:D132)</f>
        <v>226660</v>
      </c>
      <c r="F132" s="31">
        <v>40</v>
      </c>
      <c r="G132" s="15">
        <v>5666.5</v>
      </c>
      <c r="H132" s="102">
        <v>40</v>
      </c>
      <c r="I132" s="97">
        <f t="shared" si="16"/>
        <v>0</v>
      </c>
      <c r="J132" s="91">
        <f t="shared" si="18"/>
        <v>226660</v>
      </c>
      <c r="K132" s="93">
        <f t="shared" si="15"/>
        <v>0</v>
      </c>
      <c r="L132" s="1"/>
      <c r="M132" s="39" t="e">
        <f>#REF!-G132</f>
        <v>#REF!</v>
      </c>
    </row>
    <row r="133" spans="1:13">
      <c r="A133" s="14">
        <v>128</v>
      </c>
      <c r="B133" s="2" t="s">
        <v>176</v>
      </c>
      <c r="C133" s="15">
        <v>200000</v>
      </c>
      <c r="D133" s="15">
        <v>26660</v>
      </c>
      <c r="E133" s="15">
        <f>SUM(C133:D133)</f>
        <v>226660</v>
      </c>
      <c r="F133" s="31">
        <v>40</v>
      </c>
      <c r="G133" s="15">
        <v>5666.5</v>
      </c>
      <c r="H133" s="102">
        <v>37</v>
      </c>
      <c r="I133" s="97">
        <f t="shared" si="16"/>
        <v>3</v>
      </c>
      <c r="J133" s="91">
        <f t="shared" si="18"/>
        <v>209660.5</v>
      </c>
      <c r="K133" s="93">
        <f t="shared" si="15"/>
        <v>16999.5</v>
      </c>
      <c r="L133" s="8"/>
      <c r="M133" s="39" t="e">
        <f>#REF!-G133</f>
        <v>#REF!</v>
      </c>
    </row>
    <row r="134" spans="1:13" s="44" customFormat="1">
      <c r="A134" s="14">
        <v>129</v>
      </c>
      <c r="B134" s="2" t="s">
        <v>229</v>
      </c>
      <c r="C134" s="15">
        <v>200000</v>
      </c>
      <c r="D134" s="15">
        <v>26660</v>
      </c>
      <c r="E134" s="15">
        <v>226660</v>
      </c>
      <c r="F134" s="31">
        <v>40</v>
      </c>
      <c r="G134" s="18">
        <v>5666.5</v>
      </c>
      <c r="H134" s="102">
        <v>36</v>
      </c>
      <c r="I134" s="97">
        <f t="shared" si="16"/>
        <v>4</v>
      </c>
      <c r="J134" s="91">
        <f t="shared" si="18"/>
        <v>203994</v>
      </c>
      <c r="K134" s="93">
        <f t="shared" ref="K134:K165" si="20">E134-J134</f>
        <v>22666</v>
      </c>
      <c r="L134" s="126"/>
      <c r="M134" s="148" t="e">
        <f>#REF!-G134</f>
        <v>#REF!</v>
      </c>
    </row>
    <row r="135" spans="1:13">
      <c r="A135" s="14">
        <v>130</v>
      </c>
      <c r="B135" s="2" t="s">
        <v>230</v>
      </c>
      <c r="C135" s="15">
        <v>200000</v>
      </c>
      <c r="D135" s="15">
        <v>26660</v>
      </c>
      <c r="E135" s="15">
        <v>226660</v>
      </c>
      <c r="F135" s="31">
        <v>40</v>
      </c>
      <c r="G135" s="18">
        <v>5666.5</v>
      </c>
      <c r="H135" s="102">
        <v>36</v>
      </c>
      <c r="I135" s="97">
        <f t="shared" si="16"/>
        <v>4</v>
      </c>
      <c r="J135" s="91">
        <f t="shared" si="18"/>
        <v>203994</v>
      </c>
      <c r="K135" s="93">
        <f t="shared" si="20"/>
        <v>22666</v>
      </c>
      <c r="L135" s="1"/>
      <c r="M135" s="39" t="e">
        <f>#REF!-G135</f>
        <v>#REF!</v>
      </c>
    </row>
    <row r="136" spans="1:13">
      <c r="A136" s="14">
        <v>131</v>
      </c>
      <c r="B136" s="2" t="s">
        <v>179</v>
      </c>
      <c r="C136" s="15">
        <v>200000</v>
      </c>
      <c r="D136" s="15">
        <v>26660</v>
      </c>
      <c r="E136" s="15">
        <f>SUM(C136:D136)</f>
        <v>226660</v>
      </c>
      <c r="F136" s="31">
        <v>40</v>
      </c>
      <c r="G136" s="15">
        <v>5666.5</v>
      </c>
      <c r="H136" s="102">
        <v>36</v>
      </c>
      <c r="I136" s="97">
        <f t="shared" si="16"/>
        <v>4</v>
      </c>
      <c r="J136" s="91">
        <f t="shared" si="18"/>
        <v>203994</v>
      </c>
      <c r="K136" s="93">
        <f t="shared" si="20"/>
        <v>22666</v>
      </c>
      <c r="L136" s="1"/>
      <c r="M136" s="39" t="e">
        <f>#REF!-G136</f>
        <v>#REF!</v>
      </c>
    </row>
    <row r="137" spans="1:13">
      <c r="A137" s="14">
        <v>132</v>
      </c>
      <c r="B137" s="2" t="s">
        <v>226</v>
      </c>
      <c r="C137" s="15">
        <v>200000</v>
      </c>
      <c r="D137" s="15">
        <v>26660</v>
      </c>
      <c r="E137" s="15">
        <v>226660</v>
      </c>
      <c r="F137" s="31">
        <v>40</v>
      </c>
      <c r="G137" s="18">
        <v>5666.5</v>
      </c>
      <c r="H137" s="102">
        <v>40</v>
      </c>
      <c r="I137" s="97">
        <f t="shared" si="16"/>
        <v>0</v>
      </c>
      <c r="J137" s="91">
        <f t="shared" si="18"/>
        <v>226660</v>
      </c>
      <c r="K137" s="93">
        <f t="shared" si="20"/>
        <v>0</v>
      </c>
      <c r="L137" s="1"/>
      <c r="M137" s="39" t="e">
        <f>#REF!-G137</f>
        <v>#REF!</v>
      </c>
    </row>
    <row r="138" spans="1:13">
      <c r="A138" s="14">
        <v>133</v>
      </c>
      <c r="B138" s="2" t="s">
        <v>181</v>
      </c>
      <c r="C138" s="15">
        <v>200000</v>
      </c>
      <c r="D138" s="15">
        <v>26660</v>
      </c>
      <c r="E138" s="15">
        <f>SUM(C138:D138)</f>
        <v>226660</v>
      </c>
      <c r="F138" s="31">
        <v>40</v>
      </c>
      <c r="G138" s="15">
        <v>5666.5</v>
      </c>
      <c r="H138" s="102">
        <v>40</v>
      </c>
      <c r="I138" s="97">
        <f t="shared" ref="I138:I168" si="21">F138-H138</f>
        <v>0</v>
      </c>
      <c r="J138" s="91">
        <f t="shared" si="18"/>
        <v>226660</v>
      </c>
      <c r="K138" s="93">
        <f t="shared" si="20"/>
        <v>0</v>
      </c>
      <c r="L138" s="8"/>
      <c r="M138" s="39" t="e">
        <f>#REF!-G138</f>
        <v>#REF!</v>
      </c>
    </row>
    <row r="139" spans="1:13">
      <c r="A139" s="14">
        <v>134</v>
      </c>
      <c r="B139" s="2" t="s">
        <v>185</v>
      </c>
      <c r="C139" s="15">
        <v>200000</v>
      </c>
      <c r="D139" s="15">
        <v>26660</v>
      </c>
      <c r="E139" s="15">
        <f>SUM(C139:D139)</f>
        <v>226660</v>
      </c>
      <c r="F139" s="31">
        <v>40</v>
      </c>
      <c r="G139" s="15">
        <v>5666.5</v>
      </c>
      <c r="H139" s="102">
        <v>37</v>
      </c>
      <c r="I139" s="97">
        <f t="shared" si="21"/>
        <v>3</v>
      </c>
      <c r="J139" s="91">
        <f t="shared" si="18"/>
        <v>209660.5</v>
      </c>
      <c r="K139" s="93">
        <f t="shared" si="20"/>
        <v>16999.5</v>
      </c>
      <c r="L139" s="8"/>
      <c r="M139" s="39"/>
    </row>
    <row r="140" spans="1:13">
      <c r="A140" s="14">
        <v>135</v>
      </c>
      <c r="B140" s="4" t="s">
        <v>231</v>
      </c>
      <c r="C140" s="15">
        <v>200000</v>
      </c>
      <c r="D140" s="15">
        <v>26660</v>
      </c>
      <c r="E140" s="15">
        <v>226660</v>
      </c>
      <c r="F140" s="31">
        <v>40</v>
      </c>
      <c r="G140" s="18">
        <v>5666.5</v>
      </c>
      <c r="H140" s="102">
        <v>37</v>
      </c>
      <c r="I140" s="97">
        <f t="shared" si="21"/>
        <v>3</v>
      </c>
      <c r="J140" s="91">
        <f t="shared" si="18"/>
        <v>209660.5</v>
      </c>
      <c r="K140" s="93">
        <f t="shared" si="20"/>
        <v>16999.5</v>
      </c>
      <c r="L140" s="8"/>
      <c r="M140" s="39"/>
    </row>
    <row r="141" spans="1:13">
      <c r="A141" s="14">
        <v>136</v>
      </c>
      <c r="B141" s="4" t="s">
        <v>186</v>
      </c>
      <c r="C141" s="15">
        <v>200000</v>
      </c>
      <c r="D141" s="15">
        <v>26660</v>
      </c>
      <c r="E141" s="15">
        <f>SUM(C141:D141)</f>
        <v>226660</v>
      </c>
      <c r="F141" s="31">
        <v>40</v>
      </c>
      <c r="G141" s="15">
        <v>5666.5</v>
      </c>
      <c r="H141" s="102">
        <v>37</v>
      </c>
      <c r="I141" s="97">
        <f t="shared" si="21"/>
        <v>3</v>
      </c>
      <c r="J141" s="91">
        <f t="shared" si="18"/>
        <v>209660.5</v>
      </c>
      <c r="K141" s="93">
        <f t="shared" si="20"/>
        <v>16999.5</v>
      </c>
      <c r="L141" s="8"/>
      <c r="M141" s="39"/>
    </row>
    <row r="142" spans="1:13">
      <c r="A142" s="14">
        <v>137</v>
      </c>
      <c r="B142" s="46" t="s">
        <v>187</v>
      </c>
      <c r="C142" s="41">
        <v>150000</v>
      </c>
      <c r="D142" s="41">
        <v>11997</v>
      </c>
      <c r="E142" s="41">
        <f>SUM(C142:D142)</f>
        <v>161997</v>
      </c>
      <c r="F142" s="33">
        <v>30</v>
      </c>
      <c r="G142" s="41">
        <v>5399.9</v>
      </c>
      <c r="H142" s="102">
        <v>31</v>
      </c>
      <c r="I142" s="97">
        <f t="shared" si="21"/>
        <v>-1</v>
      </c>
      <c r="J142" s="91">
        <f t="shared" si="18"/>
        <v>167396.9</v>
      </c>
      <c r="K142" s="94">
        <f t="shared" si="20"/>
        <v>-5399.8999999999942</v>
      </c>
      <c r="L142" s="10"/>
      <c r="M142" s="39"/>
    </row>
    <row r="143" spans="1:13">
      <c r="A143" s="14">
        <v>138</v>
      </c>
      <c r="B143" s="4" t="s">
        <v>188</v>
      </c>
      <c r="C143" s="12">
        <v>180000</v>
      </c>
      <c r="D143" s="12">
        <v>23994</v>
      </c>
      <c r="E143" s="15">
        <f>SUM(C143:D143)</f>
        <v>203994</v>
      </c>
      <c r="F143" s="31">
        <v>40</v>
      </c>
      <c r="G143" s="12">
        <v>5099.8500000000004</v>
      </c>
      <c r="H143" s="101">
        <v>37</v>
      </c>
      <c r="I143" s="96">
        <f t="shared" si="21"/>
        <v>3</v>
      </c>
      <c r="J143" s="16">
        <f t="shared" si="18"/>
        <v>188694.45</v>
      </c>
      <c r="K143" s="15">
        <f t="shared" si="20"/>
        <v>15299.549999999988</v>
      </c>
      <c r="L143" s="8"/>
      <c r="M143" s="39" t="e">
        <f>#REF!-G143</f>
        <v>#REF!</v>
      </c>
    </row>
    <row r="144" spans="1:13">
      <c r="A144" s="14">
        <v>139</v>
      </c>
      <c r="B144" s="4" t="s">
        <v>192</v>
      </c>
      <c r="C144" s="12">
        <v>180000</v>
      </c>
      <c r="D144" s="12">
        <v>23994</v>
      </c>
      <c r="E144" s="15">
        <f>SUM(C144:D144)</f>
        <v>203994</v>
      </c>
      <c r="F144" s="31">
        <v>40</v>
      </c>
      <c r="G144" s="12">
        <v>5099.8500000000004</v>
      </c>
      <c r="H144" s="102">
        <v>34</v>
      </c>
      <c r="I144" s="97">
        <f t="shared" si="21"/>
        <v>6</v>
      </c>
      <c r="J144" s="91">
        <f t="shared" si="18"/>
        <v>173394.90000000002</v>
      </c>
      <c r="K144" s="93">
        <f t="shared" si="20"/>
        <v>30599.099999999977</v>
      </c>
      <c r="L144" s="8"/>
      <c r="M144" s="39" t="e">
        <f>#REF!-G144</f>
        <v>#REF!</v>
      </c>
    </row>
    <row r="145" spans="1:13">
      <c r="A145" s="14">
        <v>140</v>
      </c>
      <c r="B145" s="4" t="s">
        <v>193</v>
      </c>
      <c r="C145" s="12">
        <v>180000</v>
      </c>
      <c r="D145" s="12">
        <v>23994</v>
      </c>
      <c r="E145" s="15">
        <f>SUM(C145:D145)</f>
        <v>203994</v>
      </c>
      <c r="F145" s="31">
        <v>40</v>
      </c>
      <c r="G145" s="12">
        <v>5099.8500000000004</v>
      </c>
      <c r="H145" s="102">
        <v>37</v>
      </c>
      <c r="I145" s="97">
        <f t="shared" si="21"/>
        <v>3</v>
      </c>
      <c r="J145" s="91">
        <f t="shared" si="18"/>
        <v>188694.45</v>
      </c>
      <c r="K145" s="93">
        <f t="shared" si="20"/>
        <v>15299.549999999988</v>
      </c>
      <c r="L145" s="8"/>
      <c r="M145" s="39" t="e">
        <f>#REF!-G145</f>
        <v>#REF!</v>
      </c>
    </row>
    <row r="146" spans="1:13">
      <c r="A146" s="14">
        <v>141</v>
      </c>
      <c r="B146" s="2" t="s">
        <v>236</v>
      </c>
      <c r="C146" s="12">
        <v>180000</v>
      </c>
      <c r="D146" s="12">
        <v>23994</v>
      </c>
      <c r="E146" s="12">
        <v>203994</v>
      </c>
      <c r="F146" s="30">
        <v>40</v>
      </c>
      <c r="G146" s="18">
        <v>5099.8500000000004</v>
      </c>
      <c r="H146" s="102">
        <v>46</v>
      </c>
      <c r="I146" s="97">
        <f t="shared" si="21"/>
        <v>-6</v>
      </c>
      <c r="J146" s="91">
        <f t="shared" si="18"/>
        <v>234593.1</v>
      </c>
      <c r="K146" s="93">
        <f t="shared" si="20"/>
        <v>-30599.100000000006</v>
      </c>
      <c r="L146" s="8"/>
      <c r="M146" s="39" t="e">
        <f>#REF!-G146</f>
        <v>#REF!</v>
      </c>
    </row>
    <row r="147" spans="1:13">
      <c r="A147" s="14">
        <v>142</v>
      </c>
      <c r="B147" s="70" t="s">
        <v>274</v>
      </c>
      <c r="C147" s="12">
        <v>180000</v>
      </c>
      <c r="D147" s="12">
        <v>23994</v>
      </c>
      <c r="E147" s="12">
        <v>203994</v>
      </c>
      <c r="F147" s="30">
        <v>40</v>
      </c>
      <c r="G147" s="3">
        <v>5099.8500000000004</v>
      </c>
      <c r="H147" s="102">
        <v>36</v>
      </c>
      <c r="I147" s="97">
        <f t="shared" si="21"/>
        <v>4</v>
      </c>
      <c r="J147" s="92">
        <f>(36*5099.85)</f>
        <v>183594.6</v>
      </c>
      <c r="K147" s="72">
        <f t="shared" si="20"/>
        <v>20399.399999999994</v>
      </c>
      <c r="L147" s="1"/>
      <c r="M147" s="39" t="e">
        <f>#REF!-G147</f>
        <v>#REF!</v>
      </c>
    </row>
    <row r="148" spans="1:13">
      <c r="A148" s="14">
        <v>143</v>
      </c>
      <c r="B148" s="2" t="s">
        <v>249</v>
      </c>
      <c r="C148" s="12">
        <v>180000</v>
      </c>
      <c r="D148" s="12">
        <v>23994</v>
      </c>
      <c r="E148" s="15">
        <f t="shared" ref="E148:E155" si="22">SUM(C148:D148)</f>
        <v>203994</v>
      </c>
      <c r="F148" s="31">
        <v>40</v>
      </c>
      <c r="G148" s="12">
        <v>5099.8500000000004</v>
      </c>
      <c r="H148" s="102">
        <v>45</v>
      </c>
      <c r="I148" s="97">
        <f t="shared" si="21"/>
        <v>-5</v>
      </c>
      <c r="J148" s="91">
        <f t="shared" ref="J148:J164" si="23">H148*G148</f>
        <v>229493.25000000003</v>
      </c>
      <c r="K148" s="93">
        <f t="shared" si="20"/>
        <v>-25499.250000000029</v>
      </c>
      <c r="L148" s="8"/>
      <c r="M148" s="39" t="e">
        <f>#REF!-G148</f>
        <v>#REF!</v>
      </c>
    </row>
    <row r="149" spans="1:13">
      <c r="A149" s="14">
        <v>144</v>
      </c>
      <c r="B149" s="81" t="s">
        <v>199</v>
      </c>
      <c r="C149" s="12">
        <v>132000</v>
      </c>
      <c r="D149" s="12">
        <v>17595.599999999999</v>
      </c>
      <c r="E149" s="15">
        <f t="shared" si="22"/>
        <v>149595.6</v>
      </c>
      <c r="F149" s="31">
        <v>40</v>
      </c>
      <c r="G149" s="12">
        <v>3739.89</v>
      </c>
      <c r="H149" s="101">
        <v>29</v>
      </c>
      <c r="I149" s="96">
        <f t="shared" si="21"/>
        <v>11</v>
      </c>
      <c r="J149" s="16">
        <f t="shared" si="23"/>
        <v>108456.81</v>
      </c>
      <c r="K149" s="15">
        <f t="shared" si="20"/>
        <v>41138.790000000008</v>
      </c>
      <c r="L149" s="8"/>
      <c r="M149" s="39" t="e">
        <f>#REF!-G149</f>
        <v>#REF!</v>
      </c>
    </row>
    <row r="150" spans="1:13">
      <c r="A150" s="14">
        <v>145</v>
      </c>
      <c r="B150" s="2" t="s">
        <v>201</v>
      </c>
      <c r="C150" s="12">
        <v>132000</v>
      </c>
      <c r="D150" s="12">
        <v>17595.599999999999</v>
      </c>
      <c r="E150" s="15">
        <f t="shared" si="22"/>
        <v>149595.6</v>
      </c>
      <c r="F150" s="31">
        <v>40</v>
      </c>
      <c r="G150" s="12">
        <v>3739.89</v>
      </c>
      <c r="H150" s="101">
        <v>37</v>
      </c>
      <c r="I150" s="96">
        <f t="shared" si="21"/>
        <v>3</v>
      </c>
      <c r="J150" s="16">
        <f t="shared" si="23"/>
        <v>138375.93</v>
      </c>
      <c r="K150" s="15">
        <f t="shared" si="20"/>
        <v>11219.670000000013</v>
      </c>
      <c r="L150" s="8"/>
      <c r="M150" s="39" t="e">
        <f>#REF!-G150</f>
        <v>#REF!</v>
      </c>
    </row>
    <row r="151" spans="1:13">
      <c r="A151" s="14">
        <v>146</v>
      </c>
      <c r="B151" s="4" t="s">
        <v>202</v>
      </c>
      <c r="C151" s="12">
        <v>132000</v>
      </c>
      <c r="D151" s="12">
        <v>17595.599999999999</v>
      </c>
      <c r="E151" s="15">
        <f t="shared" si="22"/>
        <v>149595.6</v>
      </c>
      <c r="F151" s="31">
        <v>40</v>
      </c>
      <c r="G151" s="12">
        <v>3739.89</v>
      </c>
      <c r="H151" s="101">
        <v>34</v>
      </c>
      <c r="I151" s="96">
        <f t="shared" si="21"/>
        <v>6</v>
      </c>
      <c r="J151" s="16">
        <f t="shared" si="23"/>
        <v>127156.26</v>
      </c>
      <c r="K151" s="15">
        <f t="shared" si="20"/>
        <v>22439.340000000011</v>
      </c>
      <c r="L151" s="8"/>
      <c r="M151" s="39" t="e">
        <f>#REF!-G151</f>
        <v>#REF!</v>
      </c>
    </row>
    <row r="152" spans="1:13">
      <c r="A152" s="14">
        <v>147</v>
      </c>
      <c r="B152" s="4" t="s">
        <v>203</v>
      </c>
      <c r="C152" s="12">
        <v>132000</v>
      </c>
      <c r="D152" s="12">
        <v>17595.599999999999</v>
      </c>
      <c r="E152" s="15">
        <f t="shared" si="22"/>
        <v>149595.6</v>
      </c>
      <c r="F152" s="31">
        <v>40</v>
      </c>
      <c r="G152" s="12">
        <v>3739.89</v>
      </c>
      <c r="H152" s="102">
        <v>37</v>
      </c>
      <c r="I152" s="97">
        <f t="shared" si="21"/>
        <v>3</v>
      </c>
      <c r="J152" s="91">
        <f t="shared" si="23"/>
        <v>138375.93</v>
      </c>
      <c r="K152" s="93">
        <f t="shared" si="20"/>
        <v>11219.670000000013</v>
      </c>
      <c r="L152" s="8"/>
      <c r="M152" s="39" t="e">
        <f>#REF!-G152</f>
        <v>#REF!</v>
      </c>
    </row>
    <row r="153" spans="1:13">
      <c r="A153" s="14">
        <v>148</v>
      </c>
      <c r="B153" s="4" t="s">
        <v>156</v>
      </c>
      <c r="C153" s="15">
        <v>200000</v>
      </c>
      <c r="D153" s="15">
        <v>26660</v>
      </c>
      <c r="E153" s="15">
        <f t="shared" si="22"/>
        <v>226660</v>
      </c>
      <c r="F153" s="31">
        <v>40</v>
      </c>
      <c r="G153" s="70">
        <v>3739.89</v>
      </c>
      <c r="H153" s="102">
        <v>40</v>
      </c>
      <c r="I153" s="97">
        <f t="shared" si="21"/>
        <v>0</v>
      </c>
      <c r="J153" s="91">
        <f t="shared" si="23"/>
        <v>149595.6</v>
      </c>
      <c r="K153" s="93">
        <f t="shared" si="20"/>
        <v>77064.399999999994</v>
      </c>
      <c r="L153" s="8"/>
      <c r="M153" s="39" t="e">
        <f>#REF!-G153</f>
        <v>#REF!</v>
      </c>
    </row>
    <row r="154" spans="1:13">
      <c r="A154" s="14">
        <v>149</v>
      </c>
      <c r="B154" s="4" t="s">
        <v>204</v>
      </c>
      <c r="C154" s="12">
        <v>132000</v>
      </c>
      <c r="D154" s="12">
        <v>17595.599999999999</v>
      </c>
      <c r="E154" s="15">
        <f t="shared" si="22"/>
        <v>149595.6</v>
      </c>
      <c r="F154" s="31">
        <v>40</v>
      </c>
      <c r="G154" s="12">
        <v>3739.89</v>
      </c>
      <c r="H154" s="102">
        <v>37</v>
      </c>
      <c r="I154" s="97">
        <f t="shared" si="21"/>
        <v>3</v>
      </c>
      <c r="J154" s="91">
        <f t="shared" si="23"/>
        <v>138375.93</v>
      </c>
      <c r="K154" s="93">
        <f t="shared" si="20"/>
        <v>11219.670000000013</v>
      </c>
      <c r="L154" s="8"/>
      <c r="M154" s="39" t="e">
        <f>#REF!-G154</f>
        <v>#REF!</v>
      </c>
    </row>
    <row r="155" spans="1:13">
      <c r="A155" s="14">
        <v>150</v>
      </c>
      <c r="B155" s="4" t="s">
        <v>205</v>
      </c>
      <c r="C155" s="12">
        <v>132000</v>
      </c>
      <c r="D155" s="12">
        <v>17595.599999999999</v>
      </c>
      <c r="E155" s="15">
        <f t="shared" si="22"/>
        <v>149595.6</v>
      </c>
      <c r="F155" s="31">
        <v>40</v>
      </c>
      <c r="G155" s="12">
        <v>3739.89</v>
      </c>
      <c r="H155" s="102">
        <v>40</v>
      </c>
      <c r="I155" s="97">
        <f t="shared" si="21"/>
        <v>0</v>
      </c>
      <c r="J155" s="91">
        <f t="shared" si="23"/>
        <v>149595.6</v>
      </c>
      <c r="K155" s="93">
        <f t="shared" si="20"/>
        <v>0</v>
      </c>
      <c r="L155" s="8"/>
      <c r="M155" s="39" t="e">
        <f>#REF!-G155</f>
        <v>#REF!</v>
      </c>
    </row>
    <row r="156" spans="1:13">
      <c r="A156" s="14">
        <v>151</v>
      </c>
      <c r="B156" s="4" t="s">
        <v>240</v>
      </c>
      <c r="C156" s="16">
        <v>132000</v>
      </c>
      <c r="D156" s="16">
        <v>17595.599999999999</v>
      </c>
      <c r="E156" s="16">
        <v>149595.6</v>
      </c>
      <c r="F156" s="45">
        <v>40</v>
      </c>
      <c r="G156" s="19">
        <v>3739.89</v>
      </c>
      <c r="H156" s="102">
        <v>43</v>
      </c>
      <c r="I156" s="97">
        <f t="shared" si="21"/>
        <v>-3</v>
      </c>
      <c r="J156" s="91">
        <f t="shared" si="23"/>
        <v>160815.26999999999</v>
      </c>
      <c r="K156" s="93">
        <f t="shared" si="20"/>
        <v>-11219.669999999984</v>
      </c>
      <c r="L156" s="1"/>
      <c r="M156" s="39" t="e">
        <f>#REF!-G156</f>
        <v>#REF!</v>
      </c>
    </row>
    <row r="157" spans="1:13">
      <c r="A157" s="14">
        <v>152</v>
      </c>
      <c r="B157" s="2" t="s">
        <v>206</v>
      </c>
      <c r="C157" s="12">
        <v>132000</v>
      </c>
      <c r="D157" s="12">
        <v>17595.599999999999</v>
      </c>
      <c r="E157" s="15">
        <f t="shared" ref="E157:E168" si="24">SUM(C157:D157)</f>
        <v>149595.6</v>
      </c>
      <c r="F157" s="31">
        <v>40</v>
      </c>
      <c r="G157" s="12">
        <v>3739.89</v>
      </c>
      <c r="H157" s="102">
        <v>36</v>
      </c>
      <c r="I157" s="97">
        <f t="shared" si="21"/>
        <v>4</v>
      </c>
      <c r="J157" s="91">
        <f t="shared" si="23"/>
        <v>134636.04</v>
      </c>
      <c r="K157" s="93">
        <f t="shared" si="20"/>
        <v>14959.559999999998</v>
      </c>
      <c r="L157" s="8"/>
      <c r="M157" s="39" t="e">
        <f>#REF!-G157</f>
        <v>#REF!</v>
      </c>
    </row>
    <row r="158" spans="1:13">
      <c r="A158" s="14">
        <v>153</v>
      </c>
      <c r="B158" s="2" t="s">
        <v>207</v>
      </c>
      <c r="C158" s="12">
        <v>132000</v>
      </c>
      <c r="D158" s="12">
        <v>17595.599999999999</v>
      </c>
      <c r="E158" s="15">
        <f t="shared" si="24"/>
        <v>149595.6</v>
      </c>
      <c r="F158" s="31">
        <v>40</v>
      </c>
      <c r="G158" s="12">
        <v>3739.89</v>
      </c>
      <c r="H158" s="102">
        <v>38</v>
      </c>
      <c r="I158" s="97">
        <f t="shared" si="21"/>
        <v>2</v>
      </c>
      <c r="J158" s="91">
        <f t="shared" si="23"/>
        <v>142115.82</v>
      </c>
      <c r="K158" s="93">
        <f t="shared" si="20"/>
        <v>7479.7799999999988</v>
      </c>
      <c r="L158" s="1"/>
      <c r="M158" s="39" t="e">
        <f>#REF!-G158</f>
        <v>#REF!</v>
      </c>
    </row>
    <row r="159" spans="1:13">
      <c r="A159" s="14">
        <v>154</v>
      </c>
      <c r="B159" s="2" t="s">
        <v>212</v>
      </c>
      <c r="C159" s="12">
        <v>150000</v>
      </c>
      <c r="D159" s="12">
        <v>19995</v>
      </c>
      <c r="E159" s="15">
        <f t="shared" si="24"/>
        <v>169995</v>
      </c>
      <c r="F159" s="31">
        <v>50</v>
      </c>
      <c r="G159" s="12">
        <v>3399.9</v>
      </c>
      <c r="H159" s="102">
        <v>32</v>
      </c>
      <c r="I159" s="97">
        <f t="shared" si="21"/>
        <v>18</v>
      </c>
      <c r="J159" s="91">
        <f t="shared" si="23"/>
        <v>108796.8</v>
      </c>
      <c r="K159" s="93">
        <f t="shared" si="20"/>
        <v>61198.2</v>
      </c>
      <c r="L159" s="1"/>
      <c r="M159" s="39" t="e">
        <f>#REF!-G159</f>
        <v>#REF!</v>
      </c>
    </row>
    <row r="160" spans="1:13">
      <c r="A160" s="14">
        <v>155</v>
      </c>
      <c r="B160" s="2" t="s">
        <v>33</v>
      </c>
      <c r="C160" s="20">
        <v>150000</v>
      </c>
      <c r="D160" s="20">
        <v>19995</v>
      </c>
      <c r="E160" s="20">
        <f t="shared" si="24"/>
        <v>169995</v>
      </c>
      <c r="F160" s="33">
        <v>50</v>
      </c>
      <c r="G160" s="3">
        <v>3399.9</v>
      </c>
      <c r="H160" s="102">
        <v>9</v>
      </c>
      <c r="I160" s="97">
        <f t="shared" si="21"/>
        <v>41</v>
      </c>
      <c r="J160" s="91">
        <f t="shared" si="23"/>
        <v>30599.100000000002</v>
      </c>
      <c r="K160" s="72">
        <f t="shared" si="20"/>
        <v>139395.9</v>
      </c>
      <c r="L160" s="8"/>
      <c r="M160" s="39" t="e">
        <f>#REF!-G160</f>
        <v>#REF!</v>
      </c>
    </row>
    <row r="161" spans="1:13">
      <c r="A161" s="14">
        <v>156</v>
      </c>
      <c r="B161" s="25" t="s">
        <v>213</v>
      </c>
      <c r="C161" s="12">
        <v>150000</v>
      </c>
      <c r="D161" s="12">
        <v>19995</v>
      </c>
      <c r="E161" s="15">
        <f t="shared" si="24"/>
        <v>169995</v>
      </c>
      <c r="F161" s="31">
        <v>50</v>
      </c>
      <c r="G161" s="12">
        <v>3399.9</v>
      </c>
      <c r="H161" s="102">
        <v>32</v>
      </c>
      <c r="I161" s="97">
        <f t="shared" si="21"/>
        <v>18</v>
      </c>
      <c r="J161" s="91">
        <f t="shared" si="23"/>
        <v>108796.8</v>
      </c>
      <c r="K161" s="93">
        <f t="shared" si="20"/>
        <v>61198.2</v>
      </c>
      <c r="L161" s="8"/>
      <c r="M161" s="39" t="e">
        <f>#REF!-G161</f>
        <v>#REF!</v>
      </c>
    </row>
    <row r="162" spans="1:13">
      <c r="A162" s="14">
        <v>157</v>
      </c>
      <c r="B162" s="2" t="s">
        <v>34</v>
      </c>
      <c r="C162" s="20">
        <v>150000</v>
      </c>
      <c r="D162" s="20">
        <v>19995</v>
      </c>
      <c r="E162" s="20">
        <f t="shared" si="24"/>
        <v>169995</v>
      </c>
      <c r="F162" s="33">
        <v>50</v>
      </c>
      <c r="G162" s="3">
        <v>3399.9</v>
      </c>
      <c r="H162" s="102">
        <v>7</v>
      </c>
      <c r="I162" s="97">
        <f t="shared" si="21"/>
        <v>43</v>
      </c>
      <c r="J162" s="91">
        <f t="shared" si="23"/>
        <v>23799.3</v>
      </c>
      <c r="K162" s="72">
        <f t="shared" si="20"/>
        <v>146195.70000000001</v>
      </c>
      <c r="L162" s="1"/>
      <c r="M162" s="39" t="e">
        <f>#REF!-G162</f>
        <v>#REF!</v>
      </c>
    </row>
    <row r="163" spans="1:13">
      <c r="A163" s="14">
        <v>158</v>
      </c>
      <c r="B163" s="2" t="s">
        <v>35</v>
      </c>
      <c r="C163" s="20">
        <v>150000</v>
      </c>
      <c r="D163" s="20">
        <v>19995</v>
      </c>
      <c r="E163" s="20">
        <f t="shared" si="24"/>
        <v>169995</v>
      </c>
      <c r="F163" s="33">
        <v>50</v>
      </c>
      <c r="G163" s="3">
        <v>3399.9</v>
      </c>
      <c r="H163" s="102">
        <v>8</v>
      </c>
      <c r="I163" s="97">
        <f t="shared" si="21"/>
        <v>42</v>
      </c>
      <c r="J163" s="91">
        <f t="shared" si="23"/>
        <v>27199.200000000001</v>
      </c>
      <c r="K163" s="72">
        <f t="shared" si="20"/>
        <v>142795.79999999999</v>
      </c>
      <c r="L163" s="8"/>
      <c r="M163" s="39" t="e">
        <f>#REF!-G163</f>
        <v>#REF!</v>
      </c>
    </row>
    <row r="164" spans="1:13" ht="15.75">
      <c r="A164" s="14">
        <v>159</v>
      </c>
      <c r="B164" s="75" t="s">
        <v>264</v>
      </c>
      <c r="C164" s="20">
        <v>150000</v>
      </c>
      <c r="D164" s="20">
        <v>19995</v>
      </c>
      <c r="E164" s="20">
        <f t="shared" si="24"/>
        <v>169995</v>
      </c>
      <c r="F164" s="33">
        <v>50</v>
      </c>
      <c r="G164" s="77">
        <v>3399.9</v>
      </c>
      <c r="H164" s="102">
        <v>22</v>
      </c>
      <c r="I164" s="97">
        <f t="shared" si="21"/>
        <v>28</v>
      </c>
      <c r="J164" s="91">
        <f t="shared" si="23"/>
        <v>74797.8</v>
      </c>
      <c r="K164" s="93">
        <f t="shared" si="20"/>
        <v>95197.2</v>
      </c>
      <c r="L164" s="85"/>
      <c r="M164" s="39" t="e">
        <f>#REF!-G164</f>
        <v>#REF!</v>
      </c>
    </row>
    <row r="165" spans="1:13" ht="15.75">
      <c r="A165" s="14">
        <v>160</v>
      </c>
      <c r="B165" s="75" t="s">
        <v>265</v>
      </c>
      <c r="C165" s="12">
        <v>60000</v>
      </c>
      <c r="D165" s="12">
        <v>7998</v>
      </c>
      <c r="E165" s="15">
        <f t="shared" si="24"/>
        <v>67998</v>
      </c>
      <c r="F165" s="31">
        <v>40</v>
      </c>
      <c r="G165" s="77">
        <v>1699.95</v>
      </c>
      <c r="H165" s="97"/>
      <c r="I165" s="97">
        <f t="shared" si="21"/>
        <v>40</v>
      </c>
      <c r="J165" s="72"/>
      <c r="K165" s="93">
        <f t="shared" si="20"/>
        <v>67998</v>
      </c>
      <c r="L165" s="8"/>
      <c r="M165" s="39" t="e">
        <f>#REF!-G165</f>
        <v>#REF!</v>
      </c>
    </row>
    <row r="166" spans="1:13">
      <c r="A166" s="14">
        <v>161</v>
      </c>
      <c r="B166" s="25" t="s">
        <v>216</v>
      </c>
      <c r="C166" s="12">
        <v>60000</v>
      </c>
      <c r="D166" s="12">
        <v>7998</v>
      </c>
      <c r="E166" s="15">
        <f t="shared" si="24"/>
        <v>67998</v>
      </c>
      <c r="F166" s="31">
        <v>40</v>
      </c>
      <c r="G166" s="24">
        <v>1699.95</v>
      </c>
      <c r="H166" s="102"/>
      <c r="I166" s="97">
        <f t="shared" si="21"/>
        <v>40</v>
      </c>
      <c r="J166" s="72"/>
      <c r="K166" s="93">
        <f>E166-J166</f>
        <v>67998</v>
      </c>
      <c r="L166" s="8"/>
      <c r="M166" s="39" t="e">
        <f>#REF!-G166</f>
        <v>#REF!</v>
      </c>
    </row>
    <row r="167" spans="1:13">
      <c r="A167" s="14">
        <v>162</v>
      </c>
      <c r="B167" s="2" t="s">
        <v>218</v>
      </c>
      <c r="C167" s="12">
        <v>60000</v>
      </c>
      <c r="D167" s="12">
        <v>7998</v>
      </c>
      <c r="E167" s="15">
        <f t="shared" si="24"/>
        <v>67998</v>
      </c>
      <c r="F167" s="31">
        <v>40</v>
      </c>
      <c r="G167" s="12">
        <v>1699.95</v>
      </c>
      <c r="H167" s="102">
        <v>37</v>
      </c>
      <c r="I167" s="97">
        <f t="shared" si="21"/>
        <v>3</v>
      </c>
      <c r="J167" s="91">
        <f>H167*G167</f>
        <v>62898.15</v>
      </c>
      <c r="K167" s="93">
        <f>E167-J167</f>
        <v>5099.8499999999985</v>
      </c>
      <c r="L167" s="8"/>
      <c r="M167" s="39" t="e">
        <f>#REF!-G167</f>
        <v>#REF!</v>
      </c>
    </row>
    <row r="168" spans="1:13">
      <c r="A168" s="14">
        <v>163</v>
      </c>
      <c r="B168" s="2" t="s">
        <v>241</v>
      </c>
      <c r="C168" s="12">
        <v>60000</v>
      </c>
      <c r="D168" s="12">
        <v>7998</v>
      </c>
      <c r="E168" s="15">
        <f t="shared" si="24"/>
        <v>67998</v>
      </c>
      <c r="F168" s="31">
        <v>40</v>
      </c>
      <c r="G168" s="12">
        <v>1699.95</v>
      </c>
      <c r="H168" s="102">
        <v>36</v>
      </c>
      <c r="I168" s="97">
        <f t="shared" si="21"/>
        <v>4</v>
      </c>
      <c r="J168" s="91">
        <f>H168*G168</f>
        <v>61198.200000000004</v>
      </c>
      <c r="K168" s="93">
        <f>E168-J168</f>
        <v>6799.7999999999956</v>
      </c>
      <c r="L168" s="8"/>
      <c r="M168" s="39" t="e">
        <f>#REF!-G168</f>
        <v>#REF!</v>
      </c>
    </row>
    <row r="169" spans="1:13">
      <c r="A169" s="14"/>
      <c r="B169" s="23"/>
      <c r="C169" s="34">
        <f ca="1">SUM(C6:C232)</f>
        <v>127434000</v>
      </c>
      <c r="D169" s="34">
        <f ca="1">SUM(D6:D232)</f>
        <v>16618686.959999997</v>
      </c>
      <c r="E169" s="34">
        <f ca="1">SUM(E6:E232)</f>
        <v>144052686.96000001</v>
      </c>
      <c r="F169" s="34"/>
      <c r="G169" s="79">
        <f>SUM(G6:G168)</f>
        <v>1417575.7099999983</v>
      </c>
      <c r="H169" s="98"/>
      <c r="I169" s="98"/>
      <c r="J169" s="34">
        <f ca="1">SUM(J6:J226)</f>
        <v>74649142.960000023</v>
      </c>
      <c r="K169" s="34">
        <f ca="1">SUM(K6:K226)</f>
        <v>53504435.399999969</v>
      </c>
      <c r="L169" s="8"/>
    </row>
    <row r="170" spans="1:13">
      <c r="G170" s="39">
        <v>1417575.71</v>
      </c>
    </row>
    <row r="171" spans="1:13">
      <c r="G171" s="80"/>
    </row>
    <row r="172" spans="1:13">
      <c r="G172" s="39">
        <f>G170-G169</f>
        <v>0</v>
      </c>
    </row>
    <row r="174" spans="1:13">
      <c r="G174" s="64"/>
    </row>
    <row r="175" spans="1:13">
      <c r="G175" s="80"/>
      <c r="M175" s="80"/>
    </row>
    <row r="181" spans="1:13">
      <c r="A181" s="14">
        <v>65</v>
      </c>
      <c r="B181" s="2" t="s">
        <v>44</v>
      </c>
      <c r="C181" s="12">
        <v>450000</v>
      </c>
      <c r="D181" s="16">
        <v>59985</v>
      </c>
      <c r="E181" s="15">
        <f>SUM(C181:D181)</f>
        <v>509985</v>
      </c>
      <c r="F181" s="33">
        <v>50</v>
      </c>
      <c r="G181" s="71">
        <v>10199.700000000001</v>
      </c>
      <c r="H181" s="101"/>
      <c r="I181" s="96" t="e">
        <f>F181-#REF!</f>
        <v>#REF!</v>
      </c>
      <c r="J181" s="12">
        <f>(33*10199.7)</f>
        <v>336590.10000000003</v>
      </c>
      <c r="K181" s="15">
        <f t="shared" ref="K181:K200" si="25">E181-J181</f>
        <v>173394.89999999997</v>
      </c>
      <c r="L181" s="8"/>
      <c r="M181" s="39" t="e">
        <f>#REF!-G181</f>
        <v>#REF!</v>
      </c>
    </row>
    <row r="182" spans="1:13">
      <c r="A182" s="14">
        <v>54</v>
      </c>
      <c r="B182" s="2" t="s">
        <v>250</v>
      </c>
      <c r="C182" s="15">
        <v>200000</v>
      </c>
      <c r="D182" s="15">
        <v>26660</v>
      </c>
      <c r="E182" s="15">
        <v>226660</v>
      </c>
      <c r="F182" s="31">
        <v>40</v>
      </c>
      <c r="G182" s="18">
        <v>5666.5</v>
      </c>
      <c r="H182" s="101"/>
      <c r="I182" s="96" t="e">
        <f>F182-#REF!</f>
        <v>#REF!</v>
      </c>
      <c r="J182" s="12">
        <f>(34*5666.5)</f>
        <v>192661</v>
      </c>
      <c r="K182" s="15">
        <f t="shared" si="25"/>
        <v>33999</v>
      </c>
      <c r="L182" s="8"/>
      <c r="M182" s="39" t="e">
        <f>#REF!-G182</f>
        <v>#REF!</v>
      </c>
    </row>
    <row r="183" spans="1:13">
      <c r="A183" s="14">
        <v>14</v>
      </c>
      <c r="B183" s="2" t="s">
        <v>131</v>
      </c>
      <c r="C183" s="15">
        <v>200000</v>
      </c>
      <c r="D183" s="15">
        <v>26660</v>
      </c>
      <c r="E183" s="15">
        <f>SUM(C183:D183)</f>
        <v>226660</v>
      </c>
      <c r="F183" s="32">
        <v>40</v>
      </c>
      <c r="G183" s="15">
        <v>5666.5</v>
      </c>
      <c r="H183" s="101"/>
      <c r="I183" s="96" t="e">
        <f>F183-#REF!</f>
        <v>#REF!</v>
      </c>
      <c r="J183" s="15">
        <f>(45*5666.5)</f>
        <v>254992.5</v>
      </c>
      <c r="K183" s="15">
        <f t="shared" si="25"/>
        <v>-28332.5</v>
      </c>
      <c r="L183" s="10"/>
      <c r="M183" s="39" t="e">
        <f>#REF!-G183</f>
        <v>#REF!</v>
      </c>
    </row>
    <row r="184" spans="1:13">
      <c r="A184" s="14">
        <v>11</v>
      </c>
      <c r="B184" s="2" t="s">
        <v>127</v>
      </c>
      <c r="C184" s="15">
        <v>200000</v>
      </c>
      <c r="D184" s="15">
        <v>26660</v>
      </c>
      <c r="E184" s="15">
        <f>SUM(C184:D184)</f>
        <v>226660</v>
      </c>
      <c r="F184" s="31">
        <v>40</v>
      </c>
      <c r="G184" s="15">
        <v>5666.5</v>
      </c>
      <c r="H184" s="101"/>
      <c r="I184" s="96" t="e">
        <f>F184-#REF!</f>
        <v>#REF!</v>
      </c>
      <c r="J184" s="12">
        <f>(33*5666.5)</f>
        <v>186994.5</v>
      </c>
      <c r="K184" s="15">
        <f t="shared" si="25"/>
        <v>39665.5</v>
      </c>
      <c r="L184" s="8"/>
      <c r="M184" s="39" t="e">
        <f>#REF!-G184</f>
        <v>#REF!</v>
      </c>
    </row>
    <row r="185" spans="1:13">
      <c r="A185" s="14">
        <v>176</v>
      </c>
      <c r="B185" s="2" t="s">
        <v>210</v>
      </c>
      <c r="C185" s="12">
        <v>132000</v>
      </c>
      <c r="D185" s="12">
        <v>17595.599999999999</v>
      </c>
      <c r="E185" s="15">
        <f>SUM(C185:D185)</f>
        <v>149595.6</v>
      </c>
      <c r="F185" s="30">
        <v>40</v>
      </c>
      <c r="G185" s="12">
        <v>3739.89</v>
      </c>
      <c r="H185" s="101"/>
      <c r="I185" s="96" t="e">
        <f>F185-#REF!</f>
        <v>#REF!</v>
      </c>
      <c r="J185" s="12">
        <f>(44*3739.89)</f>
        <v>164555.16</v>
      </c>
      <c r="K185" s="15">
        <f t="shared" si="25"/>
        <v>-14959.559999999998</v>
      </c>
      <c r="L185" s="8"/>
      <c r="M185" s="39" t="e">
        <f>#REF!-G185</f>
        <v>#REF!</v>
      </c>
    </row>
    <row r="186" spans="1:13">
      <c r="A186" s="14">
        <v>186</v>
      </c>
      <c r="B186" s="2" t="s">
        <v>243</v>
      </c>
      <c r="C186" s="12">
        <v>60000</v>
      </c>
      <c r="D186" s="12">
        <v>7998</v>
      </c>
      <c r="E186" s="12">
        <v>67998</v>
      </c>
      <c r="F186" s="31">
        <v>40</v>
      </c>
      <c r="G186" s="18">
        <v>1699.95</v>
      </c>
      <c r="H186" s="101"/>
      <c r="I186" s="96" t="e">
        <f>F186-#REF!</f>
        <v>#REF!</v>
      </c>
      <c r="J186" s="12">
        <f>(44*1699.95)</f>
        <v>74797.8</v>
      </c>
      <c r="K186" s="15">
        <f t="shared" si="25"/>
        <v>-6799.8000000000029</v>
      </c>
      <c r="L186" s="8"/>
      <c r="M186" s="39" t="e">
        <f>#REF!-G186</f>
        <v>#REF!</v>
      </c>
    </row>
    <row r="187" spans="1:13">
      <c r="A187" s="14">
        <v>178</v>
      </c>
      <c r="B187" s="2" t="s">
        <v>92</v>
      </c>
      <c r="C187" s="12">
        <v>500000</v>
      </c>
      <c r="D187" s="12">
        <v>66650</v>
      </c>
      <c r="E187" s="15">
        <f t="shared" ref="E187:E198" si="26">SUM(C187:D187)</f>
        <v>566650</v>
      </c>
      <c r="F187" s="31">
        <v>50</v>
      </c>
      <c r="G187" s="12">
        <v>11333</v>
      </c>
      <c r="H187" s="101"/>
      <c r="I187" s="96" t="e">
        <f>F187-#REF!</f>
        <v>#REF!</v>
      </c>
      <c r="J187" s="12">
        <f>(28*11333)</f>
        <v>317324</v>
      </c>
      <c r="K187" s="15">
        <f t="shared" si="25"/>
        <v>249326</v>
      </c>
      <c r="L187" s="8"/>
      <c r="M187" s="39" t="e">
        <f>#REF!-G187</f>
        <v>#REF!</v>
      </c>
    </row>
    <row r="188" spans="1:13">
      <c r="A188" s="14">
        <v>174</v>
      </c>
      <c r="B188" s="26" t="s">
        <v>118</v>
      </c>
      <c r="C188" s="12">
        <v>330000</v>
      </c>
      <c r="D188" s="12">
        <v>43989</v>
      </c>
      <c r="E188" s="15">
        <f t="shared" si="26"/>
        <v>373989</v>
      </c>
      <c r="F188" s="31">
        <v>50</v>
      </c>
      <c r="G188" s="12">
        <v>7479.78</v>
      </c>
      <c r="H188" s="101"/>
      <c r="I188" s="96" t="e">
        <f>F188-#REF!</f>
        <v>#REF!</v>
      </c>
      <c r="J188" s="12">
        <f>(27*7479.78)</f>
        <v>201954.06</v>
      </c>
      <c r="K188" s="15">
        <f t="shared" si="25"/>
        <v>172034.94</v>
      </c>
      <c r="L188" s="8"/>
      <c r="M188" s="39" t="e">
        <f>#REF!-G188</f>
        <v>#REF!</v>
      </c>
    </row>
    <row r="189" spans="1:13">
      <c r="A189" s="14">
        <v>170</v>
      </c>
      <c r="B189" s="4" t="s">
        <v>89</v>
      </c>
      <c r="C189" s="12">
        <v>500000</v>
      </c>
      <c r="D189" s="12">
        <v>66650</v>
      </c>
      <c r="E189" s="15">
        <f t="shared" si="26"/>
        <v>566650</v>
      </c>
      <c r="F189" s="31">
        <v>50</v>
      </c>
      <c r="G189" s="12">
        <v>11333</v>
      </c>
      <c r="H189" s="101"/>
      <c r="I189" s="96" t="e">
        <f>F189-#REF!</f>
        <v>#REF!</v>
      </c>
      <c r="J189" s="12">
        <f>(28*11333)</f>
        <v>317324</v>
      </c>
      <c r="K189" s="15">
        <f t="shared" si="25"/>
        <v>249326</v>
      </c>
      <c r="L189" s="8"/>
      <c r="M189" s="39" t="e">
        <f>#REF!-G189</f>
        <v>#REF!</v>
      </c>
    </row>
    <row r="190" spans="1:13">
      <c r="A190" s="14">
        <v>164</v>
      </c>
      <c r="B190" s="4" t="s">
        <v>183</v>
      </c>
      <c r="C190" s="15">
        <v>200000</v>
      </c>
      <c r="D190" s="15">
        <v>26660</v>
      </c>
      <c r="E190" s="15">
        <f t="shared" si="26"/>
        <v>226660</v>
      </c>
      <c r="F190" s="32">
        <v>40</v>
      </c>
      <c r="G190" s="15">
        <v>5666.5</v>
      </c>
      <c r="H190" s="101"/>
      <c r="I190" s="96" t="e">
        <f>F190-#REF!</f>
        <v>#REF!</v>
      </c>
      <c r="J190" s="15">
        <f>(44*5666.5)</f>
        <v>249326</v>
      </c>
      <c r="K190" s="15">
        <f t="shared" si="25"/>
        <v>-22666</v>
      </c>
      <c r="L190" s="10"/>
      <c r="M190" s="39" t="e">
        <f>#REF!-G190</f>
        <v>#REF!</v>
      </c>
    </row>
    <row r="191" spans="1:13">
      <c r="A191" s="14">
        <v>162</v>
      </c>
      <c r="B191" s="4" t="s">
        <v>116</v>
      </c>
      <c r="C191" s="12">
        <v>330000</v>
      </c>
      <c r="D191" s="12">
        <v>43989</v>
      </c>
      <c r="E191" s="15">
        <f t="shared" si="26"/>
        <v>373989</v>
      </c>
      <c r="F191" s="31">
        <v>50</v>
      </c>
      <c r="G191" s="12">
        <v>7479.78</v>
      </c>
      <c r="H191" s="101"/>
      <c r="I191" s="96" t="e">
        <f>F191-#REF!</f>
        <v>#REF!</v>
      </c>
      <c r="J191" s="12">
        <f>(28*7479.78)</f>
        <v>209433.84</v>
      </c>
      <c r="K191" s="15">
        <f t="shared" si="25"/>
        <v>164555.16</v>
      </c>
      <c r="L191" s="8"/>
      <c r="M191" s="39" t="e">
        <f>#REF!-G191</f>
        <v>#REF!</v>
      </c>
    </row>
    <row r="192" spans="1:13">
      <c r="A192" s="14">
        <v>158</v>
      </c>
      <c r="B192" s="2" t="s">
        <v>115</v>
      </c>
      <c r="C192" s="12">
        <v>330000</v>
      </c>
      <c r="D192" s="12">
        <v>43989</v>
      </c>
      <c r="E192" s="15">
        <f t="shared" si="26"/>
        <v>373989</v>
      </c>
      <c r="F192" s="31">
        <v>50</v>
      </c>
      <c r="G192" s="12">
        <v>7479.78</v>
      </c>
      <c r="H192" s="101"/>
      <c r="I192" s="96" t="e">
        <f>F192-#REF!</f>
        <v>#REF!</v>
      </c>
      <c r="J192" s="12">
        <f>(28*7479.78)</f>
        <v>209433.84</v>
      </c>
      <c r="K192" s="15">
        <f t="shared" si="25"/>
        <v>164555.16</v>
      </c>
      <c r="L192" s="8"/>
      <c r="M192" s="39" t="e">
        <f>#REF!-G192</f>
        <v>#REF!</v>
      </c>
    </row>
    <row r="193" spans="1:13">
      <c r="A193" s="14">
        <v>156</v>
      </c>
      <c r="B193" s="4" t="s">
        <v>209</v>
      </c>
      <c r="C193" s="12">
        <v>132000</v>
      </c>
      <c r="D193" s="12">
        <v>17595.599999999999</v>
      </c>
      <c r="E193" s="15">
        <f t="shared" si="26"/>
        <v>149595.6</v>
      </c>
      <c r="F193" s="30">
        <v>40</v>
      </c>
      <c r="G193" s="12">
        <v>3739.89</v>
      </c>
      <c r="H193" s="101"/>
      <c r="I193" s="96" t="e">
        <f>F193-#REF!</f>
        <v>#REF!</v>
      </c>
      <c r="J193" s="12">
        <f>(44*3739.89)</f>
        <v>164555.16</v>
      </c>
      <c r="K193" s="15">
        <f t="shared" si="25"/>
        <v>-14959.559999999998</v>
      </c>
      <c r="L193" s="8"/>
      <c r="M193" s="39" t="e">
        <f>#REF!-G193</f>
        <v>#REF!</v>
      </c>
    </row>
    <row r="194" spans="1:13">
      <c r="A194" s="14">
        <v>151</v>
      </c>
      <c r="B194" s="2" t="s">
        <v>180</v>
      </c>
      <c r="C194" s="15">
        <v>200000</v>
      </c>
      <c r="D194" s="15">
        <v>26660</v>
      </c>
      <c r="E194" s="15">
        <f t="shared" si="26"/>
        <v>226660</v>
      </c>
      <c r="F194" s="32">
        <v>40</v>
      </c>
      <c r="G194" s="15">
        <v>5666.5</v>
      </c>
      <c r="H194" s="101"/>
      <c r="I194" s="96" t="e">
        <f>F194-#REF!</f>
        <v>#REF!</v>
      </c>
      <c r="J194" s="15">
        <f>(44*5666.5)</f>
        <v>249326</v>
      </c>
      <c r="K194" s="15">
        <f t="shared" si="25"/>
        <v>-22666</v>
      </c>
      <c r="L194" s="10"/>
      <c r="M194" s="39" t="e">
        <f>#REF!-G194</f>
        <v>#REF!</v>
      </c>
    </row>
    <row r="195" spans="1:13">
      <c r="A195" s="14">
        <v>144</v>
      </c>
      <c r="B195" s="2" t="s">
        <v>83</v>
      </c>
      <c r="C195" s="12">
        <v>500000</v>
      </c>
      <c r="D195" s="12">
        <v>66650</v>
      </c>
      <c r="E195" s="15">
        <f t="shared" si="26"/>
        <v>566650</v>
      </c>
      <c r="F195" s="31">
        <v>50</v>
      </c>
      <c r="G195" s="12">
        <v>11333</v>
      </c>
      <c r="H195" s="101"/>
      <c r="I195" s="96" t="e">
        <f>F195-#REF!</f>
        <v>#REF!</v>
      </c>
      <c r="J195" s="12">
        <f>(26*11333)</f>
        <v>294658</v>
      </c>
      <c r="K195" s="15">
        <f t="shared" si="25"/>
        <v>271992</v>
      </c>
      <c r="L195" s="8"/>
      <c r="M195" s="39" t="e">
        <f>#REF!-G195</f>
        <v>#REF!</v>
      </c>
    </row>
    <row r="196" spans="1:13">
      <c r="A196" s="14">
        <v>142</v>
      </c>
      <c r="B196" s="2" t="s">
        <v>178</v>
      </c>
      <c r="C196" s="15">
        <v>200000</v>
      </c>
      <c r="D196" s="15">
        <v>26660</v>
      </c>
      <c r="E196" s="15">
        <f t="shared" si="26"/>
        <v>226660</v>
      </c>
      <c r="F196" s="31">
        <v>40</v>
      </c>
      <c r="G196" s="15">
        <v>5666.5</v>
      </c>
      <c r="H196" s="101"/>
      <c r="I196" s="96" t="e">
        <f>F196-#REF!</f>
        <v>#REF!</v>
      </c>
      <c r="J196" s="12">
        <f>(41*5666.5)</f>
        <v>232326.5</v>
      </c>
      <c r="K196" s="15">
        <f t="shared" si="25"/>
        <v>-5666.5</v>
      </c>
      <c r="L196" s="8"/>
      <c r="M196" s="39" t="e">
        <f>#REF!-G196</f>
        <v>#REF!</v>
      </c>
    </row>
    <row r="197" spans="1:13">
      <c r="A197" s="14">
        <v>137</v>
      </c>
      <c r="B197" s="2" t="s">
        <v>81</v>
      </c>
      <c r="C197" s="12">
        <v>500000</v>
      </c>
      <c r="D197" s="12">
        <v>66650</v>
      </c>
      <c r="E197" s="15">
        <f t="shared" si="26"/>
        <v>566650</v>
      </c>
      <c r="F197" s="31">
        <v>50</v>
      </c>
      <c r="G197" s="12">
        <v>11333</v>
      </c>
      <c r="H197" s="101"/>
      <c r="I197" s="96" t="e">
        <f>F197-#REF!</f>
        <v>#REF!</v>
      </c>
      <c r="J197" s="12">
        <f>(28*11333)</f>
        <v>317324</v>
      </c>
      <c r="K197" s="15">
        <f t="shared" si="25"/>
        <v>249326</v>
      </c>
      <c r="L197" s="8"/>
      <c r="M197" s="39" t="e">
        <f>#REF!-G197</f>
        <v>#REF!</v>
      </c>
    </row>
    <row r="198" spans="1:13">
      <c r="A198" s="14">
        <v>98</v>
      </c>
      <c r="B198" s="2" t="s">
        <v>163</v>
      </c>
      <c r="C198" s="15">
        <v>200000</v>
      </c>
      <c r="D198" s="15">
        <v>26660</v>
      </c>
      <c r="E198" s="15">
        <f t="shared" si="26"/>
        <v>226660</v>
      </c>
      <c r="F198" s="32">
        <v>40</v>
      </c>
      <c r="G198" s="15">
        <v>5666.5</v>
      </c>
      <c r="H198" s="101"/>
      <c r="I198" s="96" t="e">
        <f>F198-#REF!</f>
        <v>#REF!</v>
      </c>
      <c r="J198" s="15">
        <f>(44*5666.5)</f>
        <v>249326</v>
      </c>
      <c r="K198" s="15">
        <f t="shared" si="25"/>
        <v>-22666</v>
      </c>
      <c r="L198" s="10"/>
      <c r="M198" s="39" t="e">
        <f>#REF!-G198</f>
        <v>#REF!</v>
      </c>
    </row>
    <row r="199" spans="1:13">
      <c r="A199" s="14">
        <v>87</v>
      </c>
      <c r="B199" s="2" t="s">
        <v>235</v>
      </c>
      <c r="C199" s="12">
        <v>180000</v>
      </c>
      <c r="D199" s="12">
        <v>23994</v>
      </c>
      <c r="E199" s="12">
        <v>203994</v>
      </c>
      <c r="F199" s="30">
        <v>40</v>
      </c>
      <c r="G199" s="18">
        <v>5099.8500000000004</v>
      </c>
      <c r="H199" s="101"/>
      <c r="I199" s="96" t="e">
        <f>F199-#REF!</f>
        <v>#REF!</v>
      </c>
      <c r="J199" s="12">
        <f>(44*5099.85)</f>
        <v>224393.40000000002</v>
      </c>
      <c r="K199" s="15">
        <f t="shared" si="25"/>
        <v>-20399.400000000023</v>
      </c>
      <c r="L199" s="10"/>
      <c r="M199" s="39" t="e">
        <f>#REF!-G199</f>
        <v>#REF!</v>
      </c>
    </row>
    <row r="200" spans="1:13">
      <c r="A200" s="14">
        <v>79</v>
      </c>
      <c r="B200" s="2" t="s">
        <v>154</v>
      </c>
      <c r="C200" s="15">
        <v>200000</v>
      </c>
      <c r="D200" s="15">
        <v>26660</v>
      </c>
      <c r="E200" s="15">
        <f>SUM(C200:D200)</f>
        <v>226660</v>
      </c>
      <c r="F200" s="32">
        <v>40</v>
      </c>
      <c r="G200" s="15">
        <v>5666.5</v>
      </c>
      <c r="H200" s="101"/>
      <c r="I200" s="96" t="e">
        <f>F200-#REF!</f>
        <v>#REF!</v>
      </c>
      <c r="J200" s="15">
        <f>(44*5666.5)</f>
        <v>249326</v>
      </c>
      <c r="K200" s="15">
        <f t="shared" si="25"/>
        <v>-22666</v>
      </c>
      <c r="L200" s="10"/>
      <c r="M200" s="39" t="e">
        <f>#REF!-G200</f>
        <v>#REF!</v>
      </c>
    </row>
    <row r="201" spans="1:13" ht="15.75">
      <c r="A201" s="14">
        <v>77</v>
      </c>
      <c r="B201" s="73" t="s">
        <v>257</v>
      </c>
      <c r="C201" s="15">
        <v>200000</v>
      </c>
      <c r="D201" s="15">
        <v>26660</v>
      </c>
      <c r="E201" s="15">
        <f>SUM(C201:D201)</f>
        <v>226660</v>
      </c>
      <c r="F201" s="32">
        <v>40</v>
      </c>
      <c r="G201" s="74">
        <v>5666.5</v>
      </c>
      <c r="H201" s="101"/>
      <c r="I201" s="96"/>
      <c r="J201" s="12"/>
      <c r="K201" s="15"/>
      <c r="L201" s="8"/>
      <c r="M201" s="39" t="e">
        <f>#REF!-G201</f>
        <v>#REF!</v>
      </c>
    </row>
    <row r="202" spans="1:13">
      <c r="A202" s="14">
        <v>75</v>
      </c>
      <c r="B202" s="2" t="s">
        <v>65</v>
      </c>
      <c r="C202" s="12">
        <v>500000</v>
      </c>
      <c r="D202" s="12">
        <v>66650</v>
      </c>
      <c r="E202" s="15">
        <f>SUM(C202:D202)</f>
        <v>566650</v>
      </c>
      <c r="F202" s="31">
        <v>50</v>
      </c>
      <c r="G202" s="12">
        <v>11333</v>
      </c>
      <c r="H202" s="101"/>
      <c r="I202" s="96" t="e">
        <f>F202-#REF!</f>
        <v>#REF!</v>
      </c>
      <c r="J202" s="12">
        <f>(28*11333)</f>
        <v>317324</v>
      </c>
      <c r="K202" s="15">
        <f t="shared" ref="K202:K232" si="27">E202-J202</f>
        <v>249326</v>
      </c>
      <c r="L202" s="8"/>
      <c r="M202" s="39" t="e">
        <f>#REF!-G202</f>
        <v>#REF!</v>
      </c>
    </row>
    <row r="203" spans="1:13">
      <c r="A203" s="14">
        <v>67</v>
      </c>
      <c r="B203" s="2" t="s">
        <v>152</v>
      </c>
      <c r="C203" s="15">
        <v>200000</v>
      </c>
      <c r="D203" s="15">
        <v>26660</v>
      </c>
      <c r="E203" s="15">
        <f>SUM(C203:D203)</f>
        <v>226660</v>
      </c>
      <c r="F203" s="32">
        <v>40</v>
      </c>
      <c r="G203" s="15">
        <v>5666.5</v>
      </c>
      <c r="H203" s="101"/>
      <c r="I203" s="96" t="e">
        <f>F203-#REF!</f>
        <v>#REF!</v>
      </c>
      <c r="J203" s="15">
        <f>(44*5666.5)</f>
        <v>249326</v>
      </c>
      <c r="K203" s="15">
        <f t="shared" si="27"/>
        <v>-22666</v>
      </c>
      <c r="L203" s="10"/>
      <c r="M203" s="39" t="e">
        <f>#REF!-G203</f>
        <v>#REF!</v>
      </c>
    </row>
    <row r="204" spans="1:13">
      <c r="A204" s="14">
        <v>68</v>
      </c>
      <c r="B204" s="2" t="s">
        <v>237</v>
      </c>
      <c r="C204" s="12">
        <v>132000</v>
      </c>
      <c r="D204" s="12">
        <v>17595.599999999999</v>
      </c>
      <c r="E204" s="12">
        <v>149595.6</v>
      </c>
      <c r="F204" s="30">
        <v>40</v>
      </c>
      <c r="G204" s="18">
        <v>3739.89</v>
      </c>
      <c r="H204" s="96"/>
      <c r="I204" s="96" t="e">
        <f>F204-#REF!</f>
        <v>#REF!</v>
      </c>
      <c r="J204" s="12">
        <f>(32*3739.89)</f>
        <v>119676.48</v>
      </c>
      <c r="K204" s="15">
        <f t="shared" si="27"/>
        <v>29919.12000000001</v>
      </c>
      <c r="L204" s="8"/>
      <c r="M204" s="39" t="e">
        <f>#REF!-G204</f>
        <v>#REF!</v>
      </c>
    </row>
    <row r="205" spans="1:13">
      <c r="A205" s="14">
        <v>69</v>
      </c>
      <c r="B205" s="2" t="s">
        <v>153</v>
      </c>
      <c r="C205" s="15">
        <v>200000</v>
      </c>
      <c r="D205" s="15">
        <v>26660</v>
      </c>
      <c r="E205" s="15">
        <f t="shared" ref="E205:E214" si="28">SUM(C205:D205)</f>
        <v>226660</v>
      </c>
      <c r="F205" s="31">
        <v>40</v>
      </c>
      <c r="G205" s="15">
        <v>5666.5</v>
      </c>
      <c r="H205" s="101"/>
      <c r="I205" s="96" t="e">
        <f>F205-#REF!</f>
        <v>#REF!</v>
      </c>
      <c r="J205" s="12">
        <f>(34*5666.5)</f>
        <v>192661</v>
      </c>
      <c r="K205" s="15">
        <f t="shared" si="27"/>
        <v>33999</v>
      </c>
      <c r="L205" s="8"/>
      <c r="M205" s="39" t="e">
        <f>#REF!-G205</f>
        <v>#REF!</v>
      </c>
    </row>
    <row r="206" spans="1:13">
      <c r="A206" s="14">
        <v>64</v>
      </c>
      <c r="B206" s="2" t="s">
        <v>211</v>
      </c>
      <c r="C206" s="12">
        <v>150000</v>
      </c>
      <c r="D206" s="12">
        <v>19995</v>
      </c>
      <c r="E206" s="15">
        <f t="shared" si="28"/>
        <v>169995</v>
      </c>
      <c r="F206" s="31">
        <v>50</v>
      </c>
      <c r="G206" s="12">
        <v>3399.9</v>
      </c>
      <c r="H206" s="101"/>
      <c r="I206" s="96" t="e">
        <f>F206-#REF!</f>
        <v>#REF!</v>
      </c>
      <c r="J206" s="12">
        <f>(28*3399.9)</f>
        <v>95197.2</v>
      </c>
      <c r="K206" s="15">
        <f t="shared" si="27"/>
        <v>74797.8</v>
      </c>
      <c r="L206" s="8"/>
      <c r="M206" s="39" t="e">
        <f>#REF!-G206</f>
        <v>#REF!</v>
      </c>
    </row>
    <row r="207" spans="1:13">
      <c r="A207" s="14">
        <v>62</v>
      </c>
      <c r="B207" s="2" t="s">
        <v>194</v>
      </c>
      <c r="C207" s="12">
        <v>180000</v>
      </c>
      <c r="D207" s="12">
        <v>23994</v>
      </c>
      <c r="E207" s="15">
        <f t="shared" si="28"/>
        <v>203994</v>
      </c>
      <c r="F207" s="30">
        <v>40</v>
      </c>
      <c r="G207" s="12">
        <v>5099.8500000000004</v>
      </c>
      <c r="H207" s="101"/>
      <c r="I207" s="96" t="e">
        <f>F207-#REF!</f>
        <v>#REF!</v>
      </c>
      <c r="J207" s="12">
        <f>(44*5099.85)</f>
        <v>224393.40000000002</v>
      </c>
      <c r="K207" s="15">
        <f t="shared" si="27"/>
        <v>-20399.400000000023</v>
      </c>
      <c r="L207" s="10"/>
      <c r="M207" s="39" t="e">
        <f>#REF!-G207</f>
        <v>#REF!</v>
      </c>
    </row>
    <row r="208" spans="1:13">
      <c r="A208" s="14">
        <v>55</v>
      </c>
      <c r="B208" s="2" t="s">
        <v>145</v>
      </c>
      <c r="C208" s="15">
        <v>200000</v>
      </c>
      <c r="D208" s="15">
        <v>26660</v>
      </c>
      <c r="E208" s="15">
        <f t="shared" si="28"/>
        <v>226660</v>
      </c>
      <c r="F208" s="32">
        <v>40</v>
      </c>
      <c r="G208" s="15">
        <v>5666.5</v>
      </c>
      <c r="H208" s="101"/>
      <c r="I208" s="96" t="e">
        <f>F208-#REF!</f>
        <v>#REF!</v>
      </c>
      <c r="J208" s="15">
        <f>(44*5666.5)</f>
        <v>249326</v>
      </c>
      <c r="K208" s="15">
        <f t="shared" si="27"/>
        <v>-22666</v>
      </c>
      <c r="L208" s="10"/>
      <c r="M208" s="39" t="e">
        <f>#REF!-G208</f>
        <v>#REF!</v>
      </c>
    </row>
    <row r="209" spans="1:13">
      <c r="A209" s="14">
        <v>56</v>
      </c>
      <c r="B209" s="2" t="s">
        <v>146</v>
      </c>
      <c r="C209" s="15">
        <v>200000</v>
      </c>
      <c r="D209" s="15">
        <v>26660</v>
      </c>
      <c r="E209" s="15">
        <f t="shared" si="28"/>
        <v>226660</v>
      </c>
      <c r="F209" s="32">
        <v>40</v>
      </c>
      <c r="G209" s="15">
        <v>5666.5</v>
      </c>
      <c r="H209" s="101"/>
      <c r="I209" s="96" t="e">
        <f>F209-#REF!</f>
        <v>#REF!</v>
      </c>
      <c r="J209" s="15">
        <f>(44*5666.5)</f>
        <v>249326</v>
      </c>
      <c r="K209" s="15">
        <f t="shared" si="27"/>
        <v>-22666</v>
      </c>
      <c r="L209" s="10"/>
      <c r="M209" s="39" t="e">
        <f>#REF!-G209</f>
        <v>#REF!</v>
      </c>
    </row>
    <row r="210" spans="1:13">
      <c r="A210" s="14">
        <v>179</v>
      </c>
      <c r="B210" s="2" t="s">
        <v>93</v>
      </c>
      <c r="C210" s="12">
        <v>500000</v>
      </c>
      <c r="D210" s="12">
        <v>66650</v>
      </c>
      <c r="E210" s="15">
        <f t="shared" si="28"/>
        <v>566650</v>
      </c>
      <c r="F210" s="31">
        <v>50</v>
      </c>
      <c r="G210" s="12">
        <v>11333</v>
      </c>
      <c r="H210" s="101"/>
      <c r="I210" s="96" t="e">
        <f>F210-#REF!</f>
        <v>#REF!</v>
      </c>
      <c r="J210" s="12">
        <f>(41*11333)</f>
        <v>464653</v>
      </c>
      <c r="K210" s="15">
        <f t="shared" si="27"/>
        <v>101997</v>
      </c>
      <c r="L210" s="8"/>
      <c r="M210" s="39" t="e">
        <f>#REF!-G210</f>
        <v>#REF!</v>
      </c>
    </row>
    <row r="211" spans="1:13">
      <c r="A211" s="14">
        <v>174</v>
      </c>
      <c r="B211" s="2" t="s">
        <v>119</v>
      </c>
      <c r="C211" s="12">
        <v>330000</v>
      </c>
      <c r="D211" s="16">
        <v>43989</v>
      </c>
      <c r="E211" s="15">
        <f t="shared" si="28"/>
        <v>373989</v>
      </c>
      <c r="F211" s="33">
        <v>50</v>
      </c>
      <c r="G211" s="16">
        <v>7479.78</v>
      </c>
      <c r="H211" s="96"/>
      <c r="I211" s="96" t="e">
        <f>F211-#REF!</f>
        <v>#REF!</v>
      </c>
      <c r="J211" s="12">
        <f>(19*7479.78)</f>
        <v>142115.82</v>
      </c>
      <c r="K211" s="15">
        <f t="shared" si="27"/>
        <v>231873.18</v>
      </c>
      <c r="L211" s="8"/>
      <c r="M211" s="39" t="e">
        <f>#REF!-G211</f>
        <v>#REF!</v>
      </c>
    </row>
    <row r="212" spans="1:13">
      <c r="A212" s="14">
        <v>152</v>
      </c>
      <c r="B212" s="4" t="s">
        <v>102</v>
      </c>
      <c r="C212" s="12">
        <v>450000</v>
      </c>
      <c r="D212" s="12">
        <v>59985</v>
      </c>
      <c r="E212" s="15">
        <f t="shared" si="28"/>
        <v>509985</v>
      </c>
      <c r="F212" s="31">
        <v>50</v>
      </c>
      <c r="G212" s="12">
        <v>10199.700000000001</v>
      </c>
      <c r="H212" s="96"/>
      <c r="I212" s="96" t="e">
        <f>F212-#REF!</f>
        <v>#REF!</v>
      </c>
      <c r="J212" s="12">
        <f>(20*10199.7)</f>
        <v>203994</v>
      </c>
      <c r="K212" s="15">
        <f t="shared" si="27"/>
        <v>305991</v>
      </c>
      <c r="L212" s="8"/>
      <c r="M212" s="39" t="e">
        <f>#REF!-G212</f>
        <v>#REF!</v>
      </c>
    </row>
    <row r="213" spans="1:13">
      <c r="A213" s="14">
        <v>167</v>
      </c>
      <c r="B213" s="2" t="s">
        <v>184</v>
      </c>
      <c r="C213" s="15">
        <v>200000</v>
      </c>
      <c r="D213" s="15">
        <v>26660</v>
      </c>
      <c r="E213" s="15">
        <f t="shared" si="28"/>
        <v>226660</v>
      </c>
      <c r="F213" s="31">
        <v>40</v>
      </c>
      <c r="G213" s="15">
        <v>5666.5</v>
      </c>
      <c r="H213" s="101"/>
      <c r="I213" s="96" t="e">
        <f>F213-#REF!</f>
        <v>#REF!</v>
      </c>
      <c r="J213" s="12">
        <f>(37*5666.5)</f>
        <v>209660.5</v>
      </c>
      <c r="K213" s="15">
        <f t="shared" si="27"/>
        <v>16999.5</v>
      </c>
      <c r="L213" s="8"/>
      <c r="M213" s="39" t="e">
        <f>#REF!-G213</f>
        <v>#REF!</v>
      </c>
    </row>
    <row r="214" spans="1:13">
      <c r="A214" s="14">
        <v>147</v>
      </c>
      <c r="B214" s="2" t="s">
        <v>114</v>
      </c>
      <c r="C214" s="12">
        <v>330000</v>
      </c>
      <c r="D214" s="12">
        <v>43989</v>
      </c>
      <c r="E214" s="15">
        <f t="shared" si="28"/>
        <v>373989</v>
      </c>
      <c r="F214" s="31">
        <v>50</v>
      </c>
      <c r="G214" s="12">
        <v>7479.78</v>
      </c>
      <c r="H214" s="101"/>
      <c r="I214" s="96" t="e">
        <f>F214-#REF!</f>
        <v>#REF!</v>
      </c>
      <c r="J214" s="12">
        <f>(27*7479.78)</f>
        <v>201954.06</v>
      </c>
      <c r="K214" s="15">
        <f t="shared" si="27"/>
        <v>172034.94</v>
      </c>
      <c r="L214" s="8"/>
      <c r="M214" s="39" t="e">
        <f>#REF!-G214</f>
        <v>#REF!</v>
      </c>
    </row>
    <row r="215" spans="1:13">
      <c r="A215" s="14">
        <v>142</v>
      </c>
      <c r="B215" s="23" t="s">
        <v>238</v>
      </c>
      <c r="C215" s="12">
        <v>132000</v>
      </c>
      <c r="D215" s="12">
        <v>17595.599999999999</v>
      </c>
      <c r="E215" s="12">
        <v>149595.6</v>
      </c>
      <c r="F215" s="30">
        <v>40</v>
      </c>
      <c r="G215" s="18">
        <v>3739.89</v>
      </c>
      <c r="H215" s="101"/>
      <c r="I215" s="96" t="e">
        <f>F215-#REF!</f>
        <v>#REF!</v>
      </c>
      <c r="J215" s="12">
        <f>(43*3739.89)</f>
        <v>160815.26999999999</v>
      </c>
      <c r="K215" s="15">
        <f t="shared" si="27"/>
        <v>-11219.669999999984</v>
      </c>
      <c r="L215" s="10"/>
      <c r="M215" s="39" t="e">
        <f>#REF!-G215</f>
        <v>#REF!</v>
      </c>
    </row>
    <row r="216" spans="1:13">
      <c r="A216" s="14">
        <v>135</v>
      </c>
      <c r="B216" s="2" t="s">
        <v>98</v>
      </c>
      <c r="C216" s="12">
        <v>450000</v>
      </c>
      <c r="D216" s="16">
        <v>59985</v>
      </c>
      <c r="E216" s="15">
        <f t="shared" ref="E216:E221" si="29">SUM(C216:D216)</f>
        <v>509985</v>
      </c>
      <c r="F216" s="33">
        <v>50</v>
      </c>
      <c r="G216" s="38">
        <v>10199.700000000001</v>
      </c>
      <c r="H216" s="101"/>
      <c r="I216" s="96" t="e">
        <f>F216-#REF!</f>
        <v>#REF!</v>
      </c>
      <c r="J216" s="12">
        <f>(6*10199.7)</f>
        <v>61198.200000000004</v>
      </c>
      <c r="K216" s="15">
        <f t="shared" si="27"/>
        <v>448786.8</v>
      </c>
      <c r="L216" s="8"/>
      <c r="M216" s="39" t="e">
        <f>#REF!-G216</f>
        <v>#REF!</v>
      </c>
    </row>
    <row r="217" spans="1:13">
      <c r="A217" s="14">
        <v>133</v>
      </c>
      <c r="B217" s="2" t="s">
        <v>177</v>
      </c>
      <c r="C217" s="15">
        <v>200000</v>
      </c>
      <c r="D217" s="15">
        <v>26660</v>
      </c>
      <c r="E217" s="15">
        <f t="shared" si="29"/>
        <v>226660</v>
      </c>
      <c r="F217" s="31">
        <v>40</v>
      </c>
      <c r="G217" s="15">
        <v>5666.5</v>
      </c>
      <c r="H217" s="101"/>
      <c r="I217" s="96" t="e">
        <f>F217-#REF!</f>
        <v>#REF!</v>
      </c>
      <c r="J217" s="12">
        <f>(33*5666.5)</f>
        <v>186994.5</v>
      </c>
      <c r="K217" s="15">
        <f t="shared" si="27"/>
        <v>39665.5</v>
      </c>
      <c r="L217" s="8"/>
      <c r="M217" s="39" t="e">
        <f>#REF!-G217</f>
        <v>#REF!</v>
      </c>
    </row>
    <row r="218" spans="1:13">
      <c r="A218" s="14">
        <v>120</v>
      </c>
      <c r="B218" s="2" t="s">
        <v>76</v>
      </c>
      <c r="C218" s="12">
        <v>500000</v>
      </c>
      <c r="D218" s="12">
        <v>66650</v>
      </c>
      <c r="E218" s="15">
        <f t="shared" si="29"/>
        <v>566650</v>
      </c>
      <c r="F218" s="33">
        <v>50</v>
      </c>
      <c r="G218" s="12">
        <v>11333</v>
      </c>
      <c r="H218" s="96"/>
      <c r="I218" s="96" t="e">
        <f>F218-#REF!</f>
        <v>#REF!</v>
      </c>
      <c r="J218" s="12">
        <f>(19*11333)</f>
        <v>215327</v>
      </c>
      <c r="K218" s="15">
        <f t="shared" si="27"/>
        <v>351323</v>
      </c>
      <c r="L218" s="8"/>
      <c r="M218" s="39" t="e">
        <f>#REF!-G218</f>
        <v>#REF!</v>
      </c>
    </row>
    <row r="219" spans="1:13">
      <c r="A219" s="14">
        <v>110</v>
      </c>
      <c r="B219" s="2" t="s">
        <v>171</v>
      </c>
      <c r="C219" s="15">
        <v>200000</v>
      </c>
      <c r="D219" s="15">
        <v>26660</v>
      </c>
      <c r="E219" s="15">
        <f t="shared" si="29"/>
        <v>226660</v>
      </c>
      <c r="F219" s="31">
        <v>40</v>
      </c>
      <c r="G219" s="15">
        <v>5666.5</v>
      </c>
      <c r="H219" s="101"/>
      <c r="I219" s="96" t="e">
        <f>F219-#REF!</f>
        <v>#REF!</v>
      </c>
      <c r="J219" s="12">
        <f>(33*5666.5)</f>
        <v>186994.5</v>
      </c>
      <c r="K219" s="15">
        <f t="shared" si="27"/>
        <v>39665.5</v>
      </c>
      <c r="L219" s="8"/>
      <c r="M219" s="39" t="e">
        <f>#REF!-G219</f>
        <v>#REF!</v>
      </c>
    </row>
    <row r="220" spans="1:13">
      <c r="A220" s="14">
        <v>73</v>
      </c>
      <c r="B220" s="2" t="s">
        <v>195</v>
      </c>
      <c r="C220" s="12">
        <v>180000</v>
      </c>
      <c r="D220" s="12">
        <v>23994</v>
      </c>
      <c r="E220" s="15">
        <f t="shared" si="29"/>
        <v>203994</v>
      </c>
      <c r="F220" s="31">
        <v>40</v>
      </c>
      <c r="G220" s="12">
        <v>5099.8500000000004</v>
      </c>
      <c r="H220" s="101"/>
      <c r="I220" s="96" t="e">
        <f>F220-#REF!</f>
        <v>#REF!</v>
      </c>
      <c r="J220" s="12">
        <f>(40*5099.85)</f>
        <v>203994</v>
      </c>
      <c r="K220" s="15">
        <f t="shared" si="27"/>
        <v>0</v>
      </c>
      <c r="L220" s="8"/>
      <c r="M220" s="39" t="e">
        <f>#REF!-G220</f>
        <v>#REF!</v>
      </c>
    </row>
    <row r="221" spans="1:13">
      <c r="A221" s="14">
        <v>70</v>
      </c>
      <c r="B221" s="2" t="s">
        <v>66</v>
      </c>
      <c r="C221" s="12">
        <v>500000</v>
      </c>
      <c r="D221" s="12">
        <v>66650</v>
      </c>
      <c r="E221" s="15">
        <f t="shared" si="29"/>
        <v>566650</v>
      </c>
      <c r="F221" s="31">
        <v>50</v>
      </c>
      <c r="G221" s="18">
        <v>11333</v>
      </c>
      <c r="H221" s="101"/>
      <c r="I221" s="96" t="e">
        <f>F221-#REF!</f>
        <v>#REF!</v>
      </c>
      <c r="J221" s="12">
        <f>(9*11333)</f>
        <v>101997</v>
      </c>
      <c r="K221" s="15">
        <f t="shared" si="27"/>
        <v>464653</v>
      </c>
      <c r="L221" s="8"/>
      <c r="M221" s="39" t="e">
        <f>#REF!-G221</f>
        <v>#REF!</v>
      </c>
    </row>
    <row r="222" spans="1:13">
      <c r="A222" s="14">
        <v>81</v>
      </c>
      <c r="B222" s="2" t="s">
        <v>22</v>
      </c>
      <c r="C222" s="18">
        <v>500000</v>
      </c>
      <c r="D222" s="18">
        <v>66650</v>
      </c>
      <c r="E222" s="18">
        <v>566650</v>
      </c>
      <c r="F222" s="33">
        <v>50</v>
      </c>
      <c r="G222" s="16">
        <v>11333</v>
      </c>
      <c r="H222" s="101"/>
      <c r="I222" s="96" t="e">
        <f>F222-#REF!</f>
        <v>#REF!</v>
      </c>
      <c r="J222" s="12">
        <f>(5*11333)</f>
        <v>56665</v>
      </c>
      <c r="K222" s="12">
        <f t="shared" si="27"/>
        <v>509985</v>
      </c>
      <c r="L222" s="8"/>
      <c r="M222" s="39" t="e">
        <f>#REF!-G222</f>
        <v>#REF!</v>
      </c>
    </row>
    <row r="223" spans="1:13">
      <c r="A223" s="14">
        <v>5</v>
      </c>
      <c r="B223" s="4" t="s">
        <v>189</v>
      </c>
      <c r="C223" s="12">
        <v>180000</v>
      </c>
      <c r="D223" s="12">
        <v>23994</v>
      </c>
      <c r="E223" s="15">
        <f t="shared" ref="E223:E232" si="30">SUM(C223:D223)</f>
        <v>203994</v>
      </c>
      <c r="F223" s="31">
        <v>40</v>
      </c>
      <c r="G223" s="12">
        <v>5099.8500000000004</v>
      </c>
      <c r="H223" s="101"/>
      <c r="I223" s="96" t="e">
        <f>F223-#REF!</f>
        <v>#REF!</v>
      </c>
      <c r="J223" s="12">
        <f>(32*5099.85)</f>
        <v>163195.20000000001</v>
      </c>
      <c r="K223" s="15">
        <f t="shared" si="27"/>
        <v>40798.799999999988</v>
      </c>
      <c r="L223" s="8"/>
      <c r="M223" s="39" t="e">
        <f>#REF!-G223</f>
        <v>#REF!</v>
      </c>
    </row>
    <row r="224" spans="1:13">
      <c r="A224" s="14">
        <v>9</v>
      </c>
      <c r="B224" s="2" t="s">
        <v>190</v>
      </c>
      <c r="C224" s="12">
        <v>180000</v>
      </c>
      <c r="D224" s="12">
        <v>23994</v>
      </c>
      <c r="E224" s="15">
        <f t="shared" si="30"/>
        <v>203994</v>
      </c>
      <c r="F224" s="30">
        <v>40</v>
      </c>
      <c r="G224" s="12">
        <v>5099.8500000000004</v>
      </c>
      <c r="H224" s="101"/>
      <c r="I224" s="96" t="e">
        <f>F224-#REF!</f>
        <v>#REF!</v>
      </c>
      <c r="J224" s="12">
        <f>(43*5099.85)</f>
        <v>219293.55000000002</v>
      </c>
      <c r="K224" s="15">
        <f t="shared" si="27"/>
        <v>-15299.550000000017</v>
      </c>
      <c r="L224" s="10"/>
      <c r="M224" s="39" t="e">
        <f>#REF!-G224</f>
        <v>#REF!</v>
      </c>
    </row>
    <row r="225" spans="1:13">
      <c r="A225" s="14">
        <v>148</v>
      </c>
      <c r="B225" s="2" t="s">
        <v>175</v>
      </c>
      <c r="C225" s="15">
        <v>200000</v>
      </c>
      <c r="D225" s="15">
        <v>26660</v>
      </c>
      <c r="E225" s="15">
        <f t="shared" si="30"/>
        <v>226660</v>
      </c>
      <c r="F225" s="32">
        <v>40</v>
      </c>
      <c r="G225" s="15">
        <v>5666.5</v>
      </c>
      <c r="H225" s="101"/>
      <c r="I225" s="96" t="e">
        <f>F225-#REF!</f>
        <v>#REF!</v>
      </c>
      <c r="J225" s="15">
        <f>(43*5666.5)</f>
        <v>243659.5</v>
      </c>
      <c r="K225" s="15">
        <f t="shared" si="27"/>
        <v>-16999.5</v>
      </c>
      <c r="L225" s="10"/>
      <c r="M225" s="39" t="e">
        <f>#REF!-G225</f>
        <v>#REF!</v>
      </c>
    </row>
    <row r="226" spans="1:13">
      <c r="A226" s="14">
        <v>11</v>
      </c>
      <c r="B226" s="2" t="s">
        <v>191</v>
      </c>
      <c r="C226" s="12">
        <v>180000</v>
      </c>
      <c r="D226" s="12">
        <v>23994</v>
      </c>
      <c r="E226" s="15">
        <f t="shared" si="30"/>
        <v>203994</v>
      </c>
      <c r="F226" s="30">
        <v>40</v>
      </c>
      <c r="G226" s="12">
        <v>5099.8500000000004</v>
      </c>
      <c r="H226" s="101"/>
      <c r="I226" s="96" t="e">
        <f>F226-#REF!</f>
        <v>#REF!</v>
      </c>
      <c r="J226" s="12">
        <f>(43*5099.85)</f>
        <v>219293.55000000002</v>
      </c>
      <c r="K226" s="15">
        <f t="shared" si="27"/>
        <v>-15299.550000000017</v>
      </c>
      <c r="L226" s="10"/>
      <c r="M226" s="39" t="e">
        <f>#REF!-G226</f>
        <v>#REF!</v>
      </c>
    </row>
    <row r="227" spans="1:13">
      <c r="A227" s="14">
        <v>12</v>
      </c>
      <c r="B227" s="2" t="s">
        <v>52</v>
      </c>
      <c r="C227" s="12">
        <v>500000</v>
      </c>
      <c r="D227" s="12">
        <v>66650</v>
      </c>
      <c r="E227" s="15">
        <f t="shared" si="30"/>
        <v>566650</v>
      </c>
      <c r="F227" s="31">
        <v>50</v>
      </c>
      <c r="G227" s="18">
        <v>11333</v>
      </c>
      <c r="H227" s="101"/>
      <c r="I227" s="96" t="e">
        <f>F227-#REF!</f>
        <v>#REF!</v>
      </c>
      <c r="J227" s="12">
        <f>(28*11333)</f>
        <v>317324</v>
      </c>
      <c r="K227" s="15">
        <f t="shared" si="27"/>
        <v>249326</v>
      </c>
      <c r="L227" s="8"/>
      <c r="M227" s="39" t="e">
        <f>#REF!-G227</f>
        <v>#REF!</v>
      </c>
    </row>
    <row r="228" spans="1:13">
      <c r="A228" s="14">
        <v>173</v>
      </c>
      <c r="B228" s="4" t="s">
        <v>219</v>
      </c>
      <c r="C228" s="12">
        <v>60000</v>
      </c>
      <c r="D228" s="12">
        <v>7998</v>
      </c>
      <c r="E228" s="15">
        <f t="shared" si="30"/>
        <v>67998</v>
      </c>
      <c r="F228" s="31">
        <v>40</v>
      </c>
      <c r="G228" s="12">
        <v>1699.95</v>
      </c>
      <c r="H228" s="101"/>
      <c r="I228" s="96" t="e">
        <f>F228-#REF!</f>
        <v>#REF!</v>
      </c>
      <c r="J228" s="12">
        <f>(34*1699.95)</f>
        <v>57798.3</v>
      </c>
      <c r="K228" s="15">
        <f t="shared" si="27"/>
        <v>10199.699999999997</v>
      </c>
      <c r="L228" s="8"/>
      <c r="M228" s="39" t="e">
        <f>#REF!-G228</f>
        <v>#REF!</v>
      </c>
    </row>
    <row r="229" spans="1:13">
      <c r="A229" s="14">
        <v>176</v>
      </c>
      <c r="B229" s="2" t="s">
        <v>101</v>
      </c>
      <c r="C229" s="12">
        <v>450000</v>
      </c>
      <c r="D229" s="16">
        <v>59985</v>
      </c>
      <c r="E229" s="15">
        <f t="shared" si="30"/>
        <v>509985</v>
      </c>
      <c r="F229" s="33">
        <v>50</v>
      </c>
      <c r="G229" s="16">
        <v>10199.700000000001</v>
      </c>
      <c r="H229" s="101"/>
      <c r="I229" s="96" t="e">
        <f>F229-#REF!</f>
        <v>#REF!</v>
      </c>
      <c r="J229" s="12">
        <f>(19*10199.7)</f>
        <v>193794.30000000002</v>
      </c>
      <c r="K229" s="15">
        <f t="shared" si="27"/>
        <v>316190.69999999995</v>
      </c>
      <c r="L229" s="8"/>
      <c r="M229" s="39" t="e">
        <f>#REF!-G229</f>
        <v>#REF!</v>
      </c>
    </row>
    <row r="230" spans="1:13">
      <c r="A230" s="14">
        <v>14</v>
      </c>
      <c r="B230" s="2" t="s">
        <v>126</v>
      </c>
      <c r="C230" s="15">
        <v>200000</v>
      </c>
      <c r="D230" s="15">
        <v>26660</v>
      </c>
      <c r="E230" s="15">
        <f t="shared" si="30"/>
        <v>226660</v>
      </c>
      <c r="F230" s="32">
        <v>40</v>
      </c>
      <c r="G230" s="15">
        <v>5666.5</v>
      </c>
      <c r="H230" s="101"/>
      <c r="I230" s="96" t="e">
        <f>F230-#REF!</f>
        <v>#REF!</v>
      </c>
      <c r="J230" s="15">
        <f>(44*5666.5)</f>
        <v>249326</v>
      </c>
      <c r="K230" s="15">
        <f t="shared" si="27"/>
        <v>-22666</v>
      </c>
      <c r="L230" s="10"/>
      <c r="M230" s="39" t="e">
        <f>#REF!-G230</f>
        <v>#REF!</v>
      </c>
    </row>
    <row r="231" spans="1:13">
      <c r="A231" s="14">
        <v>18</v>
      </c>
      <c r="B231" s="2" t="s">
        <v>214</v>
      </c>
      <c r="C231" s="12">
        <v>60000</v>
      </c>
      <c r="D231" s="12">
        <v>7998</v>
      </c>
      <c r="E231" s="15">
        <f t="shared" si="30"/>
        <v>67998</v>
      </c>
      <c r="F231" s="31">
        <v>40</v>
      </c>
      <c r="G231" s="12">
        <v>1699.95</v>
      </c>
      <c r="H231" s="101"/>
      <c r="I231" s="96" t="e">
        <f>F231-#REF!</f>
        <v>#REF!</v>
      </c>
      <c r="J231" s="12">
        <f>(44*1699.95)</f>
        <v>74797.8</v>
      </c>
      <c r="K231" s="15">
        <f t="shared" si="27"/>
        <v>-6799.8000000000029</v>
      </c>
      <c r="L231" s="8"/>
      <c r="M231" s="39" t="e">
        <f>#REF!-G231</f>
        <v>#REF!</v>
      </c>
    </row>
    <row r="232" spans="1:13">
      <c r="A232" s="14">
        <v>45</v>
      </c>
      <c r="B232" s="25" t="s">
        <v>94</v>
      </c>
      <c r="C232" s="12">
        <v>450000</v>
      </c>
      <c r="D232" s="12">
        <v>59985</v>
      </c>
      <c r="E232" s="15">
        <f t="shared" si="30"/>
        <v>509985</v>
      </c>
      <c r="F232" s="31">
        <v>50</v>
      </c>
      <c r="G232" s="12">
        <v>10199.700000000001</v>
      </c>
      <c r="H232" s="101"/>
      <c r="I232" s="96" t="e">
        <f>F232-#REF!</f>
        <v>#REF!</v>
      </c>
      <c r="J232" s="12">
        <f>(26*10199.7)</f>
        <v>265192.2</v>
      </c>
      <c r="K232" s="15">
        <f t="shared" si="27"/>
        <v>244792.8</v>
      </c>
      <c r="L232" s="8"/>
      <c r="M232" s="39" t="e">
        <f>#REF!-G232</f>
        <v>#REF!</v>
      </c>
    </row>
    <row r="234" spans="1:13">
      <c r="A234" s="14">
        <v>7</v>
      </c>
      <c r="B234" s="25" t="s">
        <v>43</v>
      </c>
      <c r="C234" s="12">
        <v>330000</v>
      </c>
      <c r="D234" s="12">
        <v>21114.720000000001</v>
      </c>
      <c r="E234" s="15">
        <f>SUM(C234:D234)</f>
        <v>351114.72</v>
      </c>
      <c r="F234" s="31">
        <v>24</v>
      </c>
      <c r="G234" s="12">
        <v>14629.78</v>
      </c>
      <c r="H234" s="96"/>
      <c r="I234" s="96" t="e">
        <f>F234-#REF!</f>
        <v>#REF!</v>
      </c>
      <c r="J234" s="16">
        <f>(20*14629.78)</f>
        <v>292595.60000000003</v>
      </c>
      <c r="K234" s="15">
        <f>E234-J234</f>
        <v>58519.119999999937</v>
      </c>
      <c r="L234" s="8"/>
      <c r="M234" s="39" t="e">
        <f>#REF!-G234</f>
        <v>#REF!</v>
      </c>
    </row>
    <row r="236" spans="1:13">
      <c r="A236" s="14">
        <v>18</v>
      </c>
      <c r="B236" s="2" t="s">
        <v>215</v>
      </c>
      <c r="C236" s="12">
        <v>60000</v>
      </c>
      <c r="D236" s="12">
        <v>7998</v>
      </c>
      <c r="E236" s="15">
        <f>SUM(C236:D236)</f>
        <v>67998</v>
      </c>
      <c r="F236" s="31">
        <v>40</v>
      </c>
      <c r="G236" s="12">
        <v>1699.95</v>
      </c>
      <c r="H236" s="101"/>
      <c r="I236" s="96" t="e">
        <f>F236-#REF!</f>
        <v>#REF!</v>
      </c>
      <c r="J236" s="12">
        <f>(43*1699.95)</f>
        <v>73097.850000000006</v>
      </c>
      <c r="K236" s="15">
        <f t="shared" ref="K236:K241" si="31">E236-J236</f>
        <v>-5099.8500000000058</v>
      </c>
      <c r="L236" s="8"/>
      <c r="M236" s="39" t="e">
        <f>#REF!-G236</f>
        <v>#REF!</v>
      </c>
    </row>
    <row r="237" spans="1:13">
      <c r="A237" s="14">
        <v>45</v>
      </c>
      <c r="B237" s="2" t="s">
        <v>109</v>
      </c>
      <c r="C237" s="12">
        <v>330000</v>
      </c>
      <c r="D237" s="16">
        <v>43989</v>
      </c>
      <c r="E237" s="15">
        <f>SUM(C237:D237)</f>
        <v>373989</v>
      </c>
      <c r="F237" s="33">
        <v>50</v>
      </c>
      <c r="G237" s="16">
        <v>7479.78</v>
      </c>
      <c r="H237" s="96"/>
      <c r="I237" s="96" t="e">
        <f>F237-#REF!</f>
        <v>#REF!</v>
      </c>
      <c r="J237" s="12">
        <f>(19*7479.78)</f>
        <v>142115.82</v>
      </c>
      <c r="K237" s="15">
        <f t="shared" si="31"/>
        <v>231873.18</v>
      </c>
      <c r="L237" s="8"/>
      <c r="M237" s="39" t="e">
        <f>#REF!-G237</f>
        <v>#REF!</v>
      </c>
    </row>
    <row r="238" spans="1:13">
      <c r="A238" s="14">
        <v>52</v>
      </c>
      <c r="B238" s="17" t="s">
        <v>31</v>
      </c>
      <c r="C238" s="20">
        <v>330000</v>
      </c>
      <c r="D238" s="20">
        <v>43989</v>
      </c>
      <c r="E238" s="20">
        <f>SUM(C238:D238)</f>
        <v>373989</v>
      </c>
      <c r="F238" s="33">
        <v>50</v>
      </c>
      <c r="G238" s="3">
        <v>7479.78</v>
      </c>
      <c r="H238" s="101"/>
      <c r="I238" s="96" t="e">
        <f>F238-#REF!</f>
        <v>#REF!</v>
      </c>
      <c r="J238" s="3">
        <f>(6*7479.78)</f>
        <v>44878.68</v>
      </c>
      <c r="K238" s="12">
        <f t="shared" si="31"/>
        <v>329110.32</v>
      </c>
      <c r="L238" s="1"/>
      <c r="M238" s="39" t="e">
        <f>#REF!-G238</f>
        <v>#REF!</v>
      </c>
    </row>
    <row r="239" spans="1:13">
      <c r="A239" s="14">
        <v>53</v>
      </c>
      <c r="B239" s="2" t="s">
        <v>227</v>
      </c>
      <c r="C239" s="15">
        <v>200000</v>
      </c>
      <c r="D239" s="15">
        <v>26660</v>
      </c>
      <c r="E239" s="15">
        <v>226660</v>
      </c>
      <c r="F239" s="31">
        <v>40</v>
      </c>
      <c r="G239" s="18">
        <v>5666.5</v>
      </c>
      <c r="H239" s="101"/>
      <c r="I239" s="96" t="e">
        <f>F239-#REF!</f>
        <v>#REF!</v>
      </c>
      <c r="J239" s="12">
        <f>(33*5666.5)</f>
        <v>186994.5</v>
      </c>
      <c r="K239" s="15">
        <f t="shared" si="31"/>
        <v>39665.5</v>
      </c>
      <c r="L239" s="8"/>
      <c r="M239" s="39" t="e">
        <f>#REF!-G239</f>
        <v>#REF!</v>
      </c>
    </row>
    <row r="240" spans="1:13">
      <c r="A240" s="14">
        <v>54</v>
      </c>
      <c r="B240" s="25" t="s">
        <v>110</v>
      </c>
      <c r="C240" s="12">
        <v>330000</v>
      </c>
      <c r="D240" s="16">
        <v>43989</v>
      </c>
      <c r="E240" s="15">
        <f>SUM(C240:D240)</f>
        <v>373989</v>
      </c>
      <c r="F240" s="33">
        <v>50</v>
      </c>
      <c r="G240" s="16">
        <v>7479.78</v>
      </c>
      <c r="H240" s="101"/>
      <c r="I240" s="96" t="e">
        <f>F240-#REF!</f>
        <v>#REF!</v>
      </c>
      <c r="J240" s="12">
        <f>(29*7479.78)</f>
        <v>216913.62</v>
      </c>
      <c r="K240" s="15">
        <f t="shared" si="31"/>
        <v>157075.38</v>
      </c>
      <c r="L240" s="8"/>
      <c r="M240" s="39" t="e">
        <f>#REF!-G240</f>
        <v>#REF!</v>
      </c>
    </row>
    <row r="241" spans="1:13">
      <c r="A241" s="14">
        <v>1</v>
      </c>
      <c r="B241" s="2" t="s">
        <v>40</v>
      </c>
      <c r="C241" s="12">
        <v>450000</v>
      </c>
      <c r="D241" s="16">
        <v>59985</v>
      </c>
      <c r="E241" s="16">
        <v>509985</v>
      </c>
      <c r="F241" s="33">
        <v>50</v>
      </c>
      <c r="G241" s="16">
        <v>10199.700000000001</v>
      </c>
      <c r="H241" s="101"/>
      <c r="I241" s="96" t="e">
        <f>F241-#REF!</f>
        <v>#REF!</v>
      </c>
      <c r="J241" s="12">
        <f>(5*10199)</f>
        <v>50995</v>
      </c>
      <c r="K241" s="12">
        <f t="shared" si="31"/>
        <v>458990</v>
      </c>
      <c r="L241" s="1"/>
    </row>
    <row r="242" spans="1:13">
      <c r="B242" s="2" t="s">
        <v>158</v>
      </c>
    </row>
    <row r="245" spans="1:13" s="44" customFormat="1" ht="35.25" customHeight="1">
      <c r="H245" s="99"/>
      <c r="I245" s="99"/>
    </row>
    <row r="246" spans="1:13">
      <c r="A246" s="14">
        <v>15</v>
      </c>
      <c r="B246" s="2" t="s">
        <v>242</v>
      </c>
      <c r="C246" s="12">
        <v>60000</v>
      </c>
      <c r="D246" s="12">
        <v>7998</v>
      </c>
      <c r="E246" s="15">
        <f>SUM(C246:D246)</f>
        <v>67998</v>
      </c>
      <c r="F246" s="31">
        <v>40</v>
      </c>
      <c r="G246" s="12">
        <v>1699.95</v>
      </c>
      <c r="H246" s="96"/>
      <c r="I246" s="96" t="e">
        <f>F246-#REF!</f>
        <v>#REF!</v>
      </c>
      <c r="J246" s="12">
        <f>(40*1699.95)</f>
        <v>67998</v>
      </c>
      <c r="K246" s="15">
        <f>E246-J246</f>
        <v>0</v>
      </c>
      <c r="L246" s="8"/>
    </row>
    <row r="249" spans="1:13">
      <c r="A249" s="14">
        <v>20</v>
      </c>
      <c r="B249" s="2" t="s">
        <v>225</v>
      </c>
      <c r="C249" s="15">
        <v>200000</v>
      </c>
      <c r="D249" s="15">
        <v>26660</v>
      </c>
      <c r="E249" s="15">
        <v>226660</v>
      </c>
      <c r="F249" s="32">
        <v>40</v>
      </c>
      <c r="G249" s="18">
        <v>5666.5</v>
      </c>
      <c r="H249" s="101"/>
      <c r="I249" s="96" t="e">
        <f>F249-#REF!</f>
        <v>#REF!</v>
      </c>
      <c r="J249" s="15">
        <f>(42*5666.5)</f>
        <v>237993</v>
      </c>
      <c r="K249" s="15">
        <f>E249-J249</f>
        <v>-11333</v>
      </c>
      <c r="L249" s="10"/>
    </row>
    <row r="252" spans="1:13">
      <c r="A252" s="14"/>
      <c r="B252" s="29"/>
      <c r="C252" s="34">
        <f>SUM(C241:C251)</f>
        <v>710000</v>
      </c>
      <c r="D252" s="34">
        <f>SUM(D241:D250)</f>
        <v>94643</v>
      </c>
      <c r="E252" s="34">
        <f>SUM(E241:E250)</f>
        <v>804643</v>
      </c>
      <c r="F252" s="42"/>
      <c r="G252" s="34">
        <f>SUM(G241:G251)</f>
        <v>17566.150000000001</v>
      </c>
      <c r="H252" s="103"/>
      <c r="I252" s="100"/>
      <c r="J252" s="34">
        <f>SUM(J241:J250)</f>
        <v>356986</v>
      </c>
      <c r="K252" s="36">
        <f>SUM(K241:K250)</f>
        <v>447657</v>
      </c>
      <c r="L252" s="8"/>
    </row>
    <row r="253" spans="1:13">
      <c r="A253" s="14"/>
      <c r="B253" s="29"/>
      <c r="C253" s="34">
        <f ca="1">C169+C252</f>
        <v>128144000</v>
      </c>
      <c r="D253" s="34">
        <f ca="1">D169+D252</f>
        <v>16713329.959999997</v>
      </c>
      <c r="E253" s="34">
        <f ca="1">E169+E252</f>
        <v>144857329.96000001</v>
      </c>
      <c r="F253" s="42"/>
      <c r="G253" s="34">
        <f>G169+G252</f>
        <v>1435141.8599999982</v>
      </c>
      <c r="H253" s="96"/>
      <c r="I253" s="96"/>
      <c r="J253" s="34">
        <f ca="1">J169+J252</f>
        <v>75006128.960000023</v>
      </c>
      <c r="K253" s="34">
        <f ca="1">K169+K252</f>
        <v>53952092.399999969</v>
      </c>
      <c r="L253" s="8"/>
    </row>
    <row r="255" spans="1:13">
      <c r="A255" s="14">
        <v>29</v>
      </c>
      <c r="B255" s="2" t="s">
        <v>133</v>
      </c>
      <c r="C255" s="15">
        <v>200000</v>
      </c>
      <c r="D255" s="15">
        <v>26660</v>
      </c>
      <c r="E255" s="15">
        <f t="shared" ref="E255:E262" si="32">SUM(C255:D255)</f>
        <v>226660</v>
      </c>
      <c r="F255" s="31">
        <v>40</v>
      </c>
      <c r="G255" s="15">
        <v>5666.5</v>
      </c>
      <c r="H255" s="101"/>
      <c r="I255" s="101">
        <v>3</v>
      </c>
      <c r="J255" s="12">
        <f>(38*5666.5)</f>
        <v>215327</v>
      </c>
      <c r="K255" s="15">
        <f t="shared" ref="K255:K262" si="33">E255-J255</f>
        <v>11333</v>
      </c>
      <c r="L255" s="8"/>
      <c r="M255" s="39" t="e">
        <f>#REF!-G255</f>
        <v>#REF!</v>
      </c>
    </row>
    <row r="256" spans="1:13">
      <c r="A256" s="14">
        <v>85</v>
      </c>
      <c r="B256" s="25" t="s">
        <v>67</v>
      </c>
      <c r="C256" s="12">
        <v>500000</v>
      </c>
      <c r="D256" s="12">
        <v>66650</v>
      </c>
      <c r="E256" s="15">
        <f t="shared" si="32"/>
        <v>566650</v>
      </c>
      <c r="F256" s="31">
        <v>50</v>
      </c>
      <c r="G256" s="18">
        <v>11333</v>
      </c>
      <c r="H256" s="101"/>
      <c r="I256" s="101">
        <v>30</v>
      </c>
      <c r="J256" s="12">
        <f>(21*11333)</f>
        <v>237993</v>
      </c>
      <c r="K256" s="15">
        <f t="shared" si="33"/>
        <v>328657</v>
      </c>
      <c r="L256" s="8"/>
      <c r="M256" s="39" t="e">
        <f>#REF!-G256</f>
        <v>#REF!</v>
      </c>
    </row>
    <row r="257" spans="1:13">
      <c r="A257" s="14">
        <v>104</v>
      </c>
      <c r="B257" s="2" t="s">
        <v>161</v>
      </c>
      <c r="C257" s="15">
        <v>200000</v>
      </c>
      <c r="D257" s="15">
        <v>26660</v>
      </c>
      <c r="E257" s="15">
        <f t="shared" si="32"/>
        <v>226660</v>
      </c>
      <c r="F257" s="32">
        <v>40</v>
      </c>
      <c r="G257" s="15">
        <v>5666.5</v>
      </c>
      <c r="H257" s="101"/>
      <c r="I257" s="95">
        <v>2</v>
      </c>
      <c r="J257" s="15">
        <f>(39*5666.5)</f>
        <v>220993.5</v>
      </c>
      <c r="K257" s="15">
        <f t="shared" si="33"/>
        <v>5666.5</v>
      </c>
      <c r="L257" s="10"/>
      <c r="M257" s="39" t="e">
        <f>#REF!-G257</f>
        <v>#REF!</v>
      </c>
    </row>
    <row r="258" spans="1:13">
      <c r="A258" s="14">
        <v>127</v>
      </c>
      <c r="B258" s="2" t="s">
        <v>196</v>
      </c>
      <c r="C258" s="12">
        <v>180000</v>
      </c>
      <c r="D258" s="12">
        <v>23994</v>
      </c>
      <c r="E258" s="15">
        <f t="shared" si="32"/>
        <v>203994</v>
      </c>
      <c r="F258" s="31">
        <v>40</v>
      </c>
      <c r="G258" s="12">
        <v>5099.8500000000004</v>
      </c>
      <c r="H258" s="101"/>
      <c r="I258" s="101">
        <v>8</v>
      </c>
      <c r="J258" s="12">
        <f>(34*5099.85)</f>
        <v>173394.90000000002</v>
      </c>
      <c r="K258" s="15">
        <f t="shared" si="33"/>
        <v>30599.099999999977</v>
      </c>
      <c r="L258" s="8"/>
      <c r="M258" s="39" t="e">
        <f>#REF!-G258</f>
        <v>#REF!</v>
      </c>
    </row>
    <row r="259" spans="1:13">
      <c r="A259" s="14">
        <v>3</v>
      </c>
      <c r="B259" s="2" t="s">
        <v>200</v>
      </c>
      <c r="C259" s="12">
        <v>132000</v>
      </c>
      <c r="D259" s="12">
        <v>17595.599999999999</v>
      </c>
      <c r="E259" s="15">
        <f t="shared" si="32"/>
        <v>149595.6</v>
      </c>
      <c r="F259" s="31">
        <v>40</v>
      </c>
      <c r="G259" s="12">
        <v>3739.89</v>
      </c>
      <c r="H259" s="101"/>
      <c r="I259" s="96" t="e">
        <f>F259-#REF!</f>
        <v>#REF!</v>
      </c>
      <c r="J259" s="12">
        <f>(40*3739.89)</f>
        <v>149595.6</v>
      </c>
      <c r="K259" s="15">
        <f t="shared" si="33"/>
        <v>0</v>
      </c>
      <c r="L259" s="8"/>
      <c r="M259" s="39" t="e">
        <f>#REF!-G259</f>
        <v>#REF!</v>
      </c>
    </row>
    <row r="260" spans="1:13">
      <c r="A260" s="14">
        <v>10</v>
      </c>
      <c r="B260" s="2" t="s">
        <v>125</v>
      </c>
      <c r="C260" s="15">
        <v>200000</v>
      </c>
      <c r="D260" s="15">
        <v>26660</v>
      </c>
      <c r="E260" s="15">
        <f t="shared" si="32"/>
        <v>226660</v>
      </c>
      <c r="F260" s="31">
        <v>40</v>
      </c>
      <c r="G260" s="15">
        <v>5666.5</v>
      </c>
      <c r="H260" s="101"/>
      <c r="I260" s="96" t="e">
        <f>F260-#REF!</f>
        <v>#REF!</v>
      </c>
      <c r="J260" s="12">
        <f>(40*5666.5)</f>
        <v>226660</v>
      </c>
      <c r="K260" s="15">
        <f t="shared" si="33"/>
        <v>0</v>
      </c>
      <c r="L260" s="8"/>
      <c r="M260" s="39" t="e">
        <f>#REF!-G260</f>
        <v>#REF!</v>
      </c>
    </row>
    <row r="261" spans="1:13">
      <c r="A261" s="14">
        <v>20</v>
      </c>
      <c r="B261" s="2" t="s">
        <v>128</v>
      </c>
      <c r="C261" s="15">
        <v>200000</v>
      </c>
      <c r="D261" s="15">
        <v>26660</v>
      </c>
      <c r="E261" s="15">
        <f t="shared" si="32"/>
        <v>226660</v>
      </c>
      <c r="F261" s="32">
        <v>40</v>
      </c>
      <c r="G261" s="15">
        <v>5666.5</v>
      </c>
      <c r="H261" s="101"/>
      <c r="I261" s="96" t="e">
        <f>F261-#REF!</f>
        <v>#REF!</v>
      </c>
      <c r="J261" s="15">
        <f>(42*5666.5)</f>
        <v>237993</v>
      </c>
      <c r="K261" s="15">
        <f t="shared" si="33"/>
        <v>-11333</v>
      </c>
      <c r="L261" s="10"/>
      <c r="M261" s="39" t="e">
        <f>#REF!-G261</f>
        <v>#REF!</v>
      </c>
    </row>
    <row r="262" spans="1:13">
      <c r="A262" s="14">
        <v>27</v>
      </c>
      <c r="B262" s="2" t="s">
        <v>132</v>
      </c>
      <c r="C262" s="15">
        <v>200000</v>
      </c>
      <c r="D262" s="15">
        <v>26660</v>
      </c>
      <c r="E262" s="15">
        <f t="shared" si="32"/>
        <v>226660</v>
      </c>
      <c r="F262" s="31">
        <v>40</v>
      </c>
      <c r="G262" s="15">
        <v>5666.5</v>
      </c>
      <c r="H262" s="101"/>
      <c r="I262" s="96" t="e">
        <f>F262-#REF!</f>
        <v>#REF!</v>
      </c>
      <c r="J262" s="12">
        <f>(40*5666.5)</f>
        <v>226660</v>
      </c>
      <c r="K262" s="15">
        <f t="shared" si="33"/>
        <v>0</v>
      </c>
      <c r="L262" s="8"/>
      <c r="M262" s="39" t="e">
        <f>#REF!-G262</f>
        <v>#REF!</v>
      </c>
    </row>
    <row r="263" spans="1:13">
      <c r="A263" s="14">
        <v>30</v>
      </c>
      <c r="B263" s="2" t="s">
        <v>239</v>
      </c>
      <c r="C263" s="12">
        <v>132000</v>
      </c>
      <c r="D263" s="12">
        <v>17595.599999999999</v>
      </c>
      <c r="E263" s="12">
        <v>149595.6</v>
      </c>
      <c r="F263" s="30">
        <v>40</v>
      </c>
      <c r="G263" s="18">
        <v>3739.89</v>
      </c>
      <c r="H263" s="96"/>
      <c r="I263" s="96" t="e">
        <f>F263-#REF!</f>
        <v>#REF!</v>
      </c>
      <c r="J263" s="12">
        <f>(43*3739.89)</f>
        <v>160815.26999999999</v>
      </c>
      <c r="K263" s="15">
        <f t="shared" ref="K263:K273" si="34">E263-J263</f>
        <v>-11219.669999999984</v>
      </c>
      <c r="L263" s="8"/>
      <c r="M263" s="39" t="e">
        <f>#REF!-G263</f>
        <v>#REF!</v>
      </c>
    </row>
    <row r="264" spans="1:13">
      <c r="A264" s="14">
        <v>43</v>
      </c>
      <c r="B264" s="2" t="s">
        <v>143</v>
      </c>
      <c r="C264" s="15">
        <v>200000</v>
      </c>
      <c r="D264" s="15">
        <v>26660</v>
      </c>
      <c r="E264" s="15">
        <f>SUM(C264:D264)</f>
        <v>226660</v>
      </c>
      <c r="F264" s="31">
        <v>40</v>
      </c>
      <c r="G264" s="15">
        <v>5666.5</v>
      </c>
      <c r="H264" s="101"/>
      <c r="I264" s="96" t="e">
        <f>F264-#REF!</f>
        <v>#REF!</v>
      </c>
      <c r="J264" s="12">
        <f>(40*5666.5)</f>
        <v>226660</v>
      </c>
      <c r="K264" s="15">
        <f t="shared" si="34"/>
        <v>0</v>
      </c>
      <c r="L264" s="8"/>
      <c r="M264" s="39" t="e">
        <f>#REF!-G264</f>
        <v>#REF!</v>
      </c>
    </row>
    <row r="265" spans="1:13">
      <c r="A265" s="14">
        <v>45</v>
      </c>
      <c r="B265" s="2" t="s">
        <v>217</v>
      </c>
      <c r="C265" s="12">
        <v>60000</v>
      </c>
      <c r="D265" s="12">
        <v>7998</v>
      </c>
      <c r="E265" s="15">
        <f>SUM(C265:D265)</f>
        <v>67998</v>
      </c>
      <c r="F265" s="31">
        <v>40</v>
      </c>
      <c r="G265" s="12">
        <v>1699.95</v>
      </c>
      <c r="H265" s="101"/>
      <c r="I265" s="96" t="e">
        <f>F265-#REF!</f>
        <v>#REF!</v>
      </c>
      <c r="J265" s="12">
        <f>(43*1699.95)</f>
        <v>73097.850000000006</v>
      </c>
      <c r="K265" s="15">
        <f t="shared" si="34"/>
        <v>-5099.8500000000058</v>
      </c>
      <c r="L265" s="8"/>
      <c r="M265" s="39" t="e">
        <f>#REF!-G265</f>
        <v>#REF!</v>
      </c>
    </row>
    <row r="266" spans="1:13">
      <c r="A266" s="14">
        <v>50</v>
      </c>
      <c r="B266" s="2" t="s">
        <v>221</v>
      </c>
      <c r="C266" s="12">
        <v>330000</v>
      </c>
      <c r="D266" s="12">
        <v>21975</v>
      </c>
      <c r="E266" s="12">
        <v>351975</v>
      </c>
      <c r="F266" s="31">
        <v>25</v>
      </c>
      <c r="G266" s="18">
        <v>14079</v>
      </c>
      <c r="H266" s="96"/>
      <c r="I266" s="96" t="e">
        <f>F266-#REF!</f>
        <v>#REF!</v>
      </c>
      <c r="J266" s="16">
        <f>(28*14079)</f>
        <v>394212</v>
      </c>
      <c r="K266" s="15">
        <f t="shared" si="34"/>
        <v>-42237</v>
      </c>
      <c r="L266" s="8"/>
      <c r="M266" s="39" t="e">
        <f>#REF!-G266</f>
        <v>#REF!</v>
      </c>
    </row>
    <row r="267" spans="1:13">
      <c r="A267" s="14">
        <v>97</v>
      </c>
      <c r="B267" s="2" t="s">
        <v>172</v>
      </c>
      <c r="C267" s="15">
        <v>200000</v>
      </c>
      <c r="D267" s="15">
        <v>26660</v>
      </c>
      <c r="E267" s="15">
        <f>SUM(C267:D267)</f>
        <v>226660</v>
      </c>
      <c r="F267" s="31">
        <v>40</v>
      </c>
      <c r="G267" s="15">
        <v>5666.5</v>
      </c>
      <c r="H267" s="101"/>
      <c r="I267" s="96" t="e">
        <f>F267-#REF!</f>
        <v>#REF!</v>
      </c>
      <c r="J267" s="12">
        <f>(40*5666.5)</f>
        <v>226660</v>
      </c>
      <c r="K267" s="15">
        <f t="shared" si="34"/>
        <v>0</v>
      </c>
      <c r="L267" s="8"/>
      <c r="M267" s="39" t="e">
        <f>#REF!-G267</f>
        <v>#REF!</v>
      </c>
    </row>
    <row r="268" spans="1:13">
      <c r="A268" s="14">
        <v>99</v>
      </c>
      <c r="B268" s="2" t="s">
        <v>197</v>
      </c>
      <c r="C268" s="12">
        <v>180000</v>
      </c>
      <c r="D268" s="12">
        <v>23994</v>
      </c>
      <c r="E268" s="15">
        <f>SUM(C268:D268)</f>
        <v>203994</v>
      </c>
      <c r="F268" s="31">
        <v>40</v>
      </c>
      <c r="G268" s="12">
        <v>5099.8500000000004</v>
      </c>
      <c r="H268" s="101"/>
      <c r="I268" s="96" t="e">
        <f>F268-#REF!</f>
        <v>#REF!</v>
      </c>
      <c r="J268" s="12">
        <f>(40*5099.85)</f>
        <v>203994</v>
      </c>
      <c r="K268" s="15">
        <f t="shared" si="34"/>
        <v>0</v>
      </c>
      <c r="L268" s="8"/>
      <c r="M268" s="39" t="e">
        <f>#REF!-G268</f>
        <v>#REF!</v>
      </c>
    </row>
    <row r="269" spans="1:13">
      <c r="A269" s="14">
        <v>129</v>
      </c>
      <c r="B269" s="2" t="s">
        <v>16</v>
      </c>
      <c r="C269" s="12">
        <v>450000</v>
      </c>
      <c r="D269" s="12">
        <v>59985</v>
      </c>
      <c r="E269" s="12">
        <v>509985</v>
      </c>
      <c r="F269" s="33">
        <v>50</v>
      </c>
      <c r="G269" s="19">
        <v>11333</v>
      </c>
      <c r="H269" s="101"/>
      <c r="I269" s="96" t="e">
        <f>F269-#REF!</f>
        <v>#REF!</v>
      </c>
      <c r="J269" s="12">
        <f>(8*11333)</f>
        <v>90664</v>
      </c>
      <c r="K269" s="15">
        <f t="shared" si="34"/>
        <v>419321</v>
      </c>
      <c r="L269" s="8"/>
      <c r="M269" s="39" t="e">
        <f>#REF!-G269</f>
        <v>#REF!</v>
      </c>
    </row>
    <row r="270" spans="1:13">
      <c r="A270" s="14">
        <v>131</v>
      </c>
      <c r="B270" s="2" t="s">
        <v>174</v>
      </c>
      <c r="C270" s="15">
        <v>200000</v>
      </c>
      <c r="D270" s="15">
        <v>26660</v>
      </c>
      <c r="E270" s="15">
        <f>SUM(C270:D270)</f>
        <v>226660</v>
      </c>
      <c r="F270" s="31">
        <v>40</v>
      </c>
      <c r="G270" s="15">
        <v>5666.5</v>
      </c>
      <c r="H270" s="101"/>
      <c r="I270" s="96" t="e">
        <f>F270-#REF!</f>
        <v>#REF!</v>
      </c>
      <c r="J270" s="12">
        <f>(40*5666.5)</f>
        <v>226660</v>
      </c>
      <c r="K270" s="15">
        <f t="shared" si="34"/>
        <v>0</v>
      </c>
      <c r="L270" s="8"/>
      <c r="M270" s="39" t="e">
        <f>#REF!-G270</f>
        <v>#REF!</v>
      </c>
    </row>
    <row r="271" spans="1:13">
      <c r="A271" s="14">
        <v>141</v>
      </c>
      <c r="B271" s="2" t="s">
        <v>208</v>
      </c>
      <c r="C271" s="12">
        <v>132000</v>
      </c>
      <c r="D271" s="12">
        <v>17595.599999999999</v>
      </c>
      <c r="E271" s="15">
        <f>SUM(C271:D271)</f>
        <v>149595.6</v>
      </c>
      <c r="F271" s="30">
        <v>40</v>
      </c>
      <c r="G271" s="12">
        <v>3739.89</v>
      </c>
      <c r="H271" s="101"/>
      <c r="I271" s="96" t="e">
        <f>F271-#REF!</f>
        <v>#REF!</v>
      </c>
      <c r="J271" s="12">
        <f>(42*3739.89)</f>
        <v>157075.38</v>
      </c>
      <c r="K271" s="15">
        <f t="shared" si="34"/>
        <v>-7479.7799999999988</v>
      </c>
      <c r="L271" s="8"/>
      <c r="M271" s="39" t="e">
        <f>#REF!-G271</f>
        <v>#REF!</v>
      </c>
    </row>
    <row r="272" spans="1:13">
      <c r="A272" s="14">
        <v>142</v>
      </c>
      <c r="B272" s="2" t="s">
        <v>220</v>
      </c>
      <c r="C272" s="12">
        <v>60000</v>
      </c>
      <c r="D272" s="12">
        <v>7998</v>
      </c>
      <c r="E272" s="15">
        <f>SUM(C272:D272)</f>
        <v>67998</v>
      </c>
      <c r="F272" s="31">
        <v>40</v>
      </c>
      <c r="G272" s="12">
        <v>1699.95</v>
      </c>
      <c r="H272" s="101"/>
      <c r="I272" s="96" t="e">
        <f>F272-#REF!</f>
        <v>#REF!</v>
      </c>
      <c r="J272" s="12">
        <f>(39*1699.89)</f>
        <v>66295.710000000006</v>
      </c>
      <c r="K272" s="15">
        <f t="shared" si="34"/>
        <v>1702.2899999999936</v>
      </c>
      <c r="L272" s="8"/>
      <c r="M272" s="39" t="e">
        <f>#REF!-G272</f>
        <v>#REF!</v>
      </c>
    </row>
    <row r="273" spans="1:13">
      <c r="A273" s="14">
        <v>144</v>
      </c>
      <c r="B273" s="2" t="s">
        <v>182</v>
      </c>
      <c r="C273" s="15">
        <v>200000</v>
      </c>
      <c r="D273" s="15">
        <v>26660</v>
      </c>
      <c r="E273" s="15">
        <f>SUM(C273:D273)</f>
        <v>226660</v>
      </c>
      <c r="F273" s="31">
        <v>40</v>
      </c>
      <c r="G273" s="15">
        <v>5666.5</v>
      </c>
      <c r="H273" s="101"/>
      <c r="I273" s="96" t="e">
        <f>F273-#REF!</f>
        <v>#REF!</v>
      </c>
      <c r="J273" s="12">
        <f>(40*5666.5)</f>
        <v>226660</v>
      </c>
      <c r="K273" s="15">
        <f t="shared" si="34"/>
        <v>0</v>
      </c>
      <c r="L273" s="8"/>
      <c r="M273" s="39" t="e">
        <f>#REF!-G273</f>
        <v>#REF!</v>
      </c>
    </row>
    <row r="280" spans="1:13">
      <c r="A280" s="14">
        <v>67</v>
      </c>
      <c r="B280" s="2" t="s">
        <v>61</v>
      </c>
      <c r="C280" s="12">
        <v>500000</v>
      </c>
      <c r="D280" s="12">
        <v>66650</v>
      </c>
      <c r="E280" s="15">
        <f>SUM(C280:D280)</f>
        <v>566650</v>
      </c>
      <c r="F280" s="31">
        <v>50</v>
      </c>
      <c r="G280" s="12">
        <v>11333</v>
      </c>
      <c r="H280" s="96"/>
      <c r="I280" s="96" t="e">
        <f>F280-#REF!</f>
        <v>#REF!</v>
      </c>
      <c r="J280" s="12">
        <f>(29*11333)</f>
        <v>328657</v>
      </c>
      <c r="K280" s="15">
        <f>E280-J280</f>
        <v>237993</v>
      </c>
      <c r="L280" s="8"/>
      <c r="M280" s="39" t="e">
        <f>#REF!-G280</f>
        <v>#REF!</v>
      </c>
    </row>
    <row r="281" spans="1:13">
      <c r="A281" s="14">
        <v>71</v>
      </c>
      <c r="B281" s="23" t="s">
        <v>148</v>
      </c>
      <c r="C281" s="15">
        <v>200000</v>
      </c>
      <c r="D281" s="15">
        <v>26660</v>
      </c>
      <c r="E281" s="15">
        <f>SUM(C281:D281)</f>
        <v>226660</v>
      </c>
      <c r="F281" s="31">
        <v>40</v>
      </c>
      <c r="G281" s="15">
        <v>5666.5</v>
      </c>
      <c r="H281" s="101"/>
      <c r="I281" s="96" t="e">
        <f>F281-#REF!</f>
        <v>#REF!</v>
      </c>
      <c r="J281" s="72">
        <f>(31*5666.5)</f>
        <v>175661.5</v>
      </c>
      <c r="K281" s="15">
        <f>E281-J281</f>
        <v>50998.5</v>
      </c>
      <c r="L281" s="8"/>
      <c r="M281" s="39" t="e">
        <f>#REF!-G281</f>
        <v>#REF!</v>
      </c>
    </row>
  </sheetData>
  <sortState ref="B6:K168">
    <sortCondition descending="1" ref="G6:G168"/>
  </sortState>
  <mergeCells count="2">
    <mergeCell ref="A3:L3"/>
    <mergeCell ref="A4:L4"/>
  </mergeCells>
  <conditionalFormatting sqref="B258">
    <cfRule type="duplicateValues" dxfId="3581" priority="489" stopIfTrue="1"/>
    <cfRule type="duplicateValues" dxfId="3580" priority="490" stopIfTrue="1"/>
  </conditionalFormatting>
  <conditionalFormatting sqref="B258">
    <cfRule type="duplicateValues" dxfId="3579" priority="488" stopIfTrue="1"/>
  </conditionalFormatting>
  <conditionalFormatting sqref="B223">
    <cfRule type="duplicateValues" dxfId="3578" priority="486" stopIfTrue="1"/>
    <cfRule type="duplicateValues" dxfId="3577" priority="487" stopIfTrue="1"/>
  </conditionalFormatting>
  <conditionalFormatting sqref="B223">
    <cfRule type="duplicateValues" dxfId="3576" priority="485" stopIfTrue="1"/>
  </conditionalFormatting>
  <conditionalFormatting sqref="B234">
    <cfRule type="duplicateValues" dxfId="3575" priority="483" stopIfTrue="1"/>
    <cfRule type="duplicateValues" dxfId="3574" priority="484" stopIfTrue="1"/>
  </conditionalFormatting>
  <conditionalFormatting sqref="B234">
    <cfRule type="duplicateValues" dxfId="3573" priority="482" stopIfTrue="1"/>
  </conditionalFormatting>
  <conditionalFormatting sqref="B11">
    <cfRule type="duplicateValues" dxfId="3572" priority="480" stopIfTrue="1"/>
    <cfRule type="duplicateValues" dxfId="3571" priority="481" stopIfTrue="1"/>
  </conditionalFormatting>
  <conditionalFormatting sqref="B11">
    <cfRule type="duplicateValues" dxfId="3570" priority="479" stopIfTrue="1"/>
  </conditionalFormatting>
  <conditionalFormatting sqref="B12">
    <cfRule type="duplicateValues" dxfId="3569" priority="477" stopIfTrue="1"/>
    <cfRule type="duplicateValues" dxfId="3568" priority="478" stopIfTrue="1"/>
  </conditionalFormatting>
  <conditionalFormatting sqref="B12">
    <cfRule type="duplicateValues" dxfId="3567" priority="476" stopIfTrue="1"/>
  </conditionalFormatting>
  <conditionalFormatting sqref="B224">
    <cfRule type="duplicateValues" dxfId="3566" priority="474" stopIfTrue="1"/>
    <cfRule type="duplicateValues" dxfId="3565" priority="475" stopIfTrue="1"/>
  </conditionalFormatting>
  <conditionalFormatting sqref="B224">
    <cfRule type="duplicateValues" dxfId="3564" priority="473" stopIfTrue="1"/>
  </conditionalFormatting>
  <conditionalFormatting sqref="B13">
    <cfRule type="duplicateValues" dxfId="3563" priority="471" stopIfTrue="1"/>
    <cfRule type="duplicateValues" dxfId="3562" priority="472" stopIfTrue="1"/>
  </conditionalFormatting>
  <conditionalFormatting sqref="B13">
    <cfRule type="duplicateValues" dxfId="3561" priority="470" stopIfTrue="1"/>
  </conditionalFormatting>
  <conditionalFormatting sqref="B226">
    <cfRule type="duplicateValues" dxfId="3560" priority="468" stopIfTrue="1"/>
    <cfRule type="duplicateValues" dxfId="3559" priority="469" stopIfTrue="1"/>
  </conditionalFormatting>
  <conditionalFormatting sqref="B226">
    <cfRule type="duplicateValues" dxfId="3558" priority="467" stopIfTrue="1"/>
  </conditionalFormatting>
  <conditionalFormatting sqref="B227">
    <cfRule type="duplicateValues" dxfId="3557" priority="465" stopIfTrue="1"/>
    <cfRule type="duplicateValues" dxfId="3556" priority="466" stopIfTrue="1"/>
  </conditionalFormatting>
  <conditionalFormatting sqref="B227">
    <cfRule type="duplicateValues" dxfId="3555" priority="464" stopIfTrue="1"/>
  </conditionalFormatting>
  <conditionalFormatting sqref="B14">
    <cfRule type="duplicateValues" dxfId="3554" priority="462" stopIfTrue="1"/>
    <cfRule type="duplicateValues" dxfId="3553" priority="463" stopIfTrue="1"/>
  </conditionalFormatting>
  <conditionalFormatting sqref="B14">
    <cfRule type="duplicateValues" dxfId="3552" priority="461" stopIfTrue="1"/>
  </conditionalFormatting>
  <conditionalFormatting sqref="B230">
    <cfRule type="duplicateValues" dxfId="3551" priority="459" stopIfTrue="1"/>
    <cfRule type="duplicateValues" dxfId="3550" priority="460" stopIfTrue="1"/>
  </conditionalFormatting>
  <conditionalFormatting sqref="B230">
    <cfRule type="duplicateValues" dxfId="3549" priority="458" stopIfTrue="1"/>
  </conditionalFormatting>
  <conditionalFormatting sqref="B15">
    <cfRule type="duplicateValues" dxfId="3548" priority="456" stopIfTrue="1"/>
    <cfRule type="duplicateValues" dxfId="3547" priority="457" stopIfTrue="1"/>
  </conditionalFormatting>
  <conditionalFormatting sqref="B15">
    <cfRule type="duplicateValues" dxfId="3546" priority="455" stopIfTrue="1"/>
  </conditionalFormatting>
  <conditionalFormatting sqref="B184">
    <cfRule type="duplicateValues" dxfId="3545" priority="453" stopIfTrue="1"/>
    <cfRule type="duplicateValues" dxfId="3544" priority="454" stopIfTrue="1"/>
  </conditionalFormatting>
  <conditionalFormatting sqref="B184">
    <cfRule type="duplicateValues" dxfId="3543" priority="452" stopIfTrue="1"/>
  </conditionalFormatting>
  <conditionalFormatting sqref="B261">
    <cfRule type="duplicateValues" dxfId="3542" priority="450" stopIfTrue="1"/>
    <cfRule type="duplicateValues" dxfId="3541" priority="451" stopIfTrue="1"/>
  </conditionalFormatting>
  <conditionalFormatting sqref="B261">
    <cfRule type="duplicateValues" dxfId="3540" priority="449" stopIfTrue="1"/>
  </conditionalFormatting>
  <conditionalFormatting sqref="B17">
    <cfRule type="duplicateValues" dxfId="3539" priority="447" stopIfTrue="1"/>
    <cfRule type="duplicateValues" dxfId="3538" priority="448" stopIfTrue="1"/>
  </conditionalFormatting>
  <conditionalFormatting sqref="B17">
    <cfRule type="duplicateValues" dxfId="3537" priority="446" stopIfTrue="1"/>
  </conditionalFormatting>
  <conditionalFormatting sqref="B231">
    <cfRule type="duplicateValues" dxfId="3536" priority="444" stopIfTrue="1"/>
    <cfRule type="duplicateValues" dxfId="3535" priority="445" stopIfTrue="1"/>
  </conditionalFormatting>
  <conditionalFormatting sqref="B231">
    <cfRule type="duplicateValues" dxfId="3534" priority="443" stopIfTrue="1"/>
  </conditionalFormatting>
  <conditionalFormatting sqref="B236">
    <cfRule type="duplicateValues" dxfId="3533" priority="441" stopIfTrue="1"/>
    <cfRule type="duplicateValues" dxfId="3532" priority="442" stopIfTrue="1"/>
  </conditionalFormatting>
  <conditionalFormatting sqref="B236">
    <cfRule type="duplicateValues" dxfId="3531" priority="440" stopIfTrue="1"/>
  </conditionalFormatting>
  <conditionalFormatting sqref="B262">
    <cfRule type="duplicateValues" dxfId="3530" priority="438" stopIfTrue="1"/>
    <cfRule type="duplicateValues" dxfId="3529" priority="439" stopIfTrue="1"/>
  </conditionalFormatting>
  <conditionalFormatting sqref="B262">
    <cfRule type="duplicateValues" dxfId="3528" priority="437" stopIfTrue="1"/>
  </conditionalFormatting>
  <conditionalFormatting sqref="B20">
    <cfRule type="duplicateValues" dxfId="3527" priority="435" stopIfTrue="1"/>
    <cfRule type="duplicateValues" dxfId="3526" priority="436" stopIfTrue="1"/>
  </conditionalFormatting>
  <conditionalFormatting sqref="B20">
    <cfRule type="duplicateValues" dxfId="3525" priority="434" stopIfTrue="1"/>
  </conditionalFormatting>
  <conditionalFormatting sqref="B255">
    <cfRule type="duplicateValues" dxfId="3524" priority="432" stopIfTrue="1"/>
    <cfRule type="duplicateValues" dxfId="3523" priority="433" stopIfTrue="1"/>
  </conditionalFormatting>
  <conditionalFormatting sqref="B255">
    <cfRule type="duplicateValues" dxfId="3522" priority="431" stopIfTrue="1"/>
  </conditionalFormatting>
  <conditionalFormatting sqref="B263">
    <cfRule type="duplicateValues" dxfId="3521" priority="429" stopIfTrue="1"/>
    <cfRule type="duplicateValues" dxfId="3520" priority="430" stopIfTrue="1"/>
  </conditionalFormatting>
  <conditionalFormatting sqref="B263">
    <cfRule type="duplicateValues" dxfId="3519" priority="428" stopIfTrue="1"/>
  </conditionalFormatting>
  <conditionalFormatting sqref="B22">
    <cfRule type="duplicateValues" dxfId="3518" priority="426" stopIfTrue="1"/>
    <cfRule type="duplicateValues" dxfId="3517" priority="427" stopIfTrue="1"/>
  </conditionalFormatting>
  <conditionalFormatting sqref="B22">
    <cfRule type="duplicateValues" dxfId="3516" priority="425" stopIfTrue="1"/>
  </conditionalFormatting>
  <conditionalFormatting sqref="B25">
    <cfRule type="duplicateValues" dxfId="3515" priority="423" stopIfTrue="1"/>
    <cfRule type="duplicateValues" dxfId="3514" priority="424" stopIfTrue="1"/>
  </conditionalFormatting>
  <conditionalFormatting sqref="B25">
    <cfRule type="duplicateValues" dxfId="3513" priority="422" stopIfTrue="1"/>
  </conditionalFormatting>
  <conditionalFormatting sqref="B26">
    <cfRule type="duplicateValues" dxfId="3512" priority="420" stopIfTrue="1"/>
    <cfRule type="duplicateValues" dxfId="3511" priority="421" stopIfTrue="1"/>
  </conditionalFormatting>
  <conditionalFormatting sqref="B26">
    <cfRule type="duplicateValues" dxfId="3510" priority="419" stopIfTrue="1"/>
  </conditionalFormatting>
  <conditionalFormatting sqref="B27">
    <cfRule type="duplicateValues" dxfId="3509" priority="417" stopIfTrue="1"/>
    <cfRule type="duplicateValues" dxfId="3508" priority="418" stopIfTrue="1"/>
  </conditionalFormatting>
  <conditionalFormatting sqref="B27">
    <cfRule type="duplicateValues" dxfId="3507" priority="416" stopIfTrue="1"/>
  </conditionalFormatting>
  <conditionalFormatting sqref="B33">
    <cfRule type="duplicateValues" dxfId="3506" priority="414" stopIfTrue="1"/>
    <cfRule type="duplicateValues" dxfId="3505" priority="415" stopIfTrue="1"/>
  </conditionalFormatting>
  <conditionalFormatting sqref="B33">
    <cfRule type="duplicateValues" dxfId="3504" priority="413" stopIfTrue="1"/>
  </conditionalFormatting>
  <conditionalFormatting sqref="B34">
    <cfRule type="duplicateValues" dxfId="3503" priority="411" stopIfTrue="1"/>
    <cfRule type="duplicateValues" dxfId="3502" priority="412" stopIfTrue="1"/>
  </conditionalFormatting>
  <conditionalFormatting sqref="B34">
    <cfRule type="duplicateValues" dxfId="3501" priority="410" stopIfTrue="1"/>
  </conditionalFormatting>
  <conditionalFormatting sqref="B35">
    <cfRule type="duplicateValues" dxfId="3500" priority="408" stopIfTrue="1"/>
    <cfRule type="duplicateValues" dxfId="3499" priority="409" stopIfTrue="1"/>
  </conditionalFormatting>
  <conditionalFormatting sqref="B35">
    <cfRule type="duplicateValues" dxfId="3498" priority="407" stopIfTrue="1"/>
  </conditionalFormatting>
  <conditionalFormatting sqref="B264">
    <cfRule type="duplicateValues" dxfId="3497" priority="405" stopIfTrue="1"/>
    <cfRule type="duplicateValues" dxfId="3496" priority="406" stopIfTrue="1"/>
  </conditionalFormatting>
  <conditionalFormatting sqref="B264">
    <cfRule type="duplicateValues" dxfId="3495" priority="404" stopIfTrue="1"/>
  </conditionalFormatting>
  <conditionalFormatting sqref="B38">
    <cfRule type="duplicateValues" dxfId="3494" priority="402" stopIfTrue="1"/>
    <cfRule type="duplicateValues" dxfId="3493" priority="403" stopIfTrue="1"/>
  </conditionalFormatting>
  <conditionalFormatting sqref="B38">
    <cfRule type="duplicateValues" dxfId="3492" priority="401" stopIfTrue="1"/>
  </conditionalFormatting>
  <conditionalFormatting sqref="B265">
    <cfRule type="duplicateValues" dxfId="3491" priority="399" stopIfTrue="1"/>
    <cfRule type="duplicateValues" dxfId="3490" priority="400" stopIfTrue="1"/>
  </conditionalFormatting>
  <conditionalFormatting sqref="B265">
    <cfRule type="duplicateValues" dxfId="3489" priority="398" stopIfTrue="1"/>
  </conditionalFormatting>
  <conditionalFormatting sqref="B39">
    <cfRule type="duplicateValues" dxfId="3488" priority="396" stopIfTrue="1"/>
    <cfRule type="duplicateValues" dxfId="3487" priority="397" stopIfTrue="1"/>
  </conditionalFormatting>
  <conditionalFormatting sqref="B39">
    <cfRule type="duplicateValues" dxfId="3486" priority="395" stopIfTrue="1"/>
  </conditionalFormatting>
  <conditionalFormatting sqref="B40">
    <cfRule type="duplicateValues" dxfId="3485" priority="393" stopIfTrue="1"/>
    <cfRule type="duplicateValues" dxfId="3484" priority="394" stopIfTrue="1"/>
  </conditionalFormatting>
  <conditionalFormatting sqref="B40">
    <cfRule type="duplicateValues" dxfId="3483" priority="392" stopIfTrue="1"/>
  </conditionalFormatting>
  <conditionalFormatting sqref="B41">
    <cfRule type="duplicateValues" dxfId="3482" priority="390" stopIfTrue="1"/>
    <cfRule type="duplicateValues" dxfId="3481" priority="391" stopIfTrue="1"/>
  </conditionalFormatting>
  <conditionalFormatting sqref="B41">
    <cfRule type="duplicateValues" dxfId="3480" priority="389" stopIfTrue="1"/>
  </conditionalFormatting>
  <conditionalFormatting sqref="B42">
    <cfRule type="duplicateValues" dxfId="3479" priority="387" stopIfTrue="1"/>
    <cfRule type="duplicateValues" dxfId="3478" priority="388" stopIfTrue="1"/>
  </conditionalFormatting>
  <conditionalFormatting sqref="B42">
    <cfRule type="duplicateValues" dxfId="3477" priority="386" stopIfTrue="1"/>
  </conditionalFormatting>
  <conditionalFormatting sqref="B266">
    <cfRule type="duplicateValues" dxfId="3476" priority="384" stopIfTrue="1"/>
    <cfRule type="duplicateValues" dxfId="3475" priority="385" stopIfTrue="1"/>
  </conditionalFormatting>
  <conditionalFormatting sqref="B266">
    <cfRule type="duplicateValues" dxfId="3474" priority="383" stopIfTrue="1"/>
  </conditionalFormatting>
  <conditionalFormatting sqref="B44">
    <cfRule type="duplicateValues" dxfId="3473" priority="381" stopIfTrue="1"/>
    <cfRule type="duplicateValues" dxfId="3472" priority="382" stopIfTrue="1"/>
  </conditionalFormatting>
  <conditionalFormatting sqref="B44">
    <cfRule type="duplicateValues" dxfId="3471" priority="380" stopIfTrue="1"/>
  </conditionalFormatting>
  <conditionalFormatting sqref="B232">
    <cfRule type="duplicateValues" dxfId="3470" priority="378" stopIfTrue="1"/>
    <cfRule type="duplicateValues" dxfId="3469" priority="379" stopIfTrue="1"/>
  </conditionalFormatting>
  <conditionalFormatting sqref="B232">
    <cfRule type="duplicateValues" dxfId="3468" priority="377" stopIfTrue="1"/>
  </conditionalFormatting>
  <conditionalFormatting sqref="B45">
    <cfRule type="duplicateValues" dxfId="3467" priority="375" stopIfTrue="1"/>
    <cfRule type="duplicateValues" dxfId="3466" priority="376" stopIfTrue="1"/>
  </conditionalFormatting>
  <conditionalFormatting sqref="B45">
    <cfRule type="duplicateValues" dxfId="3465" priority="374" stopIfTrue="1"/>
  </conditionalFormatting>
  <conditionalFormatting sqref="B49">
    <cfRule type="duplicateValues" dxfId="3464" priority="372" stopIfTrue="1"/>
    <cfRule type="duplicateValues" dxfId="3463" priority="373" stopIfTrue="1"/>
  </conditionalFormatting>
  <conditionalFormatting sqref="B49">
    <cfRule type="duplicateValues" dxfId="3462" priority="371" stopIfTrue="1"/>
  </conditionalFormatting>
  <conditionalFormatting sqref="B50">
    <cfRule type="duplicateValues" dxfId="3461" priority="369" stopIfTrue="1"/>
    <cfRule type="duplicateValues" dxfId="3460" priority="370" stopIfTrue="1"/>
  </conditionalFormatting>
  <conditionalFormatting sqref="B50">
    <cfRule type="duplicateValues" dxfId="3459" priority="368" stopIfTrue="1"/>
  </conditionalFormatting>
  <conditionalFormatting sqref="B52">
    <cfRule type="duplicateValues" dxfId="3458" priority="366" stopIfTrue="1"/>
    <cfRule type="duplicateValues" dxfId="3457" priority="367" stopIfTrue="1"/>
  </conditionalFormatting>
  <conditionalFormatting sqref="B52">
    <cfRule type="duplicateValues" dxfId="3456" priority="365" stopIfTrue="1"/>
  </conditionalFormatting>
  <conditionalFormatting sqref="B53">
    <cfRule type="duplicateValues" dxfId="3455" priority="363" stopIfTrue="1"/>
    <cfRule type="duplicateValues" dxfId="3454" priority="364" stopIfTrue="1"/>
  </conditionalFormatting>
  <conditionalFormatting sqref="B53">
    <cfRule type="duplicateValues" dxfId="3453" priority="362" stopIfTrue="1"/>
  </conditionalFormatting>
  <conditionalFormatting sqref="B208">
    <cfRule type="duplicateValues" dxfId="3452" priority="360" stopIfTrue="1"/>
    <cfRule type="duplicateValues" dxfId="3451" priority="361" stopIfTrue="1"/>
  </conditionalFormatting>
  <conditionalFormatting sqref="B208">
    <cfRule type="duplicateValues" dxfId="3450" priority="359" stopIfTrue="1"/>
  </conditionalFormatting>
  <conditionalFormatting sqref="B238">
    <cfRule type="duplicateValues" dxfId="3449" priority="357" stopIfTrue="1"/>
    <cfRule type="duplicateValues" dxfId="3448" priority="358" stopIfTrue="1"/>
  </conditionalFormatting>
  <conditionalFormatting sqref="B238">
    <cfRule type="duplicateValues" dxfId="3447" priority="356" stopIfTrue="1"/>
  </conditionalFormatting>
  <conditionalFormatting sqref="B239">
    <cfRule type="duplicateValues" dxfId="3446" priority="354" stopIfTrue="1"/>
    <cfRule type="duplicateValues" dxfId="3445" priority="355" stopIfTrue="1"/>
  </conditionalFormatting>
  <conditionalFormatting sqref="B239">
    <cfRule type="duplicateValues" dxfId="3444" priority="353" stopIfTrue="1"/>
  </conditionalFormatting>
  <conditionalFormatting sqref="B240">
    <cfRule type="duplicateValues" dxfId="3443" priority="351" stopIfTrue="1"/>
    <cfRule type="duplicateValues" dxfId="3442" priority="352" stopIfTrue="1"/>
  </conditionalFormatting>
  <conditionalFormatting sqref="B240">
    <cfRule type="duplicateValues" dxfId="3441" priority="350" stopIfTrue="1"/>
  </conditionalFormatting>
  <conditionalFormatting sqref="B54">
    <cfRule type="duplicateValues" dxfId="3440" priority="348" stopIfTrue="1"/>
    <cfRule type="duplicateValues" dxfId="3439" priority="349" stopIfTrue="1"/>
  </conditionalFormatting>
  <conditionalFormatting sqref="B54">
    <cfRule type="duplicateValues" dxfId="3438" priority="347" stopIfTrue="1"/>
  </conditionalFormatting>
  <conditionalFormatting sqref="B55">
    <cfRule type="duplicateValues" dxfId="3437" priority="345" stopIfTrue="1"/>
    <cfRule type="duplicateValues" dxfId="3436" priority="346" stopIfTrue="1"/>
  </conditionalFormatting>
  <conditionalFormatting sqref="B55">
    <cfRule type="duplicateValues" dxfId="3435" priority="344" stopIfTrue="1"/>
  </conditionalFormatting>
  <conditionalFormatting sqref="B56">
    <cfRule type="duplicateValues" dxfId="3434" priority="342" stopIfTrue="1"/>
    <cfRule type="duplicateValues" dxfId="3433" priority="343" stopIfTrue="1"/>
  </conditionalFormatting>
  <conditionalFormatting sqref="B56">
    <cfRule type="duplicateValues" dxfId="3432" priority="341" stopIfTrue="1"/>
  </conditionalFormatting>
  <conditionalFormatting sqref="B57">
    <cfRule type="duplicateValues" dxfId="3431" priority="339" stopIfTrue="1"/>
    <cfRule type="duplicateValues" dxfId="3430" priority="340" stopIfTrue="1"/>
  </conditionalFormatting>
  <conditionalFormatting sqref="B57">
    <cfRule type="duplicateValues" dxfId="3429" priority="338" stopIfTrue="1"/>
  </conditionalFormatting>
  <conditionalFormatting sqref="B59">
    <cfRule type="duplicateValues" dxfId="3428" priority="336" stopIfTrue="1"/>
    <cfRule type="duplicateValues" dxfId="3427" priority="337" stopIfTrue="1"/>
  </conditionalFormatting>
  <conditionalFormatting sqref="B59">
    <cfRule type="duplicateValues" dxfId="3426" priority="335" stopIfTrue="1"/>
  </conditionalFormatting>
  <conditionalFormatting sqref="B207">
    <cfRule type="duplicateValues" dxfId="3425" priority="333" stopIfTrue="1"/>
    <cfRule type="duplicateValues" dxfId="3424" priority="334" stopIfTrue="1"/>
  </conditionalFormatting>
  <conditionalFormatting sqref="B207">
    <cfRule type="duplicateValues" dxfId="3423" priority="332" stopIfTrue="1"/>
  </conditionalFormatting>
  <conditionalFormatting sqref="B182">
    <cfRule type="duplicateValues" dxfId="3422" priority="330" stopIfTrue="1"/>
    <cfRule type="duplicateValues" dxfId="3421" priority="331" stopIfTrue="1"/>
  </conditionalFormatting>
  <conditionalFormatting sqref="B182">
    <cfRule type="duplicateValues" dxfId="3420" priority="329" stopIfTrue="1"/>
  </conditionalFormatting>
  <conditionalFormatting sqref="B206">
    <cfRule type="duplicateValues" dxfId="3419" priority="327" stopIfTrue="1"/>
    <cfRule type="duplicateValues" dxfId="3418" priority="328" stopIfTrue="1"/>
  </conditionalFormatting>
  <conditionalFormatting sqref="B206">
    <cfRule type="duplicateValues" dxfId="3417" priority="326" stopIfTrue="1"/>
  </conditionalFormatting>
  <conditionalFormatting sqref="B60">
    <cfRule type="duplicateValues" dxfId="3416" priority="324" stopIfTrue="1"/>
    <cfRule type="duplicateValues" dxfId="3415" priority="325" stopIfTrue="1"/>
  </conditionalFormatting>
  <conditionalFormatting sqref="B60">
    <cfRule type="duplicateValues" dxfId="3414" priority="323" stopIfTrue="1"/>
  </conditionalFormatting>
  <conditionalFormatting sqref="B61">
    <cfRule type="duplicateValues" dxfId="3413" priority="321" stopIfTrue="1"/>
    <cfRule type="duplicateValues" dxfId="3412" priority="322" stopIfTrue="1"/>
  </conditionalFormatting>
  <conditionalFormatting sqref="B61">
    <cfRule type="duplicateValues" dxfId="3411" priority="320" stopIfTrue="1"/>
  </conditionalFormatting>
  <conditionalFormatting sqref="B203">
    <cfRule type="duplicateValues" dxfId="3410" priority="318" stopIfTrue="1"/>
    <cfRule type="duplicateValues" dxfId="3409" priority="319" stopIfTrue="1"/>
  </conditionalFormatting>
  <conditionalFormatting sqref="B203">
    <cfRule type="duplicateValues" dxfId="3408" priority="317" stopIfTrue="1"/>
  </conditionalFormatting>
  <conditionalFormatting sqref="B204">
    <cfRule type="duplicateValues" dxfId="3407" priority="315" stopIfTrue="1"/>
    <cfRule type="duplicateValues" dxfId="3406" priority="316" stopIfTrue="1"/>
  </conditionalFormatting>
  <conditionalFormatting sqref="B204">
    <cfRule type="duplicateValues" dxfId="3405" priority="314" stopIfTrue="1"/>
  </conditionalFormatting>
  <conditionalFormatting sqref="B205">
    <cfRule type="duplicateValues" dxfId="3404" priority="312" stopIfTrue="1"/>
    <cfRule type="duplicateValues" dxfId="3403" priority="313" stopIfTrue="1"/>
  </conditionalFormatting>
  <conditionalFormatting sqref="B205">
    <cfRule type="duplicateValues" dxfId="3402" priority="311" stopIfTrue="1"/>
  </conditionalFormatting>
  <conditionalFormatting sqref="B62">
    <cfRule type="duplicateValues" dxfId="3401" priority="309" stopIfTrue="1"/>
    <cfRule type="duplicateValues" dxfId="3400" priority="310" stopIfTrue="1"/>
  </conditionalFormatting>
  <conditionalFormatting sqref="B62">
    <cfRule type="duplicateValues" dxfId="3399" priority="308" stopIfTrue="1"/>
  </conditionalFormatting>
  <conditionalFormatting sqref="B256">
    <cfRule type="duplicateValues" dxfId="3398" priority="306" stopIfTrue="1"/>
    <cfRule type="duplicateValues" dxfId="3397" priority="307" stopIfTrue="1"/>
  </conditionalFormatting>
  <conditionalFormatting sqref="B256">
    <cfRule type="duplicateValues" dxfId="3396" priority="305" stopIfTrue="1"/>
  </conditionalFormatting>
  <conditionalFormatting sqref="B64">
    <cfRule type="duplicateValues" dxfId="3395" priority="303" stopIfTrue="1"/>
    <cfRule type="duplicateValues" dxfId="3394" priority="304" stopIfTrue="1"/>
  </conditionalFormatting>
  <conditionalFormatting sqref="B64">
    <cfRule type="duplicateValues" dxfId="3393" priority="302" stopIfTrue="1"/>
  </conditionalFormatting>
  <conditionalFormatting sqref="B65">
    <cfRule type="duplicateValues" dxfId="3392" priority="300" stopIfTrue="1"/>
    <cfRule type="duplicateValues" dxfId="3391" priority="301" stopIfTrue="1"/>
  </conditionalFormatting>
  <conditionalFormatting sqref="B65">
    <cfRule type="duplicateValues" dxfId="3390" priority="299" stopIfTrue="1"/>
  </conditionalFormatting>
  <conditionalFormatting sqref="B202">
    <cfRule type="duplicateValues" dxfId="3389" priority="297" stopIfTrue="1"/>
    <cfRule type="duplicateValues" dxfId="3388" priority="298" stopIfTrue="1"/>
  </conditionalFormatting>
  <conditionalFormatting sqref="B202">
    <cfRule type="duplicateValues" dxfId="3387" priority="296" stopIfTrue="1"/>
  </conditionalFormatting>
  <conditionalFormatting sqref="B221">
    <cfRule type="duplicateValues" dxfId="3386" priority="294" stopIfTrue="1"/>
    <cfRule type="duplicateValues" dxfId="3385" priority="295" stopIfTrue="1"/>
  </conditionalFormatting>
  <conditionalFormatting sqref="B221">
    <cfRule type="duplicateValues" dxfId="3384" priority="293" stopIfTrue="1"/>
  </conditionalFormatting>
  <conditionalFormatting sqref="B67">
    <cfRule type="duplicateValues" dxfId="3383" priority="291" stopIfTrue="1"/>
    <cfRule type="duplicateValues" dxfId="3382" priority="292" stopIfTrue="1"/>
  </conditionalFormatting>
  <conditionalFormatting sqref="B67">
    <cfRule type="duplicateValues" dxfId="3381" priority="290" stopIfTrue="1"/>
  </conditionalFormatting>
  <conditionalFormatting sqref="B200">
    <cfRule type="duplicateValues" dxfId="3380" priority="288" stopIfTrue="1"/>
    <cfRule type="duplicateValues" dxfId="3379" priority="289" stopIfTrue="1"/>
  </conditionalFormatting>
  <conditionalFormatting sqref="B200">
    <cfRule type="duplicateValues" dxfId="3378" priority="287" stopIfTrue="1"/>
  </conditionalFormatting>
  <conditionalFormatting sqref="B69">
    <cfRule type="duplicateValues" dxfId="3377" priority="285" stopIfTrue="1"/>
    <cfRule type="duplicateValues" dxfId="3376" priority="286" stopIfTrue="1"/>
  </conditionalFormatting>
  <conditionalFormatting sqref="B69">
    <cfRule type="duplicateValues" dxfId="3375" priority="284" stopIfTrue="1"/>
  </conditionalFormatting>
  <conditionalFormatting sqref="B181">
    <cfRule type="duplicateValues" dxfId="3374" priority="282" stopIfTrue="1"/>
    <cfRule type="duplicateValues" dxfId="3373" priority="283" stopIfTrue="1"/>
  </conditionalFormatting>
  <conditionalFormatting sqref="B181">
    <cfRule type="duplicateValues" dxfId="3372" priority="281" stopIfTrue="1"/>
  </conditionalFormatting>
  <conditionalFormatting sqref="B167">
    <cfRule type="duplicateValues" dxfId="3371" priority="279" stopIfTrue="1"/>
    <cfRule type="duplicateValues" dxfId="3370" priority="280" stopIfTrue="1"/>
  </conditionalFormatting>
  <conditionalFormatting sqref="B167">
    <cfRule type="duplicateValues" dxfId="3369" priority="278" stopIfTrue="1"/>
  </conditionalFormatting>
  <conditionalFormatting sqref="B70">
    <cfRule type="duplicateValues" dxfId="3368" priority="276" stopIfTrue="1"/>
    <cfRule type="duplicateValues" dxfId="3367" priority="277" stopIfTrue="1"/>
  </conditionalFormatting>
  <conditionalFormatting sqref="B70">
    <cfRule type="duplicateValues" dxfId="3366" priority="275" stopIfTrue="1"/>
  </conditionalFormatting>
  <conditionalFormatting sqref="B71">
    <cfRule type="duplicateValues" dxfId="3365" priority="273" stopIfTrue="1"/>
    <cfRule type="duplicateValues" dxfId="3364" priority="274" stopIfTrue="1"/>
  </conditionalFormatting>
  <conditionalFormatting sqref="B71">
    <cfRule type="duplicateValues" dxfId="3363" priority="272" stopIfTrue="1"/>
  </conditionalFormatting>
  <conditionalFormatting sqref="B267">
    <cfRule type="duplicateValues" dxfId="3362" priority="270" stopIfTrue="1"/>
    <cfRule type="duplicateValues" dxfId="3361" priority="271" stopIfTrue="1"/>
  </conditionalFormatting>
  <conditionalFormatting sqref="B267">
    <cfRule type="duplicateValues" dxfId="3360" priority="269" stopIfTrue="1"/>
  </conditionalFormatting>
  <conditionalFormatting sqref="B72">
    <cfRule type="duplicateValues" dxfId="3359" priority="267" stopIfTrue="1"/>
    <cfRule type="duplicateValues" dxfId="3358" priority="268" stopIfTrue="1"/>
  </conditionalFormatting>
  <conditionalFormatting sqref="B72">
    <cfRule type="duplicateValues" dxfId="3357" priority="266" stopIfTrue="1"/>
  </conditionalFormatting>
  <conditionalFormatting sqref="B268">
    <cfRule type="duplicateValues" dxfId="3356" priority="264" stopIfTrue="1"/>
    <cfRule type="duplicateValues" dxfId="3355" priority="265" stopIfTrue="1"/>
  </conditionalFormatting>
  <conditionalFormatting sqref="B268">
    <cfRule type="duplicateValues" dxfId="3354" priority="263" stopIfTrue="1"/>
  </conditionalFormatting>
  <conditionalFormatting sqref="B73">
    <cfRule type="duplicateValues" dxfId="3353" priority="261" stopIfTrue="1"/>
    <cfRule type="duplicateValues" dxfId="3352" priority="262" stopIfTrue="1"/>
  </conditionalFormatting>
  <conditionalFormatting sqref="B73">
    <cfRule type="duplicateValues" dxfId="3351" priority="260" stopIfTrue="1"/>
  </conditionalFormatting>
  <conditionalFormatting sqref="B257">
    <cfRule type="duplicateValues" dxfId="3350" priority="258" stopIfTrue="1"/>
    <cfRule type="duplicateValues" dxfId="3349" priority="259" stopIfTrue="1"/>
  </conditionalFormatting>
  <conditionalFormatting sqref="B257">
    <cfRule type="duplicateValues" dxfId="3348" priority="257" stopIfTrue="1"/>
  </conditionalFormatting>
  <conditionalFormatting sqref="B74">
    <cfRule type="duplicateValues" dxfId="3347" priority="255" stopIfTrue="1"/>
    <cfRule type="duplicateValues" dxfId="3346" priority="256" stopIfTrue="1"/>
  </conditionalFormatting>
  <conditionalFormatting sqref="B74">
    <cfRule type="duplicateValues" dxfId="3345" priority="254" stopIfTrue="1"/>
  </conditionalFormatting>
  <conditionalFormatting sqref="B75">
    <cfRule type="duplicateValues" dxfId="3344" priority="252" stopIfTrue="1"/>
    <cfRule type="duplicateValues" dxfId="3343" priority="253" stopIfTrue="1"/>
  </conditionalFormatting>
  <conditionalFormatting sqref="B75">
    <cfRule type="duplicateValues" dxfId="3342" priority="251" stopIfTrue="1"/>
  </conditionalFormatting>
  <conditionalFormatting sqref="B76">
    <cfRule type="duplicateValues" dxfId="3341" priority="249" stopIfTrue="1"/>
    <cfRule type="duplicateValues" dxfId="3340" priority="250" stopIfTrue="1"/>
  </conditionalFormatting>
  <conditionalFormatting sqref="B76">
    <cfRule type="duplicateValues" dxfId="3339" priority="248" stopIfTrue="1"/>
  </conditionalFormatting>
  <conditionalFormatting sqref="B77">
    <cfRule type="duplicateValues" dxfId="3338" priority="246" stopIfTrue="1"/>
    <cfRule type="duplicateValues" dxfId="3337" priority="247" stopIfTrue="1"/>
  </conditionalFormatting>
  <conditionalFormatting sqref="B77">
    <cfRule type="duplicateValues" dxfId="3336" priority="245" stopIfTrue="1"/>
  </conditionalFormatting>
  <conditionalFormatting sqref="B78">
    <cfRule type="duplicateValues" dxfId="3335" priority="243" stopIfTrue="1"/>
    <cfRule type="duplicateValues" dxfId="3334" priority="244" stopIfTrue="1"/>
  </conditionalFormatting>
  <conditionalFormatting sqref="B78">
    <cfRule type="duplicateValues" dxfId="3333" priority="242" stopIfTrue="1"/>
  </conditionalFormatting>
  <conditionalFormatting sqref="B79">
    <cfRule type="duplicateValues" dxfId="3332" priority="240" stopIfTrue="1"/>
    <cfRule type="duplicateValues" dxfId="3331" priority="241" stopIfTrue="1"/>
  </conditionalFormatting>
  <conditionalFormatting sqref="B79">
    <cfRule type="duplicateValues" dxfId="3330" priority="239" stopIfTrue="1"/>
  </conditionalFormatting>
  <conditionalFormatting sqref="B80">
    <cfRule type="duplicateValues" dxfId="3329" priority="237" stopIfTrue="1"/>
    <cfRule type="duplicateValues" dxfId="3328" priority="238" stopIfTrue="1"/>
  </conditionalFormatting>
  <conditionalFormatting sqref="B80">
    <cfRule type="duplicateValues" dxfId="3327" priority="236" stopIfTrue="1"/>
  </conditionalFormatting>
  <conditionalFormatting sqref="B82">
    <cfRule type="duplicateValues" dxfId="3326" priority="234" stopIfTrue="1"/>
    <cfRule type="duplicateValues" dxfId="3325" priority="235" stopIfTrue="1"/>
  </conditionalFormatting>
  <conditionalFormatting sqref="B82">
    <cfRule type="duplicateValues" dxfId="3324" priority="233" stopIfTrue="1"/>
  </conditionalFormatting>
  <conditionalFormatting sqref="B84">
    <cfRule type="duplicateValues" dxfId="3323" priority="231" stopIfTrue="1"/>
    <cfRule type="duplicateValues" dxfId="3322" priority="232" stopIfTrue="1"/>
  </conditionalFormatting>
  <conditionalFormatting sqref="B84">
    <cfRule type="duplicateValues" dxfId="3321" priority="230" stopIfTrue="1"/>
  </conditionalFormatting>
  <conditionalFormatting sqref="B198">
    <cfRule type="duplicateValues" dxfId="3320" priority="228" stopIfTrue="1"/>
    <cfRule type="duplicateValues" dxfId="3319" priority="229" stopIfTrue="1"/>
  </conditionalFormatting>
  <conditionalFormatting sqref="B198">
    <cfRule type="duplicateValues" dxfId="3318" priority="227" stopIfTrue="1"/>
  </conditionalFormatting>
  <conditionalFormatting sqref="B85">
    <cfRule type="duplicateValues" dxfId="3317" priority="225" stopIfTrue="1"/>
    <cfRule type="duplicateValues" dxfId="3316" priority="226" stopIfTrue="1"/>
  </conditionalFormatting>
  <conditionalFormatting sqref="B85">
    <cfRule type="duplicateValues" dxfId="3315" priority="224" stopIfTrue="1"/>
  </conditionalFormatting>
  <conditionalFormatting sqref="B87">
    <cfRule type="duplicateValues" dxfId="3314" priority="222" stopIfTrue="1"/>
    <cfRule type="duplicateValues" dxfId="3313" priority="223" stopIfTrue="1"/>
  </conditionalFormatting>
  <conditionalFormatting sqref="B87">
    <cfRule type="duplicateValues" dxfId="3312" priority="221" stopIfTrue="1"/>
  </conditionalFormatting>
  <conditionalFormatting sqref="B88">
    <cfRule type="duplicateValues" dxfId="3311" priority="219" stopIfTrue="1"/>
    <cfRule type="duplicateValues" dxfId="3310" priority="220" stopIfTrue="1"/>
  </conditionalFormatting>
  <conditionalFormatting sqref="B88">
    <cfRule type="duplicateValues" dxfId="3309" priority="218" stopIfTrue="1"/>
  </conditionalFormatting>
  <conditionalFormatting sqref="B186">
    <cfRule type="duplicateValues" dxfId="3308" priority="216" stopIfTrue="1"/>
    <cfRule type="duplicateValues" dxfId="3307" priority="217" stopIfTrue="1"/>
  </conditionalFormatting>
  <conditionalFormatting sqref="B186">
    <cfRule type="duplicateValues" dxfId="3306" priority="215" stopIfTrue="1"/>
  </conditionalFormatting>
  <conditionalFormatting sqref="B90">
    <cfRule type="duplicateValues" dxfId="3305" priority="213" stopIfTrue="1"/>
    <cfRule type="duplicateValues" dxfId="3304" priority="214" stopIfTrue="1"/>
  </conditionalFormatting>
  <conditionalFormatting sqref="B90">
    <cfRule type="duplicateValues" dxfId="3303" priority="212" stopIfTrue="1"/>
  </conditionalFormatting>
  <conditionalFormatting sqref="B93">
    <cfRule type="duplicateValues" dxfId="3302" priority="210" stopIfTrue="1"/>
    <cfRule type="duplicateValues" dxfId="3301" priority="211" stopIfTrue="1"/>
  </conditionalFormatting>
  <conditionalFormatting sqref="B93">
    <cfRule type="duplicateValues" dxfId="3300" priority="209" stopIfTrue="1"/>
  </conditionalFormatting>
  <conditionalFormatting sqref="B94">
    <cfRule type="duplicateValues" dxfId="3299" priority="207" stopIfTrue="1"/>
    <cfRule type="duplicateValues" dxfId="3298" priority="208" stopIfTrue="1"/>
  </conditionalFormatting>
  <conditionalFormatting sqref="B94">
    <cfRule type="duplicateValues" dxfId="3297" priority="206" stopIfTrue="1"/>
  </conditionalFormatting>
  <conditionalFormatting sqref="B95">
    <cfRule type="duplicateValues" dxfId="3296" priority="204" stopIfTrue="1"/>
    <cfRule type="duplicateValues" dxfId="3295" priority="205" stopIfTrue="1"/>
  </conditionalFormatting>
  <conditionalFormatting sqref="B95">
    <cfRule type="duplicateValues" dxfId="3294" priority="203" stopIfTrue="1"/>
  </conditionalFormatting>
  <conditionalFormatting sqref="B96">
    <cfRule type="duplicateValues" dxfId="3293" priority="201" stopIfTrue="1"/>
    <cfRule type="duplicateValues" dxfId="3292" priority="202" stopIfTrue="1"/>
  </conditionalFormatting>
  <conditionalFormatting sqref="B96">
    <cfRule type="duplicateValues" dxfId="3291" priority="200" stopIfTrue="1"/>
  </conditionalFormatting>
  <conditionalFormatting sqref="B97">
    <cfRule type="duplicateValues" dxfId="3290" priority="198" stopIfTrue="1"/>
    <cfRule type="duplicateValues" dxfId="3289" priority="199" stopIfTrue="1"/>
  </conditionalFormatting>
  <conditionalFormatting sqref="B97">
    <cfRule type="duplicateValues" dxfId="3288" priority="197" stopIfTrue="1"/>
  </conditionalFormatting>
  <conditionalFormatting sqref="B98">
    <cfRule type="duplicateValues" dxfId="3287" priority="195" stopIfTrue="1"/>
    <cfRule type="duplicateValues" dxfId="3286" priority="196" stopIfTrue="1"/>
  </conditionalFormatting>
  <conditionalFormatting sqref="B98">
    <cfRule type="duplicateValues" dxfId="3285" priority="194" stopIfTrue="1"/>
  </conditionalFormatting>
  <conditionalFormatting sqref="B259">
    <cfRule type="duplicateValues" dxfId="3284" priority="192" stopIfTrue="1"/>
    <cfRule type="duplicateValues" dxfId="3283" priority="193" stopIfTrue="1"/>
  </conditionalFormatting>
  <conditionalFormatting sqref="B259">
    <cfRule type="duplicateValues" dxfId="3282" priority="191" stopIfTrue="1"/>
  </conditionalFormatting>
  <conditionalFormatting sqref="B213">
    <cfRule type="duplicateValues" dxfId="3281" priority="189" stopIfTrue="1"/>
    <cfRule type="duplicateValues" dxfId="3280" priority="190" stopIfTrue="1"/>
  </conditionalFormatting>
  <conditionalFormatting sqref="B213">
    <cfRule type="duplicateValues" dxfId="3279" priority="188" stopIfTrue="1"/>
  </conditionalFormatting>
  <conditionalFormatting sqref="B159">
    <cfRule type="duplicateValues" dxfId="3278" priority="186" stopIfTrue="1"/>
    <cfRule type="duplicateValues" dxfId="3277" priority="187" stopIfTrue="1"/>
  </conditionalFormatting>
  <conditionalFormatting sqref="B159">
    <cfRule type="duplicateValues" dxfId="3276" priority="185" stopIfTrue="1"/>
  </conditionalFormatting>
  <conditionalFormatting sqref="B188">
    <cfRule type="duplicateValues" dxfId="3275" priority="183" stopIfTrue="1"/>
    <cfRule type="duplicateValues" dxfId="3274" priority="184" stopIfTrue="1"/>
  </conditionalFormatting>
  <conditionalFormatting sqref="B188">
    <cfRule type="duplicateValues" dxfId="3273" priority="182" stopIfTrue="1"/>
  </conditionalFormatting>
  <conditionalFormatting sqref="B160">
    <cfRule type="duplicateValues" dxfId="3272" priority="180" stopIfTrue="1"/>
    <cfRule type="duplicateValues" dxfId="3271" priority="181" stopIfTrue="1"/>
  </conditionalFormatting>
  <conditionalFormatting sqref="B160">
    <cfRule type="duplicateValues" dxfId="3270" priority="179" stopIfTrue="1"/>
  </conditionalFormatting>
  <conditionalFormatting sqref="B199">
    <cfRule type="duplicateValues" dxfId="3269" priority="177" stopIfTrue="1"/>
    <cfRule type="duplicateValues" dxfId="3268" priority="178" stopIfTrue="1"/>
  </conditionalFormatting>
  <conditionalFormatting sqref="B199">
    <cfRule type="duplicateValues" dxfId="3267" priority="176" stopIfTrue="1"/>
  </conditionalFormatting>
  <conditionalFormatting sqref="B222">
    <cfRule type="duplicateValues" dxfId="3266" priority="174" stopIfTrue="1"/>
    <cfRule type="duplicateValues" dxfId="3265" priority="175" stopIfTrue="1"/>
  </conditionalFormatting>
  <conditionalFormatting sqref="B222">
    <cfRule type="duplicateValues" dxfId="3264" priority="173" stopIfTrue="1"/>
  </conditionalFormatting>
  <conditionalFormatting sqref="B185">
    <cfRule type="duplicateValues" dxfId="3263" priority="171" stopIfTrue="1"/>
    <cfRule type="duplicateValues" dxfId="3262" priority="172" stopIfTrue="1"/>
  </conditionalFormatting>
  <conditionalFormatting sqref="B185">
    <cfRule type="duplicateValues" dxfId="3261" priority="170" stopIfTrue="1"/>
  </conditionalFormatting>
  <conditionalFormatting sqref="B81">
    <cfRule type="duplicateValues" dxfId="3260" priority="168" stopIfTrue="1"/>
    <cfRule type="duplicateValues" dxfId="3259" priority="169" stopIfTrue="1"/>
  </conditionalFormatting>
  <conditionalFormatting sqref="B81">
    <cfRule type="duplicateValues" dxfId="3258" priority="167" stopIfTrue="1"/>
  </conditionalFormatting>
  <conditionalFormatting sqref="B161">
    <cfRule type="duplicateValues" dxfId="3257" priority="165" stopIfTrue="1"/>
    <cfRule type="duplicateValues" dxfId="3256" priority="166" stopIfTrue="1"/>
  </conditionalFormatting>
  <conditionalFormatting sqref="B161">
    <cfRule type="duplicateValues" dxfId="3255" priority="164" stopIfTrue="1"/>
  </conditionalFormatting>
  <conditionalFormatting sqref="B99">
    <cfRule type="duplicateValues" dxfId="3254" priority="162" stopIfTrue="1"/>
    <cfRule type="duplicateValues" dxfId="3253" priority="163" stopIfTrue="1"/>
  </conditionalFormatting>
  <conditionalFormatting sqref="B99">
    <cfRule type="duplicateValues" dxfId="3252" priority="161" stopIfTrue="1"/>
  </conditionalFormatting>
  <conditionalFormatting sqref="B246">
    <cfRule type="duplicateValues" dxfId="3251" priority="159" stopIfTrue="1"/>
    <cfRule type="duplicateValues" dxfId="3250" priority="160" stopIfTrue="1"/>
  </conditionalFormatting>
  <conditionalFormatting sqref="B246">
    <cfRule type="duplicateValues" dxfId="3249" priority="158" stopIfTrue="1"/>
  </conditionalFormatting>
  <conditionalFormatting sqref="B103">
    <cfRule type="duplicateValues" dxfId="3248" priority="156" stopIfTrue="1"/>
    <cfRule type="duplicateValues" dxfId="3247" priority="157" stopIfTrue="1"/>
  </conditionalFormatting>
  <conditionalFormatting sqref="B103">
    <cfRule type="duplicateValues" dxfId="3246" priority="155" stopIfTrue="1"/>
  </conditionalFormatting>
  <conditionalFormatting sqref="B211">
    <cfRule type="duplicateValues" dxfId="3245" priority="153" stopIfTrue="1"/>
    <cfRule type="duplicateValues" dxfId="3244" priority="154" stopIfTrue="1"/>
  </conditionalFormatting>
  <conditionalFormatting sqref="B211">
    <cfRule type="duplicateValues" dxfId="3243" priority="152" stopIfTrue="1"/>
  </conditionalFormatting>
  <conditionalFormatting sqref="B102">
    <cfRule type="duplicateValues" dxfId="3242" priority="150" stopIfTrue="1"/>
    <cfRule type="duplicateValues" dxfId="3241" priority="151" stopIfTrue="1"/>
  </conditionalFormatting>
  <conditionalFormatting sqref="B102">
    <cfRule type="duplicateValues" dxfId="3240" priority="149" stopIfTrue="1"/>
  </conditionalFormatting>
  <conditionalFormatting sqref="B214">
    <cfRule type="duplicateValues" dxfId="3239" priority="147" stopIfTrue="1"/>
    <cfRule type="duplicateValues" dxfId="3238" priority="148" stopIfTrue="1"/>
  </conditionalFormatting>
  <conditionalFormatting sqref="B214">
    <cfRule type="duplicateValues" dxfId="3237" priority="146" stopIfTrue="1"/>
  </conditionalFormatting>
  <conditionalFormatting sqref="B228">
    <cfRule type="duplicateValues" dxfId="3236" priority="144" stopIfTrue="1"/>
    <cfRule type="duplicateValues" dxfId="3235" priority="145" stopIfTrue="1"/>
  </conditionalFormatting>
  <conditionalFormatting sqref="B228">
    <cfRule type="duplicateValues" dxfId="3234" priority="143" stopIfTrue="1"/>
  </conditionalFormatting>
  <conditionalFormatting sqref="B143">
    <cfRule type="duplicateValues" dxfId="3233" priority="141" stopIfTrue="1"/>
    <cfRule type="duplicateValues" dxfId="3232" priority="142" stopIfTrue="1"/>
  </conditionalFormatting>
  <conditionalFormatting sqref="B143">
    <cfRule type="duplicateValues" dxfId="3231" priority="140" stopIfTrue="1"/>
  </conditionalFormatting>
  <conditionalFormatting sqref="B144">
    <cfRule type="duplicateValues" dxfId="3230" priority="138" stopIfTrue="1"/>
    <cfRule type="duplicateValues" dxfId="3229" priority="139" stopIfTrue="1"/>
  </conditionalFormatting>
  <conditionalFormatting sqref="B144">
    <cfRule type="duplicateValues" dxfId="3228" priority="137" stopIfTrue="1"/>
  </conditionalFormatting>
  <conditionalFormatting sqref="B229">
    <cfRule type="duplicateValues" dxfId="3227" priority="135" stopIfTrue="1"/>
    <cfRule type="duplicateValues" dxfId="3226" priority="136" stopIfTrue="1"/>
  </conditionalFormatting>
  <conditionalFormatting sqref="B229">
    <cfRule type="duplicateValues" dxfId="3225" priority="134" stopIfTrue="1"/>
  </conditionalFormatting>
  <conditionalFormatting sqref="B145">
    <cfRule type="duplicateValues" dxfId="3224" priority="132" stopIfTrue="1"/>
    <cfRule type="duplicateValues" dxfId="3223" priority="133" stopIfTrue="1"/>
  </conditionalFormatting>
  <conditionalFormatting sqref="B145">
    <cfRule type="duplicateValues" dxfId="3222" priority="131" stopIfTrue="1"/>
  </conditionalFormatting>
  <conditionalFormatting sqref="B193">
    <cfRule type="duplicateValues" dxfId="3221" priority="123" stopIfTrue="1"/>
    <cfRule type="duplicateValues" dxfId="3220" priority="124" stopIfTrue="1"/>
  </conditionalFormatting>
  <conditionalFormatting sqref="B193">
    <cfRule type="duplicateValues" dxfId="3219" priority="122" stopIfTrue="1"/>
  </conditionalFormatting>
  <conditionalFormatting sqref="B212">
    <cfRule type="duplicateValues" dxfId="3218" priority="120" stopIfTrue="1"/>
    <cfRule type="duplicateValues" dxfId="3217" priority="121" stopIfTrue="1"/>
  </conditionalFormatting>
  <conditionalFormatting sqref="B212">
    <cfRule type="duplicateValues" dxfId="3216" priority="119" stopIfTrue="1"/>
  </conditionalFormatting>
  <conditionalFormatting sqref="B147">
    <cfRule type="duplicateValues" dxfId="3215" priority="117" stopIfTrue="1"/>
    <cfRule type="duplicateValues" dxfId="3214" priority="118" stopIfTrue="1"/>
  </conditionalFormatting>
  <conditionalFormatting sqref="B147">
    <cfRule type="duplicateValues" dxfId="3213" priority="116" stopIfTrue="1"/>
  </conditionalFormatting>
  <conditionalFormatting sqref="B192">
    <cfRule type="duplicateValues" dxfId="3212" priority="114" stopIfTrue="1"/>
    <cfRule type="duplicateValues" dxfId="3211" priority="115" stopIfTrue="1"/>
  </conditionalFormatting>
  <conditionalFormatting sqref="B192">
    <cfRule type="duplicateValues" dxfId="3210" priority="113" stopIfTrue="1"/>
  </conditionalFormatting>
  <conditionalFormatting sqref="B148">
    <cfRule type="duplicateValues" dxfId="3209" priority="111" stopIfTrue="1"/>
    <cfRule type="duplicateValues" dxfId="3208" priority="112" stopIfTrue="1"/>
  </conditionalFormatting>
  <conditionalFormatting sqref="B148">
    <cfRule type="duplicateValues" dxfId="3207" priority="110" stopIfTrue="1"/>
  </conditionalFormatting>
  <conditionalFormatting sqref="B150">
    <cfRule type="duplicateValues" dxfId="3206" priority="108" stopIfTrue="1"/>
    <cfRule type="duplicateValues" dxfId="3205" priority="109" stopIfTrue="1"/>
  </conditionalFormatting>
  <conditionalFormatting sqref="B150">
    <cfRule type="duplicateValues" dxfId="3204" priority="107" stopIfTrue="1"/>
  </conditionalFormatting>
  <conditionalFormatting sqref="B191">
    <cfRule type="duplicateValues" dxfId="3203" priority="105" stopIfTrue="1"/>
    <cfRule type="duplicateValues" dxfId="3202" priority="106" stopIfTrue="1"/>
  </conditionalFormatting>
  <conditionalFormatting sqref="B191">
    <cfRule type="duplicateValues" dxfId="3201" priority="104" stopIfTrue="1"/>
  </conditionalFormatting>
  <conditionalFormatting sqref="B151">
    <cfRule type="duplicateValues" dxfId="3200" priority="102" stopIfTrue="1"/>
    <cfRule type="duplicateValues" dxfId="3199" priority="103" stopIfTrue="1"/>
  </conditionalFormatting>
  <conditionalFormatting sqref="B151">
    <cfRule type="duplicateValues" dxfId="3198" priority="101" stopIfTrue="1"/>
  </conditionalFormatting>
  <conditionalFormatting sqref="B190">
    <cfRule type="duplicateValues" dxfId="3197" priority="96" stopIfTrue="1"/>
    <cfRule type="duplicateValues" dxfId="3196" priority="97" stopIfTrue="1"/>
  </conditionalFormatting>
  <conditionalFormatting sqref="B190">
    <cfRule type="duplicateValues" dxfId="3195" priority="95" stopIfTrue="1"/>
  </conditionalFormatting>
  <conditionalFormatting sqref="B152">
    <cfRule type="duplicateValues" dxfId="3194" priority="93" stopIfTrue="1"/>
    <cfRule type="duplicateValues" dxfId="3193" priority="94" stopIfTrue="1"/>
  </conditionalFormatting>
  <conditionalFormatting sqref="B152">
    <cfRule type="duplicateValues" dxfId="3192" priority="92" stopIfTrue="1"/>
  </conditionalFormatting>
  <conditionalFormatting sqref="B153">
    <cfRule type="duplicateValues" dxfId="3191" priority="90" stopIfTrue="1"/>
    <cfRule type="duplicateValues" dxfId="3190" priority="91" stopIfTrue="1"/>
  </conditionalFormatting>
  <conditionalFormatting sqref="B153">
    <cfRule type="duplicateValues" dxfId="3189" priority="89" stopIfTrue="1"/>
  </conditionalFormatting>
  <conditionalFormatting sqref="B111">
    <cfRule type="duplicateValues" dxfId="3188" priority="87" stopIfTrue="1"/>
    <cfRule type="duplicateValues" dxfId="3187" priority="88" stopIfTrue="1"/>
  </conditionalFormatting>
  <conditionalFormatting sqref="B111">
    <cfRule type="duplicateValues" dxfId="3186" priority="86" stopIfTrue="1"/>
  </conditionalFormatting>
  <conditionalFormatting sqref="B154">
    <cfRule type="duplicateValues" dxfId="3185" priority="84" stopIfTrue="1"/>
    <cfRule type="duplicateValues" dxfId="3184" priority="85" stopIfTrue="1"/>
  </conditionalFormatting>
  <conditionalFormatting sqref="B154">
    <cfRule type="duplicateValues" dxfId="3183" priority="83" stopIfTrue="1"/>
  </conditionalFormatting>
  <conditionalFormatting sqref="B155">
    <cfRule type="duplicateValues" dxfId="3182" priority="81" stopIfTrue="1"/>
    <cfRule type="duplicateValues" dxfId="3181" priority="82" stopIfTrue="1"/>
  </conditionalFormatting>
  <conditionalFormatting sqref="B155">
    <cfRule type="duplicateValues" dxfId="3180" priority="80" stopIfTrue="1"/>
  </conditionalFormatting>
  <conditionalFormatting sqref="B3">
    <cfRule type="duplicateValues" dxfId="3179" priority="79"/>
  </conditionalFormatting>
  <conditionalFormatting sqref="B156">
    <cfRule type="duplicateValues" dxfId="3178" priority="76" stopIfTrue="1"/>
    <cfRule type="duplicateValues" dxfId="3177" priority="77" stopIfTrue="1"/>
  </conditionalFormatting>
  <conditionalFormatting sqref="B156">
    <cfRule type="duplicateValues" dxfId="3176" priority="78" stopIfTrue="1"/>
  </conditionalFormatting>
  <conditionalFormatting sqref="B189">
    <cfRule type="duplicateValues" dxfId="3175" priority="491" stopIfTrue="1"/>
    <cfRule type="duplicateValues" dxfId="3174" priority="492" stopIfTrue="1"/>
  </conditionalFormatting>
  <conditionalFormatting sqref="B189">
    <cfRule type="duplicateValues" dxfId="3173" priority="493" stopIfTrue="1"/>
  </conditionalFormatting>
  <conditionalFormatting sqref="B242">
    <cfRule type="duplicateValues" dxfId="3172" priority="65" stopIfTrue="1"/>
    <cfRule type="duplicateValues" dxfId="3171" priority="66" stopIfTrue="1"/>
  </conditionalFormatting>
  <conditionalFormatting sqref="B242">
    <cfRule type="duplicateValues" dxfId="3170" priority="64" stopIfTrue="1"/>
  </conditionalFormatting>
  <conditionalFormatting sqref="B19">
    <cfRule type="duplicateValues" dxfId="3169" priority="497" stopIfTrue="1"/>
    <cfRule type="duplicateValues" dxfId="3168" priority="498" stopIfTrue="1"/>
  </conditionalFormatting>
  <conditionalFormatting sqref="B19">
    <cfRule type="duplicateValues" dxfId="3167" priority="499" stopIfTrue="1"/>
  </conditionalFormatting>
  <conditionalFormatting sqref="B29">
    <cfRule type="duplicateValues" dxfId="3166" priority="63"/>
  </conditionalFormatting>
  <conditionalFormatting sqref="B36">
    <cfRule type="duplicateValues" dxfId="3165" priority="62"/>
  </conditionalFormatting>
  <conditionalFormatting sqref="B47">
    <cfRule type="duplicateValues" dxfId="3164" priority="500" stopIfTrue="1"/>
    <cfRule type="duplicateValues" dxfId="3163" priority="501" stopIfTrue="1"/>
  </conditionalFormatting>
  <conditionalFormatting sqref="B47">
    <cfRule type="duplicateValues" dxfId="3162" priority="502" stopIfTrue="1"/>
  </conditionalFormatting>
  <conditionalFormatting sqref="B63">
    <cfRule type="duplicateValues" dxfId="3161" priority="61"/>
  </conditionalFormatting>
  <conditionalFormatting sqref="B201">
    <cfRule type="duplicateValues" dxfId="3160" priority="60"/>
  </conditionalFormatting>
  <conditionalFormatting sqref="B112">
    <cfRule type="duplicateValues" dxfId="3159" priority="59"/>
  </conditionalFormatting>
  <conditionalFormatting sqref="B164">
    <cfRule type="duplicateValues" dxfId="3158" priority="58"/>
  </conditionalFormatting>
  <conditionalFormatting sqref="B280:B1048576 B246 B157:B163 B93:B111 B32:B35 B1:B2 B249 B252:B273 B4:B15 B30 B38:B45 B47:B57 B236:B241 B234 B165:B169 B150:B155 B113:B114 B64:B91 B202:B232 B116:B135 B190:B200 B17:B28 B181:B188 B59:B62 B147:B148 B138:B145">
    <cfRule type="duplicateValues" dxfId="3157" priority="510"/>
  </conditionalFormatting>
  <conditionalFormatting sqref="B280:B1048576 B246 B93:B111 B32:B35 B249 B252:B273 B1:B15 B30 B38:B45 B47:B57 B236:B241 B234 B165:B169 B113:B114 B64:B91 B202:B232 B116:B135 B150:B163 B17:B28 B181:B200 B59:B62 B147:B148 B138:B145">
    <cfRule type="duplicateValues" dxfId="3156" priority="511"/>
  </conditionalFormatting>
  <conditionalFormatting sqref="B139">
    <cfRule type="duplicateValues" dxfId="3155" priority="56" stopIfTrue="1"/>
    <cfRule type="duplicateValues" dxfId="3154" priority="57" stopIfTrue="1"/>
  </conditionalFormatting>
  <conditionalFormatting sqref="B139">
    <cfRule type="duplicateValues" dxfId="3153" priority="55" stopIfTrue="1"/>
  </conditionalFormatting>
  <conditionalFormatting sqref="B140">
    <cfRule type="duplicateValues" dxfId="3152" priority="50" stopIfTrue="1"/>
    <cfRule type="duplicateValues" dxfId="3151" priority="51" stopIfTrue="1"/>
  </conditionalFormatting>
  <conditionalFormatting sqref="B140">
    <cfRule type="duplicateValues" dxfId="3150" priority="49" stopIfTrue="1"/>
  </conditionalFormatting>
  <conditionalFormatting sqref="B141">
    <cfRule type="duplicateValues" dxfId="3149" priority="38" stopIfTrue="1"/>
    <cfRule type="duplicateValues" dxfId="3148" priority="39" stopIfTrue="1"/>
  </conditionalFormatting>
  <conditionalFormatting sqref="B141">
    <cfRule type="duplicateValues" dxfId="3147" priority="37" stopIfTrue="1"/>
  </conditionalFormatting>
  <conditionalFormatting sqref="B142">
    <cfRule type="duplicateValues" dxfId="3146" priority="23" stopIfTrue="1"/>
    <cfRule type="duplicateValues" dxfId="3145" priority="24" stopIfTrue="1"/>
  </conditionalFormatting>
  <conditionalFormatting sqref="B142">
    <cfRule type="duplicateValues" dxfId="3144" priority="22" stopIfTrue="1"/>
  </conditionalFormatting>
  <conditionalFormatting sqref="B140:B142">
    <cfRule type="duplicateValues" dxfId="3143" priority="2" stopIfTrue="1"/>
    <cfRule type="duplicateValues" dxfId="3142" priority="3" stopIfTrue="1"/>
  </conditionalFormatting>
  <conditionalFormatting sqref="B140:B142">
    <cfRule type="duplicateValues" dxfId="3141" priority="1" stopIfTrue="1"/>
  </conditionalFormatting>
  <conditionalFormatting sqref="B269:B273 B168 B104:B110 B225 B113:B114 B215:B219 B116:B134 B194:B197 B138:B142">
    <cfRule type="duplicateValues" dxfId="3140" priority="924" stopIfTrue="1"/>
    <cfRule type="duplicateValues" dxfId="3139" priority="925" stopIfTrue="1"/>
  </conditionalFormatting>
  <conditionalFormatting sqref="B269:B273 B168 B104:B110 B225 B113:B114 B215:B219 B116:B134 B194:B197 B138:B142">
    <cfRule type="duplicateValues" dxfId="3138" priority="942" stopIfTrue="1"/>
  </conditionalFormatting>
  <conditionalFormatting sqref="B252:B253 B163 B165:B166 B210 B214 B249 B135 B111 B212 B150:B155 B228:B229 B143:B145 B190:B193 B147:B148">
    <cfRule type="duplicateValues" dxfId="3137" priority="963" stopIfTrue="1"/>
    <cfRule type="duplicateValues" dxfId="3136" priority="964" stopIfTrue="1"/>
  </conditionalFormatting>
  <conditionalFormatting sqref="B252:B253 B163 B165:B166 B210 B214 B249 B135 B111 B212 B150:B155 B228:B229 B143:B145 B190:B193 B147:B148">
    <cfRule type="duplicateValues" dxfId="3135" priority="991" stopIfTrue="1"/>
  </conditionalFormatting>
  <conditionalFormatting sqref="B269:B273 B168:B169 B101 B104:B110 B225 B113:B114 B215:B219 B116:B134 B194:B197 B138:B142">
    <cfRule type="duplicateValues" dxfId="3134" priority="1005" stopIfTrue="1"/>
    <cfRule type="duplicateValues" dxfId="3133" priority="1006" stopIfTrue="1"/>
  </conditionalFormatting>
  <conditionalFormatting sqref="B269:B273 B168:B169 B101 B104:B110 B225 B113:B114 B215:B219 B116:B134 B194:B197 B138:B142">
    <cfRule type="duplicateValues" dxfId="3132" priority="1025" stopIfTrue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3:M196"/>
  <sheetViews>
    <sheetView topLeftCell="A21" workbookViewId="0">
      <selection activeCell="C54" sqref="C54"/>
    </sheetView>
  </sheetViews>
  <sheetFormatPr defaultRowHeight="15"/>
  <cols>
    <col min="1" max="1" width="6.85546875" style="44" customWidth="1"/>
    <col min="2" max="2" width="35.710937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bestFit="1" customWidth="1"/>
    <col min="11" max="11" width="14.5703125" customWidth="1"/>
    <col min="12" max="12" width="9.28515625" customWidth="1"/>
    <col min="13" max="13" width="9.57031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291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160">
        <v>1</v>
      </c>
      <c r="B6" s="181" t="s">
        <v>121</v>
      </c>
      <c r="C6" s="41">
        <v>200000</v>
      </c>
      <c r="D6" s="41">
        <v>26660</v>
      </c>
      <c r="E6" s="41">
        <f t="shared" ref="E6:E24" si="0">SUM(C6:D6)</f>
        <v>226660</v>
      </c>
      <c r="F6" s="33">
        <v>40</v>
      </c>
      <c r="G6" s="41">
        <v>5666.5</v>
      </c>
      <c r="H6" s="96">
        <v>37</v>
      </c>
      <c r="I6" s="96">
        <f t="shared" ref="I6:I37" si="1">F6-H6</f>
        <v>3</v>
      </c>
      <c r="J6" s="16">
        <f t="shared" ref="J6:J27" si="2">H6*G6</f>
        <v>209660.5</v>
      </c>
      <c r="K6" s="41">
        <f t="shared" ref="K6:K37" si="3">E6-J6</f>
        <v>16999.5</v>
      </c>
      <c r="L6" s="11"/>
      <c r="M6" s="180" t="e">
        <f>#REF!-G6</f>
        <v>#REF!</v>
      </c>
    </row>
    <row r="7" spans="1:13" s="114" customFormat="1">
      <c r="A7" s="160">
        <v>2</v>
      </c>
      <c r="B7" s="181" t="s">
        <v>199</v>
      </c>
      <c r="C7" s="16">
        <v>132000</v>
      </c>
      <c r="D7" s="16">
        <v>17595.599999999999</v>
      </c>
      <c r="E7" s="41">
        <f t="shared" si="0"/>
        <v>149595.6</v>
      </c>
      <c r="F7" s="33">
        <v>40</v>
      </c>
      <c r="G7" s="16">
        <v>3739.89</v>
      </c>
      <c r="H7" s="96">
        <v>30</v>
      </c>
      <c r="I7" s="96">
        <f t="shared" si="1"/>
        <v>10</v>
      </c>
      <c r="J7" s="16">
        <f t="shared" si="2"/>
        <v>112196.7</v>
      </c>
      <c r="K7" s="41">
        <f t="shared" si="3"/>
        <v>37398.900000000009</v>
      </c>
      <c r="L7" s="11"/>
      <c r="M7" s="180" t="e">
        <f>#REF!-G7</f>
        <v>#REF!</v>
      </c>
    </row>
    <row r="8" spans="1:13" s="114" customFormat="1">
      <c r="A8" s="160">
        <v>3</v>
      </c>
      <c r="B8" s="181" t="s">
        <v>122</v>
      </c>
      <c r="C8" s="41">
        <v>200000</v>
      </c>
      <c r="D8" s="41">
        <v>26660</v>
      </c>
      <c r="E8" s="41">
        <f t="shared" si="0"/>
        <v>226660</v>
      </c>
      <c r="F8" s="33">
        <v>40</v>
      </c>
      <c r="G8" s="41">
        <v>5666.5</v>
      </c>
      <c r="H8" s="96">
        <v>28</v>
      </c>
      <c r="I8" s="96">
        <f t="shared" si="1"/>
        <v>12</v>
      </c>
      <c r="J8" s="16">
        <f t="shared" si="2"/>
        <v>158662</v>
      </c>
      <c r="K8" s="41">
        <f t="shared" si="3"/>
        <v>67998</v>
      </c>
      <c r="L8" s="11"/>
      <c r="M8" s="180" t="e">
        <f>#REF!-G8</f>
        <v>#REF!</v>
      </c>
    </row>
    <row r="9" spans="1:13" s="114" customFormat="1">
      <c r="A9" s="160">
        <v>4</v>
      </c>
      <c r="B9" s="181" t="s">
        <v>189</v>
      </c>
      <c r="C9" s="12">
        <v>180000</v>
      </c>
      <c r="D9" s="12">
        <v>23994</v>
      </c>
      <c r="E9" s="15">
        <f t="shared" si="0"/>
        <v>203994</v>
      </c>
      <c r="F9" s="31">
        <v>40</v>
      </c>
      <c r="G9" s="12">
        <v>5099.8500000000004</v>
      </c>
      <c r="H9" s="159">
        <v>33</v>
      </c>
      <c r="I9" s="97">
        <f t="shared" si="1"/>
        <v>7</v>
      </c>
      <c r="J9" s="91">
        <f t="shared" si="2"/>
        <v>168295.05000000002</v>
      </c>
      <c r="K9" s="15">
        <f t="shared" si="3"/>
        <v>35698.949999999983</v>
      </c>
      <c r="L9" s="8"/>
      <c r="M9" s="180" t="e">
        <f>#REF!-G9</f>
        <v>#REF!</v>
      </c>
    </row>
    <row r="10" spans="1:13" s="114" customFormat="1">
      <c r="A10" s="160">
        <v>5</v>
      </c>
      <c r="B10" s="181" t="s">
        <v>123</v>
      </c>
      <c r="C10" s="41">
        <v>200000</v>
      </c>
      <c r="D10" s="41">
        <v>26660</v>
      </c>
      <c r="E10" s="41">
        <f t="shared" si="0"/>
        <v>226660</v>
      </c>
      <c r="F10" s="33">
        <v>40</v>
      </c>
      <c r="G10" s="41">
        <v>5666.5</v>
      </c>
      <c r="H10" s="96">
        <v>38</v>
      </c>
      <c r="I10" s="96">
        <f t="shared" si="1"/>
        <v>2</v>
      </c>
      <c r="J10" s="16">
        <f t="shared" si="2"/>
        <v>215327</v>
      </c>
      <c r="K10" s="41">
        <f t="shared" si="3"/>
        <v>11333</v>
      </c>
      <c r="L10" s="11"/>
      <c r="M10" s="180" t="e">
        <f>#REF!-G10</f>
        <v>#REF!</v>
      </c>
    </row>
    <row r="11" spans="1:13" s="114" customFormat="1">
      <c r="A11" s="160">
        <v>6</v>
      </c>
      <c r="B11" s="181" t="s">
        <v>120</v>
      </c>
      <c r="C11" s="16">
        <v>330000</v>
      </c>
      <c r="D11" s="16">
        <v>21114.720000000001</v>
      </c>
      <c r="E11" s="41">
        <f t="shared" si="0"/>
        <v>351114.72</v>
      </c>
      <c r="F11" s="33">
        <v>24</v>
      </c>
      <c r="G11" s="24">
        <v>6649.9</v>
      </c>
      <c r="H11" s="96">
        <v>24</v>
      </c>
      <c r="I11" s="96">
        <f t="shared" si="1"/>
        <v>0</v>
      </c>
      <c r="J11" s="16">
        <f t="shared" si="2"/>
        <v>159597.59999999998</v>
      </c>
      <c r="K11" s="41">
        <f t="shared" si="3"/>
        <v>191517.12</v>
      </c>
      <c r="L11" s="11"/>
      <c r="M11" s="180" t="e">
        <f>#REF!-G11</f>
        <v>#REF!</v>
      </c>
    </row>
    <row r="12" spans="1:13" s="114" customFormat="1">
      <c r="A12" s="160">
        <v>7</v>
      </c>
      <c r="B12" s="181" t="s">
        <v>201</v>
      </c>
      <c r="C12" s="16">
        <v>132000</v>
      </c>
      <c r="D12" s="16">
        <v>17595.599999999999</v>
      </c>
      <c r="E12" s="41">
        <f t="shared" si="0"/>
        <v>149595.6</v>
      </c>
      <c r="F12" s="33">
        <v>40</v>
      </c>
      <c r="G12" s="16">
        <v>3739.89</v>
      </c>
      <c r="H12" s="96">
        <v>38</v>
      </c>
      <c r="I12" s="96">
        <f t="shared" si="1"/>
        <v>2</v>
      </c>
      <c r="J12" s="16">
        <f t="shared" si="2"/>
        <v>142115.82</v>
      </c>
      <c r="K12" s="41">
        <f t="shared" si="3"/>
        <v>7479.7799999999988</v>
      </c>
      <c r="L12" s="11"/>
      <c r="M12" s="180" t="e">
        <f>#REF!-G12</f>
        <v>#REF!</v>
      </c>
    </row>
    <row r="13" spans="1:13" s="114" customFormat="1">
      <c r="A13" s="160">
        <v>8</v>
      </c>
      <c r="B13" s="181" t="s">
        <v>52</v>
      </c>
      <c r="C13" s="12">
        <v>500000</v>
      </c>
      <c r="D13" s="12">
        <v>66650</v>
      </c>
      <c r="E13" s="15">
        <f t="shared" si="0"/>
        <v>566650</v>
      </c>
      <c r="F13" s="31">
        <v>50</v>
      </c>
      <c r="G13" s="18">
        <v>11333</v>
      </c>
      <c r="H13" s="14">
        <v>29</v>
      </c>
      <c r="I13" s="97">
        <f t="shared" si="1"/>
        <v>21</v>
      </c>
      <c r="J13" s="91">
        <f t="shared" si="2"/>
        <v>328657</v>
      </c>
      <c r="K13" s="15">
        <f t="shared" si="3"/>
        <v>237993</v>
      </c>
      <c r="L13" s="8"/>
      <c r="M13" s="180" t="e">
        <f>#REF!-G13</f>
        <v>#REF!</v>
      </c>
    </row>
    <row r="14" spans="1:13" s="114" customFormat="1">
      <c r="A14" s="160">
        <v>9</v>
      </c>
      <c r="B14" s="181" t="s">
        <v>49</v>
      </c>
      <c r="C14" s="16">
        <v>500000</v>
      </c>
      <c r="D14" s="16">
        <v>53320</v>
      </c>
      <c r="E14" s="41">
        <f t="shared" si="0"/>
        <v>553320</v>
      </c>
      <c r="F14" s="33">
        <v>40</v>
      </c>
      <c r="G14" s="16">
        <v>13833</v>
      </c>
      <c r="H14" s="96">
        <v>45</v>
      </c>
      <c r="I14" s="96">
        <f t="shared" si="1"/>
        <v>-5</v>
      </c>
      <c r="J14" s="16">
        <f t="shared" si="2"/>
        <v>622485</v>
      </c>
      <c r="K14" s="41">
        <f t="shared" si="3"/>
        <v>-69165</v>
      </c>
      <c r="L14" s="11"/>
      <c r="M14" s="180" t="e">
        <f>#REF!-G14</f>
        <v>#REF!</v>
      </c>
    </row>
    <row r="15" spans="1:13" s="114" customFormat="1">
      <c r="A15" s="160">
        <v>10</v>
      </c>
      <c r="B15" s="181" t="s">
        <v>46</v>
      </c>
      <c r="C15" s="16">
        <v>450000</v>
      </c>
      <c r="D15" s="16">
        <v>28792.799999999999</v>
      </c>
      <c r="E15" s="41">
        <f t="shared" si="0"/>
        <v>478792.8</v>
      </c>
      <c r="F15" s="33">
        <v>24</v>
      </c>
      <c r="G15" s="16">
        <v>19949.7</v>
      </c>
      <c r="H15" s="96">
        <v>24</v>
      </c>
      <c r="I15" s="96">
        <f t="shared" si="1"/>
        <v>0</v>
      </c>
      <c r="J15" s="16">
        <f t="shared" si="2"/>
        <v>478792.80000000005</v>
      </c>
      <c r="K15" s="41">
        <f t="shared" si="3"/>
        <v>0</v>
      </c>
      <c r="L15" s="11"/>
      <c r="M15" s="180" t="e">
        <f>#REF!-G15</f>
        <v>#REF!</v>
      </c>
    </row>
    <row r="16" spans="1:13" s="114" customFormat="1" ht="26.25">
      <c r="A16" s="160">
        <v>11</v>
      </c>
      <c r="B16" s="182" t="s">
        <v>281</v>
      </c>
      <c r="C16" s="16">
        <v>330000</v>
      </c>
      <c r="D16" s="16">
        <v>43989</v>
      </c>
      <c r="E16" s="41">
        <f t="shared" si="0"/>
        <v>373989</v>
      </c>
      <c r="F16" s="33">
        <v>50</v>
      </c>
      <c r="G16" s="154">
        <v>7478.78</v>
      </c>
      <c r="H16" s="159">
        <v>33</v>
      </c>
      <c r="I16" s="96">
        <f t="shared" si="1"/>
        <v>17</v>
      </c>
      <c r="J16" s="16">
        <f t="shared" si="2"/>
        <v>246799.74</v>
      </c>
      <c r="K16" s="41">
        <f t="shared" si="3"/>
        <v>127189.26000000001</v>
      </c>
      <c r="L16" s="11"/>
      <c r="M16" s="180" t="e">
        <f>#REF!-G16</f>
        <v>#REF!</v>
      </c>
    </row>
    <row r="17" spans="1:13" s="114" customFormat="1">
      <c r="A17" s="160">
        <v>12</v>
      </c>
      <c r="B17" s="181" t="s">
        <v>105</v>
      </c>
      <c r="C17" s="16">
        <v>330000</v>
      </c>
      <c r="D17" s="16">
        <v>43989</v>
      </c>
      <c r="E17" s="41">
        <f t="shared" si="0"/>
        <v>373989</v>
      </c>
      <c r="F17" s="33">
        <v>50</v>
      </c>
      <c r="G17" s="16">
        <v>7479.78</v>
      </c>
      <c r="H17" s="96">
        <v>33</v>
      </c>
      <c r="I17" s="96">
        <f t="shared" si="1"/>
        <v>17</v>
      </c>
      <c r="J17" s="16">
        <f t="shared" si="2"/>
        <v>246832.74</v>
      </c>
      <c r="K17" s="41">
        <f t="shared" si="3"/>
        <v>127156.26000000001</v>
      </c>
      <c r="L17" s="11"/>
      <c r="M17" s="180" t="e">
        <f>#REF!-G17</f>
        <v>#REF!</v>
      </c>
    </row>
    <row r="18" spans="1:13" s="114" customFormat="1">
      <c r="A18" s="160">
        <v>13</v>
      </c>
      <c r="B18" s="181" t="s">
        <v>130</v>
      </c>
      <c r="C18" s="41">
        <v>200000</v>
      </c>
      <c r="D18" s="41">
        <v>26660</v>
      </c>
      <c r="E18" s="41">
        <f t="shared" si="0"/>
        <v>226660</v>
      </c>
      <c r="F18" s="33">
        <v>40</v>
      </c>
      <c r="G18" s="41">
        <v>5666.5</v>
      </c>
      <c r="H18" s="96">
        <v>38</v>
      </c>
      <c r="I18" s="96">
        <f t="shared" si="1"/>
        <v>2</v>
      </c>
      <c r="J18" s="16">
        <f t="shared" si="2"/>
        <v>215327</v>
      </c>
      <c r="K18" s="41">
        <f t="shared" si="3"/>
        <v>11333</v>
      </c>
      <c r="L18" s="11"/>
      <c r="M18" s="180" t="e">
        <f>#REF!-G18</f>
        <v>#REF!</v>
      </c>
    </row>
    <row r="19" spans="1:13" s="114" customFormat="1">
      <c r="A19" s="160">
        <v>14</v>
      </c>
      <c r="B19" s="181" t="s">
        <v>106</v>
      </c>
      <c r="C19" s="16">
        <v>330000</v>
      </c>
      <c r="D19" s="16">
        <v>43989</v>
      </c>
      <c r="E19" s="41">
        <f t="shared" si="0"/>
        <v>373989</v>
      </c>
      <c r="F19" s="33">
        <v>50</v>
      </c>
      <c r="G19" s="16">
        <v>7479.78</v>
      </c>
      <c r="H19" s="96">
        <v>24</v>
      </c>
      <c r="I19" s="96">
        <f t="shared" si="1"/>
        <v>26</v>
      </c>
      <c r="J19" s="16">
        <f t="shared" si="2"/>
        <v>179514.72</v>
      </c>
      <c r="K19" s="41">
        <f t="shared" si="3"/>
        <v>194474.28</v>
      </c>
      <c r="L19" s="11"/>
      <c r="M19" s="180" t="e">
        <f>#REF!-G19</f>
        <v>#REF!</v>
      </c>
    </row>
    <row r="20" spans="1:13" s="114" customFormat="1">
      <c r="A20" s="160">
        <v>15</v>
      </c>
      <c r="B20" s="181" t="s">
        <v>134</v>
      </c>
      <c r="C20" s="41">
        <v>200000</v>
      </c>
      <c r="D20" s="41">
        <v>26660</v>
      </c>
      <c r="E20" s="41">
        <f t="shared" si="0"/>
        <v>226660</v>
      </c>
      <c r="F20" s="33">
        <v>40</v>
      </c>
      <c r="G20" s="41">
        <v>5666.5</v>
      </c>
      <c r="H20" s="96">
        <v>38</v>
      </c>
      <c r="I20" s="96">
        <f t="shared" si="1"/>
        <v>2</v>
      </c>
      <c r="J20" s="16">
        <f t="shared" si="2"/>
        <v>215327</v>
      </c>
      <c r="K20" s="41">
        <f t="shared" si="3"/>
        <v>11333</v>
      </c>
      <c r="L20" s="11"/>
      <c r="M20" s="180" t="e">
        <f>#REF!-G20</f>
        <v>#REF!</v>
      </c>
    </row>
    <row r="21" spans="1:13" s="114" customFormat="1">
      <c r="A21" s="160">
        <v>16</v>
      </c>
      <c r="B21" s="181" t="s">
        <v>135</v>
      </c>
      <c r="C21" s="15">
        <v>200000</v>
      </c>
      <c r="D21" s="15">
        <v>26660</v>
      </c>
      <c r="E21" s="15">
        <f t="shared" si="0"/>
        <v>226660</v>
      </c>
      <c r="F21" s="31">
        <v>40</v>
      </c>
      <c r="G21" s="15">
        <v>5666.5</v>
      </c>
      <c r="H21" s="14">
        <v>34</v>
      </c>
      <c r="I21" s="97">
        <f t="shared" si="1"/>
        <v>6</v>
      </c>
      <c r="J21" s="91">
        <f t="shared" si="2"/>
        <v>192661</v>
      </c>
      <c r="K21" s="15">
        <f t="shared" si="3"/>
        <v>33999</v>
      </c>
      <c r="L21" s="8"/>
      <c r="M21" s="180" t="e">
        <f>#REF!-G21</f>
        <v>#REF!</v>
      </c>
    </row>
    <row r="22" spans="1:13" s="114" customFormat="1">
      <c r="A22" s="160">
        <v>17</v>
      </c>
      <c r="B22" s="181" t="s">
        <v>53</v>
      </c>
      <c r="C22" s="16">
        <v>500000</v>
      </c>
      <c r="D22" s="16">
        <v>66650</v>
      </c>
      <c r="E22" s="41">
        <f t="shared" si="0"/>
        <v>566650</v>
      </c>
      <c r="F22" s="33">
        <v>50</v>
      </c>
      <c r="G22" s="16">
        <v>11333</v>
      </c>
      <c r="H22" s="96">
        <v>24</v>
      </c>
      <c r="I22" s="96">
        <f t="shared" si="1"/>
        <v>26</v>
      </c>
      <c r="J22" s="16">
        <f t="shared" si="2"/>
        <v>271992</v>
      </c>
      <c r="K22" s="41">
        <f t="shared" si="3"/>
        <v>294658</v>
      </c>
      <c r="L22" s="11"/>
      <c r="M22" s="180" t="e">
        <f>#REF!-G22</f>
        <v>#REF!</v>
      </c>
    </row>
    <row r="23" spans="1:13" s="114" customFormat="1">
      <c r="A23" s="160">
        <v>18</v>
      </c>
      <c r="B23" s="181" t="s">
        <v>136</v>
      </c>
      <c r="C23" s="41">
        <v>200000</v>
      </c>
      <c r="D23" s="41">
        <v>26660</v>
      </c>
      <c r="E23" s="41">
        <f t="shared" si="0"/>
        <v>226660</v>
      </c>
      <c r="F23" s="151">
        <v>40</v>
      </c>
      <c r="G23" s="41">
        <v>5666.5</v>
      </c>
      <c r="H23" s="96">
        <v>48</v>
      </c>
      <c r="I23" s="96">
        <f t="shared" si="1"/>
        <v>-8</v>
      </c>
      <c r="J23" s="16">
        <f t="shared" si="2"/>
        <v>271992</v>
      </c>
      <c r="K23" s="41">
        <f t="shared" si="3"/>
        <v>-45332</v>
      </c>
      <c r="L23" s="152"/>
      <c r="M23" s="180" t="e">
        <f>#REF!-G23</f>
        <v>#REF!</v>
      </c>
    </row>
    <row r="24" spans="1:13" s="114" customFormat="1">
      <c r="A24" s="160">
        <v>19</v>
      </c>
      <c r="B24" s="181" t="s">
        <v>54</v>
      </c>
      <c r="C24" s="16">
        <v>500000</v>
      </c>
      <c r="D24" s="16">
        <v>66650</v>
      </c>
      <c r="E24" s="41">
        <f t="shared" si="0"/>
        <v>566650</v>
      </c>
      <c r="F24" s="33">
        <v>50</v>
      </c>
      <c r="G24" s="16">
        <v>11333</v>
      </c>
      <c r="H24" s="96">
        <v>33</v>
      </c>
      <c r="I24" s="96">
        <f t="shared" si="1"/>
        <v>17</v>
      </c>
      <c r="J24" s="16">
        <f t="shared" si="2"/>
        <v>373989</v>
      </c>
      <c r="K24" s="41">
        <f t="shared" si="3"/>
        <v>192661</v>
      </c>
      <c r="L24" s="11"/>
      <c r="M24" s="180" t="e">
        <f>#REF!-G24</f>
        <v>#REF!</v>
      </c>
    </row>
    <row r="25" spans="1:13" s="114" customFormat="1">
      <c r="A25" s="160">
        <v>20</v>
      </c>
      <c r="B25" s="181" t="s">
        <v>36</v>
      </c>
      <c r="C25" s="19">
        <v>500000</v>
      </c>
      <c r="D25" s="19">
        <v>66650</v>
      </c>
      <c r="E25" s="19">
        <v>566650</v>
      </c>
      <c r="F25" s="33">
        <v>50</v>
      </c>
      <c r="G25" s="16">
        <v>11333</v>
      </c>
      <c r="H25" s="96">
        <v>10</v>
      </c>
      <c r="I25" s="96">
        <f t="shared" si="1"/>
        <v>40</v>
      </c>
      <c r="J25" s="16">
        <f t="shared" si="2"/>
        <v>113330</v>
      </c>
      <c r="K25" s="16">
        <f t="shared" si="3"/>
        <v>453320</v>
      </c>
      <c r="L25" s="122"/>
      <c r="M25" s="180" t="e">
        <f>#REF!-G25</f>
        <v>#REF!</v>
      </c>
    </row>
    <row r="26" spans="1:13" s="114" customFormat="1">
      <c r="A26" s="160">
        <v>21</v>
      </c>
      <c r="B26" s="181" t="s">
        <v>55</v>
      </c>
      <c r="C26" s="16">
        <v>500000</v>
      </c>
      <c r="D26" s="16">
        <v>66650</v>
      </c>
      <c r="E26" s="41">
        <f>SUM(C26:D26)</f>
        <v>566650</v>
      </c>
      <c r="F26" s="33">
        <v>50</v>
      </c>
      <c r="G26" s="16">
        <v>11333</v>
      </c>
      <c r="H26" s="96">
        <v>45</v>
      </c>
      <c r="I26" s="96">
        <f t="shared" si="1"/>
        <v>5</v>
      </c>
      <c r="J26" s="16">
        <f t="shared" si="2"/>
        <v>509985</v>
      </c>
      <c r="K26" s="41">
        <f t="shared" si="3"/>
        <v>56665</v>
      </c>
      <c r="L26" s="11"/>
      <c r="M26" s="180" t="e">
        <f>#REF!-G26</f>
        <v>#REF!</v>
      </c>
    </row>
    <row r="27" spans="1:13" s="114" customFormat="1">
      <c r="A27" s="160">
        <v>22</v>
      </c>
      <c r="B27" s="181" t="s">
        <v>137</v>
      </c>
      <c r="C27" s="41">
        <v>200000</v>
      </c>
      <c r="D27" s="41">
        <v>26660</v>
      </c>
      <c r="E27" s="41">
        <f>SUM(C27:D27)</f>
        <v>226660</v>
      </c>
      <c r="F27" s="33">
        <v>40</v>
      </c>
      <c r="G27" s="41">
        <v>5666.5</v>
      </c>
      <c r="H27" s="96">
        <v>38</v>
      </c>
      <c r="I27" s="96">
        <f t="shared" si="1"/>
        <v>2</v>
      </c>
      <c r="J27" s="16">
        <f t="shared" si="2"/>
        <v>215327</v>
      </c>
      <c r="K27" s="41">
        <f t="shared" si="3"/>
        <v>11333</v>
      </c>
      <c r="L27" s="11"/>
      <c r="M27" s="180" t="e">
        <f>#REF!-G27</f>
        <v>#REF!</v>
      </c>
    </row>
    <row r="28" spans="1:13" s="114" customFormat="1">
      <c r="A28" s="160">
        <v>23</v>
      </c>
      <c r="B28" s="181" t="s">
        <v>282</v>
      </c>
      <c r="C28" s="16">
        <v>330000</v>
      </c>
      <c r="D28" s="16">
        <v>43989</v>
      </c>
      <c r="E28" s="41">
        <f>SUM(C28:D28)</f>
        <v>373989</v>
      </c>
      <c r="F28" s="33">
        <v>50</v>
      </c>
      <c r="G28" s="153">
        <v>7479.78</v>
      </c>
      <c r="H28" s="159">
        <v>33</v>
      </c>
      <c r="I28" s="97">
        <f t="shared" si="1"/>
        <v>17</v>
      </c>
      <c r="J28" s="91">
        <f>(32*7479.78)</f>
        <v>239352.95999999999</v>
      </c>
      <c r="K28" s="94">
        <f t="shared" si="3"/>
        <v>134636.04</v>
      </c>
      <c r="L28" s="11"/>
      <c r="M28" s="180" t="e">
        <f>#REF!-G28</f>
        <v>#REF!</v>
      </c>
    </row>
    <row r="29" spans="1:13" s="114" customFormat="1">
      <c r="A29" s="160">
        <v>24</v>
      </c>
      <c r="B29" s="181" t="s">
        <v>56</v>
      </c>
      <c r="C29" s="16">
        <v>500000</v>
      </c>
      <c r="D29" s="16">
        <v>66650</v>
      </c>
      <c r="E29" s="41">
        <f>SUM(C29:D29)</f>
        <v>566650</v>
      </c>
      <c r="F29" s="33">
        <v>50</v>
      </c>
      <c r="G29" s="16">
        <v>11333</v>
      </c>
      <c r="H29" s="97">
        <v>45</v>
      </c>
      <c r="I29" s="97">
        <f t="shared" si="1"/>
        <v>5</v>
      </c>
      <c r="J29" s="91">
        <f>H29*G29</f>
        <v>509985</v>
      </c>
      <c r="K29" s="94">
        <f t="shared" si="3"/>
        <v>56665</v>
      </c>
      <c r="L29" s="11"/>
      <c r="M29" s="180" t="e">
        <f>#REF!-G29</f>
        <v>#REF!</v>
      </c>
    </row>
    <row r="30" spans="1:13" s="114" customFormat="1">
      <c r="A30" s="160">
        <v>25</v>
      </c>
      <c r="B30" s="181" t="s">
        <v>40</v>
      </c>
      <c r="C30" s="16">
        <v>450000</v>
      </c>
      <c r="D30" s="16">
        <v>59985</v>
      </c>
      <c r="E30" s="16">
        <v>509985</v>
      </c>
      <c r="F30" s="33">
        <v>50</v>
      </c>
      <c r="G30" s="16">
        <v>10199.700000000001</v>
      </c>
      <c r="H30" s="97">
        <v>9</v>
      </c>
      <c r="I30" s="97">
        <f t="shared" si="1"/>
        <v>41</v>
      </c>
      <c r="J30" s="91">
        <f>H30*G30</f>
        <v>91797.3</v>
      </c>
      <c r="K30" s="91">
        <f t="shared" si="3"/>
        <v>418187.7</v>
      </c>
      <c r="L30" s="11"/>
      <c r="M30" s="180" t="e">
        <f>#REF!-G30</f>
        <v>#REF!</v>
      </c>
    </row>
    <row r="31" spans="1:13" s="114" customFormat="1">
      <c r="A31" s="160">
        <v>26</v>
      </c>
      <c r="B31" s="181" t="s">
        <v>224</v>
      </c>
      <c r="C31" s="16">
        <v>450000</v>
      </c>
      <c r="D31" s="16">
        <v>59985</v>
      </c>
      <c r="E31" s="16">
        <v>509985</v>
      </c>
      <c r="F31" s="33">
        <v>50</v>
      </c>
      <c r="G31" s="19">
        <v>10199.700000000001</v>
      </c>
      <c r="H31" s="97">
        <v>24</v>
      </c>
      <c r="I31" s="97">
        <f t="shared" si="1"/>
        <v>26</v>
      </c>
      <c r="J31" s="91">
        <f>H31*G31</f>
        <v>244792.80000000002</v>
      </c>
      <c r="K31" s="94">
        <f t="shared" si="3"/>
        <v>265192.19999999995</v>
      </c>
      <c r="L31" s="11"/>
      <c r="M31" s="180" t="e">
        <f>#REF!-G31</f>
        <v>#REF!</v>
      </c>
    </row>
    <row r="32" spans="1:13" s="114" customFormat="1">
      <c r="A32" s="160">
        <v>27</v>
      </c>
      <c r="B32" s="181" t="s">
        <v>50</v>
      </c>
      <c r="C32" s="16">
        <v>500000</v>
      </c>
      <c r="D32" s="16">
        <v>53320</v>
      </c>
      <c r="E32" s="41">
        <f t="shared" ref="E32:E41" si="4">SUM(C32:D32)</f>
        <v>553320</v>
      </c>
      <c r="F32" s="33">
        <v>40</v>
      </c>
      <c r="G32" s="16">
        <v>13833</v>
      </c>
      <c r="H32" s="97">
        <v>45</v>
      </c>
      <c r="I32" s="97">
        <f t="shared" si="1"/>
        <v>-5</v>
      </c>
      <c r="J32" s="91">
        <f>H32*G32</f>
        <v>622485</v>
      </c>
      <c r="K32" s="94">
        <f t="shared" si="3"/>
        <v>-69165</v>
      </c>
      <c r="L32" s="11"/>
      <c r="M32" s="180" t="e">
        <f>#REF!-G32</f>
        <v>#REF!</v>
      </c>
    </row>
    <row r="33" spans="1:13" s="114" customFormat="1">
      <c r="A33" s="160">
        <v>28</v>
      </c>
      <c r="B33" s="181" t="s">
        <v>57</v>
      </c>
      <c r="C33" s="16">
        <v>500000</v>
      </c>
      <c r="D33" s="16">
        <v>66650</v>
      </c>
      <c r="E33" s="41">
        <f t="shared" si="4"/>
        <v>566650</v>
      </c>
      <c r="F33" s="33">
        <v>50</v>
      </c>
      <c r="G33" s="16">
        <v>11333</v>
      </c>
      <c r="H33" s="97">
        <v>24</v>
      </c>
      <c r="I33" s="97">
        <f t="shared" si="1"/>
        <v>26</v>
      </c>
      <c r="J33" s="91">
        <f>H33*G33</f>
        <v>271992</v>
      </c>
      <c r="K33" s="94">
        <f t="shared" si="3"/>
        <v>294658</v>
      </c>
      <c r="L33" s="11"/>
      <c r="M33" s="180" t="e">
        <f>#REF!-G33</f>
        <v>#REF!</v>
      </c>
    </row>
    <row r="34" spans="1:13" s="114" customFormat="1">
      <c r="A34" s="160">
        <v>29</v>
      </c>
      <c r="B34" s="181" t="s">
        <v>265</v>
      </c>
      <c r="C34" s="16">
        <v>60000</v>
      </c>
      <c r="D34" s="16">
        <v>7998</v>
      </c>
      <c r="E34" s="41">
        <f t="shared" si="4"/>
        <v>67998</v>
      </c>
      <c r="F34" s="33">
        <v>40</v>
      </c>
      <c r="G34" s="153">
        <v>1699.95</v>
      </c>
      <c r="H34" s="97"/>
      <c r="I34" s="97">
        <f t="shared" si="1"/>
        <v>40</v>
      </c>
      <c r="J34" s="91"/>
      <c r="K34" s="94">
        <f t="shared" si="3"/>
        <v>67998</v>
      </c>
      <c r="L34" s="11"/>
      <c r="M34" s="180" t="e">
        <f>#REF!-G34</f>
        <v>#REF!</v>
      </c>
    </row>
    <row r="35" spans="1:13" s="114" customFormat="1">
      <c r="A35" s="160">
        <v>30</v>
      </c>
      <c r="B35" s="181" t="s">
        <v>283</v>
      </c>
      <c r="C35" s="16">
        <v>500000</v>
      </c>
      <c r="D35" s="16">
        <v>66650</v>
      </c>
      <c r="E35" s="41">
        <f t="shared" si="4"/>
        <v>566650</v>
      </c>
      <c r="F35" s="33">
        <v>50</v>
      </c>
      <c r="G35" s="157">
        <v>11333</v>
      </c>
      <c r="H35" s="97">
        <v>34</v>
      </c>
      <c r="I35" s="97">
        <f t="shared" si="1"/>
        <v>16</v>
      </c>
      <c r="J35" s="91">
        <f t="shared" ref="J35:J46" si="5">H35*G35</f>
        <v>385322</v>
      </c>
      <c r="K35" s="94">
        <f t="shared" si="3"/>
        <v>181328</v>
      </c>
      <c r="L35" s="11" t="s">
        <v>276</v>
      </c>
      <c r="M35" s="180" t="e">
        <f>#REF!-G35</f>
        <v>#REF!</v>
      </c>
    </row>
    <row r="36" spans="1:13" s="114" customFormat="1">
      <c r="A36" s="160">
        <v>31</v>
      </c>
      <c r="B36" s="181" t="s">
        <v>139</v>
      </c>
      <c r="C36" s="41">
        <v>200000</v>
      </c>
      <c r="D36" s="41">
        <v>26660</v>
      </c>
      <c r="E36" s="41">
        <f t="shared" si="4"/>
        <v>226660</v>
      </c>
      <c r="F36" s="33">
        <v>40</v>
      </c>
      <c r="G36" s="41">
        <v>5666.5</v>
      </c>
      <c r="H36" s="97">
        <v>38</v>
      </c>
      <c r="I36" s="97">
        <f t="shared" si="1"/>
        <v>2</v>
      </c>
      <c r="J36" s="91">
        <f t="shared" si="5"/>
        <v>215327</v>
      </c>
      <c r="K36" s="94">
        <f t="shared" si="3"/>
        <v>11333</v>
      </c>
      <c r="L36" s="11"/>
      <c r="M36" s="180" t="e">
        <f>#REF!-G36</f>
        <v>#REF!</v>
      </c>
    </row>
    <row r="37" spans="1:13" s="114" customFormat="1">
      <c r="A37" s="160">
        <v>32</v>
      </c>
      <c r="B37" s="181" t="s">
        <v>140</v>
      </c>
      <c r="C37" s="15">
        <v>200000</v>
      </c>
      <c r="D37" s="15">
        <v>26660</v>
      </c>
      <c r="E37" s="15">
        <f t="shared" si="4"/>
        <v>226660</v>
      </c>
      <c r="F37" s="31">
        <v>40</v>
      </c>
      <c r="G37" s="15">
        <v>5666.5</v>
      </c>
      <c r="H37" s="14">
        <v>30</v>
      </c>
      <c r="I37" s="97">
        <f t="shared" si="1"/>
        <v>10</v>
      </c>
      <c r="J37" s="91">
        <f t="shared" si="5"/>
        <v>169995</v>
      </c>
      <c r="K37" s="15">
        <f t="shared" si="3"/>
        <v>56665</v>
      </c>
      <c r="L37" s="8"/>
      <c r="M37" s="180" t="e">
        <f>#REF!-G37</f>
        <v>#REF!</v>
      </c>
    </row>
    <row r="38" spans="1:13" s="114" customFormat="1">
      <c r="A38" s="160">
        <v>33</v>
      </c>
      <c r="B38" s="181" t="s">
        <v>141</v>
      </c>
      <c r="C38" s="41">
        <v>200000</v>
      </c>
      <c r="D38" s="41">
        <v>26660</v>
      </c>
      <c r="E38" s="41">
        <f t="shared" si="4"/>
        <v>226660</v>
      </c>
      <c r="F38" s="33">
        <v>40</v>
      </c>
      <c r="G38" s="41">
        <v>5666.5</v>
      </c>
      <c r="H38" s="97">
        <v>38</v>
      </c>
      <c r="I38" s="97">
        <f t="shared" ref="I38:I69" si="6">F38-H38</f>
        <v>2</v>
      </c>
      <c r="J38" s="91">
        <f t="shared" si="5"/>
        <v>215327</v>
      </c>
      <c r="K38" s="94">
        <f t="shared" ref="K38:K69" si="7">E38-J38</f>
        <v>11333</v>
      </c>
      <c r="L38" s="11"/>
      <c r="M38" s="180" t="e">
        <f>#REF!-G38</f>
        <v>#REF!</v>
      </c>
    </row>
    <row r="39" spans="1:13" s="114" customFormat="1">
      <c r="A39" s="160">
        <v>34</v>
      </c>
      <c r="B39" s="181" t="s">
        <v>107</v>
      </c>
      <c r="C39" s="16">
        <v>330000</v>
      </c>
      <c r="D39" s="16">
        <v>43989</v>
      </c>
      <c r="E39" s="41">
        <f t="shared" si="4"/>
        <v>373989</v>
      </c>
      <c r="F39" s="33">
        <v>50</v>
      </c>
      <c r="G39" s="16">
        <v>7479.78</v>
      </c>
      <c r="H39" s="97">
        <v>45</v>
      </c>
      <c r="I39" s="97">
        <f t="shared" si="6"/>
        <v>5</v>
      </c>
      <c r="J39" s="91">
        <f t="shared" si="5"/>
        <v>336590.1</v>
      </c>
      <c r="K39" s="94">
        <f t="shared" si="7"/>
        <v>37398.900000000023</v>
      </c>
      <c r="L39" s="11"/>
      <c r="M39" s="180" t="e">
        <f>#REF!-G39</f>
        <v>#REF!</v>
      </c>
    </row>
    <row r="40" spans="1:13" s="114" customFormat="1">
      <c r="A40" s="160">
        <v>35</v>
      </c>
      <c r="B40" s="181" t="s">
        <v>108</v>
      </c>
      <c r="C40" s="16">
        <v>330000</v>
      </c>
      <c r="D40" s="16">
        <v>43989</v>
      </c>
      <c r="E40" s="41">
        <f t="shared" si="4"/>
        <v>373989</v>
      </c>
      <c r="F40" s="33">
        <v>50</v>
      </c>
      <c r="G40" s="16">
        <v>7479.78</v>
      </c>
      <c r="H40" s="97">
        <v>45</v>
      </c>
      <c r="I40" s="97">
        <f t="shared" si="6"/>
        <v>5</v>
      </c>
      <c r="J40" s="91">
        <f t="shared" si="5"/>
        <v>336590.1</v>
      </c>
      <c r="K40" s="94">
        <f t="shared" si="7"/>
        <v>37398.900000000023</v>
      </c>
      <c r="L40" s="11"/>
      <c r="M40" s="180" t="e">
        <f>#REF!-G40</f>
        <v>#REF!</v>
      </c>
    </row>
    <row r="41" spans="1:13" s="114" customFormat="1">
      <c r="A41" s="160">
        <v>36</v>
      </c>
      <c r="B41" s="181" t="s">
        <v>142</v>
      </c>
      <c r="C41" s="41">
        <v>200000</v>
      </c>
      <c r="D41" s="41">
        <v>26660</v>
      </c>
      <c r="E41" s="41">
        <f t="shared" si="4"/>
        <v>226660</v>
      </c>
      <c r="F41" s="33">
        <v>40</v>
      </c>
      <c r="G41" s="41">
        <v>5666.5</v>
      </c>
      <c r="H41" s="97">
        <v>38</v>
      </c>
      <c r="I41" s="97">
        <f t="shared" si="6"/>
        <v>2</v>
      </c>
      <c r="J41" s="91">
        <f t="shared" si="5"/>
        <v>215327</v>
      </c>
      <c r="K41" s="94">
        <f t="shared" si="7"/>
        <v>11333</v>
      </c>
      <c r="L41" s="11"/>
      <c r="M41" s="180" t="e">
        <f>#REF!-G41</f>
        <v>#REF!</v>
      </c>
    </row>
    <row r="42" spans="1:13" s="114" customFormat="1">
      <c r="A42" s="160">
        <v>37</v>
      </c>
      <c r="B42" s="181" t="s">
        <v>24</v>
      </c>
      <c r="C42" s="19">
        <v>500000</v>
      </c>
      <c r="D42" s="19">
        <v>66650</v>
      </c>
      <c r="E42" s="19">
        <v>566650</v>
      </c>
      <c r="F42" s="33">
        <v>50</v>
      </c>
      <c r="G42" s="16">
        <v>11333</v>
      </c>
      <c r="H42" s="97">
        <v>10</v>
      </c>
      <c r="I42" s="97">
        <f t="shared" si="6"/>
        <v>40</v>
      </c>
      <c r="J42" s="91">
        <f t="shared" si="5"/>
        <v>113330</v>
      </c>
      <c r="K42" s="91">
        <f t="shared" si="7"/>
        <v>453320</v>
      </c>
      <c r="L42" s="122"/>
      <c r="M42" s="180" t="e">
        <f>#REF!-G42</f>
        <v>#REF!</v>
      </c>
    </row>
    <row r="43" spans="1:13" s="114" customFormat="1">
      <c r="A43" s="160">
        <v>38</v>
      </c>
      <c r="B43" s="181" t="s">
        <v>192</v>
      </c>
      <c r="C43" s="16">
        <v>180000</v>
      </c>
      <c r="D43" s="16">
        <v>23994</v>
      </c>
      <c r="E43" s="41">
        <f>SUM(C43:D43)</f>
        <v>203994</v>
      </c>
      <c r="F43" s="33">
        <v>40</v>
      </c>
      <c r="G43" s="16">
        <v>5099.8500000000004</v>
      </c>
      <c r="H43" s="97">
        <v>35</v>
      </c>
      <c r="I43" s="97">
        <f t="shared" si="6"/>
        <v>5</v>
      </c>
      <c r="J43" s="91">
        <f t="shared" si="5"/>
        <v>178494.75</v>
      </c>
      <c r="K43" s="94">
        <f t="shared" si="7"/>
        <v>25499.25</v>
      </c>
      <c r="L43" s="11"/>
      <c r="M43" s="180" t="e">
        <f>#REF!-G43</f>
        <v>#REF!</v>
      </c>
    </row>
    <row r="44" spans="1:13" s="114" customFormat="1">
      <c r="A44" s="160">
        <v>39</v>
      </c>
      <c r="B44" s="181" t="s">
        <v>94</v>
      </c>
      <c r="C44" s="12">
        <v>450000</v>
      </c>
      <c r="D44" s="12">
        <v>59985</v>
      </c>
      <c r="E44" s="15">
        <f>SUM(C44:D44)</f>
        <v>509985</v>
      </c>
      <c r="F44" s="31">
        <v>50</v>
      </c>
      <c r="G44" s="12">
        <v>10199.700000000001</v>
      </c>
      <c r="H44" s="14">
        <v>27</v>
      </c>
      <c r="I44" s="97">
        <f t="shared" si="6"/>
        <v>23</v>
      </c>
      <c r="J44" s="91">
        <f t="shared" si="5"/>
        <v>275391.90000000002</v>
      </c>
      <c r="K44" s="15">
        <f t="shared" si="7"/>
        <v>234593.09999999998</v>
      </c>
      <c r="L44" s="8"/>
      <c r="M44" s="180" t="e">
        <f>#REF!-G44</f>
        <v>#REF!</v>
      </c>
    </row>
    <row r="45" spans="1:13" s="114" customFormat="1">
      <c r="A45" s="160">
        <v>40</v>
      </c>
      <c r="B45" s="181" t="s">
        <v>25</v>
      </c>
      <c r="C45" s="19">
        <v>500000</v>
      </c>
      <c r="D45" s="19">
        <v>66650</v>
      </c>
      <c r="E45" s="19">
        <v>566650</v>
      </c>
      <c r="F45" s="33">
        <v>50</v>
      </c>
      <c r="G45" s="16">
        <v>11333</v>
      </c>
      <c r="H45" s="97">
        <v>10</v>
      </c>
      <c r="I45" s="97">
        <f t="shared" si="6"/>
        <v>40</v>
      </c>
      <c r="J45" s="91">
        <f t="shared" si="5"/>
        <v>113330</v>
      </c>
      <c r="K45" s="91">
        <f t="shared" si="7"/>
        <v>453320</v>
      </c>
      <c r="L45" s="122"/>
      <c r="M45" s="180" t="e">
        <f>#REF!-G45</f>
        <v>#REF!</v>
      </c>
    </row>
    <row r="46" spans="1:13" s="114" customFormat="1">
      <c r="A46" s="160">
        <v>41</v>
      </c>
      <c r="B46" s="181" t="s">
        <v>284</v>
      </c>
      <c r="C46" s="19">
        <v>500000</v>
      </c>
      <c r="D46" s="19">
        <v>66650</v>
      </c>
      <c r="E46" s="19">
        <v>566650</v>
      </c>
      <c r="F46" s="33">
        <v>50</v>
      </c>
      <c r="G46" s="158">
        <v>11333</v>
      </c>
      <c r="H46" s="97">
        <v>30</v>
      </c>
      <c r="I46" s="97">
        <f t="shared" si="6"/>
        <v>20</v>
      </c>
      <c r="J46" s="91">
        <f t="shared" si="5"/>
        <v>339990</v>
      </c>
      <c r="K46" s="91">
        <f t="shared" si="7"/>
        <v>226660</v>
      </c>
      <c r="L46" s="122"/>
      <c r="M46" s="180" t="e">
        <f>#REF!-G46</f>
        <v>#REF!</v>
      </c>
    </row>
    <row r="47" spans="1:13" s="114" customFormat="1">
      <c r="A47" s="160">
        <v>42</v>
      </c>
      <c r="B47" s="181" t="s">
        <v>216</v>
      </c>
      <c r="C47" s="16">
        <v>60000</v>
      </c>
      <c r="D47" s="16">
        <v>7998</v>
      </c>
      <c r="E47" s="41">
        <f t="shared" ref="E47:E53" si="8">SUM(C47:D47)</f>
        <v>67998</v>
      </c>
      <c r="F47" s="33">
        <v>40</v>
      </c>
      <c r="G47" s="24">
        <v>1699.95</v>
      </c>
      <c r="H47" s="97"/>
      <c r="I47" s="97">
        <f t="shared" si="6"/>
        <v>40</v>
      </c>
      <c r="J47" s="91"/>
      <c r="K47" s="94">
        <f t="shared" si="7"/>
        <v>67998</v>
      </c>
      <c r="L47" s="11"/>
      <c r="M47" s="180" t="e">
        <f>#REF!-G47</f>
        <v>#REF!</v>
      </c>
    </row>
    <row r="48" spans="1:13" s="114" customFormat="1">
      <c r="A48" s="160">
        <v>43</v>
      </c>
      <c r="B48" s="181" t="s">
        <v>193</v>
      </c>
      <c r="C48" s="16">
        <v>180000</v>
      </c>
      <c r="D48" s="16">
        <v>23994</v>
      </c>
      <c r="E48" s="41">
        <f t="shared" si="8"/>
        <v>203994</v>
      </c>
      <c r="F48" s="33">
        <v>40</v>
      </c>
      <c r="G48" s="16">
        <v>5099.8500000000004</v>
      </c>
      <c r="H48" s="97">
        <v>38</v>
      </c>
      <c r="I48" s="97">
        <f t="shared" si="6"/>
        <v>2</v>
      </c>
      <c r="J48" s="91">
        <f t="shared" ref="J48:J53" si="9">H48*G48</f>
        <v>193794.30000000002</v>
      </c>
      <c r="K48" s="94">
        <f t="shared" si="7"/>
        <v>10199.699999999983</v>
      </c>
      <c r="L48" s="11"/>
      <c r="M48" s="180" t="e">
        <f>#REF!-G48</f>
        <v>#REF!</v>
      </c>
    </row>
    <row r="49" spans="1:13" s="114" customFormat="1">
      <c r="A49" s="160">
        <v>44</v>
      </c>
      <c r="B49" s="181" t="s">
        <v>58</v>
      </c>
      <c r="C49" s="16">
        <v>500000</v>
      </c>
      <c r="D49" s="16">
        <v>66650</v>
      </c>
      <c r="E49" s="41">
        <f t="shared" si="8"/>
        <v>566650</v>
      </c>
      <c r="F49" s="33">
        <v>50</v>
      </c>
      <c r="G49" s="16">
        <v>11333</v>
      </c>
      <c r="H49" s="97">
        <v>23</v>
      </c>
      <c r="I49" s="97">
        <f t="shared" si="6"/>
        <v>27</v>
      </c>
      <c r="J49" s="91">
        <f t="shared" si="9"/>
        <v>260659</v>
      </c>
      <c r="K49" s="94">
        <f t="shared" si="7"/>
        <v>305991</v>
      </c>
      <c r="L49" s="11"/>
      <c r="M49" s="180" t="e">
        <f>#REF!-G49</f>
        <v>#REF!</v>
      </c>
    </row>
    <row r="50" spans="1:13" s="114" customFormat="1">
      <c r="A50" s="160">
        <v>45</v>
      </c>
      <c r="B50" s="181" t="s">
        <v>59</v>
      </c>
      <c r="C50" s="16">
        <v>500000</v>
      </c>
      <c r="D50" s="16">
        <v>66650</v>
      </c>
      <c r="E50" s="41">
        <f t="shared" si="8"/>
        <v>566650</v>
      </c>
      <c r="F50" s="33">
        <v>50</v>
      </c>
      <c r="G50" s="16">
        <v>11333</v>
      </c>
      <c r="H50" s="97">
        <v>33</v>
      </c>
      <c r="I50" s="97">
        <f t="shared" si="6"/>
        <v>17</v>
      </c>
      <c r="J50" s="91">
        <f t="shared" si="9"/>
        <v>373989</v>
      </c>
      <c r="K50" s="94">
        <f t="shared" si="7"/>
        <v>192661</v>
      </c>
      <c r="L50" s="11"/>
      <c r="M50" s="180" t="e">
        <f>#REF!-G50</f>
        <v>#REF!</v>
      </c>
    </row>
    <row r="51" spans="1:13" s="114" customFormat="1">
      <c r="A51" s="160">
        <v>46</v>
      </c>
      <c r="B51" s="181" t="s">
        <v>60</v>
      </c>
      <c r="C51" s="16">
        <v>500000</v>
      </c>
      <c r="D51" s="16">
        <v>66650</v>
      </c>
      <c r="E51" s="41">
        <f t="shared" si="8"/>
        <v>566650</v>
      </c>
      <c r="F51" s="33">
        <v>50</v>
      </c>
      <c r="G51" s="16">
        <v>11333</v>
      </c>
      <c r="H51" s="97">
        <v>33</v>
      </c>
      <c r="I51" s="97">
        <f t="shared" si="6"/>
        <v>17</v>
      </c>
      <c r="J51" s="91">
        <f t="shared" si="9"/>
        <v>373989</v>
      </c>
      <c r="K51" s="94">
        <f t="shared" si="7"/>
        <v>192661</v>
      </c>
      <c r="L51" s="11"/>
      <c r="M51" s="180" t="e">
        <f>#REF!-G51</f>
        <v>#REF!</v>
      </c>
    </row>
    <row r="52" spans="1:13" s="114" customFormat="1">
      <c r="A52" s="160">
        <v>47</v>
      </c>
      <c r="B52" s="181" t="s">
        <v>147</v>
      </c>
      <c r="C52" s="16">
        <v>500000</v>
      </c>
      <c r="D52" s="16">
        <v>66650</v>
      </c>
      <c r="E52" s="41">
        <f t="shared" si="8"/>
        <v>566650</v>
      </c>
      <c r="F52" s="33">
        <v>50</v>
      </c>
      <c r="G52" s="24">
        <v>5666.5</v>
      </c>
      <c r="H52" s="97">
        <v>33</v>
      </c>
      <c r="I52" s="97">
        <f t="shared" si="6"/>
        <v>17</v>
      </c>
      <c r="J52" s="91">
        <f t="shared" si="9"/>
        <v>186994.5</v>
      </c>
      <c r="K52" s="94">
        <f t="shared" si="7"/>
        <v>379655.5</v>
      </c>
      <c r="L52" s="11"/>
      <c r="M52" s="180" t="e">
        <f>#REF!-G52</f>
        <v>#REF!</v>
      </c>
    </row>
    <row r="53" spans="1:13" s="114" customFormat="1">
      <c r="A53" s="160">
        <v>48</v>
      </c>
      <c r="B53" s="181" t="s">
        <v>149</v>
      </c>
      <c r="C53" s="41">
        <v>200000</v>
      </c>
      <c r="D53" s="41">
        <v>26660</v>
      </c>
      <c r="E53" s="41">
        <f t="shared" si="8"/>
        <v>226660</v>
      </c>
      <c r="F53" s="33">
        <v>40</v>
      </c>
      <c r="G53" s="41">
        <v>5666.5</v>
      </c>
      <c r="H53" s="97">
        <v>38</v>
      </c>
      <c r="I53" s="97">
        <f t="shared" si="6"/>
        <v>2</v>
      </c>
      <c r="J53" s="91">
        <f t="shared" si="9"/>
        <v>215327</v>
      </c>
      <c r="K53" s="94">
        <f t="shared" si="7"/>
        <v>11333</v>
      </c>
      <c r="L53" s="11"/>
      <c r="M53" s="180" t="e">
        <f>#REF!-G53</f>
        <v>#REF!</v>
      </c>
    </row>
    <row r="54" spans="1:13" s="114" customFormat="1">
      <c r="A54" s="160">
        <v>49</v>
      </c>
      <c r="B54" s="181" t="s">
        <v>269</v>
      </c>
      <c r="C54" s="16">
        <v>450000</v>
      </c>
      <c r="D54" s="16">
        <v>59985</v>
      </c>
      <c r="E54" s="16">
        <v>509985</v>
      </c>
      <c r="F54" s="33">
        <v>50</v>
      </c>
      <c r="G54" s="154">
        <v>10199.700000000001</v>
      </c>
      <c r="H54" s="97">
        <v>2</v>
      </c>
      <c r="I54" s="97">
        <f t="shared" si="6"/>
        <v>48</v>
      </c>
      <c r="J54" s="91">
        <f>(1*10199.7)</f>
        <v>10199.700000000001</v>
      </c>
      <c r="K54" s="94">
        <f t="shared" si="7"/>
        <v>499785.3</v>
      </c>
      <c r="L54" s="11"/>
      <c r="M54" s="180" t="e">
        <f>#REF!-G54</f>
        <v>#REF!</v>
      </c>
    </row>
    <row r="55" spans="1:13" s="114" customFormat="1">
      <c r="A55" s="160">
        <v>50</v>
      </c>
      <c r="B55" s="181" t="s">
        <v>12</v>
      </c>
      <c r="C55" s="16">
        <v>450000</v>
      </c>
      <c r="D55" s="16">
        <v>59985</v>
      </c>
      <c r="E55" s="41">
        <f t="shared" ref="E55:E68" si="10">SUM(C55:D55)</f>
        <v>509985</v>
      </c>
      <c r="F55" s="33">
        <v>50</v>
      </c>
      <c r="G55" s="16">
        <v>11333</v>
      </c>
      <c r="H55" s="97">
        <v>13</v>
      </c>
      <c r="I55" s="97">
        <f t="shared" si="6"/>
        <v>37</v>
      </c>
      <c r="J55" s="91">
        <f t="shared" ref="J55:J86" si="11">H55*G55</f>
        <v>147329</v>
      </c>
      <c r="K55" s="94">
        <f t="shared" si="7"/>
        <v>362656</v>
      </c>
      <c r="L55" s="11"/>
      <c r="M55" s="180" t="e">
        <f>#REF!-G55</f>
        <v>#REF!</v>
      </c>
    </row>
    <row r="56" spans="1:13" s="114" customFormat="1">
      <c r="A56" s="160">
        <v>51</v>
      </c>
      <c r="B56" s="181" t="s">
        <v>211</v>
      </c>
      <c r="C56" s="12">
        <v>150000</v>
      </c>
      <c r="D56" s="12">
        <v>19995</v>
      </c>
      <c r="E56" s="15">
        <f t="shared" si="10"/>
        <v>169995</v>
      </c>
      <c r="F56" s="31">
        <v>50</v>
      </c>
      <c r="G56" s="12">
        <v>3399.9</v>
      </c>
      <c r="H56" s="14">
        <v>29</v>
      </c>
      <c r="I56" s="97">
        <f t="shared" si="6"/>
        <v>21</v>
      </c>
      <c r="J56" s="91">
        <f t="shared" si="11"/>
        <v>98597.1</v>
      </c>
      <c r="K56" s="15">
        <f t="shared" si="7"/>
        <v>71397.899999999994</v>
      </c>
      <c r="L56" s="8"/>
      <c r="M56" s="180" t="e">
        <f>#REF!-G56</f>
        <v>#REF!</v>
      </c>
    </row>
    <row r="57" spans="1:13" s="114" customFormat="1">
      <c r="A57" s="160">
        <v>52</v>
      </c>
      <c r="B57" s="181" t="s">
        <v>111</v>
      </c>
      <c r="C57" s="16">
        <v>330000</v>
      </c>
      <c r="D57" s="16">
        <v>43989</v>
      </c>
      <c r="E57" s="41">
        <f t="shared" si="10"/>
        <v>373989</v>
      </c>
      <c r="F57" s="33">
        <v>50</v>
      </c>
      <c r="G57" s="16">
        <v>7479.78</v>
      </c>
      <c r="H57" s="97">
        <v>24</v>
      </c>
      <c r="I57" s="97">
        <f t="shared" si="6"/>
        <v>26</v>
      </c>
      <c r="J57" s="91">
        <f t="shared" si="11"/>
        <v>179514.72</v>
      </c>
      <c r="K57" s="94">
        <f t="shared" si="7"/>
        <v>194474.28</v>
      </c>
      <c r="L57" s="11"/>
      <c r="M57" s="180" t="e">
        <f>#REF!-G57</f>
        <v>#REF!</v>
      </c>
    </row>
    <row r="58" spans="1:13" s="114" customFormat="1">
      <c r="A58" s="160">
        <v>53</v>
      </c>
      <c r="B58" s="181" t="s">
        <v>153</v>
      </c>
      <c r="C58" s="15">
        <v>200000</v>
      </c>
      <c r="D58" s="15">
        <v>26660</v>
      </c>
      <c r="E58" s="15">
        <f t="shared" si="10"/>
        <v>226660</v>
      </c>
      <c r="F58" s="31">
        <v>40</v>
      </c>
      <c r="G58" s="15">
        <v>5666.5</v>
      </c>
      <c r="H58" s="14">
        <v>36</v>
      </c>
      <c r="I58" s="97">
        <f t="shared" si="6"/>
        <v>4</v>
      </c>
      <c r="J58" s="91">
        <f t="shared" si="11"/>
        <v>203994</v>
      </c>
      <c r="K58" s="15">
        <f t="shared" si="7"/>
        <v>22666</v>
      </c>
      <c r="L58" s="8"/>
      <c r="M58" s="180" t="e">
        <f>#REF!-G58</f>
        <v>#REF!</v>
      </c>
    </row>
    <row r="59" spans="1:13" s="114" customFormat="1">
      <c r="A59" s="160">
        <v>54</v>
      </c>
      <c r="B59" s="181" t="s">
        <v>112</v>
      </c>
      <c r="C59" s="16">
        <v>330000</v>
      </c>
      <c r="D59" s="16">
        <v>43989</v>
      </c>
      <c r="E59" s="41">
        <f t="shared" si="10"/>
        <v>373989</v>
      </c>
      <c r="F59" s="33">
        <v>50</v>
      </c>
      <c r="G59" s="16">
        <v>7479.78</v>
      </c>
      <c r="H59" s="97">
        <v>24</v>
      </c>
      <c r="I59" s="97">
        <f t="shared" si="6"/>
        <v>26</v>
      </c>
      <c r="J59" s="91">
        <f t="shared" si="11"/>
        <v>179514.72</v>
      </c>
      <c r="K59" s="94">
        <f t="shared" si="7"/>
        <v>194474.28</v>
      </c>
      <c r="L59" s="11"/>
      <c r="M59" s="180" t="e">
        <f>#REF!-G59</f>
        <v>#REF!</v>
      </c>
    </row>
    <row r="60" spans="1:13" s="114" customFormat="1">
      <c r="A60" s="160">
        <v>55</v>
      </c>
      <c r="B60" s="181" t="s">
        <v>285</v>
      </c>
      <c r="C60" s="41">
        <v>200000</v>
      </c>
      <c r="D60" s="41">
        <v>26660</v>
      </c>
      <c r="E60" s="41">
        <f t="shared" si="10"/>
        <v>226660</v>
      </c>
      <c r="F60" s="33">
        <v>40</v>
      </c>
      <c r="G60" s="41">
        <v>7479</v>
      </c>
      <c r="H60" s="97">
        <v>9</v>
      </c>
      <c r="I60" s="97">
        <f t="shared" si="6"/>
        <v>31</v>
      </c>
      <c r="J60" s="91">
        <f t="shared" si="11"/>
        <v>67311</v>
      </c>
      <c r="K60" s="94">
        <f t="shared" si="7"/>
        <v>159349</v>
      </c>
      <c r="L60" s="11"/>
      <c r="M60" s="180" t="e">
        <f>#REF!-G60</f>
        <v>#REF!</v>
      </c>
    </row>
    <row r="61" spans="1:13" s="114" customFormat="1">
      <c r="A61" s="160">
        <v>56</v>
      </c>
      <c r="B61" s="181" t="s">
        <v>62</v>
      </c>
      <c r="C61" s="16">
        <v>500000</v>
      </c>
      <c r="D61" s="16">
        <v>66650</v>
      </c>
      <c r="E61" s="41">
        <f t="shared" si="10"/>
        <v>566650</v>
      </c>
      <c r="F61" s="33">
        <v>50</v>
      </c>
      <c r="G61" s="16">
        <v>11333</v>
      </c>
      <c r="H61" s="97">
        <v>23</v>
      </c>
      <c r="I61" s="97">
        <f t="shared" si="6"/>
        <v>27</v>
      </c>
      <c r="J61" s="91">
        <f t="shared" si="11"/>
        <v>260659</v>
      </c>
      <c r="K61" s="94">
        <f t="shared" si="7"/>
        <v>305991</v>
      </c>
      <c r="L61" s="11"/>
      <c r="M61" s="180" t="e">
        <f>#REF!-G61</f>
        <v>#REF!</v>
      </c>
    </row>
    <row r="62" spans="1:13" s="114" customFormat="1">
      <c r="A62" s="160">
        <v>57</v>
      </c>
      <c r="B62" s="181" t="s">
        <v>63</v>
      </c>
      <c r="C62" s="16">
        <v>500000</v>
      </c>
      <c r="D62" s="16">
        <v>66650</v>
      </c>
      <c r="E62" s="41">
        <f t="shared" si="10"/>
        <v>566650</v>
      </c>
      <c r="F62" s="33">
        <v>50</v>
      </c>
      <c r="G62" s="16">
        <v>11333</v>
      </c>
      <c r="H62" s="97">
        <v>24</v>
      </c>
      <c r="I62" s="97">
        <f t="shared" si="6"/>
        <v>26</v>
      </c>
      <c r="J62" s="91">
        <f t="shared" si="11"/>
        <v>271992</v>
      </c>
      <c r="K62" s="94">
        <f t="shared" si="7"/>
        <v>294658</v>
      </c>
      <c r="L62" s="11"/>
      <c r="M62" s="180" t="e">
        <f>#REF!-G62</f>
        <v>#REF!</v>
      </c>
    </row>
    <row r="63" spans="1:13" s="114" customFormat="1">
      <c r="A63" s="160">
        <v>58</v>
      </c>
      <c r="B63" s="181" t="s">
        <v>64</v>
      </c>
      <c r="C63" s="16">
        <v>500000</v>
      </c>
      <c r="D63" s="16">
        <v>66650</v>
      </c>
      <c r="E63" s="41">
        <f t="shared" si="10"/>
        <v>566650</v>
      </c>
      <c r="F63" s="33">
        <v>50</v>
      </c>
      <c r="G63" s="16">
        <v>11333</v>
      </c>
      <c r="H63" s="97">
        <v>23</v>
      </c>
      <c r="I63" s="97">
        <f t="shared" si="6"/>
        <v>27</v>
      </c>
      <c r="J63" s="91">
        <f t="shared" si="11"/>
        <v>260659</v>
      </c>
      <c r="K63" s="94">
        <f t="shared" si="7"/>
        <v>305991</v>
      </c>
      <c r="L63" s="11"/>
      <c r="M63" s="180" t="e">
        <f>#REF!-G63</f>
        <v>#REF!</v>
      </c>
    </row>
    <row r="64" spans="1:13" s="114" customFormat="1">
      <c r="A64" s="160">
        <v>59</v>
      </c>
      <c r="B64" s="181" t="s">
        <v>65</v>
      </c>
      <c r="C64" s="12">
        <v>500000</v>
      </c>
      <c r="D64" s="12">
        <v>66650</v>
      </c>
      <c r="E64" s="15">
        <f t="shared" si="10"/>
        <v>566650</v>
      </c>
      <c r="F64" s="31">
        <v>50</v>
      </c>
      <c r="G64" s="12">
        <v>11333</v>
      </c>
      <c r="H64" s="14">
        <v>29</v>
      </c>
      <c r="I64" s="97">
        <f t="shared" si="6"/>
        <v>21</v>
      </c>
      <c r="J64" s="91">
        <f t="shared" si="11"/>
        <v>328657</v>
      </c>
      <c r="K64" s="15">
        <f t="shared" si="7"/>
        <v>237993</v>
      </c>
      <c r="L64" s="8"/>
      <c r="M64" s="180" t="e">
        <f>#REF!-G64</f>
        <v>#REF!</v>
      </c>
    </row>
    <row r="65" spans="1:13" s="114" customFormat="1">
      <c r="A65" s="160">
        <v>60</v>
      </c>
      <c r="B65" s="181" t="s">
        <v>113</v>
      </c>
      <c r="C65" s="16">
        <v>330000</v>
      </c>
      <c r="D65" s="16">
        <v>43989</v>
      </c>
      <c r="E65" s="41">
        <f t="shared" si="10"/>
        <v>373989</v>
      </c>
      <c r="F65" s="33">
        <v>50</v>
      </c>
      <c r="G65" s="16">
        <v>7479.78</v>
      </c>
      <c r="H65" s="97">
        <v>45</v>
      </c>
      <c r="I65" s="97">
        <f t="shared" si="6"/>
        <v>5</v>
      </c>
      <c r="J65" s="91">
        <f t="shared" si="11"/>
        <v>336590.1</v>
      </c>
      <c r="K65" s="94">
        <f t="shared" si="7"/>
        <v>37398.900000000023</v>
      </c>
      <c r="L65" s="11"/>
      <c r="M65" s="180" t="e">
        <f>#REF!-G65</f>
        <v>#REF!</v>
      </c>
    </row>
    <row r="66" spans="1:13" s="114" customFormat="1">
      <c r="A66" s="160">
        <v>61</v>
      </c>
      <c r="B66" s="181" t="s">
        <v>203</v>
      </c>
      <c r="C66" s="16">
        <v>132000</v>
      </c>
      <c r="D66" s="16">
        <v>17595.599999999999</v>
      </c>
      <c r="E66" s="41">
        <f t="shared" si="10"/>
        <v>149595.6</v>
      </c>
      <c r="F66" s="33">
        <v>40</v>
      </c>
      <c r="G66" s="16">
        <v>3739.89</v>
      </c>
      <c r="H66" s="97">
        <v>38</v>
      </c>
      <c r="I66" s="97">
        <f t="shared" si="6"/>
        <v>2</v>
      </c>
      <c r="J66" s="91">
        <f t="shared" si="11"/>
        <v>142115.82</v>
      </c>
      <c r="K66" s="94">
        <f t="shared" si="7"/>
        <v>7479.7799999999988</v>
      </c>
      <c r="L66" s="11"/>
      <c r="M66" s="180" t="e">
        <f>#REF!-G66</f>
        <v>#REF!</v>
      </c>
    </row>
    <row r="67" spans="1:13" s="114" customFormat="1">
      <c r="A67" s="160">
        <v>62</v>
      </c>
      <c r="B67" s="181" t="s">
        <v>155</v>
      </c>
      <c r="C67" s="41">
        <v>200000</v>
      </c>
      <c r="D67" s="41">
        <v>26660</v>
      </c>
      <c r="E67" s="41">
        <f t="shared" si="10"/>
        <v>226660</v>
      </c>
      <c r="F67" s="33">
        <v>40</v>
      </c>
      <c r="G67" s="41">
        <v>5666.5</v>
      </c>
      <c r="H67" s="97">
        <v>38</v>
      </c>
      <c r="I67" s="97">
        <f t="shared" si="6"/>
        <v>2</v>
      </c>
      <c r="J67" s="91">
        <f t="shared" si="11"/>
        <v>215327</v>
      </c>
      <c r="K67" s="94">
        <f t="shared" si="7"/>
        <v>11333</v>
      </c>
      <c r="L67" s="11"/>
      <c r="M67" s="180" t="e">
        <f>#REF!-G67</f>
        <v>#REF!</v>
      </c>
    </row>
    <row r="68" spans="1:13" s="114" customFormat="1">
      <c r="A68" s="160">
        <v>63</v>
      </c>
      <c r="B68" s="181" t="s">
        <v>68</v>
      </c>
      <c r="C68" s="16">
        <v>500000</v>
      </c>
      <c r="D68" s="16">
        <v>66650</v>
      </c>
      <c r="E68" s="41">
        <f t="shared" si="10"/>
        <v>566650</v>
      </c>
      <c r="F68" s="33">
        <v>50</v>
      </c>
      <c r="G68" s="16">
        <v>11333</v>
      </c>
      <c r="H68" s="97">
        <v>45</v>
      </c>
      <c r="I68" s="97">
        <f t="shared" si="6"/>
        <v>5</v>
      </c>
      <c r="J68" s="91">
        <f t="shared" si="11"/>
        <v>509985</v>
      </c>
      <c r="K68" s="94">
        <f t="shared" si="7"/>
        <v>56665</v>
      </c>
      <c r="L68" s="11"/>
      <c r="M68" s="180" t="e">
        <f>#REF!-G68</f>
        <v>#REF!</v>
      </c>
    </row>
    <row r="69" spans="1:13" s="114" customFormat="1">
      <c r="A69" s="160">
        <v>64</v>
      </c>
      <c r="B69" s="181" t="s">
        <v>28</v>
      </c>
      <c r="C69" s="19">
        <v>500000</v>
      </c>
      <c r="D69" s="19">
        <v>66650</v>
      </c>
      <c r="E69" s="19">
        <v>566650</v>
      </c>
      <c r="F69" s="33">
        <v>50</v>
      </c>
      <c r="G69" s="16">
        <v>11333</v>
      </c>
      <c r="H69" s="97">
        <v>9</v>
      </c>
      <c r="I69" s="97">
        <f t="shared" si="6"/>
        <v>41</v>
      </c>
      <c r="J69" s="91">
        <f t="shared" si="11"/>
        <v>101997</v>
      </c>
      <c r="K69" s="91">
        <f t="shared" si="7"/>
        <v>464653</v>
      </c>
      <c r="L69" s="122"/>
      <c r="M69" s="180" t="e">
        <f>#REF!-G69</f>
        <v>#REF!</v>
      </c>
    </row>
    <row r="70" spans="1:13" s="114" customFormat="1">
      <c r="A70" s="160">
        <v>65</v>
      </c>
      <c r="B70" s="181" t="s">
        <v>212</v>
      </c>
      <c r="C70" s="16">
        <v>150000</v>
      </c>
      <c r="D70" s="16">
        <v>19995</v>
      </c>
      <c r="E70" s="41">
        <f>SUM(C70:D70)</f>
        <v>169995</v>
      </c>
      <c r="F70" s="33">
        <v>50</v>
      </c>
      <c r="G70" s="16">
        <v>3399.9</v>
      </c>
      <c r="H70" s="97">
        <v>33</v>
      </c>
      <c r="I70" s="97">
        <f t="shared" ref="I70:I101" si="12">F70-H70</f>
        <v>17</v>
      </c>
      <c r="J70" s="91">
        <f t="shared" si="11"/>
        <v>112196.7</v>
      </c>
      <c r="K70" s="94">
        <f t="shared" ref="K70:K101" si="13">E70-J70</f>
        <v>57798.3</v>
      </c>
      <c r="L70" s="11"/>
      <c r="M70" s="180" t="e">
        <f>#REF!-G70</f>
        <v>#REF!</v>
      </c>
    </row>
    <row r="71" spans="1:13" s="114" customFormat="1">
      <c r="A71" s="160">
        <v>66</v>
      </c>
      <c r="B71" s="181" t="s">
        <v>51</v>
      </c>
      <c r="C71" s="16">
        <v>500000</v>
      </c>
      <c r="D71" s="16">
        <v>53320</v>
      </c>
      <c r="E71" s="41">
        <f>SUM(C71:D71)</f>
        <v>553320</v>
      </c>
      <c r="F71" s="33">
        <v>40</v>
      </c>
      <c r="G71" s="16">
        <v>13833</v>
      </c>
      <c r="H71" s="97">
        <v>45</v>
      </c>
      <c r="I71" s="97">
        <f t="shared" si="12"/>
        <v>-5</v>
      </c>
      <c r="J71" s="91">
        <f t="shared" si="11"/>
        <v>622485</v>
      </c>
      <c r="K71" s="94">
        <f t="shared" si="13"/>
        <v>-69165</v>
      </c>
      <c r="L71" s="11"/>
      <c r="M71" s="180" t="e">
        <f>#REF!-G71</f>
        <v>#REF!</v>
      </c>
    </row>
    <row r="72" spans="1:13" s="114" customFormat="1">
      <c r="A72" s="160">
        <v>67</v>
      </c>
      <c r="B72" s="181" t="s">
        <v>204</v>
      </c>
      <c r="C72" s="16">
        <v>132000</v>
      </c>
      <c r="D72" s="16">
        <v>17595.599999999999</v>
      </c>
      <c r="E72" s="41">
        <f>SUM(C72:D72)</f>
        <v>149595.6</v>
      </c>
      <c r="F72" s="33">
        <v>40</v>
      </c>
      <c r="G72" s="16">
        <v>3739.89</v>
      </c>
      <c r="H72" s="97">
        <v>38</v>
      </c>
      <c r="I72" s="97">
        <f t="shared" si="12"/>
        <v>2</v>
      </c>
      <c r="J72" s="91">
        <f t="shared" si="11"/>
        <v>142115.82</v>
      </c>
      <c r="K72" s="94">
        <f t="shared" si="13"/>
        <v>7479.7799999999988</v>
      </c>
      <c r="L72" s="11"/>
      <c r="M72" s="180" t="e">
        <f>#REF!-G72</f>
        <v>#REF!</v>
      </c>
    </row>
    <row r="73" spans="1:13" s="114" customFormat="1">
      <c r="A73" s="160">
        <v>68</v>
      </c>
      <c r="B73" s="181" t="s">
        <v>223</v>
      </c>
      <c r="C73" s="16">
        <v>500000</v>
      </c>
      <c r="D73" s="16">
        <v>66650</v>
      </c>
      <c r="E73" s="16">
        <v>566650</v>
      </c>
      <c r="F73" s="33">
        <v>50</v>
      </c>
      <c r="G73" s="19">
        <v>11333</v>
      </c>
      <c r="H73" s="97">
        <v>24</v>
      </c>
      <c r="I73" s="97">
        <f t="shared" si="12"/>
        <v>26</v>
      </c>
      <c r="J73" s="91">
        <f t="shared" si="11"/>
        <v>271992</v>
      </c>
      <c r="K73" s="94">
        <f t="shared" si="13"/>
        <v>294658</v>
      </c>
      <c r="L73" s="11"/>
      <c r="M73" s="180" t="e">
        <f>#REF!-G73</f>
        <v>#REF!</v>
      </c>
    </row>
    <row r="74" spans="1:13" s="114" customFormat="1">
      <c r="A74" s="160">
        <v>69</v>
      </c>
      <c r="B74" s="181" t="s">
        <v>232</v>
      </c>
      <c r="C74" s="41">
        <v>200000</v>
      </c>
      <c r="D74" s="41">
        <v>26660</v>
      </c>
      <c r="E74" s="41">
        <v>226660</v>
      </c>
      <c r="F74" s="33">
        <v>40</v>
      </c>
      <c r="G74" s="19">
        <v>5666.5</v>
      </c>
      <c r="H74" s="97">
        <v>38</v>
      </c>
      <c r="I74" s="97">
        <f t="shared" si="12"/>
        <v>2</v>
      </c>
      <c r="J74" s="91">
        <f t="shared" si="11"/>
        <v>215327</v>
      </c>
      <c r="K74" s="94">
        <f t="shared" si="13"/>
        <v>11333</v>
      </c>
      <c r="L74" s="11"/>
      <c r="M74" s="180" t="e">
        <f>#REF!-G74</f>
        <v>#REF!</v>
      </c>
    </row>
    <row r="75" spans="1:13" s="114" customFormat="1">
      <c r="A75" s="160">
        <v>70</v>
      </c>
      <c r="B75" s="181" t="s">
        <v>162</v>
      </c>
      <c r="C75" s="41">
        <v>200000</v>
      </c>
      <c r="D75" s="41">
        <v>26660</v>
      </c>
      <c r="E75" s="41">
        <f t="shared" ref="E75:E82" si="14">SUM(C75:D75)</f>
        <v>226660</v>
      </c>
      <c r="F75" s="33">
        <v>40</v>
      </c>
      <c r="G75" s="41">
        <v>5666.5</v>
      </c>
      <c r="H75" s="97">
        <v>40</v>
      </c>
      <c r="I75" s="97">
        <f t="shared" si="12"/>
        <v>0</v>
      </c>
      <c r="J75" s="91">
        <f t="shared" si="11"/>
        <v>226660</v>
      </c>
      <c r="K75" s="94">
        <f t="shared" si="13"/>
        <v>0</v>
      </c>
      <c r="L75" s="11"/>
      <c r="M75" s="180" t="e">
        <f>#REF!-G75</f>
        <v>#REF!</v>
      </c>
    </row>
    <row r="76" spans="1:13" s="114" customFormat="1">
      <c r="A76" s="160">
        <v>71</v>
      </c>
      <c r="B76" s="181" t="s">
        <v>69</v>
      </c>
      <c r="C76" s="16">
        <v>500000</v>
      </c>
      <c r="D76" s="16">
        <v>66650</v>
      </c>
      <c r="E76" s="41">
        <f t="shared" si="14"/>
        <v>566650</v>
      </c>
      <c r="F76" s="33">
        <v>50</v>
      </c>
      <c r="G76" s="16">
        <v>11333</v>
      </c>
      <c r="H76" s="97">
        <v>24</v>
      </c>
      <c r="I76" s="97">
        <f t="shared" si="12"/>
        <v>26</v>
      </c>
      <c r="J76" s="91">
        <f t="shared" si="11"/>
        <v>271992</v>
      </c>
      <c r="K76" s="94">
        <f t="shared" si="13"/>
        <v>294658</v>
      </c>
      <c r="L76" s="11"/>
      <c r="M76" s="180" t="e">
        <f>#REF!-G76</f>
        <v>#REF!</v>
      </c>
    </row>
    <row r="77" spans="1:13" s="114" customFormat="1">
      <c r="A77" s="160">
        <v>72</v>
      </c>
      <c r="B77" s="181" t="s">
        <v>164</v>
      </c>
      <c r="C77" s="41">
        <v>200000</v>
      </c>
      <c r="D77" s="41">
        <v>26660</v>
      </c>
      <c r="E77" s="41">
        <f t="shared" si="14"/>
        <v>226660</v>
      </c>
      <c r="F77" s="33">
        <v>40</v>
      </c>
      <c r="G77" s="41">
        <v>5666.5</v>
      </c>
      <c r="H77" s="97">
        <v>38</v>
      </c>
      <c r="I77" s="97">
        <f t="shared" si="12"/>
        <v>2</v>
      </c>
      <c r="J77" s="91">
        <f t="shared" si="11"/>
        <v>215327</v>
      </c>
      <c r="K77" s="94">
        <f t="shared" si="13"/>
        <v>11333</v>
      </c>
      <c r="L77" s="11"/>
      <c r="M77" s="180" t="e">
        <f>#REF!-G77</f>
        <v>#REF!</v>
      </c>
    </row>
    <row r="78" spans="1:13" s="114" customFormat="1">
      <c r="A78" s="160">
        <v>73</v>
      </c>
      <c r="B78" s="181" t="s">
        <v>70</v>
      </c>
      <c r="C78" s="16">
        <v>500000</v>
      </c>
      <c r="D78" s="16">
        <v>66650</v>
      </c>
      <c r="E78" s="41">
        <f t="shared" si="14"/>
        <v>566650</v>
      </c>
      <c r="F78" s="33">
        <v>50</v>
      </c>
      <c r="G78" s="19">
        <v>11333</v>
      </c>
      <c r="H78" s="97">
        <v>29</v>
      </c>
      <c r="I78" s="97">
        <f t="shared" si="12"/>
        <v>21</v>
      </c>
      <c r="J78" s="91">
        <f t="shared" si="11"/>
        <v>328657</v>
      </c>
      <c r="K78" s="94">
        <f t="shared" si="13"/>
        <v>237993</v>
      </c>
      <c r="L78" s="11"/>
      <c r="M78" s="180" t="e">
        <f>#REF!-G78</f>
        <v>#REF!</v>
      </c>
    </row>
    <row r="79" spans="1:13" s="114" customFormat="1">
      <c r="A79" s="160">
        <v>74</v>
      </c>
      <c r="B79" s="181" t="s">
        <v>71</v>
      </c>
      <c r="C79" s="16">
        <v>500000</v>
      </c>
      <c r="D79" s="16">
        <v>66650</v>
      </c>
      <c r="E79" s="41">
        <f t="shared" si="14"/>
        <v>566650</v>
      </c>
      <c r="F79" s="33">
        <v>50</v>
      </c>
      <c r="G79" s="16">
        <v>11333</v>
      </c>
      <c r="H79" s="97">
        <v>45</v>
      </c>
      <c r="I79" s="97">
        <f t="shared" si="12"/>
        <v>5</v>
      </c>
      <c r="J79" s="91">
        <f t="shared" si="11"/>
        <v>509985</v>
      </c>
      <c r="K79" s="94">
        <f t="shared" si="13"/>
        <v>56665</v>
      </c>
      <c r="L79" s="11"/>
      <c r="M79" s="180" t="e">
        <f>#REF!-G79</f>
        <v>#REF!</v>
      </c>
    </row>
    <row r="80" spans="1:13" s="114" customFormat="1">
      <c r="A80" s="160">
        <v>75</v>
      </c>
      <c r="B80" s="181" t="s">
        <v>165</v>
      </c>
      <c r="C80" s="41">
        <v>200000</v>
      </c>
      <c r="D80" s="41">
        <v>26660</v>
      </c>
      <c r="E80" s="41">
        <f t="shared" si="14"/>
        <v>226660</v>
      </c>
      <c r="F80" s="33">
        <v>40</v>
      </c>
      <c r="G80" s="41">
        <v>5666.5</v>
      </c>
      <c r="H80" s="97">
        <v>38</v>
      </c>
      <c r="I80" s="97">
        <f t="shared" si="12"/>
        <v>2</v>
      </c>
      <c r="J80" s="91">
        <f t="shared" si="11"/>
        <v>215327</v>
      </c>
      <c r="K80" s="94">
        <f t="shared" si="13"/>
        <v>11333</v>
      </c>
      <c r="L80" s="11"/>
      <c r="M80" s="180" t="e">
        <f>#REF!-G80</f>
        <v>#REF!</v>
      </c>
    </row>
    <row r="81" spans="1:13" s="114" customFormat="1">
      <c r="A81" s="160">
        <v>76</v>
      </c>
      <c r="B81" s="181" t="s">
        <v>218</v>
      </c>
      <c r="C81" s="16">
        <v>60000</v>
      </c>
      <c r="D81" s="16">
        <v>7998</v>
      </c>
      <c r="E81" s="41">
        <f t="shared" si="14"/>
        <v>67998</v>
      </c>
      <c r="F81" s="33">
        <v>40</v>
      </c>
      <c r="G81" s="16">
        <v>1699.95</v>
      </c>
      <c r="H81" s="97">
        <v>38</v>
      </c>
      <c r="I81" s="97">
        <f t="shared" si="12"/>
        <v>2</v>
      </c>
      <c r="J81" s="91">
        <f t="shared" si="11"/>
        <v>64598.1</v>
      </c>
      <c r="K81" s="94">
        <f t="shared" si="13"/>
        <v>3399.9000000000015</v>
      </c>
      <c r="L81" s="11"/>
      <c r="M81" s="180" t="e">
        <f>#REF!-G81</f>
        <v>#REF!</v>
      </c>
    </row>
    <row r="82" spans="1:13" s="114" customFormat="1">
      <c r="A82" s="160">
        <v>77</v>
      </c>
      <c r="B82" s="181" t="s">
        <v>166</v>
      </c>
      <c r="C82" s="41">
        <v>200000</v>
      </c>
      <c r="D82" s="41">
        <v>26660</v>
      </c>
      <c r="E82" s="41">
        <f t="shared" si="14"/>
        <v>226660</v>
      </c>
      <c r="F82" s="33">
        <v>40</v>
      </c>
      <c r="G82" s="41">
        <v>5666.5</v>
      </c>
      <c r="H82" s="97">
        <v>35</v>
      </c>
      <c r="I82" s="97">
        <f t="shared" si="12"/>
        <v>5</v>
      </c>
      <c r="J82" s="91">
        <f t="shared" si="11"/>
        <v>198327.5</v>
      </c>
      <c r="K82" s="94">
        <f t="shared" si="13"/>
        <v>28332.5</v>
      </c>
      <c r="L82" s="11"/>
      <c r="M82" s="180" t="e">
        <f>#REF!-G82</f>
        <v>#REF!</v>
      </c>
    </row>
    <row r="83" spans="1:13" s="114" customFormat="1">
      <c r="A83" s="160">
        <v>78</v>
      </c>
      <c r="B83" s="181" t="s">
        <v>286</v>
      </c>
      <c r="C83" s="16">
        <v>450000</v>
      </c>
      <c r="D83" s="16">
        <v>59985</v>
      </c>
      <c r="E83" s="16">
        <v>509985</v>
      </c>
      <c r="F83" s="33">
        <v>50</v>
      </c>
      <c r="G83" s="16">
        <v>10199.700000000001</v>
      </c>
      <c r="H83" s="97">
        <v>12</v>
      </c>
      <c r="I83" s="97">
        <f t="shared" si="12"/>
        <v>38</v>
      </c>
      <c r="J83" s="91">
        <f t="shared" si="11"/>
        <v>122396.40000000001</v>
      </c>
      <c r="K83" s="94">
        <f t="shared" si="13"/>
        <v>387588.6</v>
      </c>
      <c r="L83" s="11"/>
      <c r="M83" s="180" t="e">
        <f>#REF!-G83</f>
        <v>#REF!</v>
      </c>
    </row>
    <row r="84" spans="1:13" s="114" customFormat="1">
      <c r="A84" s="160">
        <v>79</v>
      </c>
      <c r="B84" s="181" t="s">
        <v>72</v>
      </c>
      <c r="C84" s="16">
        <v>500000</v>
      </c>
      <c r="D84" s="16">
        <v>66650</v>
      </c>
      <c r="E84" s="41">
        <f>SUM(C84:D84)</f>
        <v>566650</v>
      </c>
      <c r="F84" s="33">
        <v>50</v>
      </c>
      <c r="G84" s="16">
        <v>11333</v>
      </c>
      <c r="H84" s="97">
        <v>45</v>
      </c>
      <c r="I84" s="97">
        <f t="shared" si="12"/>
        <v>5</v>
      </c>
      <c r="J84" s="91">
        <f t="shared" si="11"/>
        <v>509985</v>
      </c>
      <c r="K84" s="94">
        <f t="shared" si="13"/>
        <v>56665</v>
      </c>
      <c r="L84" s="11"/>
      <c r="M84" s="180" t="e">
        <f>#REF!-G84</f>
        <v>#REF!</v>
      </c>
    </row>
    <row r="85" spans="1:13" s="114" customFormat="1">
      <c r="A85" s="160">
        <v>80</v>
      </c>
      <c r="B85" s="181" t="s">
        <v>45</v>
      </c>
      <c r="C85" s="16">
        <v>500000</v>
      </c>
      <c r="D85" s="16">
        <v>33325</v>
      </c>
      <c r="E85" s="41">
        <f>SUM(C85:D85)</f>
        <v>533325</v>
      </c>
      <c r="F85" s="33">
        <v>25</v>
      </c>
      <c r="G85" s="16">
        <v>21333</v>
      </c>
      <c r="H85" s="97">
        <v>14</v>
      </c>
      <c r="I85" s="97">
        <f t="shared" si="12"/>
        <v>11</v>
      </c>
      <c r="J85" s="91">
        <f t="shared" si="11"/>
        <v>298662</v>
      </c>
      <c r="K85" s="94">
        <f t="shared" si="13"/>
        <v>234663</v>
      </c>
      <c r="L85" s="11"/>
      <c r="M85" s="180" t="e">
        <f>#REF!-G85</f>
        <v>#REF!</v>
      </c>
    </row>
    <row r="86" spans="1:13" s="114" customFormat="1">
      <c r="A86" s="160">
        <v>81</v>
      </c>
      <c r="B86" s="181" t="s">
        <v>167</v>
      </c>
      <c r="C86" s="41">
        <v>200000</v>
      </c>
      <c r="D86" s="41">
        <v>26660</v>
      </c>
      <c r="E86" s="41">
        <f>SUM(C86:D86)</f>
        <v>226660</v>
      </c>
      <c r="F86" s="33">
        <v>40</v>
      </c>
      <c r="G86" s="41">
        <v>5666.5</v>
      </c>
      <c r="H86" s="97">
        <v>38</v>
      </c>
      <c r="I86" s="97">
        <f t="shared" si="12"/>
        <v>2</v>
      </c>
      <c r="J86" s="91">
        <f t="shared" si="11"/>
        <v>215327</v>
      </c>
      <c r="K86" s="94">
        <f t="shared" si="13"/>
        <v>11333</v>
      </c>
      <c r="L86" s="11"/>
      <c r="M86" s="180" t="e">
        <f>#REF!-G86</f>
        <v>#REF!</v>
      </c>
    </row>
    <row r="87" spans="1:13" s="114" customFormat="1">
      <c r="A87" s="160">
        <v>82</v>
      </c>
      <c r="B87" s="181" t="s">
        <v>23</v>
      </c>
      <c r="C87" s="19">
        <v>500000</v>
      </c>
      <c r="D87" s="19">
        <v>66650</v>
      </c>
      <c r="E87" s="19">
        <v>566650</v>
      </c>
      <c r="F87" s="33">
        <v>50</v>
      </c>
      <c r="G87" s="16">
        <v>11333</v>
      </c>
      <c r="H87" s="97">
        <v>10</v>
      </c>
      <c r="I87" s="97">
        <f t="shared" si="12"/>
        <v>40</v>
      </c>
      <c r="J87" s="91">
        <f t="shared" ref="J87:J118" si="15">H87*G87</f>
        <v>113330</v>
      </c>
      <c r="K87" s="91">
        <f t="shared" si="13"/>
        <v>453320</v>
      </c>
      <c r="L87" s="11"/>
      <c r="M87" s="180" t="e">
        <f>#REF!-G87</f>
        <v>#REF!</v>
      </c>
    </row>
    <row r="88" spans="1:13" s="114" customFormat="1">
      <c r="A88" s="160">
        <v>83</v>
      </c>
      <c r="B88" s="181" t="s">
        <v>168</v>
      </c>
      <c r="C88" s="41">
        <v>200000</v>
      </c>
      <c r="D88" s="41">
        <v>26660</v>
      </c>
      <c r="E88" s="41">
        <f>SUM(C88:D88)</f>
        <v>226660</v>
      </c>
      <c r="F88" s="33">
        <v>40</v>
      </c>
      <c r="G88" s="41">
        <v>5666.5</v>
      </c>
      <c r="H88" s="97">
        <v>38</v>
      </c>
      <c r="I88" s="97">
        <f t="shared" si="12"/>
        <v>2</v>
      </c>
      <c r="J88" s="91">
        <f t="shared" si="15"/>
        <v>215327</v>
      </c>
      <c r="K88" s="94">
        <f t="shared" si="13"/>
        <v>11333</v>
      </c>
      <c r="L88" s="11"/>
      <c r="M88" s="180" t="e">
        <f>#REF!-G88</f>
        <v>#REF!</v>
      </c>
    </row>
    <row r="89" spans="1:13" s="114" customFormat="1">
      <c r="A89" s="160">
        <v>84</v>
      </c>
      <c r="B89" s="181" t="s">
        <v>169</v>
      </c>
      <c r="C89" s="41">
        <v>200000</v>
      </c>
      <c r="D89" s="41">
        <v>26660</v>
      </c>
      <c r="E89" s="41">
        <f>SUM(C89:D89)</f>
        <v>226660</v>
      </c>
      <c r="F89" s="33">
        <v>40</v>
      </c>
      <c r="G89" s="41">
        <v>5666.5</v>
      </c>
      <c r="H89" s="97">
        <v>37</v>
      </c>
      <c r="I89" s="97">
        <f t="shared" si="12"/>
        <v>3</v>
      </c>
      <c r="J89" s="91">
        <f t="shared" si="15"/>
        <v>209660.5</v>
      </c>
      <c r="K89" s="94">
        <f t="shared" si="13"/>
        <v>16999.5</v>
      </c>
      <c r="L89" s="11"/>
      <c r="M89" s="180" t="e">
        <f>#REF!-G89</f>
        <v>#REF!</v>
      </c>
    </row>
    <row r="90" spans="1:13" s="114" customFormat="1">
      <c r="A90" s="160">
        <v>85</v>
      </c>
      <c r="B90" s="181" t="s">
        <v>42</v>
      </c>
      <c r="C90" s="16">
        <v>450000</v>
      </c>
      <c r="D90" s="16">
        <v>59985</v>
      </c>
      <c r="E90" s="16">
        <v>509985</v>
      </c>
      <c r="F90" s="33">
        <v>50</v>
      </c>
      <c r="G90" s="16">
        <v>10199.700000000001</v>
      </c>
      <c r="H90" s="97">
        <v>9</v>
      </c>
      <c r="I90" s="97">
        <f t="shared" si="12"/>
        <v>41</v>
      </c>
      <c r="J90" s="91">
        <f t="shared" si="15"/>
        <v>91797.3</v>
      </c>
      <c r="K90" s="91">
        <f t="shared" si="13"/>
        <v>418187.7</v>
      </c>
      <c r="L90" s="122"/>
      <c r="M90" s="180" t="e">
        <f>#REF!-G90</f>
        <v>#REF!</v>
      </c>
    </row>
    <row r="91" spans="1:13" s="114" customFormat="1">
      <c r="A91" s="160">
        <v>86</v>
      </c>
      <c r="B91" s="181" t="s">
        <v>228</v>
      </c>
      <c r="C91" s="41">
        <v>200000</v>
      </c>
      <c r="D91" s="41">
        <v>26660</v>
      </c>
      <c r="E91" s="41">
        <v>226660</v>
      </c>
      <c r="F91" s="33">
        <v>40</v>
      </c>
      <c r="G91" s="19">
        <v>5666.5</v>
      </c>
      <c r="H91" s="97">
        <v>38</v>
      </c>
      <c r="I91" s="97">
        <f t="shared" si="12"/>
        <v>2</v>
      </c>
      <c r="J91" s="91">
        <f t="shared" si="15"/>
        <v>215327</v>
      </c>
      <c r="K91" s="94">
        <f t="shared" si="13"/>
        <v>11333</v>
      </c>
      <c r="L91" s="11"/>
      <c r="M91" s="180" t="e">
        <f>#REF!-G91</f>
        <v>#REF!</v>
      </c>
    </row>
    <row r="92" spans="1:13" s="114" customFormat="1">
      <c r="A92" s="160">
        <v>87</v>
      </c>
      <c r="B92" s="181" t="s">
        <v>33</v>
      </c>
      <c r="C92" s="155">
        <v>150000</v>
      </c>
      <c r="D92" s="155">
        <v>19995</v>
      </c>
      <c r="E92" s="155">
        <f>SUM(C92:D92)</f>
        <v>169995</v>
      </c>
      <c r="F92" s="33">
        <v>50</v>
      </c>
      <c r="G92" s="154">
        <v>3399.9</v>
      </c>
      <c r="H92" s="97">
        <v>10</v>
      </c>
      <c r="I92" s="97">
        <f t="shared" si="12"/>
        <v>40</v>
      </c>
      <c r="J92" s="91">
        <f t="shared" si="15"/>
        <v>33999</v>
      </c>
      <c r="K92" s="91">
        <f t="shared" si="13"/>
        <v>135996</v>
      </c>
      <c r="L92" s="122"/>
      <c r="M92" s="180" t="e">
        <f>#REF!-G92</f>
        <v>#REF!</v>
      </c>
    </row>
    <row r="93" spans="1:13" s="114" customFormat="1">
      <c r="A93" s="160">
        <v>88</v>
      </c>
      <c r="B93" s="181" t="s">
        <v>170</v>
      </c>
      <c r="C93" s="41">
        <v>200000</v>
      </c>
      <c r="D93" s="41">
        <v>26660</v>
      </c>
      <c r="E93" s="41">
        <f>SUM(C93:D93)</f>
        <v>226660</v>
      </c>
      <c r="F93" s="33">
        <v>40</v>
      </c>
      <c r="G93" s="41">
        <v>5666.5</v>
      </c>
      <c r="H93" s="97">
        <v>38</v>
      </c>
      <c r="I93" s="97">
        <f t="shared" si="12"/>
        <v>2</v>
      </c>
      <c r="J93" s="91">
        <f t="shared" si="15"/>
        <v>215327</v>
      </c>
      <c r="K93" s="94">
        <f t="shared" si="13"/>
        <v>11333</v>
      </c>
      <c r="L93" s="11"/>
      <c r="M93" s="180" t="e">
        <f>#REF!-G93</f>
        <v>#REF!</v>
      </c>
    </row>
    <row r="94" spans="1:13" s="114" customFormat="1">
      <c r="A94" s="160">
        <v>89</v>
      </c>
      <c r="B94" s="181" t="s">
        <v>95</v>
      </c>
      <c r="C94" s="12">
        <v>450000</v>
      </c>
      <c r="D94" s="12">
        <v>59985</v>
      </c>
      <c r="E94" s="15">
        <f>SUM(C94:D94)</f>
        <v>509985</v>
      </c>
      <c r="F94" s="31">
        <v>50</v>
      </c>
      <c r="G94" s="12">
        <v>10199.700000000001</v>
      </c>
      <c r="H94" s="14">
        <v>27</v>
      </c>
      <c r="I94" s="97">
        <f t="shared" si="12"/>
        <v>23</v>
      </c>
      <c r="J94" s="91">
        <f t="shared" si="15"/>
        <v>275391.90000000002</v>
      </c>
      <c r="K94" s="15">
        <f t="shared" si="13"/>
        <v>234593.09999999998</v>
      </c>
      <c r="L94" s="8"/>
      <c r="M94" s="180" t="e">
        <f>#REF!-G94</f>
        <v>#REF!</v>
      </c>
    </row>
    <row r="95" spans="1:13" s="114" customFormat="1">
      <c r="A95" s="160">
        <v>90</v>
      </c>
      <c r="B95" s="181" t="s">
        <v>240</v>
      </c>
      <c r="C95" s="16">
        <v>132000</v>
      </c>
      <c r="D95" s="16">
        <v>17595.599999999999</v>
      </c>
      <c r="E95" s="16">
        <v>149595.6</v>
      </c>
      <c r="F95" s="45">
        <v>40</v>
      </c>
      <c r="G95" s="19">
        <v>3739.89</v>
      </c>
      <c r="H95" s="97">
        <v>44</v>
      </c>
      <c r="I95" s="97">
        <f t="shared" si="12"/>
        <v>-4</v>
      </c>
      <c r="J95" s="91">
        <f t="shared" si="15"/>
        <v>164555.16</v>
      </c>
      <c r="K95" s="94">
        <f t="shared" si="13"/>
        <v>-14959.559999999998</v>
      </c>
      <c r="L95" s="11"/>
      <c r="M95" s="180" t="e">
        <f>#REF!-G95</f>
        <v>#REF!</v>
      </c>
    </row>
    <row r="96" spans="1:13" s="114" customFormat="1">
      <c r="A96" s="160">
        <v>91</v>
      </c>
      <c r="B96" s="181" t="s">
        <v>206</v>
      </c>
      <c r="C96" s="16">
        <v>132000</v>
      </c>
      <c r="D96" s="16">
        <v>17595.599999999999</v>
      </c>
      <c r="E96" s="41">
        <f>SUM(C96:D96)</f>
        <v>149595.6</v>
      </c>
      <c r="F96" s="33">
        <v>40</v>
      </c>
      <c r="G96" s="16">
        <v>3739.89</v>
      </c>
      <c r="H96" s="97">
        <v>37</v>
      </c>
      <c r="I96" s="97">
        <f t="shared" si="12"/>
        <v>3</v>
      </c>
      <c r="J96" s="91">
        <f t="shared" si="15"/>
        <v>138375.93</v>
      </c>
      <c r="K96" s="94">
        <f t="shared" si="13"/>
        <v>11219.670000000013</v>
      </c>
      <c r="L96" s="11"/>
      <c r="M96" s="180" t="e">
        <f>#REF!-G96</f>
        <v>#REF!</v>
      </c>
    </row>
    <row r="97" spans="1:13" s="114" customFormat="1">
      <c r="A97" s="160">
        <v>92</v>
      </c>
      <c r="B97" s="181" t="s">
        <v>73</v>
      </c>
      <c r="C97" s="16">
        <v>500000</v>
      </c>
      <c r="D97" s="16">
        <v>66650</v>
      </c>
      <c r="E97" s="41">
        <f>SUM(C97:D97)</f>
        <v>566650</v>
      </c>
      <c r="F97" s="33">
        <v>50</v>
      </c>
      <c r="G97" s="16">
        <v>11333</v>
      </c>
      <c r="H97" s="97">
        <v>33</v>
      </c>
      <c r="I97" s="97">
        <f t="shared" si="12"/>
        <v>17</v>
      </c>
      <c r="J97" s="91">
        <f t="shared" si="15"/>
        <v>373989</v>
      </c>
      <c r="K97" s="94">
        <f t="shared" si="13"/>
        <v>192661</v>
      </c>
      <c r="L97" s="11"/>
      <c r="M97" s="180" t="e">
        <f>#REF!-G97</f>
        <v>#REF!</v>
      </c>
    </row>
    <row r="98" spans="1:13" s="114" customFormat="1">
      <c r="A98" s="160">
        <v>93</v>
      </c>
      <c r="B98" s="181" t="s">
        <v>173</v>
      </c>
      <c r="C98" s="41">
        <v>200000</v>
      </c>
      <c r="D98" s="41">
        <v>26660</v>
      </c>
      <c r="E98" s="41">
        <f>SUM(C98:D98)</f>
        <v>226660</v>
      </c>
      <c r="F98" s="33">
        <v>40</v>
      </c>
      <c r="G98" s="41">
        <v>5666.5</v>
      </c>
      <c r="H98" s="97">
        <v>41</v>
      </c>
      <c r="I98" s="97">
        <f t="shared" si="12"/>
        <v>-1</v>
      </c>
      <c r="J98" s="91">
        <f t="shared" si="15"/>
        <v>232326.5</v>
      </c>
      <c r="K98" s="94">
        <f t="shared" si="13"/>
        <v>-5666.5</v>
      </c>
      <c r="L98" s="11"/>
      <c r="M98" s="180" t="e">
        <f>#REF!-G98</f>
        <v>#REF!</v>
      </c>
    </row>
    <row r="99" spans="1:13" s="114" customFormat="1">
      <c r="A99" s="160">
        <v>94</v>
      </c>
      <c r="B99" s="181" t="s">
        <v>74</v>
      </c>
      <c r="C99" s="16">
        <v>500000</v>
      </c>
      <c r="D99" s="16">
        <v>66650</v>
      </c>
      <c r="E99" s="41">
        <f>SUM(C99:D99)</f>
        <v>566650</v>
      </c>
      <c r="F99" s="33">
        <v>50</v>
      </c>
      <c r="G99" s="16">
        <v>11333</v>
      </c>
      <c r="H99" s="97">
        <v>45</v>
      </c>
      <c r="I99" s="97">
        <f t="shared" si="12"/>
        <v>5</v>
      </c>
      <c r="J99" s="91">
        <f t="shared" si="15"/>
        <v>509985</v>
      </c>
      <c r="K99" s="94">
        <f t="shared" si="13"/>
        <v>56665</v>
      </c>
      <c r="L99" s="11"/>
      <c r="M99" s="180" t="e">
        <f>#REF!-G99</f>
        <v>#REF!</v>
      </c>
    </row>
    <row r="100" spans="1:13" s="114" customFormat="1">
      <c r="A100" s="160">
        <v>95</v>
      </c>
      <c r="B100" s="181" t="s">
        <v>213</v>
      </c>
      <c r="C100" s="16">
        <v>150000</v>
      </c>
      <c r="D100" s="16">
        <v>19995</v>
      </c>
      <c r="E100" s="41">
        <f>SUM(C100:D100)</f>
        <v>169995</v>
      </c>
      <c r="F100" s="33">
        <v>50</v>
      </c>
      <c r="G100" s="16">
        <v>3399.9</v>
      </c>
      <c r="H100" s="97">
        <v>33</v>
      </c>
      <c r="I100" s="97">
        <f t="shared" si="12"/>
        <v>17</v>
      </c>
      <c r="J100" s="91">
        <f t="shared" si="15"/>
        <v>112196.7</v>
      </c>
      <c r="K100" s="94">
        <f t="shared" si="13"/>
        <v>57798.3</v>
      </c>
      <c r="L100" s="11"/>
      <c r="M100" s="180" t="e">
        <f>#REF!-G100</f>
        <v>#REF!</v>
      </c>
    </row>
    <row r="101" spans="1:13" s="114" customFormat="1">
      <c r="A101" s="160">
        <v>96</v>
      </c>
      <c r="B101" s="181" t="s">
        <v>37</v>
      </c>
      <c r="C101" s="19">
        <v>500000</v>
      </c>
      <c r="D101" s="19">
        <v>66650</v>
      </c>
      <c r="E101" s="19">
        <v>566650</v>
      </c>
      <c r="F101" s="33">
        <v>50</v>
      </c>
      <c r="G101" s="16">
        <v>11333</v>
      </c>
      <c r="H101" s="97">
        <v>10</v>
      </c>
      <c r="I101" s="97">
        <f t="shared" si="12"/>
        <v>40</v>
      </c>
      <c r="J101" s="91">
        <f t="shared" si="15"/>
        <v>113330</v>
      </c>
      <c r="K101" s="91">
        <f t="shared" si="13"/>
        <v>453320</v>
      </c>
      <c r="L101" s="122"/>
      <c r="M101" s="180" t="e">
        <f>#REF!-G101</f>
        <v>#REF!</v>
      </c>
    </row>
    <row r="102" spans="1:13" s="114" customFormat="1">
      <c r="A102" s="160">
        <v>97</v>
      </c>
      <c r="B102" s="181" t="s">
        <v>75</v>
      </c>
      <c r="C102" s="16">
        <v>500000</v>
      </c>
      <c r="D102" s="16">
        <v>66650</v>
      </c>
      <c r="E102" s="41">
        <f>SUM(C102:D102)</f>
        <v>566650</v>
      </c>
      <c r="F102" s="33">
        <v>50</v>
      </c>
      <c r="G102" s="16">
        <v>11333</v>
      </c>
      <c r="H102" s="97">
        <v>23</v>
      </c>
      <c r="I102" s="97">
        <f t="shared" ref="I102:I133" si="16">F102-H102</f>
        <v>27</v>
      </c>
      <c r="J102" s="91">
        <f t="shared" si="15"/>
        <v>260659</v>
      </c>
      <c r="K102" s="94">
        <f t="shared" ref="K102:K133" si="17">E102-J102</f>
        <v>305991</v>
      </c>
      <c r="L102" s="11"/>
      <c r="M102" s="180" t="e">
        <f>#REF!-G102</f>
        <v>#REF!</v>
      </c>
    </row>
    <row r="103" spans="1:13" s="114" customFormat="1">
      <c r="A103" s="160">
        <v>98</v>
      </c>
      <c r="B103" s="181" t="s">
        <v>222</v>
      </c>
      <c r="C103" s="16">
        <v>500000</v>
      </c>
      <c r="D103" s="16">
        <v>66650</v>
      </c>
      <c r="E103" s="16">
        <v>566650</v>
      </c>
      <c r="F103" s="33">
        <v>50</v>
      </c>
      <c r="G103" s="19">
        <v>11333</v>
      </c>
      <c r="H103" s="97">
        <v>23</v>
      </c>
      <c r="I103" s="97">
        <f t="shared" si="16"/>
        <v>27</v>
      </c>
      <c r="J103" s="91">
        <f t="shared" si="15"/>
        <v>260659</v>
      </c>
      <c r="K103" s="94">
        <f t="shared" si="17"/>
        <v>305991</v>
      </c>
      <c r="L103" s="11"/>
      <c r="M103" s="180" t="e">
        <f>#REF!-G103</f>
        <v>#REF!</v>
      </c>
    </row>
    <row r="104" spans="1:13" s="114" customFormat="1">
      <c r="A104" s="160">
        <v>99</v>
      </c>
      <c r="B104" s="181" t="s">
        <v>287</v>
      </c>
      <c r="C104" s="16">
        <v>450000</v>
      </c>
      <c r="D104" s="16">
        <v>59985</v>
      </c>
      <c r="E104" s="16">
        <v>509985</v>
      </c>
      <c r="F104" s="33">
        <v>50</v>
      </c>
      <c r="G104" s="153">
        <v>10199.700000000001</v>
      </c>
      <c r="H104" s="97">
        <v>17</v>
      </c>
      <c r="I104" s="97">
        <f t="shared" si="16"/>
        <v>33</v>
      </c>
      <c r="J104" s="91">
        <f t="shared" si="15"/>
        <v>173394.90000000002</v>
      </c>
      <c r="K104" s="94">
        <f t="shared" si="17"/>
        <v>336590.1</v>
      </c>
      <c r="L104" s="122"/>
      <c r="M104" s="180" t="e">
        <f>#REF!-G104</f>
        <v>#REF!</v>
      </c>
    </row>
    <row r="105" spans="1:13" s="114" customFormat="1">
      <c r="A105" s="160">
        <v>100</v>
      </c>
      <c r="B105" s="181" t="s">
        <v>96</v>
      </c>
      <c r="C105" s="16">
        <v>450000</v>
      </c>
      <c r="D105" s="16">
        <v>59985</v>
      </c>
      <c r="E105" s="41">
        <f>SUM(C105:D105)</f>
        <v>509985</v>
      </c>
      <c r="F105" s="33">
        <v>50</v>
      </c>
      <c r="G105" s="16">
        <v>10199.700000000001</v>
      </c>
      <c r="H105" s="97">
        <v>29</v>
      </c>
      <c r="I105" s="97">
        <f t="shared" si="16"/>
        <v>21</v>
      </c>
      <c r="J105" s="91">
        <f t="shared" si="15"/>
        <v>295791.30000000005</v>
      </c>
      <c r="K105" s="94">
        <f t="shared" si="17"/>
        <v>214193.69999999995</v>
      </c>
      <c r="L105" s="11"/>
      <c r="M105" s="180" t="e">
        <f>#REF!-G105</f>
        <v>#REF!</v>
      </c>
    </row>
    <row r="106" spans="1:13" s="114" customFormat="1">
      <c r="A106" s="160">
        <v>101</v>
      </c>
      <c r="B106" s="181" t="s">
        <v>77</v>
      </c>
      <c r="C106" s="16">
        <v>500000</v>
      </c>
      <c r="D106" s="16">
        <v>66650</v>
      </c>
      <c r="E106" s="41">
        <f>SUM(C106:D106)</f>
        <v>566650</v>
      </c>
      <c r="F106" s="33">
        <v>50</v>
      </c>
      <c r="G106" s="16">
        <v>11333</v>
      </c>
      <c r="H106" s="97">
        <v>24</v>
      </c>
      <c r="I106" s="97">
        <f t="shared" si="16"/>
        <v>26</v>
      </c>
      <c r="J106" s="91">
        <f t="shared" si="15"/>
        <v>271992</v>
      </c>
      <c r="K106" s="94">
        <f t="shared" si="17"/>
        <v>294658</v>
      </c>
      <c r="L106" s="11"/>
      <c r="M106" s="180" t="e">
        <f>#REF!-G106</f>
        <v>#REF!</v>
      </c>
    </row>
    <row r="107" spans="1:13" s="114" customFormat="1">
      <c r="A107" s="160">
        <v>102</v>
      </c>
      <c r="B107" s="181" t="s">
        <v>288</v>
      </c>
      <c r="C107" s="16">
        <v>500000</v>
      </c>
      <c r="D107" s="16">
        <v>66650</v>
      </c>
      <c r="E107" s="41">
        <f>SUM(C107:D107)</f>
        <v>566650</v>
      </c>
      <c r="F107" s="33">
        <v>50</v>
      </c>
      <c r="G107" s="153">
        <v>11333</v>
      </c>
      <c r="H107" s="97">
        <v>24</v>
      </c>
      <c r="I107" s="97">
        <f t="shared" si="16"/>
        <v>26</v>
      </c>
      <c r="J107" s="91">
        <f t="shared" si="15"/>
        <v>271992</v>
      </c>
      <c r="K107" s="94">
        <f t="shared" si="17"/>
        <v>294658</v>
      </c>
      <c r="L107" s="11"/>
      <c r="M107" s="180" t="e">
        <f>#REF!-G107</f>
        <v>#REF!</v>
      </c>
    </row>
    <row r="108" spans="1:13" s="114" customFormat="1">
      <c r="A108" s="160">
        <v>103</v>
      </c>
      <c r="B108" s="181" t="s">
        <v>78</v>
      </c>
      <c r="C108" s="16">
        <v>500000</v>
      </c>
      <c r="D108" s="16">
        <v>66650</v>
      </c>
      <c r="E108" s="41">
        <f>SUM(C108:D108)</f>
        <v>566650</v>
      </c>
      <c r="F108" s="33">
        <v>50</v>
      </c>
      <c r="G108" s="16">
        <v>11333</v>
      </c>
      <c r="H108" s="97">
        <v>45</v>
      </c>
      <c r="I108" s="97">
        <f t="shared" si="16"/>
        <v>5</v>
      </c>
      <c r="J108" s="91">
        <f t="shared" si="15"/>
        <v>509985</v>
      </c>
      <c r="K108" s="94">
        <f t="shared" si="17"/>
        <v>56665</v>
      </c>
      <c r="L108" s="11"/>
      <c r="M108" s="180" t="e">
        <f>#REF!-G108</f>
        <v>#REF!</v>
      </c>
    </row>
    <row r="109" spans="1:13" s="114" customFormat="1">
      <c r="A109" s="160">
        <v>104</v>
      </c>
      <c r="B109" s="181" t="s">
        <v>21</v>
      </c>
      <c r="C109" s="19">
        <v>500000</v>
      </c>
      <c r="D109" s="19">
        <v>66650</v>
      </c>
      <c r="E109" s="19">
        <v>566650</v>
      </c>
      <c r="F109" s="33">
        <v>50</v>
      </c>
      <c r="G109" s="16">
        <v>11333</v>
      </c>
      <c r="H109" s="97">
        <v>10</v>
      </c>
      <c r="I109" s="97">
        <f t="shared" si="16"/>
        <v>40</v>
      </c>
      <c r="J109" s="91">
        <f t="shared" si="15"/>
        <v>113330</v>
      </c>
      <c r="K109" s="91">
        <f t="shared" si="17"/>
        <v>453320</v>
      </c>
      <c r="L109" s="11"/>
      <c r="M109" s="180" t="e">
        <f>#REF!-G109</f>
        <v>#REF!</v>
      </c>
    </row>
    <row r="110" spans="1:13" s="114" customFormat="1">
      <c r="A110" s="160">
        <v>105</v>
      </c>
      <c r="B110" s="181" t="s">
        <v>79</v>
      </c>
      <c r="C110" s="16">
        <v>500000</v>
      </c>
      <c r="D110" s="16">
        <v>66650</v>
      </c>
      <c r="E110" s="41">
        <f>SUM(C110:D110)</f>
        <v>566650</v>
      </c>
      <c r="F110" s="33">
        <v>50</v>
      </c>
      <c r="G110" s="16">
        <v>11333</v>
      </c>
      <c r="H110" s="97">
        <v>24</v>
      </c>
      <c r="I110" s="97">
        <f t="shared" si="16"/>
        <v>26</v>
      </c>
      <c r="J110" s="91">
        <f t="shared" si="15"/>
        <v>271992</v>
      </c>
      <c r="K110" s="94">
        <f t="shared" si="17"/>
        <v>294658</v>
      </c>
      <c r="L110" s="11"/>
      <c r="M110" s="180" t="e">
        <f>#REF!-G110</f>
        <v>#REF!</v>
      </c>
    </row>
    <row r="111" spans="1:13" s="114" customFormat="1">
      <c r="A111" s="160">
        <v>106</v>
      </c>
      <c r="B111" s="181" t="s">
        <v>27</v>
      </c>
      <c r="C111" s="19">
        <v>500000</v>
      </c>
      <c r="D111" s="19">
        <v>66650</v>
      </c>
      <c r="E111" s="19">
        <v>566650</v>
      </c>
      <c r="F111" s="33">
        <v>50</v>
      </c>
      <c r="G111" s="16">
        <v>11333</v>
      </c>
      <c r="H111" s="97">
        <v>10</v>
      </c>
      <c r="I111" s="97">
        <f t="shared" si="16"/>
        <v>40</v>
      </c>
      <c r="J111" s="91">
        <f t="shared" si="15"/>
        <v>113330</v>
      </c>
      <c r="K111" s="91">
        <f t="shared" si="17"/>
        <v>453320</v>
      </c>
      <c r="L111" s="122"/>
      <c r="M111" s="180" t="e">
        <f>#REF!-G111</f>
        <v>#REF!</v>
      </c>
    </row>
    <row r="112" spans="1:13" s="114" customFormat="1">
      <c r="A112" s="160">
        <v>107</v>
      </c>
      <c r="B112" s="181" t="s">
        <v>97</v>
      </c>
      <c r="C112" s="16">
        <v>450000</v>
      </c>
      <c r="D112" s="16">
        <v>59985</v>
      </c>
      <c r="E112" s="41">
        <f>SUM(C112:D112)</f>
        <v>509985</v>
      </c>
      <c r="F112" s="33">
        <v>50</v>
      </c>
      <c r="G112" s="16">
        <v>10199.700000000001</v>
      </c>
      <c r="H112" s="97">
        <v>24</v>
      </c>
      <c r="I112" s="97">
        <f t="shared" si="16"/>
        <v>26</v>
      </c>
      <c r="J112" s="91">
        <f t="shared" si="15"/>
        <v>244792.80000000002</v>
      </c>
      <c r="K112" s="94">
        <f t="shared" si="17"/>
        <v>265192.19999999995</v>
      </c>
      <c r="L112" s="11"/>
      <c r="M112" s="180" t="e">
        <f>#REF!-G112</f>
        <v>#REF!</v>
      </c>
    </row>
    <row r="113" spans="1:13" s="114" customFormat="1">
      <c r="A113" s="160">
        <v>108</v>
      </c>
      <c r="B113" s="181" t="s">
        <v>80</v>
      </c>
      <c r="C113" s="16">
        <v>500000</v>
      </c>
      <c r="D113" s="16">
        <v>66650</v>
      </c>
      <c r="E113" s="41">
        <f>SUM(C113:D113)</f>
        <v>566650</v>
      </c>
      <c r="F113" s="33">
        <v>50</v>
      </c>
      <c r="G113" s="16">
        <v>11333</v>
      </c>
      <c r="H113" s="97">
        <v>45</v>
      </c>
      <c r="I113" s="97">
        <f t="shared" si="16"/>
        <v>5</v>
      </c>
      <c r="J113" s="91">
        <f t="shared" si="15"/>
        <v>509985</v>
      </c>
      <c r="K113" s="94">
        <f t="shared" si="17"/>
        <v>56665</v>
      </c>
      <c r="L113" s="11"/>
      <c r="M113" s="180" t="e">
        <f>#REF!-G113</f>
        <v>#REF!</v>
      </c>
    </row>
    <row r="114" spans="1:13" s="114" customFormat="1">
      <c r="A114" s="160">
        <v>109</v>
      </c>
      <c r="B114" s="181" t="s">
        <v>176</v>
      </c>
      <c r="C114" s="41">
        <v>200000</v>
      </c>
      <c r="D114" s="41">
        <v>26660</v>
      </c>
      <c r="E114" s="41">
        <f>SUM(C114:D114)</f>
        <v>226660</v>
      </c>
      <c r="F114" s="33">
        <v>40</v>
      </c>
      <c r="G114" s="41">
        <v>5666.5</v>
      </c>
      <c r="H114" s="97">
        <v>38</v>
      </c>
      <c r="I114" s="97">
        <f t="shared" si="16"/>
        <v>2</v>
      </c>
      <c r="J114" s="91">
        <f t="shared" si="15"/>
        <v>215327</v>
      </c>
      <c r="K114" s="94">
        <f t="shared" si="17"/>
        <v>11333</v>
      </c>
      <c r="L114" s="11"/>
      <c r="M114" s="180" t="e">
        <f>#REF!-G114</f>
        <v>#REF!</v>
      </c>
    </row>
    <row r="115" spans="1:13" s="114" customFormat="1">
      <c r="A115" s="160">
        <v>110</v>
      </c>
      <c r="B115" s="181" t="s">
        <v>229</v>
      </c>
      <c r="C115" s="41">
        <v>200000</v>
      </c>
      <c r="D115" s="41">
        <v>26660</v>
      </c>
      <c r="E115" s="41">
        <v>226660</v>
      </c>
      <c r="F115" s="33">
        <v>40</v>
      </c>
      <c r="G115" s="19">
        <v>5666.5</v>
      </c>
      <c r="H115" s="97">
        <v>37</v>
      </c>
      <c r="I115" s="97">
        <f t="shared" si="16"/>
        <v>3</v>
      </c>
      <c r="J115" s="91">
        <f t="shared" si="15"/>
        <v>209660.5</v>
      </c>
      <c r="K115" s="94">
        <f t="shared" si="17"/>
        <v>16999.5</v>
      </c>
      <c r="L115" s="11"/>
      <c r="M115" s="180" t="e">
        <f>#REF!-G115</f>
        <v>#REF!</v>
      </c>
    </row>
    <row r="116" spans="1:13" s="114" customFormat="1">
      <c r="A116" s="160">
        <v>111</v>
      </c>
      <c r="B116" s="181" t="s">
        <v>81</v>
      </c>
      <c r="C116" s="12">
        <v>500000</v>
      </c>
      <c r="D116" s="12">
        <v>66650</v>
      </c>
      <c r="E116" s="15">
        <f>SUM(C116:D116)</f>
        <v>566650</v>
      </c>
      <c r="F116" s="31">
        <v>50</v>
      </c>
      <c r="G116" s="12">
        <v>11333</v>
      </c>
      <c r="H116" s="14">
        <v>29</v>
      </c>
      <c r="I116" s="97">
        <f t="shared" si="16"/>
        <v>21</v>
      </c>
      <c r="J116" s="91">
        <f t="shared" si="15"/>
        <v>328657</v>
      </c>
      <c r="K116" s="15">
        <f t="shared" si="17"/>
        <v>237993</v>
      </c>
      <c r="L116" s="8"/>
      <c r="M116" s="180" t="e">
        <f>#REF!-G116</f>
        <v>#REF!</v>
      </c>
    </row>
    <row r="117" spans="1:13" s="114" customFormat="1">
      <c r="A117" s="160">
        <v>112</v>
      </c>
      <c r="B117" s="181" t="s">
        <v>82</v>
      </c>
      <c r="C117" s="16">
        <v>500000</v>
      </c>
      <c r="D117" s="16">
        <v>66650</v>
      </c>
      <c r="E117" s="41">
        <f>SUM(C117:D117)</f>
        <v>566650</v>
      </c>
      <c r="F117" s="33">
        <v>50</v>
      </c>
      <c r="G117" s="16">
        <v>11333</v>
      </c>
      <c r="H117" s="97">
        <v>45</v>
      </c>
      <c r="I117" s="97">
        <f t="shared" si="16"/>
        <v>5</v>
      </c>
      <c r="J117" s="91">
        <f t="shared" si="15"/>
        <v>509985</v>
      </c>
      <c r="K117" s="94">
        <f t="shared" si="17"/>
        <v>56665</v>
      </c>
      <c r="L117" s="11"/>
      <c r="M117" s="180" t="e">
        <f>#REF!-G117</f>
        <v>#REF!</v>
      </c>
    </row>
    <row r="118" spans="1:13" s="114" customFormat="1">
      <c r="A118" s="160">
        <v>113</v>
      </c>
      <c r="B118" s="181" t="s">
        <v>26</v>
      </c>
      <c r="C118" s="19">
        <v>500000</v>
      </c>
      <c r="D118" s="19">
        <v>66650</v>
      </c>
      <c r="E118" s="19">
        <v>566650</v>
      </c>
      <c r="F118" s="33">
        <v>50</v>
      </c>
      <c r="G118" s="16">
        <v>11333</v>
      </c>
      <c r="H118" s="97">
        <v>10</v>
      </c>
      <c r="I118" s="97">
        <f t="shared" si="16"/>
        <v>40</v>
      </c>
      <c r="J118" s="91">
        <f t="shared" si="15"/>
        <v>113330</v>
      </c>
      <c r="K118" s="91">
        <f t="shared" si="17"/>
        <v>453320</v>
      </c>
      <c r="L118" s="122"/>
      <c r="M118" s="180" t="e">
        <f>#REF!-G118</f>
        <v>#REF!</v>
      </c>
    </row>
    <row r="119" spans="1:13" s="114" customFormat="1">
      <c r="A119" s="160">
        <v>114</v>
      </c>
      <c r="B119" s="181" t="s">
        <v>99</v>
      </c>
      <c r="C119" s="16">
        <v>450000</v>
      </c>
      <c r="D119" s="16">
        <v>59985</v>
      </c>
      <c r="E119" s="41">
        <f>SUM(C119:D119)</f>
        <v>509985</v>
      </c>
      <c r="F119" s="33">
        <v>50</v>
      </c>
      <c r="G119" s="16">
        <v>10199.700000000001</v>
      </c>
      <c r="H119" s="159">
        <v>33</v>
      </c>
      <c r="I119" s="97">
        <f t="shared" si="16"/>
        <v>17</v>
      </c>
      <c r="J119" s="91">
        <f t="shared" ref="J119:J129" si="18">H119*G119</f>
        <v>336590.10000000003</v>
      </c>
      <c r="K119" s="94">
        <f t="shared" si="17"/>
        <v>173394.89999999997</v>
      </c>
      <c r="L119" s="11"/>
      <c r="M119" s="180" t="e">
        <f>#REF!-G119</f>
        <v>#REF!</v>
      </c>
    </row>
    <row r="120" spans="1:13" s="114" customFormat="1">
      <c r="A120" s="160">
        <v>115</v>
      </c>
      <c r="B120" s="181" t="s">
        <v>198</v>
      </c>
      <c r="C120" s="12">
        <v>180000</v>
      </c>
      <c r="D120" s="12">
        <v>23994</v>
      </c>
      <c r="E120" s="15">
        <f>SUM(C120:D120)</f>
        <v>203994</v>
      </c>
      <c r="F120" s="30">
        <v>40</v>
      </c>
      <c r="G120" s="12">
        <v>5099.8500000000004</v>
      </c>
      <c r="H120" s="21">
        <v>43</v>
      </c>
      <c r="I120" s="97">
        <f t="shared" si="16"/>
        <v>-3</v>
      </c>
      <c r="J120" s="91">
        <f t="shared" si="18"/>
        <v>219293.55000000002</v>
      </c>
      <c r="K120" s="15">
        <f t="shared" si="17"/>
        <v>-15299.550000000017</v>
      </c>
      <c r="L120" s="10"/>
      <c r="M120" s="180" t="e">
        <f>#REF!-G120</f>
        <v>#REF!</v>
      </c>
    </row>
    <row r="121" spans="1:13" s="114" customFormat="1">
      <c r="A121" s="160">
        <v>116</v>
      </c>
      <c r="B121" s="181" t="s">
        <v>17</v>
      </c>
      <c r="C121" s="19">
        <v>500000</v>
      </c>
      <c r="D121" s="19">
        <v>66650</v>
      </c>
      <c r="E121" s="19">
        <v>566650</v>
      </c>
      <c r="F121" s="33">
        <v>50</v>
      </c>
      <c r="G121" s="16">
        <v>11333</v>
      </c>
      <c r="H121" s="97">
        <v>10</v>
      </c>
      <c r="I121" s="97">
        <f t="shared" si="16"/>
        <v>40</v>
      </c>
      <c r="J121" s="91">
        <f t="shared" si="18"/>
        <v>113330</v>
      </c>
      <c r="K121" s="91">
        <f t="shared" si="17"/>
        <v>453320</v>
      </c>
      <c r="L121" s="11"/>
      <c r="M121" s="180" t="e">
        <f>#REF!-G121</f>
        <v>#REF!</v>
      </c>
    </row>
    <row r="122" spans="1:13" s="114" customFormat="1">
      <c r="A122" s="160">
        <v>117</v>
      </c>
      <c r="B122" s="181" t="s">
        <v>230</v>
      </c>
      <c r="C122" s="41">
        <v>200000</v>
      </c>
      <c r="D122" s="41">
        <v>26660</v>
      </c>
      <c r="E122" s="41">
        <v>226660</v>
      </c>
      <c r="F122" s="33">
        <v>40</v>
      </c>
      <c r="G122" s="19">
        <v>5666.5</v>
      </c>
      <c r="H122" s="97">
        <v>37</v>
      </c>
      <c r="I122" s="97">
        <f t="shared" si="16"/>
        <v>3</v>
      </c>
      <c r="J122" s="91">
        <f t="shared" si="18"/>
        <v>209660.5</v>
      </c>
      <c r="K122" s="94">
        <f t="shared" si="17"/>
        <v>16999.5</v>
      </c>
      <c r="L122" s="11"/>
      <c r="M122" s="180" t="e">
        <f>#REF!-G122</f>
        <v>#REF!</v>
      </c>
    </row>
    <row r="123" spans="1:13" s="114" customFormat="1">
      <c r="A123" s="160">
        <v>118</v>
      </c>
      <c r="B123" s="181" t="s">
        <v>83</v>
      </c>
      <c r="C123" s="12">
        <v>500000</v>
      </c>
      <c r="D123" s="12">
        <v>66650</v>
      </c>
      <c r="E123" s="15">
        <f>SUM(C123:D123)</f>
        <v>566650</v>
      </c>
      <c r="F123" s="31">
        <v>50</v>
      </c>
      <c r="G123" s="12">
        <v>11333</v>
      </c>
      <c r="H123" s="14">
        <v>27</v>
      </c>
      <c r="I123" s="97">
        <f t="shared" si="16"/>
        <v>23</v>
      </c>
      <c r="J123" s="91">
        <f t="shared" si="18"/>
        <v>305991</v>
      </c>
      <c r="K123" s="15">
        <f t="shared" si="17"/>
        <v>260659</v>
      </c>
      <c r="L123" s="8"/>
      <c r="M123" s="180" t="e">
        <f>#REF!-G123</f>
        <v>#REF!</v>
      </c>
    </row>
    <row r="124" spans="1:13" s="114" customFormat="1">
      <c r="A124" s="160">
        <v>119</v>
      </c>
      <c r="B124" s="181" t="s">
        <v>41</v>
      </c>
      <c r="C124" s="16">
        <v>450000</v>
      </c>
      <c r="D124" s="16">
        <v>59985</v>
      </c>
      <c r="E124" s="16">
        <v>509985</v>
      </c>
      <c r="F124" s="33">
        <v>50</v>
      </c>
      <c r="G124" s="16">
        <v>10199.700000000001</v>
      </c>
      <c r="H124" s="97">
        <v>9</v>
      </c>
      <c r="I124" s="97">
        <f t="shared" si="16"/>
        <v>41</v>
      </c>
      <c r="J124" s="91">
        <f t="shared" si="18"/>
        <v>91797.3</v>
      </c>
      <c r="K124" s="91">
        <f t="shared" si="17"/>
        <v>418187.7</v>
      </c>
      <c r="L124" s="122"/>
      <c r="M124" s="180" t="e">
        <f>#REF!-G124</f>
        <v>#REF!</v>
      </c>
    </row>
    <row r="125" spans="1:13" s="114" customFormat="1">
      <c r="A125" s="160">
        <v>120</v>
      </c>
      <c r="B125" s="181" t="s">
        <v>84</v>
      </c>
      <c r="C125" s="16">
        <v>500000</v>
      </c>
      <c r="D125" s="16">
        <v>66650</v>
      </c>
      <c r="E125" s="41">
        <f>SUM(C125:D125)</f>
        <v>566650</v>
      </c>
      <c r="F125" s="33">
        <v>50</v>
      </c>
      <c r="G125" s="16">
        <v>11333</v>
      </c>
      <c r="H125" s="97">
        <v>24</v>
      </c>
      <c r="I125" s="97">
        <f t="shared" si="16"/>
        <v>26</v>
      </c>
      <c r="J125" s="91">
        <f t="shared" si="18"/>
        <v>271992</v>
      </c>
      <c r="K125" s="94">
        <f t="shared" si="17"/>
        <v>294658</v>
      </c>
      <c r="L125" s="11"/>
      <c r="M125" s="180" t="e">
        <f>#REF!-G125</f>
        <v>#REF!</v>
      </c>
    </row>
    <row r="126" spans="1:13" s="114" customFormat="1">
      <c r="A126" s="160">
        <v>121</v>
      </c>
      <c r="B126" s="181" t="s">
        <v>32</v>
      </c>
      <c r="C126" s="155">
        <v>330000</v>
      </c>
      <c r="D126" s="155">
        <v>43989</v>
      </c>
      <c r="E126" s="155">
        <f>SUM(C126:D126)</f>
        <v>373989</v>
      </c>
      <c r="F126" s="33">
        <v>50</v>
      </c>
      <c r="G126" s="154">
        <v>7479.78</v>
      </c>
      <c r="H126" s="97">
        <v>10</v>
      </c>
      <c r="I126" s="97">
        <f t="shared" si="16"/>
        <v>40</v>
      </c>
      <c r="J126" s="91">
        <f t="shared" si="18"/>
        <v>74797.8</v>
      </c>
      <c r="K126" s="91">
        <f t="shared" si="17"/>
        <v>299191.2</v>
      </c>
      <c r="L126" s="122"/>
      <c r="M126" s="180" t="e">
        <f>#REF!-G126</f>
        <v>#REF!</v>
      </c>
    </row>
    <row r="127" spans="1:13" s="114" customFormat="1">
      <c r="A127" s="160">
        <v>122</v>
      </c>
      <c r="B127" s="181" t="s">
        <v>179</v>
      </c>
      <c r="C127" s="41">
        <v>200000</v>
      </c>
      <c r="D127" s="41">
        <v>26660</v>
      </c>
      <c r="E127" s="41">
        <f>SUM(C127:D127)</f>
        <v>226660</v>
      </c>
      <c r="F127" s="33">
        <v>40</v>
      </c>
      <c r="G127" s="41">
        <v>5666.5</v>
      </c>
      <c r="H127" s="97">
        <v>37</v>
      </c>
      <c r="I127" s="97">
        <f t="shared" si="16"/>
        <v>3</v>
      </c>
      <c r="J127" s="91">
        <f t="shared" si="18"/>
        <v>209660.5</v>
      </c>
      <c r="K127" s="94">
        <f t="shared" si="17"/>
        <v>16999.5</v>
      </c>
      <c r="L127" s="11"/>
      <c r="M127" s="180" t="e">
        <f>#REF!-G127</f>
        <v>#REF!</v>
      </c>
    </row>
    <row r="128" spans="1:13" s="114" customFormat="1" ht="25.5">
      <c r="A128" s="160">
        <v>123</v>
      </c>
      <c r="B128" s="183" t="s">
        <v>85</v>
      </c>
      <c r="C128" s="161">
        <v>500000</v>
      </c>
      <c r="D128" s="161">
        <v>66650</v>
      </c>
      <c r="E128" s="162">
        <f>SUM(C128:D128)</f>
        <v>566650</v>
      </c>
      <c r="F128" s="163">
        <v>50</v>
      </c>
      <c r="G128" s="161">
        <v>11333</v>
      </c>
      <c r="H128" s="97">
        <v>24</v>
      </c>
      <c r="I128" s="97">
        <f t="shared" si="16"/>
        <v>26</v>
      </c>
      <c r="J128" s="146">
        <f t="shared" si="18"/>
        <v>271992</v>
      </c>
      <c r="K128" s="164">
        <f t="shared" si="17"/>
        <v>294658</v>
      </c>
      <c r="L128" s="123"/>
      <c r="M128" s="180" t="e">
        <f>#REF!-G128</f>
        <v>#REF!</v>
      </c>
    </row>
    <row r="129" spans="1:13" s="114" customFormat="1">
      <c r="A129" s="160">
        <v>124</v>
      </c>
      <c r="B129" s="181" t="s">
        <v>34</v>
      </c>
      <c r="C129" s="155">
        <v>150000</v>
      </c>
      <c r="D129" s="155">
        <v>19995</v>
      </c>
      <c r="E129" s="155">
        <f>SUM(C129:D129)</f>
        <v>169995</v>
      </c>
      <c r="F129" s="33">
        <v>50</v>
      </c>
      <c r="G129" s="154">
        <v>3399.9</v>
      </c>
      <c r="H129" s="97">
        <v>8</v>
      </c>
      <c r="I129" s="97">
        <f t="shared" si="16"/>
        <v>42</v>
      </c>
      <c r="J129" s="91">
        <f t="shared" si="18"/>
        <v>27199.200000000001</v>
      </c>
      <c r="K129" s="91">
        <f t="shared" si="17"/>
        <v>142795.79999999999</v>
      </c>
      <c r="L129" s="122"/>
      <c r="M129" s="180" t="e">
        <f>#REF!-G129</f>
        <v>#REF!</v>
      </c>
    </row>
    <row r="130" spans="1:13" s="114" customFormat="1">
      <c r="A130" s="160">
        <v>125</v>
      </c>
      <c r="B130" s="181" t="s">
        <v>289</v>
      </c>
      <c r="C130" s="16">
        <v>180000</v>
      </c>
      <c r="D130" s="16">
        <v>23994</v>
      </c>
      <c r="E130" s="16">
        <v>203994</v>
      </c>
      <c r="F130" s="45">
        <v>40</v>
      </c>
      <c r="G130" s="154">
        <v>5099.8500000000004</v>
      </c>
      <c r="H130" s="97">
        <v>37</v>
      </c>
      <c r="I130" s="97">
        <f t="shared" si="16"/>
        <v>3</v>
      </c>
      <c r="J130" s="156">
        <f>(36*5099.85)</f>
        <v>183594.6</v>
      </c>
      <c r="K130" s="91">
        <f t="shared" si="17"/>
        <v>20399.399999999994</v>
      </c>
      <c r="L130" s="122"/>
      <c r="M130" s="180" t="e">
        <f>#REF!-G130</f>
        <v>#REF!</v>
      </c>
    </row>
    <row r="131" spans="1:13" s="114" customFormat="1">
      <c r="A131" s="160">
        <v>126</v>
      </c>
      <c r="B131" s="181" t="s">
        <v>271</v>
      </c>
      <c r="C131" s="16">
        <v>500000</v>
      </c>
      <c r="D131" s="16">
        <v>66650</v>
      </c>
      <c r="E131" s="41">
        <f t="shared" ref="E131:E144" si="19">SUM(C131:D131)</f>
        <v>566650</v>
      </c>
      <c r="F131" s="33">
        <v>50</v>
      </c>
      <c r="G131" s="154">
        <v>11333</v>
      </c>
      <c r="H131" s="97">
        <v>2</v>
      </c>
      <c r="I131" s="97">
        <f t="shared" si="16"/>
        <v>48</v>
      </c>
      <c r="J131" s="156">
        <f>(1*11333)</f>
        <v>11333</v>
      </c>
      <c r="K131" s="91">
        <f t="shared" si="17"/>
        <v>555317</v>
      </c>
      <c r="L131" s="122"/>
      <c r="M131" s="180" t="e">
        <f>#REF!-G131</f>
        <v>#REF!</v>
      </c>
    </row>
    <row r="132" spans="1:13" s="114" customFormat="1">
      <c r="A132" s="160">
        <v>127</v>
      </c>
      <c r="B132" s="181" t="s">
        <v>207</v>
      </c>
      <c r="C132" s="16">
        <v>132000</v>
      </c>
      <c r="D132" s="16">
        <v>17595.599999999999</v>
      </c>
      <c r="E132" s="41">
        <f t="shared" si="19"/>
        <v>149595.6</v>
      </c>
      <c r="F132" s="33">
        <v>40</v>
      </c>
      <c r="G132" s="16">
        <v>3739.89</v>
      </c>
      <c r="H132" s="97">
        <v>39</v>
      </c>
      <c r="I132" s="97">
        <f t="shared" si="16"/>
        <v>1</v>
      </c>
      <c r="J132" s="91">
        <f>H132*G132</f>
        <v>145855.71</v>
      </c>
      <c r="K132" s="94">
        <f t="shared" si="17"/>
        <v>3739.890000000014</v>
      </c>
      <c r="L132" s="11"/>
      <c r="M132" s="180" t="e">
        <f>#REF!-G132</f>
        <v>#REF!</v>
      </c>
    </row>
    <row r="133" spans="1:13" s="120" customFormat="1">
      <c r="A133" s="160">
        <v>128</v>
      </c>
      <c r="B133" s="181" t="s">
        <v>100</v>
      </c>
      <c r="C133" s="16">
        <v>450000</v>
      </c>
      <c r="D133" s="16">
        <v>59985</v>
      </c>
      <c r="E133" s="41">
        <f t="shared" si="19"/>
        <v>509985</v>
      </c>
      <c r="F133" s="33">
        <v>50</v>
      </c>
      <c r="G133" s="16">
        <v>10199.700000000001</v>
      </c>
      <c r="H133" s="97">
        <v>23</v>
      </c>
      <c r="I133" s="97">
        <f t="shared" si="16"/>
        <v>27</v>
      </c>
      <c r="J133" s="91">
        <f>H133*G133</f>
        <v>234593.1</v>
      </c>
      <c r="K133" s="94">
        <f t="shared" si="17"/>
        <v>275391.90000000002</v>
      </c>
      <c r="L133" s="11"/>
      <c r="M133" s="180" t="e">
        <f>#REF!-G133</f>
        <v>#REF!</v>
      </c>
    </row>
    <row r="134" spans="1:13" s="114" customFormat="1">
      <c r="A134" s="160">
        <v>129</v>
      </c>
      <c r="B134" s="181" t="s">
        <v>270</v>
      </c>
      <c r="C134" s="16">
        <v>500000</v>
      </c>
      <c r="D134" s="16">
        <v>66650</v>
      </c>
      <c r="E134" s="41">
        <f t="shared" si="19"/>
        <v>566650</v>
      </c>
      <c r="F134" s="33">
        <v>50</v>
      </c>
      <c r="G134" s="154">
        <v>11333</v>
      </c>
      <c r="H134" s="97">
        <v>2</v>
      </c>
      <c r="I134" s="97">
        <f t="shared" ref="I134:I160" si="20">F134-H134</f>
        <v>48</v>
      </c>
      <c r="J134" s="156">
        <f>(1*11333)</f>
        <v>11333</v>
      </c>
      <c r="K134" s="91">
        <f t="shared" ref="K134:K160" si="21">E134-J134</f>
        <v>555317</v>
      </c>
      <c r="L134" s="11"/>
      <c r="M134" s="180" t="e">
        <f>#REF!-G134</f>
        <v>#REF!</v>
      </c>
    </row>
    <row r="135" spans="1:13" s="114" customFormat="1">
      <c r="A135" s="160">
        <v>130</v>
      </c>
      <c r="B135" s="181" t="s">
        <v>35</v>
      </c>
      <c r="C135" s="155">
        <v>150000</v>
      </c>
      <c r="D135" s="155">
        <v>19995</v>
      </c>
      <c r="E135" s="155">
        <f t="shared" si="19"/>
        <v>169995</v>
      </c>
      <c r="F135" s="33">
        <v>50</v>
      </c>
      <c r="G135" s="154">
        <v>3399.9</v>
      </c>
      <c r="H135" s="97">
        <v>9</v>
      </c>
      <c r="I135" s="97">
        <f t="shared" si="20"/>
        <v>41</v>
      </c>
      <c r="J135" s="91">
        <f t="shared" ref="J135:J160" si="22">H135*G135</f>
        <v>30599.100000000002</v>
      </c>
      <c r="K135" s="91">
        <f t="shared" si="21"/>
        <v>139395.9</v>
      </c>
      <c r="L135" s="122"/>
      <c r="M135" s="180" t="e">
        <f>#REF!-G135</f>
        <v>#REF!</v>
      </c>
    </row>
    <row r="136" spans="1:13" s="114" customFormat="1">
      <c r="A136" s="160">
        <v>131</v>
      </c>
      <c r="B136" s="181" t="s">
        <v>115</v>
      </c>
      <c r="C136" s="12">
        <v>330000</v>
      </c>
      <c r="D136" s="12">
        <v>43989</v>
      </c>
      <c r="E136" s="15">
        <f t="shared" si="19"/>
        <v>373989</v>
      </c>
      <c r="F136" s="31">
        <v>50</v>
      </c>
      <c r="G136" s="12">
        <v>7479.78</v>
      </c>
      <c r="H136" s="14">
        <v>29</v>
      </c>
      <c r="I136" s="97">
        <f t="shared" si="20"/>
        <v>21</v>
      </c>
      <c r="J136" s="91">
        <f t="shared" si="22"/>
        <v>216913.62</v>
      </c>
      <c r="K136" s="15">
        <f t="shared" si="21"/>
        <v>157075.38</v>
      </c>
      <c r="L136" s="8"/>
      <c r="M136" s="180" t="e">
        <f>#REF!-G136</f>
        <v>#REF!</v>
      </c>
    </row>
    <row r="137" spans="1:13" s="114" customFormat="1">
      <c r="A137" s="160">
        <v>132</v>
      </c>
      <c r="B137" s="181" t="s">
        <v>86</v>
      </c>
      <c r="C137" s="16">
        <v>500000</v>
      </c>
      <c r="D137" s="16">
        <v>66650</v>
      </c>
      <c r="E137" s="41">
        <f t="shared" si="19"/>
        <v>566650</v>
      </c>
      <c r="F137" s="33">
        <v>50</v>
      </c>
      <c r="G137" s="16">
        <v>11333</v>
      </c>
      <c r="H137" s="97">
        <v>23</v>
      </c>
      <c r="I137" s="97">
        <f t="shared" si="20"/>
        <v>27</v>
      </c>
      <c r="J137" s="91">
        <f t="shared" si="22"/>
        <v>260659</v>
      </c>
      <c r="K137" s="94">
        <f t="shared" si="21"/>
        <v>305991</v>
      </c>
      <c r="L137" s="11"/>
      <c r="M137" s="180" t="e">
        <f>#REF!-G137</f>
        <v>#REF!</v>
      </c>
    </row>
    <row r="138" spans="1:13" s="114" customFormat="1">
      <c r="A138" s="160">
        <v>133</v>
      </c>
      <c r="B138" s="181" t="s">
        <v>260</v>
      </c>
      <c r="C138" s="16">
        <v>500000</v>
      </c>
      <c r="D138" s="16">
        <v>66650</v>
      </c>
      <c r="E138" s="41">
        <f t="shared" si="19"/>
        <v>566650</v>
      </c>
      <c r="F138" s="33">
        <v>50</v>
      </c>
      <c r="G138" s="16">
        <v>11333</v>
      </c>
      <c r="H138" s="97">
        <v>28</v>
      </c>
      <c r="I138" s="97">
        <f t="shared" si="20"/>
        <v>22</v>
      </c>
      <c r="J138" s="91">
        <f t="shared" si="22"/>
        <v>317324</v>
      </c>
      <c r="K138" s="94">
        <f t="shared" si="21"/>
        <v>249326</v>
      </c>
      <c r="L138" s="11"/>
      <c r="M138" s="180" t="e">
        <f>#REF!-G138</f>
        <v>#REF!</v>
      </c>
    </row>
    <row r="139" spans="1:13" s="114" customFormat="1">
      <c r="A139" s="160">
        <v>134</v>
      </c>
      <c r="B139" s="181" t="s">
        <v>116</v>
      </c>
      <c r="C139" s="12">
        <v>330000</v>
      </c>
      <c r="D139" s="12">
        <v>43989</v>
      </c>
      <c r="E139" s="15">
        <f t="shared" si="19"/>
        <v>373989</v>
      </c>
      <c r="F139" s="31">
        <v>50</v>
      </c>
      <c r="G139" s="12">
        <v>7479.78</v>
      </c>
      <c r="H139" s="14">
        <v>29</v>
      </c>
      <c r="I139" s="97">
        <f t="shared" si="20"/>
        <v>21</v>
      </c>
      <c r="J139" s="91">
        <f t="shared" si="22"/>
        <v>216913.62</v>
      </c>
      <c r="K139" s="15">
        <f t="shared" si="21"/>
        <v>157075.38</v>
      </c>
      <c r="L139" s="8"/>
      <c r="M139" s="180" t="e">
        <f>#REF!-G139</f>
        <v>#REF!</v>
      </c>
    </row>
    <row r="140" spans="1:13" s="114" customFormat="1">
      <c r="A140" s="160">
        <v>135</v>
      </c>
      <c r="B140" s="181" t="s">
        <v>47</v>
      </c>
      <c r="C140" s="16">
        <v>500000</v>
      </c>
      <c r="D140" s="16">
        <v>47992</v>
      </c>
      <c r="E140" s="41">
        <f t="shared" si="19"/>
        <v>547992</v>
      </c>
      <c r="F140" s="33">
        <v>36</v>
      </c>
      <c r="G140" s="16">
        <v>15222</v>
      </c>
      <c r="H140" s="97">
        <v>23</v>
      </c>
      <c r="I140" s="97">
        <f t="shared" si="20"/>
        <v>13</v>
      </c>
      <c r="J140" s="91">
        <f t="shared" si="22"/>
        <v>350106</v>
      </c>
      <c r="K140" s="94">
        <f t="shared" si="21"/>
        <v>197886</v>
      </c>
      <c r="L140" s="11"/>
      <c r="M140" s="180" t="e">
        <f>#REF!-G140</f>
        <v>#REF!</v>
      </c>
    </row>
    <row r="141" spans="1:13" s="114" customFormat="1">
      <c r="A141" s="160">
        <v>136</v>
      </c>
      <c r="B141" s="181" t="s">
        <v>87</v>
      </c>
      <c r="C141" s="16">
        <v>500000</v>
      </c>
      <c r="D141" s="16">
        <v>66650</v>
      </c>
      <c r="E141" s="41">
        <f t="shared" si="19"/>
        <v>566650</v>
      </c>
      <c r="F141" s="33">
        <v>50</v>
      </c>
      <c r="G141" s="16">
        <v>11333</v>
      </c>
      <c r="H141" s="97">
        <v>45</v>
      </c>
      <c r="I141" s="97">
        <f t="shared" si="20"/>
        <v>5</v>
      </c>
      <c r="J141" s="91">
        <f t="shared" si="22"/>
        <v>509985</v>
      </c>
      <c r="K141" s="94">
        <f t="shared" si="21"/>
        <v>56665</v>
      </c>
      <c r="L141" s="11"/>
      <c r="M141" s="180" t="e">
        <f>#REF!-G141</f>
        <v>#REF!</v>
      </c>
    </row>
    <row r="142" spans="1:13" s="114" customFormat="1">
      <c r="A142" s="160">
        <v>137</v>
      </c>
      <c r="B142" s="181" t="s">
        <v>103</v>
      </c>
      <c r="C142" s="16">
        <v>450000</v>
      </c>
      <c r="D142" s="16">
        <v>59985</v>
      </c>
      <c r="E142" s="41">
        <f t="shared" si="19"/>
        <v>509985</v>
      </c>
      <c r="F142" s="33">
        <v>50</v>
      </c>
      <c r="G142" s="16">
        <v>10199.700000000001</v>
      </c>
      <c r="H142" s="97">
        <v>24</v>
      </c>
      <c r="I142" s="97">
        <f t="shared" si="20"/>
        <v>26</v>
      </c>
      <c r="J142" s="91">
        <f t="shared" si="22"/>
        <v>244792.80000000002</v>
      </c>
      <c r="K142" s="94">
        <f t="shared" si="21"/>
        <v>265192.19999999995</v>
      </c>
      <c r="L142" s="11"/>
      <c r="M142" s="180" t="e">
        <f>#REF!-G142</f>
        <v>#REF!</v>
      </c>
    </row>
    <row r="143" spans="1:13" s="114" customFormat="1">
      <c r="A143" s="160">
        <v>138</v>
      </c>
      <c r="B143" s="181" t="s">
        <v>88</v>
      </c>
      <c r="C143" s="16">
        <v>500000</v>
      </c>
      <c r="D143" s="16">
        <v>66650</v>
      </c>
      <c r="E143" s="41">
        <f t="shared" si="19"/>
        <v>566650</v>
      </c>
      <c r="F143" s="33">
        <v>50</v>
      </c>
      <c r="G143" s="16">
        <v>11333</v>
      </c>
      <c r="H143" s="97">
        <v>24</v>
      </c>
      <c r="I143" s="97">
        <f t="shared" si="20"/>
        <v>26</v>
      </c>
      <c r="J143" s="91">
        <f t="shared" si="22"/>
        <v>271992</v>
      </c>
      <c r="K143" s="94">
        <f t="shared" si="21"/>
        <v>294658</v>
      </c>
      <c r="L143" s="11"/>
      <c r="M143" s="180" t="e">
        <f>#REF!-G143</f>
        <v>#REF!</v>
      </c>
    </row>
    <row r="144" spans="1:13" s="114" customFormat="1">
      <c r="A144" s="160">
        <v>139</v>
      </c>
      <c r="B144" s="181" t="s">
        <v>104</v>
      </c>
      <c r="C144" s="16">
        <v>450000</v>
      </c>
      <c r="D144" s="16">
        <v>59985</v>
      </c>
      <c r="E144" s="41">
        <f t="shared" si="19"/>
        <v>509985</v>
      </c>
      <c r="F144" s="33">
        <v>50</v>
      </c>
      <c r="G144" s="16">
        <v>10199.700000000001</v>
      </c>
      <c r="H144" s="97">
        <v>24</v>
      </c>
      <c r="I144" s="97">
        <f t="shared" si="20"/>
        <v>26</v>
      </c>
      <c r="J144" s="91">
        <f t="shared" si="22"/>
        <v>244792.80000000002</v>
      </c>
      <c r="K144" s="94">
        <f t="shared" si="21"/>
        <v>265192.19999999995</v>
      </c>
      <c r="L144" s="11"/>
      <c r="M144" s="180" t="e">
        <f>#REF!-G144</f>
        <v>#REF!</v>
      </c>
    </row>
    <row r="145" spans="1:13" s="114" customFormat="1">
      <c r="A145" s="160">
        <v>140</v>
      </c>
      <c r="B145" s="181" t="s">
        <v>38</v>
      </c>
      <c r="C145" s="19">
        <v>500000</v>
      </c>
      <c r="D145" s="19">
        <v>66650</v>
      </c>
      <c r="E145" s="19">
        <v>566650</v>
      </c>
      <c r="F145" s="33">
        <v>50</v>
      </c>
      <c r="G145" s="16">
        <v>11333</v>
      </c>
      <c r="H145" s="97">
        <v>10</v>
      </c>
      <c r="I145" s="97">
        <f t="shared" si="20"/>
        <v>40</v>
      </c>
      <c r="J145" s="91">
        <f t="shared" si="22"/>
        <v>113330</v>
      </c>
      <c r="K145" s="91">
        <f t="shared" si="21"/>
        <v>453320</v>
      </c>
      <c r="L145" s="122"/>
      <c r="M145" s="180" t="e">
        <f>#REF!-G145</f>
        <v>#REF!</v>
      </c>
    </row>
    <row r="146" spans="1:13" s="114" customFormat="1">
      <c r="A146" s="160">
        <v>141</v>
      </c>
      <c r="B146" s="181" t="s">
        <v>89</v>
      </c>
      <c r="C146" s="12">
        <v>500000</v>
      </c>
      <c r="D146" s="12">
        <v>66650</v>
      </c>
      <c r="E146" s="15">
        <f>SUM(C146:D146)</f>
        <v>566650</v>
      </c>
      <c r="F146" s="31">
        <v>50</v>
      </c>
      <c r="G146" s="12">
        <v>11333</v>
      </c>
      <c r="H146" s="14">
        <v>29</v>
      </c>
      <c r="I146" s="97">
        <f t="shared" si="20"/>
        <v>21</v>
      </c>
      <c r="J146" s="91">
        <f t="shared" si="22"/>
        <v>328657</v>
      </c>
      <c r="K146" s="15">
        <f t="shared" si="21"/>
        <v>237993</v>
      </c>
      <c r="L146" s="8"/>
      <c r="M146" s="180" t="e">
        <f>#REF!-G146</f>
        <v>#REF!</v>
      </c>
    </row>
    <row r="147" spans="1:13" s="114" customFormat="1">
      <c r="A147" s="160">
        <v>142</v>
      </c>
      <c r="B147" s="181" t="s">
        <v>117</v>
      </c>
      <c r="C147" s="16">
        <v>330000</v>
      </c>
      <c r="D147" s="16">
        <v>43989</v>
      </c>
      <c r="E147" s="41">
        <f>SUM(C147:D147)</f>
        <v>373989</v>
      </c>
      <c r="F147" s="33">
        <v>50</v>
      </c>
      <c r="G147" s="16">
        <v>7479.78</v>
      </c>
      <c r="H147" s="159">
        <v>32</v>
      </c>
      <c r="I147" s="97">
        <f t="shared" si="20"/>
        <v>18</v>
      </c>
      <c r="J147" s="91">
        <f t="shared" si="22"/>
        <v>239352.95999999999</v>
      </c>
      <c r="K147" s="94">
        <f t="shared" si="21"/>
        <v>134636.04</v>
      </c>
      <c r="L147" s="11"/>
      <c r="M147" s="180" t="e">
        <f>#REF!-G147</f>
        <v>#REF!</v>
      </c>
    </row>
    <row r="148" spans="1:13" s="114" customFormat="1">
      <c r="A148" s="160">
        <v>143</v>
      </c>
      <c r="B148" s="181" t="s">
        <v>30</v>
      </c>
      <c r="C148" s="155">
        <v>330000</v>
      </c>
      <c r="D148" s="155">
        <v>43989</v>
      </c>
      <c r="E148" s="155">
        <f>SUM(C148:D148)</f>
        <v>373989</v>
      </c>
      <c r="F148" s="33">
        <v>50</v>
      </c>
      <c r="G148" s="154">
        <v>7479.78</v>
      </c>
      <c r="H148" s="97">
        <v>10</v>
      </c>
      <c r="I148" s="97">
        <f t="shared" si="20"/>
        <v>40</v>
      </c>
      <c r="J148" s="91">
        <f t="shared" si="22"/>
        <v>74797.8</v>
      </c>
      <c r="K148" s="91">
        <f t="shared" si="21"/>
        <v>299191.2</v>
      </c>
      <c r="L148" s="122"/>
      <c r="M148" s="180" t="e">
        <f>#REF!-G148</f>
        <v>#REF!</v>
      </c>
    </row>
    <row r="149" spans="1:13" s="114" customFormat="1">
      <c r="A149" s="160">
        <v>144</v>
      </c>
      <c r="B149" s="181" t="s">
        <v>29</v>
      </c>
      <c r="C149" s="19">
        <v>450000</v>
      </c>
      <c r="D149" s="19">
        <v>59985</v>
      </c>
      <c r="E149" s="19">
        <v>509985</v>
      </c>
      <c r="F149" s="33">
        <v>50</v>
      </c>
      <c r="G149" s="16">
        <v>10199.700000000001</v>
      </c>
      <c r="H149" s="97">
        <v>10</v>
      </c>
      <c r="I149" s="97">
        <f t="shared" si="20"/>
        <v>40</v>
      </c>
      <c r="J149" s="91">
        <f t="shared" si="22"/>
        <v>101997</v>
      </c>
      <c r="K149" s="91">
        <f t="shared" si="21"/>
        <v>407988</v>
      </c>
      <c r="L149" s="122"/>
      <c r="M149" s="180" t="e">
        <f>#REF!-G149</f>
        <v>#REF!</v>
      </c>
    </row>
    <row r="150" spans="1:13" s="114" customFormat="1">
      <c r="A150" s="160">
        <v>145</v>
      </c>
      <c r="B150" s="181" t="s">
        <v>118</v>
      </c>
      <c r="C150" s="12">
        <v>330000</v>
      </c>
      <c r="D150" s="12">
        <v>43989</v>
      </c>
      <c r="E150" s="15">
        <f>SUM(C150:D150)</f>
        <v>373989</v>
      </c>
      <c r="F150" s="31">
        <v>50</v>
      </c>
      <c r="G150" s="12">
        <v>7479.78</v>
      </c>
      <c r="H150" s="14">
        <v>28</v>
      </c>
      <c r="I150" s="97">
        <f t="shared" si="20"/>
        <v>22</v>
      </c>
      <c r="J150" s="91">
        <f t="shared" si="22"/>
        <v>209433.84</v>
      </c>
      <c r="K150" s="15">
        <f t="shared" si="21"/>
        <v>164555.16</v>
      </c>
      <c r="L150" s="8"/>
      <c r="M150" s="180" t="e">
        <f>#REF!-G150</f>
        <v>#REF!</v>
      </c>
    </row>
    <row r="151" spans="1:13" s="114" customFormat="1">
      <c r="A151" s="160">
        <v>146</v>
      </c>
      <c r="B151" s="181" t="s">
        <v>90</v>
      </c>
      <c r="C151" s="16">
        <v>500000</v>
      </c>
      <c r="D151" s="16">
        <v>66650</v>
      </c>
      <c r="E151" s="41">
        <f>SUM(C151:D151)</f>
        <v>566650</v>
      </c>
      <c r="F151" s="33">
        <v>50</v>
      </c>
      <c r="G151" s="16">
        <v>11333</v>
      </c>
      <c r="H151" s="97">
        <v>44</v>
      </c>
      <c r="I151" s="97">
        <f t="shared" si="20"/>
        <v>6</v>
      </c>
      <c r="J151" s="91">
        <f t="shared" si="22"/>
        <v>498652</v>
      </c>
      <c r="K151" s="94">
        <f t="shared" si="21"/>
        <v>67998</v>
      </c>
      <c r="L151" s="11"/>
      <c r="M151" s="180" t="e">
        <f>#REF!-G151</f>
        <v>#REF!</v>
      </c>
    </row>
    <row r="152" spans="1:13" s="114" customFormat="1">
      <c r="A152" s="160">
        <v>147</v>
      </c>
      <c r="B152" s="181" t="s">
        <v>91</v>
      </c>
      <c r="C152" s="16">
        <v>500000</v>
      </c>
      <c r="D152" s="16">
        <v>66650</v>
      </c>
      <c r="E152" s="41">
        <f>SUM(C152:D152)</f>
        <v>566650</v>
      </c>
      <c r="F152" s="33">
        <v>50</v>
      </c>
      <c r="G152" s="16">
        <v>11333</v>
      </c>
      <c r="H152" s="97">
        <v>23</v>
      </c>
      <c r="I152" s="97">
        <f t="shared" si="20"/>
        <v>27</v>
      </c>
      <c r="J152" s="91">
        <f t="shared" si="22"/>
        <v>260659</v>
      </c>
      <c r="K152" s="94">
        <f t="shared" si="21"/>
        <v>305991</v>
      </c>
      <c r="L152" s="11"/>
      <c r="M152" s="180" t="e">
        <f>#REF!-G152</f>
        <v>#REF!</v>
      </c>
    </row>
    <row r="153" spans="1:13" s="114" customFormat="1">
      <c r="A153" s="160">
        <v>148</v>
      </c>
      <c r="B153" s="181" t="s">
        <v>92</v>
      </c>
      <c r="C153" s="12">
        <v>500000</v>
      </c>
      <c r="D153" s="12">
        <v>66650</v>
      </c>
      <c r="E153" s="15">
        <f>SUM(C153:D153)</f>
        <v>566650</v>
      </c>
      <c r="F153" s="31">
        <v>50</v>
      </c>
      <c r="G153" s="12">
        <v>11333</v>
      </c>
      <c r="H153" s="14">
        <v>29</v>
      </c>
      <c r="I153" s="97">
        <f t="shared" si="20"/>
        <v>21</v>
      </c>
      <c r="J153" s="91">
        <f t="shared" si="22"/>
        <v>328657</v>
      </c>
      <c r="K153" s="15">
        <f t="shared" si="21"/>
        <v>237993</v>
      </c>
      <c r="L153" s="8"/>
      <c r="M153" s="180" t="e">
        <f>#REF!-G153</f>
        <v>#REF!</v>
      </c>
    </row>
    <row r="154" spans="1:13" s="114" customFormat="1">
      <c r="A154" s="160">
        <v>149</v>
      </c>
      <c r="B154" s="181" t="s">
        <v>39</v>
      </c>
      <c r="C154" s="16">
        <v>500000</v>
      </c>
      <c r="D154" s="16">
        <v>66650</v>
      </c>
      <c r="E154" s="16">
        <v>566650</v>
      </c>
      <c r="F154" s="33">
        <v>50</v>
      </c>
      <c r="G154" s="16">
        <v>11333</v>
      </c>
      <c r="H154" s="97">
        <v>10</v>
      </c>
      <c r="I154" s="97">
        <f t="shared" si="20"/>
        <v>40</v>
      </c>
      <c r="J154" s="91">
        <f t="shared" si="22"/>
        <v>113330</v>
      </c>
      <c r="K154" s="91">
        <f t="shared" si="21"/>
        <v>453320</v>
      </c>
      <c r="L154" s="122"/>
      <c r="M154" s="180" t="e">
        <f>#REF!-G154</f>
        <v>#REF!</v>
      </c>
    </row>
    <row r="155" spans="1:13" s="114" customFormat="1">
      <c r="A155" s="160">
        <v>150</v>
      </c>
      <c r="B155" s="181" t="s">
        <v>48</v>
      </c>
      <c r="C155" s="16">
        <v>500000</v>
      </c>
      <c r="D155" s="16">
        <v>47992</v>
      </c>
      <c r="E155" s="41">
        <f>SUM(C155:D155)</f>
        <v>547992</v>
      </c>
      <c r="F155" s="33">
        <v>36</v>
      </c>
      <c r="G155" s="16">
        <v>15222</v>
      </c>
      <c r="H155" s="97">
        <v>23</v>
      </c>
      <c r="I155" s="97">
        <f t="shared" si="20"/>
        <v>13</v>
      </c>
      <c r="J155" s="91">
        <f t="shared" si="22"/>
        <v>350106</v>
      </c>
      <c r="K155" s="94">
        <f t="shared" si="21"/>
        <v>197886</v>
      </c>
      <c r="L155" s="11"/>
      <c r="M155" s="180" t="e">
        <f>#REF!-G155</f>
        <v>#REF!</v>
      </c>
    </row>
    <row r="156" spans="1:13" s="114" customFormat="1">
      <c r="A156" s="160">
        <v>151</v>
      </c>
      <c r="B156" s="181" t="s">
        <v>290</v>
      </c>
      <c r="C156" s="155">
        <v>150000</v>
      </c>
      <c r="D156" s="155">
        <v>19995</v>
      </c>
      <c r="E156" s="155">
        <f>SUM(C156:D156)</f>
        <v>169995</v>
      </c>
      <c r="F156" s="33">
        <v>50</v>
      </c>
      <c r="G156" s="153">
        <v>3399.9</v>
      </c>
      <c r="H156" s="97">
        <v>23</v>
      </c>
      <c r="I156" s="97">
        <f t="shared" si="20"/>
        <v>27</v>
      </c>
      <c r="J156" s="91">
        <f t="shared" si="22"/>
        <v>78197.7</v>
      </c>
      <c r="K156" s="94">
        <f t="shared" si="21"/>
        <v>91797.3</v>
      </c>
      <c r="L156" s="122"/>
      <c r="M156" s="180" t="e">
        <f>#REF!-G156</f>
        <v>#REF!</v>
      </c>
    </row>
    <row r="157" spans="1:13" s="114" customFormat="1">
      <c r="A157" s="160">
        <v>152</v>
      </c>
      <c r="B157" s="181" t="s">
        <v>185</v>
      </c>
      <c r="C157" s="41">
        <v>200000</v>
      </c>
      <c r="D157" s="41">
        <v>26660</v>
      </c>
      <c r="E157" s="41">
        <f>SUM(C157:D157)</f>
        <v>226660</v>
      </c>
      <c r="F157" s="33">
        <v>40</v>
      </c>
      <c r="G157" s="41">
        <v>5666.5</v>
      </c>
      <c r="H157" s="97">
        <v>38</v>
      </c>
      <c r="I157" s="97">
        <f t="shared" si="20"/>
        <v>2</v>
      </c>
      <c r="J157" s="91">
        <f t="shared" si="22"/>
        <v>215327</v>
      </c>
      <c r="K157" s="94">
        <f t="shared" si="21"/>
        <v>11333</v>
      </c>
      <c r="L157" s="11"/>
      <c r="M157" s="180" t="e">
        <f>#REF!-G157</f>
        <v>#REF!</v>
      </c>
    </row>
    <row r="158" spans="1:13" s="114" customFormat="1">
      <c r="A158" s="160">
        <v>153</v>
      </c>
      <c r="B158" s="181" t="s">
        <v>241</v>
      </c>
      <c r="C158" s="16">
        <v>60000</v>
      </c>
      <c r="D158" s="16">
        <v>7998</v>
      </c>
      <c r="E158" s="41">
        <f>SUM(C158:D158)</f>
        <v>67998</v>
      </c>
      <c r="F158" s="33">
        <v>40</v>
      </c>
      <c r="G158" s="16">
        <v>1699.95</v>
      </c>
      <c r="H158" s="97">
        <v>37</v>
      </c>
      <c r="I158" s="97">
        <f t="shared" si="20"/>
        <v>3</v>
      </c>
      <c r="J158" s="91">
        <f t="shared" si="22"/>
        <v>62898.15</v>
      </c>
      <c r="K158" s="94">
        <f t="shared" si="21"/>
        <v>5099.8499999999985</v>
      </c>
      <c r="L158" s="11"/>
      <c r="M158" s="180" t="e">
        <f>#REF!-G158</f>
        <v>#REF!</v>
      </c>
    </row>
    <row r="159" spans="1:13" s="114" customFormat="1">
      <c r="A159" s="160">
        <v>154</v>
      </c>
      <c r="B159" s="181" t="s">
        <v>231</v>
      </c>
      <c r="C159" s="41">
        <v>200000</v>
      </c>
      <c r="D159" s="41">
        <v>26660</v>
      </c>
      <c r="E159" s="41">
        <v>226660</v>
      </c>
      <c r="F159" s="33">
        <v>40</v>
      </c>
      <c r="G159" s="19">
        <v>5666.5</v>
      </c>
      <c r="H159" s="97">
        <v>38</v>
      </c>
      <c r="I159" s="97">
        <f t="shared" si="20"/>
        <v>2</v>
      </c>
      <c r="J159" s="91">
        <f t="shared" si="22"/>
        <v>215327</v>
      </c>
      <c r="K159" s="94">
        <f t="shared" si="21"/>
        <v>11333</v>
      </c>
      <c r="L159" s="11"/>
      <c r="M159" s="180" t="e">
        <f>#REF!-G159</f>
        <v>#REF!</v>
      </c>
    </row>
    <row r="160" spans="1:13" s="114" customFormat="1">
      <c r="A160" s="160">
        <v>155</v>
      </c>
      <c r="B160" s="181" t="s">
        <v>186</v>
      </c>
      <c r="C160" s="41">
        <v>200000</v>
      </c>
      <c r="D160" s="41">
        <v>26660</v>
      </c>
      <c r="E160" s="41">
        <f>SUM(C160:D160)</f>
        <v>226660</v>
      </c>
      <c r="F160" s="33">
        <v>40</v>
      </c>
      <c r="G160" s="41">
        <v>5666.5</v>
      </c>
      <c r="H160" s="97">
        <v>38</v>
      </c>
      <c r="I160" s="97">
        <f t="shared" si="20"/>
        <v>2</v>
      </c>
      <c r="J160" s="91">
        <f t="shared" si="22"/>
        <v>215327</v>
      </c>
      <c r="K160" s="94">
        <f t="shared" si="21"/>
        <v>11333</v>
      </c>
      <c r="L160" s="11"/>
      <c r="M160" s="180" t="e">
        <f>#REF!-G160</f>
        <v>#REF!</v>
      </c>
    </row>
    <row r="161" spans="1:13">
      <c r="A161" s="175"/>
      <c r="B161" s="8"/>
      <c r="C161" s="149">
        <f>SUM(C6:C160)</f>
        <v>55294000</v>
      </c>
      <c r="D161" s="149">
        <f t="shared" ref="D161:K161" si="23">SUM(D6:D160)</f>
        <v>7205992.7199999997</v>
      </c>
      <c r="E161" s="149">
        <f t="shared" si="23"/>
        <v>62499992.720000006</v>
      </c>
      <c r="F161" s="149"/>
      <c r="G161" s="149">
        <f>SUM(G6:G160)</f>
        <v>1334998.0799999994</v>
      </c>
      <c r="H161" s="149"/>
      <c r="I161" s="149"/>
      <c r="J161" s="149">
        <f t="shared" si="23"/>
        <v>36463763.300000012</v>
      </c>
      <c r="K161" s="149">
        <f t="shared" si="23"/>
        <v>26036229.419999991</v>
      </c>
      <c r="L161" s="150"/>
    </row>
    <row r="162" spans="1:13">
      <c r="G162" s="165">
        <v>1334998.0799999994</v>
      </c>
    </row>
    <row r="164" spans="1:13">
      <c r="G164" s="39">
        <f>G162-G161</f>
        <v>0</v>
      </c>
    </row>
    <row r="166" spans="1:13">
      <c r="M166" s="121"/>
    </row>
    <row r="169" spans="1:13" s="121" customFormat="1">
      <c r="A169" s="169"/>
      <c r="B169" s="185"/>
      <c r="C169"/>
      <c r="D169"/>
      <c r="E169"/>
      <c r="F169" s="43"/>
      <c r="G169"/>
      <c r="H169" s="99"/>
      <c r="I169" s="99"/>
      <c r="J169"/>
      <c r="K169"/>
      <c r="L169"/>
      <c r="M169"/>
    </row>
    <row r="170" spans="1:13">
      <c r="B170" s="127" t="s">
        <v>226</v>
      </c>
      <c r="C170" s="129">
        <v>200000</v>
      </c>
      <c r="D170" s="129">
        <v>26660</v>
      </c>
      <c r="E170" s="129">
        <v>226660</v>
      </c>
      <c r="F170" s="130">
        <v>40</v>
      </c>
      <c r="G170" s="137">
        <v>5666.5</v>
      </c>
      <c r="H170" s="134">
        <v>40</v>
      </c>
      <c r="I170" s="134">
        <f>F170-H170</f>
        <v>0</v>
      </c>
      <c r="J170" s="135">
        <f>H170*G170</f>
        <v>226660</v>
      </c>
      <c r="K170" s="136">
        <f>E170-J170</f>
        <v>0</v>
      </c>
      <c r="L170" s="132"/>
      <c r="M170" s="121"/>
    </row>
    <row r="171" spans="1:13">
      <c r="B171" s="127" t="s">
        <v>181</v>
      </c>
      <c r="C171" s="129">
        <v>200000</v>
      </c>
      <c r="D171" s="129">
        <v>26660</v>
      </c>
      <c r="E171" s="129">
        <f>SUM(C171:D171)</f>
        <v>226660</v>
      </c>
      <c r="F171" s="130">
        <v>40</v>
      </c>
      <c r="G171" s="129">
        <v>5666.5</v>
      </c>
      <c r="H171" s="134">
        <v>40</v>
      </c>
      <c r="I171" s="134">
        <f>F171-H171</f>
        <v>0</v>
      </c>
      <c r="J171" s="135">
        <f>H171*G171</f>
        <v>226660</v>
      </c>
      <c r="K171" s="136">
        <f>E171-J171</f>
        <v>0</v>
      </c>
      <c r="L171" s="132"/>
    </row>
    <row r="172" spans="1:13">
      <c r="B172" s="127" t="s">
        <v>249</v>
      </c>
      <c r="C172" s="128">
        <v>180000</v>
      </c>
      <c r="D172" s="128">
        <v>23994</v>
      </c>
      <c r="E172" s="129">
        <f>SUM(C172:D172)</f>
        <v>203994</v>
      </c>
      <c r="F172" s="130">
        <v>40</v>
      </c>
      <c r="G172" s="128">
        <v>5099.8500000000004</v>
      </c>
      <c r="H172" s="134">
        <v>45</v>
      </c>
      <c r="I172" s="134">
        <f>F172-H172</f>
        <v>-5</v>
      </c>
      <c r="J172" s="135">
        <f>H172*G172</f>
        <v>229493.25000000003</v>
      </c>
      <c r="K172" s="136">
        <f>E172-J172</f>
        <v>-25499.250000000029</v>
      </c>
      <c r="L172" s="132"/>
    </row>
    <row r="174" spans="1:13">
      <c r="B174" s="127" t="s">
        <v>188</v>
      </c>
      <c r="C174" s="128">
        <v>180000</v>
      </c>
      <c r="D174" s="128">
        <v>23994</v>
      </c>
      <c r="E174" s="129">
        <f>SUM(C174:D174)</f>
        <v>203994</v>
      </c>
      <c r="F174" s="130">
        <v>40</v>
      </c>
      <c r="G174" s="128">
        <v>5099.8500000000004</v>
      </c>
      <c r="H174" s="131">
        <v>37</v>
      </c>
      <c r="I174" s="131">
        <f>F174-H174</f>
        <v>3</v>
      </c>
      <c r="J174" s="128">
        <f>H174*G174</f>
        <v>188694.45</v>
      </c>
      <c r="K174" s="129">
        <f>E174-J174</f>
        <v>15299.549999999988</v>
      </c>
      <c r="L174" s="132"/>
    </row>
    <row r="175" spans="1:13">
      <c r="B175" s="127" t="s">
        <v>124</v>
      </c>
      <c r="C175" s="129">
        <v>200000</v>
      </c>
      <c r="D175" s="129">
        <v>26660</v>
      </c>
      <c r="E175" s="129">
        <f>SUM(C175:D175)</f>
        <v>226660</v>
      </c>
      <c r="F175" s="130">
        <v>40</v>
      </c>
      <c r="G175" s="129">
        <v>5666.5</v>
      </c>
      <c r="H175" s="131">
        <v>40</v>
      </c>
      <c r="I175" s="131">
        <f>F175-H175</f>
        <v>0</v>
      </c>
      <c r="J175" s="128">
        <f>H175*G175</f>
        <v>226660</v>
      </c>
      <c r="K175" s="129">
        <f>E175-J175</f>
        <v>0</v>
      </c>
      <c r="L175" s="132"/>
    </row>
    <row r="176" spans="1:13">
      <c r="B176" s="127" t="s">
        <v>129</v>
      </c>
      <c r="C176" s="129">
        <v>200000</v>
      </c>
      <c r="D176" s="129">
        <v>26660</v>
      </c>
      <c r="E176" s="129">
        <f>SUM(C176:D176)</f>
        <v>226660</v>
      </c>
      <c r="F176" s="130">
        <v>40</v>
      </c>
      <c r="G176" s="129">
        <v>5666.5</v>
      </c>
      <c r="H176" s="131">
        <v>38</v>
      </c>
      <c r="I176" s="131">
        <f>F176-H176</f>
        <v>2</v>
      </c>
      <c r="J176" s="128">
        <f>H176*G176</f>
        <v>215327</v>
      </c>
      <c r="K176" s="129">
        <f>E176-J176</f>
        <v>11333</v>
      </c>
      <c r="L176" s="132"/>
    </row>
    <row r="177" spans="1:12">
      <c r="B177" s="127" t="s">
        <v>202</v>
      </c>
      <c r="C177" s="128">
        <v>132000</v>
      </c>
      <c r="D177" s="128">
        <v>17595.599999999999</v>
      </c>
      <c r="E177" s="129">
        <f>SUM(C177:D177)</f>
        <v>149595.6</v>
      </c>
      <c r="F177" s="130">
        <v>40</v>
      </c>
      <c r="G177" s="128">
        <v>3739.89</v>
      </c>
      <c r="H177" s="131">
        <v>34</v>
      </c>
      <c r="I177" s="131">
        <f>F177-H177</f>
        <v>6</v>
      </c>
      <c r="J177" s="128">
        <f>H177*G177</f>
        <v>127156.26</v>
      </c>
      <c r="K177" s="129">
        <f>E177-J177</f>
        <v>22439.340000000011</v>
      </c>
      <c r="L177" s="132"/>
    </row>
    <row r="178" spans="1:12">
      <c r="A178" s="101">
        <v>132</v>
      </c>
    </row>
    <row r="179" spans="1:12">
      <c r="A179" s="101">
        <v>135</v>
      </c>
      <c r="B179" s="125" t="s">
        <v>138</v>
      </c>
      <c r="C179" s="129">
        <v>200000</v>
      </c>
      <c r="D179" s="129">
        <v>26660</v>
      </c>
      <c r="E179" s="129">
        <f>SUM(C179:D179)</f>
        <v>226660</v>
      </c>
      <c r="F179" s="130">
        <v>40</v>
      </c>
      <c r="G179" s="129">
        <v>5666.5</v>
      </c>
      <c r="H179" s="134">
        <v>37</v>
      </c>
      <c r="I179" s="134">
        <f>F179-H179</f>
        <v>3</v>
      </c>
      <c r="J179" s="135">
        <f>H179*G179</f>
        <v>209660.5</v>
      </c>
      <c r="K179" s="136">
        <f>E179-J179</f>
        <v>16999.5</v>
      </c>
      <c r="L179" s="132"/>
    </row>
    <row r="180" spans="1:12">
      <c r="A180" s="101">
        <v>167.333333333333</v>
      </c>
      <c r="B180" s="127" t="s">
        <v>236</v>
      </c>
      <c r="C180" s="128">
        <v>180000</v>
      </c>
      <c r="D180" s="128">
        <v>23994</v>
      </c>
      <c r="E180" s="128">
        <v>203994</v>
      </c>
      <c r="F180" s="139">
        <v>40</v>
      </c>
      <c r="G180" s="137">
        <v>5099.8500000000004</v>
      </c>
      <c r="H180" s="134">
        <v>46</v>
      </c>
      <c r="I180" s="134">
        <f>F180-H180</f>
        <v>-6</v>
      </c>
      <c r="J180" s="135">
        <f>H180*G180</f>
        <v>234593.1</v>
      </c>
      <c r="K180" s="136">
        <f>E180-J180</f>
        <v>-30599.100000000006</v>
      </c>
      <c r="L180" s="140"/>
    </row>
    <row r="182" spans="1:12">
      <c r="A182" s="101">
        <v>144.833333333333</v>
      </c>
      <c r="B182" s="127" t="s">
        <v>234</v>
      </c>
      <c r="C182" s="129">
        <v>200000</v>
      </c>
      <c r="D182" s="129">
        <v>26660</v>
      </c>
      <c r="E182" s="129">
        <v>226660</v>
      </c>
      <c r="F182" s="130">
        <v>40</v>
      </c>
      <c r="G182" s="137">
        <v>5666.5</v>
      </c>
      <c r="H182" s="134">
        <v>40</v>
      </c>
      <c r="I182" s="134">
        <f t="shared" ref="I182:I193" si="24">F182-H182</f>
        <v>0</v>
      </c>
      <c r="J182" s="135">
        <f t="shared" ref="J182:J193" si="25">H182*G182</f>
        <v>226660</v>
      </c>
      <c r="K182" s="136">
        <f t="shared" ref="K182:K193" si="26">E182-J182</f>
        <v>0</v>
      </c>
      <c r="L182" s="132"/>
    </row>
    <row r="183" spans="1:12">
      <c r="A183" s="101">
        <v>146.333333333333</v>
      </c>
      <c r="B183" s="141" t="s">
        <v>187</v>
      </c>
      <c r="C183" s="129">
        <v>150000</v>
      </c>
      <c r="D183" s="129">
        <v>11997</v>
      </c>
      <c r="E183" s="129">
        <f t="shared" ref="E183:E190" si="27">SUM(C183:D183)</f>
        <v>161997</v>
      </c>
      <c r="F183" s="130">
        <v>30</v>
      </c>
      <c r="G183" s="129">
        <v>5399.9</v>
      </c>
      <c r="H183" s="134">
        <v>31</v>
      </c>
      <c r="I183" s="134">
        <f t="shared" si="24"/>
        <v>-1</v>
      </c>
      <c r="J183" s="135">
        <f t="shared" si="25"/>
        <v>167396.9</v>
      </c>
      <c r="K183" s="136">
        <f t="shared" si="26"/>
        <v>-5399.8999999999942</v>
      </c>
      <c r="L183" s="132"/>
    </row>
    <row r="184" spans="1:12">
      <c r="A184" s="101">
        <v>147.833333333333</v>
      </c>
      <c r="B184" s="127" t="s">
        <v>150</v>
      </c>
      <c r="C184" s="129">
        <v>200000</v>
      </c>
      <c r="D184" s="129">
        <v>26660</v>
      </c>
      <c r="E184" s="129">
        <f t="shared" si="27"/>
        <v>226660</v>
      </c>
      <c r="F184" s="130">
        <v>40</v>
      </c>
      <c r="G184" s="129">
        <v>5666.5</v>
      </c>
      <c r="H184" s="134">
        <v>40</v>
      </c>
      <c r="I184" s="134">
        <f t="shared" si="24"/>
        <v>0</v>
      </c>
      <c r="J184" s="135">
        <f t="shared" si="25"/>
        <v>226660</v>
      </c>
      <c r="K184" s="136">
        <f t="shared" si="26"/>
        <v>0</v>
      </c>
      <c r="L184" s="132"/>
    </row>
    <row r="185" spans="1:12">
      <c r="A185" s="101">
        <v>149.333333333333</v>
      </c>
      <c r="B185" s="125" t="s">
        <v>151</v>
      </c>
      <c r="C185" s="129">
        <v>200000</v>
      </c>
      <c r="D185" s="129">
        <v>26660</v>
      </c>
      <c r="E185" s="129">
        <f t="shared" si="27"/>
        <v>226660</v>
      </c>
      <c r="F185" s="130">
        <v>40</v>
      </c>
      <c r="G185" s="129">
        <v>5666.5</v>
      </c>
      <c r="H185" s="134">
        <v>38</v>
      </c>
      <c r="I185" s="134">
        <f t="shared" si="24"/>
        <v>2</v>
      </c>
      <c r="J185" s="135">
        <f t="shared" si="25"/>
        <v>215327</v>
      </c>
      <c r="K185" s="136">
        <f t="shared" si="26"/>
        <v>11333</v>
      </c>
      <c r="L185" s="132"/>
    </row>
    <row r="186" spans="1:12">
      <c r="A186" s="101">
        <v>150.833333333333</v>
      </c>
      <c r="B186" s="186" t="s">
        <v>266</v>
      </c>
      <c r="C186" s="128">
        <v>330000</v>
      </c>
      <c r="D186" s="128">
        <v>43989</v>
      </c>
      <c r="E186" s="129">
        <f t="shared" si="27"/>
        <v>373989</v>
      </c>
      <c r="F186" s="130">
        <v>50</v>
      </c>
      <c r="G186" s="138">
        <v>7479</v>
      </c>
      <c r="H186" s="134">
        <v>8</v>
      </c>
      <c r="I186" s="134">
        <f t="shared" si="24"/>
        <v>42</v>
      </c>
      <c r="J186" s="135">
        <f t="shared" si="25"/>
        <v>59832</v>
      </c>
      <c r="K186" s="136">
        <f t="shared" si="26"/>
        <v>314157</v>
      </c>
      <c r="L186" s="124"/>
    </row>
    <row r="187" spans="1:12">
      <c r="A187" s="101">
        <v>152.333333333333</v>
      </c>
      <c r="B187" s="125" t="s">
        <v>156</v>
      </c>
      <c r="C187" s="129">
        <v>200000</v>
      </c>
      <c r="D187" s="129">
        <v>26660</v>
      </c>
      <c r="E187" s="129">
        <f t="shared" si="27"/>
        <v>226660</v>
      </c>
      <c r="F187" s="130">
        <v>40</v>
      </c>
      <c r="G187" s="133">
        <v>3739.89</v>
      </c>
      <c r="H187" s="134">
        <v>40</v>
      </c>
      <c r="I187" s="134">
        <f t="shared" si="24"/>
        <v>0</v>
      </c>
      <c r="J187" s="135">
        <f t="shared" si="25"/>
        <v>149595.6</v>
      </c>
      <c r="K187" s="136">
        <f t="shared" si="26"/>
        <v>77064.399999999994</v>
      </c>
      <c r="L187" s="132"/>
    </row>
    <row r="188" spans="1:12">
      <c r="A188" s="101">
        <v>153.833333333333</v>
      </c>
      <c r="B188" s="125" t="s">
        <v>157</v>
      </c>
      <c r="C188" s="129">
        <v>200000</v>
      </c>
      <c r="D188" s="129">
        <v>26660</v>
      </c>
      <c r="E188" s="129">
        <f t="shared" si="27"/>
        <v>226660</v>
      </c>
      <c r="F188" s="130">
        <v>40</v>
      </c>
      <c r="G188" s="129">
        <v>5666.5</v>
      </c>
      <c r="H188" s="134">
        <v>40</v>
      </c>
      <c r="I188" s="134">
        <f t="shared" si="24"/>
        <v>0</v>
      </c>
      <c r="J188" s="135">
        <f t="shared" si="25"/>
        <v>226660</v>
      </c>
      <c r="K188" s="136">
        <f t="shared" si="26"/>
        <v>0</v>
      </c>
      <c r="L188" s="132"/>
    </row>
    <row r="189" spans="1:12">
      <c r="A189" s="101">
        <v>155.333333333333</v>
      </c>
      <c r="B189" s="125" t="s">
        <v>158</v>
      </c>
      <c r="C189" s="129">
        <v>200000</v>
      </c>
      <c r="D189" s="129">
        <v>26660</v>
      </c>
      <c r="E189" s="129">
        <f t="shared" si="27"/>
        <v>226660</v>
      </c>
      <c r="F189" s="130">
        <v>40</v>
      </c>
      <c r="G189" s="129">
        <v>5666.5</v>
      </c>
      <c r="H189" s="134">
        <v>40</v>
      </c>
      <c r="I189" s="134">
        <f t="shared" si="24"/>
        <v>0</v>
      </c>
      <c r="J189" s="135">
        <f t="shared" si="25"/>
        <v>226660</v>
      </c>
      <c r="K189" s="136">
        <f t="shared" si="26"/>
        <v>0</v>
      </c>
      <c r="L189" s="132"/>
    </row>
    <row r="190" spans="1:12">
      <c r="A190" s="101">
        <v>156.833333333333</v>
      </c>
      <c r="B190" s="125" t="s">
        <v>159</v>
      </c>
      <c r="C190" s="129">
        <v>200000</v>
      </c>
      <c r="D190" s="129">
        <v>26660</v>
      </c>
      <c r="E190" s="129">
        <f t="shared" si="27"/>
        <v>226660</v>
      </c>
      <c r="F190" s="130">
        <v>40</v>
      </c>
      <c r="G190" s="129">
        <v>5666.5</v>
      </c>
      <c r="H190" s="134">
        <v>31</v>
      </c>
      <c r="I190" s="134">
        <f t="shared" si="24"/>
        <v>9</v>
      </c>
      <c r="J190" s="135">
        <f t="shared" si="25"/>
        <v>175661.5</v>
      </c>
      <c r="K190" s="136">
        <f t="shared" si="26"/>
        <v>50998.5</v>
      </c>
      <c r="L190" s="132"/>
    </row>
    <row r="191" spans="1:12">
      <c r="A191" s="101">
        <v>158.333333333333</v>
      </c>
      <c r="B191" s="127" t="s">
        <v>233</v>
      </c>
      <c r="C191" s="129">
        <v>200000</v>
      </c>
      <c r="D191" s="129">
        <v>26660</v>
      </c>
      <c r="E191" s="129">
        <v>226660</v>
      </c>
      <c r="F191" s="130">
        <v>40</v>
      </c>
      <c r="G191" s="137">
        <v>5666.5</v>
      </c>
      <c r="H191" s="134">
        <v>40</v>
      </c>
      <c r="I191" s="134">
        <f t="shared" si="24"/>
        <v>0</v>
      </c>
      <c r="J191" s="135">
        <f t="shared" si="25"/>
        <v>226660</v>
      </c>
      <c r="K191" s="136">
        <f t="shared" si="26"/>
        <v>0</v>
      </c>
      <c r="L191" s="132"/>
    </row>
    <row r="192" spans="1:12">
      <c r="A192" s="101">
        <v>159.833333333333</v>
      </c>
      <c r="B192" s="127" t="s">
        <v>160</v>
      </c>
      <c r="C192" s="129">
        <v>200000</v>
      </c>
      <c r="D192" s="129">
        <v>26660</v>
      </c>
      <c r="E192" s="129">
        <f>SUM(C192:D192)</f>
        <v>226660</v>
      </c>
      <c r="F192" s="130">
        <v>40</v>
      </c>
      <c r="G192" s="129">
        <v>5666.5</v>
      </c>
      <c r="H192" s="134">
        <v>40</v>
      </c>
      <c r="I192" s="134">
        <f t="shared" si="24"/>
        <v>0</v>
      </c>
      <c r="J192" s="135">
        <f t="shared" si="25"/>
        <v>226660</v>
      </c>
      <c r="K192" s="136">
        <f t="shared" si="26"/>
        <v>0</v>
      </c>
      <c r="L192" s="132"/>
    </row>
    <row r="193" spans="1:12">
      <c r="A193" s="101">
        <v>161.333333333333</v>
      </c>
      <c r="B193" s="127" t="s">
        <v>205</v>
      </c>
      <c r="C193" s="128">
        <v>132000</v>
      </c>
      <c r="D193" s="128">
        <v>17595.599999999999</v>
      </c>
      <c r="E193" s="129">
        <f>SUM(C193:D193)</f>
        <v>149595.6</v>
      </c>
      <c r="F193" s="130">
        <v>40</v>
      </c>
      <c r="G193" s="128">
        <v>3739.89</v>
      </c>
      <c r="H193" s="134">
        <v>40</v>
      </c>
      <c r="I193" s="134">
        <f t="shared" si="24"/>
        <v>0</v>
      </c>
      <c r="J193" s="135">
        <f t="shared" si="25"/>
        <v>149595.6</v>
      </c>
      <c r="K193" s="136">
        <f t="shared" si="26"/>
        <v>0</v>
      </c>
      <c r="L193" s="132"/>
    </row>
    <row r="195" spans="1:12">
      <c r="A195" s="101">
        <v>173.333333333333</v>
      </c>
    </row>
    <row r="196" spans="1:12">
      <c r="A196" s="101">
        <v>174.833333333333</v>
      </c>
    </row>
  </sheetData>
  <sortState ref="B6:L160">
    <sortCondition ref="B6:B160"/>
  </sortState>
  <mergeCells count="2">
    <mergeCell ref="A3:L3"/>
    <mergeCell ref="A4:L4"/>
  </mergeCells>
  <conditionalFormatting sqref="B11">
    <cfRule type="duplicateValues" dxfId="3131" priority="453" stopIfTrue="1"/>
    <cfRule type="duplicateValues" dxfId="3130" priority="454" stopIfTrue="1"/>
  </conditionalFormatting>
  <conditionalFormatting sqref="B11">
    <cfRule type="duplicateValues" dxfId="3129" priority="452" stopIfTrue="1"/>
  </conditionalFormatting>
  <conditionalFormatting sqref="B12">
    <cfRule type="duplicateValues" dxfId="3128" priority="450" stopIfTrue="1"/>
    <cfRule type="duplicateValues" dxfId="3127" priority="451" stopIfTrue="1"/>
  </conditionalFormatting>
  <conditionalFormatting sqref="B12">
    <cfRule type="duplicateValues" dxfId="3126" priority="449" stopIfTrue="1"/>
  </conditionalFormatting>
  <conditionalFormatting sqref="B13">
    <cfRule type="duplicateValues" dxfId="3125" priority="444" stopIfTrue="1"/>
    <cfRule type="duplicateValues" dxfId="3124" priority="445" stopIfTrue="1"/>
  </conditionalFormatting>
  <conditionalFormatting sqref="B13">
    <cfRule type="duplicateValues" dxfId="3123" priority="443" stopIfTrue="1"/>
  </conditionalFormatting>
  <conditionalFormatting sqref="B14">
    <cfRule type="duplicateValues" dxfId="3122" priority="435" stopIfTrue="1"/>
    <cfRule type="duplicateValues" dxfId="3121" priority="436" stopIfTrue="1"/>
  </conditionalFormatting>
  <conditionalFormatting sqref="B14">
    <cfRule type="duplicateValues" dxfId="3120" priority="434" stopIfTrue="1"/>
  </conditionalFormatting>
  <conditionalFormatting sqref="B15">
    <cfRule type="duplicateValues" dxfId="3119" priority="429" stopIfTrue="1"/>
    <cfRule type="duplicateValues" dxfId="3118" priority="430" stopIfTrue="1"/>
  </conditionalFormatting>
  <conditionalFormatting sqref="B15">
    <cfRule type="duplicateValues" dxfId="3117" priority="428" stopIfTrue="1"/>
  </conditionalFormatting>
  <conditionalFormatting sqref="B17">
    <cfRule type="duplicateValues" dxfId="3116" priority="420" stopIfTrue="1"/>
    <cfRule type="duplicateValues" dxfId="3115" priority="421" stopIfTrue="1"/>
  </conditionalFormatting>
  <conditionalFormatting sqref="B17">
    <cfRule type="duplicateValues" dxfId="3114" priority="419" stopIfTrue="1"/>
  </conditionalFormatting>
  <conditionalFormatting sqref="B20">
    <cfRule type="duplicateValues" dxfId="3113" priority="408" stopIfTrue="1"/>
    <cfRule type="duplicateValues" dxfId="3112" priority="409" stopIfTrue="1"/>
  </conditionalFormatting>
  <conditionalFormatting sqref="B20">
    <cfRule type="duplicateValues" dxfId="3111" priority="407" stopIfTrue="1"/>
  </conditionalFormatting>
  <conditionalFormatting sqref="B22">
    <cfRule type="duplicateValues" dxfId="3110" priority="399" stopIfTrue="1"/>
    <cfRule type="duplicateValues" dxfId="3109" priority="400" stopIfTrue="1"/>
  </conditionalFormatting>
  <conditionalFormatting sqref="B22">
    <cfRule type="duplicateValues" dxfId="3108" priority="398" stopIfTrue="1"/>
  </conditionalFormatting>
  <conditionalFormatting sqref="B25">
    <cfRule type="duplicateValues" dxfId="3107" priority="396" stopIfTrue="1"/>
    <cfRule type="duplicateValues" dxfId="3106" priority="397" stopIfTrue="1"/>
  </conditionalFormatting>
  <conditionalFormatting sqref="B25">
    <cfRule type="duplicateValues" dxfId="3105" priority="395" stopIfTrue="1"/>
  </conditionalFormatting>
  <conditionalFormatting sqref="B26">
    <cfRule type="duplicateValues" dxfId="3104" priority="393" stopIfTrue="1"/>
    <cfRule type="duplicateValues" dxfId="3103" priority="394" stopIfTrue="1"/>
  </conditionalFormatting>
  <conditionalFormatting sqref="B26">
    <cfRule type="duplicateValues" dxfId="3102" priority="392" stopIfTrue="1"/>
  </conditionalFormatting>
  <conditionalFormatting sqref="B27">
    <cfRule type="duplicateValues" dxfId="3101" priority="390" stopIfTrue="1"/>
    <cfRule type="duplicateValues" dxfId="3100" priority="391" stopIfTrue="1"/>
  </conditionalFormatting>
  <conditionalFormatting sqref="B27">
    <cfRule type="duplicateValues" dxfId="3099" priority="389" stopIfTrue="1"/>
  </conditionalFormatting>
  <conditionalFormatting sqref="B33">
    <cfRule type="duplicateValues" dxfId="3098" priority="387" stopIfTrue="1"/>
    <cfRule type="duplicateValues" dxfId="3097" priority="388" stopIfTrue="1"/>
  </conditionalFormatting>
  <conditionalFormatting sqref="B33">
    <cfRule type="duplicateValues" dxfId="3096" priority="386" stopIfTrue="1"/>
  </conditionalFormatting>
  <conditionalFormatting sqref="B34">
    <cfRule type="duplicateValues" dxfId="3095" priority="384" stopIfTrue="1"/>
    <cfRule type="duplicateValues" dxfId="3094" priority="385" stopIfTrue="1"/>
  </conditionalFormatting>
  <conditionalFormatting sqref="B34">
    <cfRule type="duplicateValues" dxfId="3093" priority="383" stopIfTrue="1"/>
  </conditionalFormatting>
  <conditionalFormatting sqref="B35">
    <cfRule type="duplicateValues" dxfId="3092" priority="381" stopIfTrue="1"/>
    <cfRule type="duplicateValues" dxfId="3091" priority="382" stopIfTrue="1"/>
  </conditionalFormatting>
  <conditionalFormatting sqref="B35">
    <cfRule type="duplicateValues" dxfId="3090" priority="380" stopIfTrue="1"/>
  </conditionalFormatting>
  <conditionalFormatting sqref="B38">
    <cfRule type="duplicateValues" dxfId="3089" priority="375" stopIfTrue="1"/>
    <cfRule type="duplicateValues" dxfId="3088" priority="376" stopIfTrue="1"/>
  </conditionalFormatting>
  <conditionalFormatting sqref="B38">
    <cfRule type="duplicateValues" dxfId="3087" priority="374" stopIfTrue="1"/>
  </conditionalFormatting>
  <conditionalFormatting sqref="B39">
    <cfRule type="duplicateValues" dxfId="3086" priority="369" stopIfTrue="1"/>
    <cfRule type="duplicateValues" dxfId="3085" priority="370" stopIfTrue="1"/>
  </conditionalFormatting>
  <conditionalFormatting sqref="B39">
    <cfRule type="duplicateValues" dxfId="3084" priority="368" stopIfTrue="1"/>
  </conditionalFormatting>
  <conditionalFormatting sqref="B40">
    <cfRule type="duplicateValues" dxfId="3083" priority="366" stopIfTrue="1"/>
    <cfRule type="duplicateValues" dxfId="3082" priority="367" stopIfTrue="1"/>
  </conditionalFormatting>
  <conditionalFormatting sqref="B40">
    <cfRule type="duplicateValues" dxfId="3081" priority="365" stopIfTrue="1"/>
  </conditionalFormatting>
  <conditionalFormatting sqref="B41">
    <cfRule type="duplicateValues" dxfId="3080" priority="363" stopIfTrue="1"/>
    <cfRule type="duplicateValues" dxfId="3079" priority="364" stopIfTrue="1"/>
  </conditionalFormatting>
  <conditionalFormatting sqref="B41">
    <cfRule type="duplicateValues" dxfId="3078" priority="362" stopIfTrue="1"/>
  </conditionalFormatting>
  <conditionalFormatting sqref="B42">
    <cfRule type="duplicateValues" dxfId="3077" priority="360" stopIfTrue="1"/>
    <cfRule type="duplicateValues" dxfId="3076" priority="361" stopIfTrue="1"/>
  </conditionalFormatting>
  <conditionalFormatting sqref="B42">
    <cfRule type="duplicateValues" dxfId="3075" priority="359" stopIfTrue="1"/>
  </conditionalFormatting>
  <conditionalFormatting sqref="B44">
    <cfRule type="duplicateValues" dxfId="3074" priority="354" stopIfTrue="1"/>
    <cfRule type="duplicateValues" dxfId="3073" priority="355" stopIfTrue="1"/>
  </conditionalFormatting>
  <conditionalFormatting sqref="B44">
    <cfRule type="duplicateValues" dxfId="3072" priority="353" stopIfTrue="1"/>
  </conditionalFormatting>
  <conditionalFormatting sqref="B45">
    <cfRule type="duplicateValues" dxfId="3071" priority="348" stopIfTrue="1"/>
    <cfRule type="duplicateValues" dxfId="3070" priority="349" stopIfTrue="1"/>
  </conditionalFormatting>
  <conditionalFormatting sqref="B45">
    <cfRule type="duplicateValues" dxfId="3069" priority="347" stopIfTrue="1"/>
  </conditionalFormatting>
  <conditionalFormatting sqref="B49">
    <cfRule type="duplicateValues" dxfId="3068" priority="345" stopIfTrue="1"/>
    <cfRule type="duplicateValues" dxfId="3067" priority="346" stopIfTrue="1"/>
  </conditionalFormatting>
  <conditionalFormatting sqref="B49">
    <cfRule type="duplicateValues" dxfId="3066" priority="344" stopIfTrue="1"/>
  </conditionalFormatting>
  <conditionalFormatting sqref="B50">
    <cfRule type="duplicateValues" dxfId="3065" priority="342" stopIfTrue="1"/>
    <cfRule type="duplicateValues" dxfId="3064" priority="343" stopIfTrue="1"/>
  </conditionalFormatting>
  <conditionalFormatting sqref="B50">
    <cfRule type="duplicateValues" dxfId="3063" priority="341" stopIfTrue="1"/>
  </conditionalFormatting>
  <conditionalFormatting sqref="B52">
    <cfRule type="duplicateValues" dxfId="3062" priority="339" stopIfTrue="1"/>
    <cfRule type="duplicateValues" dxfId="3061" priority="340" stopIfTrue="1"/>
  </conditionalFormatting>
  <conditionalFormatting sqref="B52">
    <cfRule type="duplicateValues" dxfId="3060" priority="338" stopIfTrue="1"/>
  </conditionalFormatting>
  <conditionalFormatting sqref="B53">
    <cfRule type="duplicateValues" dxfId="3059" priority="336" stopIfTrue="1"/>
    <cfRule type="duplicateValues" dxfId="3058" priority="337" stopIfTrue="1"/>
  </conditionalFormatting>
  <conditionalFormatting sqref="B53">
    <cfRule type="duplicateValues" dxfId="3057" priority="335" stopIfTrue="1"/>
  </conditionalFormatting>
  <conditionalFormatting sqref="B54">
    <cfRule type="duplicateValues" dxfId="3056" priority="321" stopIfTrue="1"/>
    <cfRule type="duplicateValues" dxfId="3055" priority="322" stopIfTrue="1"/>
  </conditionalFormatting>
  <conditionalFormatting sqref="B54">
    <cfRule type="duplicateValues" dxfId="3054" priority="320" stopIfTrue="1"/>
  </conditionalFormatting>
  <conditionalFormatting sqref="B55">
    <cfRule type="duplicateValues" dxfId="3053" priority="318" stopIfTrue="1"/>
    <cfRule type="duplicateValues" dxfId="3052" priority="319" stopIfTrue="1"/>
  </conditionalFormatting>
  <conditionalFormatting sqref="B55">
    <cfRule type="duplicateValues" dxfId="3051" priority="317" stopIfTrue="1"/>
  </conditionalFormatting>
  <conditionalFormatting sqref="B56">
    <cfRule type="duplicateValues" dxfId="3050" priority="315" stopIfTrue="1"/>
    <cfRule type="duplicateValues" dxfId="3049" priority="316" stopIfTrue="1"/>
  </conditionalFormatting>
  <conditionalFormatting sqref="B56">
    <cfRule type="duplicateValues" dxfId="3048" priority="314" stopIfTrue="1"/>
  </conditionalFormatting>
  <conditionalFormatting sqref="B57">
    <cfRule type="duplicateValues" dxfId="3047" priority="312" stopIfTrue="1"/>
    <cfRule type="duplicateValues" dxfId="3046" priority="313" stopIfTrue="1"/>
  </conditionalFormatting>
  <conditionalFormatting sqref="B57">
    <cfRule type="duplicateValues" dxfId="3045" priority="311" stopIfTrue="1"/>
  </conditionalFormatting>
  <conditionalFormatting sqref="B59">
    <cfRule type="duplicateValues" dxfId="3044" priority="309" stopIfTrue="1"/>
    <cfRule type="duplicateValues" dxfId="3043" priority="310" stopIfTrue="1"/>
  </conditionalFormatting>
  <conditionalFormatting sqref="B59">
    <cfRule type="duplicateValues" dxfId="3042" priority="308" stopIfTrue="1"/>
  </conditionalFormatting>
  <conditionalFormatting sqref="B60">
    <cfRule type="duplicateValues" dxfId="3041" priority="297" stopIfTrue="1"/>
    <cfRule type="duplicateValues" dxfId="3040" priority="298" stopIfTrue="1"/>
  </conditionalFormatting>
  <conditionalFormatting sqref="B60">
    <cfRule type="duplicateValues" dxfId="3039" priority="296" stopIfTrue="1"/>
  </conditionalFormatting>
  <conditionalFormatting sqref="B61">
    <cfRule type="duplicateValues" dxfId="3038" priority="294" stopIfTrue="1"/>
    <cfRule type="duplicateValues" dxfId="3037" priority="295" stopIfTrue="1"/>
  </conditionalFormatting>
  <conditionalFormatting sqref="B61">
    <cfRule type="duplicateValues" dxfId="3036" priority="293" stopIfTrue="1"/>
  </conditionalFormatting>
  <conditionalFormatting sqref="B62">
    <cfRule type="duplicateValues" dxfId="3035" priority="282" stopIfTrue="1"/>
    <cfRule type="duplicateValues" dxfId="3034" priority="283" stopIfTrue="1"/>
  </conditionalFormatting>
  <conditionalFormatting sqref="B62">
    <cfRule type="duplicateValues" dxfId="3033" priority="281" stopIfTrue="1"/>
  </conditionalFormatting>
  <conditionalFormatting sqref="B64">
    <cfRule type="duplicateValues" dxfId="3032" priority="276" stopIfTrue="1"/>
    <cfRule type="duplicateValues" dxfId="3031" priority="277" stopIfTrue="1"/>
  </conditionalFormatting>
  <conditionalFormatting sqref="B64">
    <cfRule type="duplicateValues" dxfId="3030" priority="275" stopIfTrue="1"/>
  </conditionalFormatting>
  <conditionalFormatting sqref="B65">
    <cfRule type="duplicateValues" dxfId="3029" priority="273" stopIfTrue="1"/>
    <cfRule type="duplicateValues" dxfId="3028" priority="274" stopIfTrue="1"/>
  </conditionalFormatting>
  <conditionalFormatting sqref="B65">
    <cfRule type="duplicateValues" dxfId="3027" priority="272" stopIfTrue="1"/>
  </conditionalFormatting>
  <conditionalFormatting sqref="B67">
    <cfRule type="duplicateValues" dxfId="3026" priority="264" stopIfTrue="1"/>
    <cfRule type="duplicateValues" dxfId="3025" priority="265" stopIfTrue="1"/>
  </conditionalFormatting>
  <conditionalFormatting sqref="B67">
    <cfRule type="duplicateValues" dxfId="3024" priority="263" stopIfTrue="1"/>
  </conditionalFormatting>
  <conditionalFormatting sqref="B69">
    <cfRule type="duplicateValues" dxfId="3023" priority="258" stopIfTrue="1"/>
    <cfRule type="duplicateValues" dxfId="3022" priority="259" stopIfTrue="1"/>
  </conditionalFormatting>
  <conditionalFormatting sqref="B69">
    <cfRule type="duplicateValues" dxfId="3021" priority="257" stopIfTrue="1"/>
  </conditionalFormatting>
  <conditionalFormatting sqref="B172">
    <cfRule type="duplicateValues" dxfId="3020" priority="252" stopIfTrue="1"/>
    <cfRule type="duplicateValues" dxfId="3019" priority="253" stopIfTrue="1"/>
  </conditionalFormatting>
  <conditionalFormatting sqref="B172">
    <cfRule type="duplicateValues" dxfId="3018" priority="251" stopIfTrue="1"/>
  </conditionalFormatting>
  <conditionalFormatting sqref="B70">
    <cfRule type="duplicateValues" dxfId="3017" priority="249" stopIfTrue="1"/>
    <cfRule type="duplicateValues" dxfId="3016" priority="250" stopIfTrue="1"/>
  </conditionalFormatting>
  <conditionalFormatting sqref="B70">
    <cfRule type="duplicateValues" dxfId="3015" priority="248" stopIfTrue="1"/>
  </conditionalFormatting>
  <conditionalFormatting sqref="B71">
    <cfRule type="duplicateValues" dxfId="3014" priority="246" stopIfTrue="1"/>
    <cfRule type="duplicateValues" dxfId="3013" priority="247" stopIfTrue="1"/>
  </conditionalFormatting>
  <conditionalFormatting sqref="B71">
    <cfRule type="duplicateValues" dxfId="3012" priority="245" stopIfTrue="1"/>
  </conditionalFormatting>
  <conditionalFormatting sqref="B72">
    <cfRule type="duplicateValues" dxfId="3011" priority="240" stopIfTrue="1"/>
    <cfRule type="duplicateValues" dxfId="3010" priority="241" stopIfTrue="1"/>
  </conditionalFormatting>
  <conditionalFormatting sqref="B72">
    <cfRule type="duplicateValues" dxfId="3009" priority="239" stopIfTrue="1"/>
  </conditionalFormatting>
  <conditionalFormatting sqref="B73">
    <cfRule type="duplicateValues" dxfId="3008" priority="234" stopIfTrue="1"/>
    <cfRule type="duplicateValues" dxfId="3007" priority="235" stopIfTrue="1"/>
  </conditionalFormatting>
  <conditionalFormatting sqref="B73">
    <cfRule type="duplicateValues" dxfId="3006" priority="233" stopIfTrue="1"/>
  </conditionalFormatting>
  <conditionalFormatting sqref="B74">
    <cfRule type="duplicateValues" dxfId="3005" priority="228" stopIfTrue="1"/>
    <cfRule type="duplicateValues" dxfId="3004" priority="229" stopIfTrue="1"/>
  </conditionalFormatting>
  <conditionalFormatting sqref="B74">
    <cfRule type="duplicateValues" dxfId="3003" priority="227" stopIfTrue="1"/>
  </conditionalFormatting>
  <conditionalFormatting sqref="B75">
    <cfRule type="duplicateValues" dxfId="3002" priority="225" stopIfTrue="1"/>
    <cfRule type="duplicateValues" dxfId="3001" priority="226" stopIfTrue="1"/>
  </conditionalFormatting>
  <conditionalFormatting sqref="B75">
    <cfRule type="duplicateValues" dxfId="3000" priority="224" stopIfTrue="1"/>
  </conditionalFormatting>
  <conditionalFormatting sqref="B76">
    <cfRule type="duplicateValues" dxfId="2999" priority="222" stopIfTrue="1"/>
    <cfRule type="duplicateValues" dxfId="2998" priority="223" stopIfTrue="1"/>
  </conditionalFormatting>
  <conditionalFormatting sqref="B76">
    <cfRule type="duplicateValues" dxfId="2997" priority="221" stopIfTrue="1"/>
  </conditionalFormatting>
  <conditionalFormatting sqref="B77">
    <cfRule type="duplicateValues" dxfId="2996" priority="219" stopIfTrue="1"/>
    <cfRule type="duplicateValues" dxfId="2995" priority="220" stopIfTrue="1"/>
  </conditionalFormatting>
  <conditionalFormatting sqref="B77">
    <cfRule type="duplicateValues" dxfId="2994" priority="218" stopIfTrue="1"/>
  </conditionalFormatting>
  <conditionalFormatting sqref="B78">
    <cfRule type="duplicateValues" dxfId="2993" priority="216" stopIfTrue="1"/>
    <cfRule type="duplicateValues" dxfId="2992" priority="217" stopIfTrue="1"/>
  </conditionalFormatting>
  <conditionalFormatting sqref="B78">
    <cfRule type="duplicateValues" dxfId="2991" priority="215" stopIfTrue="1"/>
  </conditionalFormatting>
  <conditionalFormatting sqref="B79">
    <cfRule type="duplicateValues" dxfId="2990" priority="213" stopIfTrue="1"/>
    <cfRule type="duplicateValues" dxfId="2989" priority="214" stopIfTrue="1"/>
  </conditionalFormatting>
  <conditionalFormatting sqref="B79">
    <cfRule type="duplicateValues" dxfId="2988" priority="212" stopIfTrue="1"/>
  </conditionalFormatting>
  <conditionalFormatting sqref="B80">
    <cfRule type="duplicateValues" dxfId="2987" priority="210" stopIfTrue="1"/>
    <cfRule type="duplicateValues" dxfId="2986" priority="211" stopIfTrue="1"/>
  </conditionalFormatting>
  <conditionalFormatting sqref="B80">
    <cfRule type="duplicateValues" dxfId="2985" priority="209" stopIfTrue="1"/>
  </conditionalFormatting>
  <conditionalFormatting sqref="B82">
    <cfRule type="duplicateValues" dxfId="2984" priority="207" stopIfTrue="1"/>
    <cfRule type="duplicateValues" dxfId="2983" priority="208" stopIfTrue="1"/>
  </conditionalFormatting>
  <conditionalFormatting sqref="B82">
    <cfRule type="duplicateValues" dxfId="2982" priority="206" stopIfTrue="1"/>
  </conditionalFormatting>
  <conditionalFormatting sqref="B84">
    <cfRule type="duplicateValues" dxfId="2981" priority="204" stopIfTrue="1"/>
    <cfRule type="duplicateValues" dxfId="2980" priority="205" stopIfTrue="1"/>
  </conditionalFormatting>
  <conditionalFormatting sqref="B84">
    <cfRule type="duplicateValues" dxfId="2979" priority="203" stopIfTrue="1"/>
  </conditionalFormatting>
  <conditionalFormatting sqref="B85">
    <cfRule type="duplicateValues" dxfId="2978" priority="198" stopIfTrue="1"/>
    <cfRule type="duplicateValues" dxfId="2977" priority="199" stopIfTrue="1"/>
  </conditionalFormatting>
  <conditionalFormatting sqref="B85">
    <cfRule type="duplicateValues" dxfId="2976" priority="197" stopIfTrue="1"/>
  </conditionalFormatting>
  <conditionalFormatting sqref="B87">
    <cfRule type="duplicateValues" dxfId="2975" priority="195" stopIfTrue="1"/>
    <cfRule type="duplicateValues" dxfId="2974" priority="196" stopIfTrue="1"/>
  </conditionalFormatting>
  <conditionalFormatting sqref="B87">
    <cfRule type="duplicateValues" dxfId="2973" priority="194" stopIfTrue="1"/>
  </conditionalFormatting>
  <conditionalFormatting sqref="B88">
    <cfRule type="duplicateValues" dxfId="2972" priority="192" stopIfTrue="1"/>
    <cfRule type="duplicateValues" dxfId="2971" priority="193" stopIfTrue="1"/>
  </conditionalFormatting>
  <conditionalFormatting sqref="B88">
    <cfRule type="duplicateValues" dxfId="2970" priority="191" stopIfTrue="1"/>
  </conditionalFormatting>
  <conditionalFormatting sqref="B90">
    <cfRule type="duplicateValues" dxfId="2969" priority="186" stopIfTrue="1"/>
    <cfRule type="duplicateValues" dxfId="2968" priority="187" stopIfTrue="1"/>
  </conditionalFormatting>
  <conditionalFormatting sqref="B90">
    <cfRule type="duplicateValues" dxfId="2967" priority="185" stopIfTrue="1"/>
  </conditionalFormatting>
  <conditionalFormatting sqref="B93">
    <cfRule type="duplicateValues" dxfId="2966" priority="183" stopIfTrue="1"/>
    <cfRule type="duplicateValues" dxfId="2965" priority="184" stopIfTrue="1"/>
  </conditionalFormatting>
  <conditionalFormatting sqref="B93">
    <cfRule type="duplicateValues" dxfId="2964" priority="182" stopIfTrue="1"/>
  </conditionalFormatting>
  <conditionalFormatting sqref="B94">
    <cfRule type="duplicateValues" dxfId="2963" priority="180" stopIfTrue="1"/>
    <cfRule type="duplicateValues" dxfId="2962" priority="181" stopIfTrue="1"/>
  </conditionalFormatting>
  <conditionalFormatting sqref="B94">
    <cfRule type="duplicateValues" dxfId="2961" priority="179" stopIfTrue="1"/>
  </conditionalFormatting>
  <conditionalFormatting sqref="B95">
    <cfRule type="duplicateValues" dxfId="2960" priority="177" stopIfTrue="1"/>
    <cfRule type="duplicateValues" dxfId="2959" priority="178" stopIfTrue="1"/>
  </conditionalFormatting>
  <conditionalFormatting sqref="B95">
    <cfRule type="duplicateValues" dxfId="2958" priority="176" stopIfTrue="1"/>
  </conditionalFormatting>
  <conditionalFormatting sqref="B96">
    <cfRule type="duplicateValues" dxfId="2957" priority="174" stopIfTrue="1"/>
    <cfRule type="duplicateValues" dxfId="2956" priority="175" stopIfTrue="1"/>
  </conditionalFormatting>
  <conditionalFormatting sqref="B96">
    <cfRule type="duplicateValues" dxfId="2955" priority="173" stopIfTrue="1"/>
  </conditionalFormatting>
  <conditionalFormatting sqref="B97">
    <cfRule type="duplicateValues" dxfId="2954" priority="171" stopIfTrue="1"/>
    <cfRule type="duplicateValues" dxfId="2953" priority="172" stopIfTrue="1"/>
  </conditionalFormatting>
  <conditionalFormatting sqref="B97">
    <cfRule type="duplicateValues" dxfId="2952" priority="170" stopIfTrue="1"/>
  </conditionalFormatting>
  <conditionalFormatting sqref="B98">
    <cfRule type="duplicateValues" dxfId="2951" priority="168" stopIfTrue="1"/>
    <cfRule type="duplicateValues" dxfId="2950" priority="169" stopIfTrue="1"/>
  </conditionalFormatting>
  <conditionalFormatting sqref="B98">
    <cfRule type="duplicateValues" dxfId="2949" priority="167" stopIfTrue="1"/>
  </conditionalFormatting>
  <conditionalFormatting sqref="B193">
    <cfRule type="duplicateValues" dxfId="2948" priority="159" stopIfTrue="1"/>
    <cfRule type="duplicateValues" dxfId="2947" priority="160" stopIfTrue="1"/>
  </conditionalFormatting>
  <conditionalFormatting sqref="B193">
    <cfRule type="duplicateValues" dxfId="2946" priority="158" stopIfTrue="1"/>
  </conditionalFormatting>
  <conditionalFormatting sqref="B147:B148">
    <cfRule type="duplicateValues" dxfId="2945" priority="153" stopIfTrue="1"/>
    <cfRule type="duplicateValues" dxfId="2944" priority="154" stopIfTrue="1"/>
  </conditionalFormatting>
  <conditionalFormatting sqref="B147:B148">
    <cfRule type="duplicateValues" dxfId="2943" priority="152" stopIfTrue="1"/>
  </conditionalFormatting>
  <conditionalFormatting sqref="B81">
    <cfRule type="duplicateValues" dxfId="2942" priority="141" stopIfTrue="1"/>
    <cfRule type="duplicateValues" dxfId="2941" priority="142" stopIfTrue="1"/>
  </conditionalFormatting>
  <conditionalFormatting sqref="B81">
    <cfRule type="duplicateValues" dxfId="2940" priority="140" stopIfTrue="1"/>
  </conditionalFormatting>
  <conditionalFormatting sqref="B149">
    <cfRule type="duplicateValues" dxfId="2939" priority="138" stopIfTrue="1"/>
    <cfRule type="duplicateValues" dxfId="2938" priority="139" stopIfTrue="1"/>
  </conditionalFormatting>
  <conditionalFormatting sqref="B149">
    <cfRule type="duplicateValues" dxfId="2937" priority="137" stopIfTrue="1"/>
  </conditionalFormatting>
  <conditionalFormatting sqref="B99">
    <cfRule type="duplicateValues" dxfId="2936" priority="135" stopIfTrue="1"/>
    <cfRule type="duplicateValues" dxfId="2935" priority="136" stopIfTrue="1"/>
  </conditionalFormatting>
  <conditionalFormatting sqref="B99">
    <cfRule type="duplicateValues" dxfId="2934" priority="134" stopIfTrue="1"/>
  </conditionalFormatting>
  <conditionalFormatting sqref="B103">
    <cfRule type="duplicateValues" dxfId="2933" priority="129" stopIfTrue="1"/>
    <cfRule type="duplicateValues" dxfId="2932" priority="130" stopIfTrue="1"/>
  </conditionalFormatting>
  <conditionalFormatting sqref="B103">
    <cfRule type="duplicateValues" dxfId="2931" priority="128" stopIfTrue="1"/>
  </conditionalFormatting>
  <conditionalFormatting sqref="B102">
    <cfRule type="duplicateValues" dxfId="2930" priority="123" stopIfTrue="1"/>
    <cfRule type="duplicateValues" dxfId="2929" priority="124" stopIfTrue="1"/>
  </conditionalFormatting>
  <conditionalFormatting sqref="B102">
    <cfRule type="duplicateValues" dxfId="2928" priority="122" stopIfTrue="1"/>
  </conditionalFormatting>
  <conditionalFormatting sqref="B138">
    <cfRule type="duplicateValues" dxfId="2927" priority="114" stopIfTrue="1"/>
    <cfRule type="duplicateValues" dxfId="2926" priority="115" stopIfTrue="1"/>
  </conditionalFormatting>
  <conditionalFormatting sqref="B138">
    <cfRule type="duplicateValues" dxfId="2925" priority="113" stopIfTrue="1"/>
  </conditionalFormatting>
  <conditionalFormatting sqref="B179">
    <cfRule type="duplicateValues" dxfId="2924" priority="111" stopIfTrue="1"/>
    <cfRule type="duplicateValues" dxfId="2923" priority="112" stopIfTrue="1"/>
  </conditionalFormatting>
  <conditionalFormatting sqref="B179">
    <cfRule type="duplicateValues" dxfId="2922" priority="110" stopIfTrue="1"/>
  </conditionalFormatting>
  <conditionalFormatting sqref="B139:B141">
    <cfRule type="duplicateValues" dxfId="2921" priority="105" stopIfTrue="1"/>
    <cfRule type="duplicateValues" dxfId="2920" priority="106" stopIfTrue="1"/>
  </conditionalFormatting>
  <conditionalFormatting sqref="B139:B141">
    <cfRule type="duplicateValues" dxfId="2919" priority="104" stopIfTrue="1"/>
  </conditionalFormatting>
  <conditionalFormatting sqref="B145:B146">
    <cfRule type="duplicateValues" dxfId="2918" priority="90" stopIfTrue="1"/>
    <cfRule type="duplicateValues" dxfId="2917" priority="91" stopIfTrue="1"/>
  </conditionalFormatting>
  <conditionalFormatting sqref="B145:B146">
    <cfRule type="duplicateValues" dxfId="2916" priority="89" stopIfTrue="1"/>
  </conditionalFormatting>
  <conditionalFormatting sqref="B182">
    <cfRule type="duplicateValues" dxfId="2915" priority="84" stopIfTrue="1"/>
    <cfRule type="duplicateValues" dxfId="2914" priority="85" stopIfTrue="1"/>
  </conditionalFormatting>
  <conditionalFormatting sqref="B182">
    <cfRule type="duplicateValues" dxfId="2913" priority="83" stopIfTrue="1"/>
  </conditionalFormatting>
  <conditionalFormatting sqref="B184">
    <cfRule type="duplicateValues" dxfId="2912" priority="81" stopIfTrue="1"/>
    <cfRule type="duplicateValues" dxfId="2911" priority="82" stopIfTrue="1"/>
  </conditionalFormatting>
  <conditionalFormatting sqref="B184">
    <cfRule type="duplicateValues" dxfId="2910" priority="80" stopIfTrue="1"/>
  </conditionalFormatting>
  <conditionalFormatting sqref="B185">
    <cfRule type="duplicateValues" dxfId="2909" priority="75" stopIfTrue="1"/>
    <cfRule type="duplicateValues" dxfId="2908" priority="76" stopIfTrue="1"/>
  </conditionalFormatting>
  <conditionalFormatting sqref="B185">
    <cfRule type="duplicateValues" dxfId="2907" priority="74" stopIfTrue="1"/>
  </conditionalFormatting>
  <conditionalFormatting sqref="B186">
    <cfRule type="duplicateValues" dxfId="2906" priority="66" stopIfTrue="1"/>
    <cfRule type="duplicateValues" dxfId="2905" priority="67" stopIfTrue="1"/>
  </conditionalFormatting>
  <conditionalFormatting sqref="B186">
    <cfRule type="duplicateValues" dxfId="2904" priority="65" stopIfTrue="1"/>
  </conditionalFormatting>
  <conditionalFormatting sqref="B187">
    <cfRule type="duplicateValues" dxfId="2903" priority="63" stopIfTrue="1"/>
    <cfRule type="duplicateValues" dxfId="2902" priority="64" stopIfTrue="1"/>
  </conditionalFormatting>
  <conditionalFormatting sqref="B187">
    <cfRule type="duplicateValues" dxfId="2901" priority="62" stopIfTrue="1"/>
  </conditionalFormatting>
  <conditionalFormatting sqref="B111">
    <cfRule type="duplicateValues" dxfId="2900" priority="60" stopIfTrue="1"/>
    <cfRule type="duplicateValues" dxfId="2899" priority="61" stopIfTrue="1"/>
  </conditionalFormatting>
  <conditionalFormatting sqref="B111">
    <cfRule type="duplicateValues" dxfId="2898" priority="59" stopIfTrue="1"/>
  </conditionalFormatting>
  <conditionalFormatting sqref="B188">
    <cfRule type="duplicateValues" dxfId="2897" priority="57" stopIfTrue="1"/>
    <cfRule type="duplicateValues" dxfId="2896" priority="58" stopIfTrue="1"/>
  </conditionalFormatting>
  <conditionalFormatting sqref="B188">
    <cfRule type="duplicateValues" dxfId="2895" priority="56" stopIfTrue="1"/>
  </conditionalFormatting>
  <conditionalFormatting sqref="B189">
    <cfRule type="duplicateValues" dxfId="2894" priority="54" stopIfTrue="1"/>
    <cfRule type="duplicateValues" dxfId="2893" priority="55" stopIfTrue="1"/>
  </conditionalFormatting>
  <conditionalFormatting sqref="B189">
    <cfRule type="duplicateValues" dxfId="2892" priority="53" stopIfTrue="1"/>
  </conditionalFormatting>
  <conditionalFormatting sqref="B3">
    <cfRule type="duplicateValues" dxfId="2891" priority="52"/>
  </conditionalFormatting>
  <conditionalFormatting sqref="B190">
    <cfRule type="duplicateValues" dxfId="2890" priority="50" stopIfTrue="1"/>
    <cfRule type="duplicateValues" dxfId="2889" priority="51" stopIfTrue="1"/>
  </conditionalFormatting>
  <conditionalFormatting sqref="B190">
    <cfRule type="duplicateValues" dxfId="2888" priority="49" stopIfTrue="1"/>
  </conditionalFormatting>
  <conditionalFormatting sqref="B19">
    <cfRule type="duplicateValues" dxfId="2887" priority="38" stopIfTrue="1"/>
    <cfRule type="duplicateValues" dxfId="2886" priority="39" stopIfTrue="1"/>
  </conditionalFormatting>
  <conditionalFormatting sqref="B19">
    <cfRule type="duplicateValues" dxfId="2885" priority="37" stopIfTrue="1"/>
  </conditionalFormatting>
  <conditionalFormatting sqref="B29">
    <cfRule type="duplicateValues" dxfId="2884" priority="36"/>
  </conditionalFormatting>
  <conditionalFormatting sqref="B36">
    <cfRule type="duplicateValues" dxfId="2883" priority="35"/>
  </conditionalFormatting>
  <conditionalFormatting sqref="B47">
    <cfRule type="duplicateValues" dxfId="2882" priority="33" stopIfTrue="1"/>
    <cfRule type="duplicateValues" dxfId="2881" priority="34" stopIfTrue="1"/>
  </conditionalFormatting>
  <conditionalFormatting sqref="B47">
    <cfRule type="duplicateValues" dxfId="2880" priority="32" stopIfTrue="1"/>
  </conditionalFormatting>
  <conditionalFormatting sqref="B63">
    <cfRule type="duplicateValues" dxfId="2879" priority="30"/>
  </conditionalFormatting>
  <conditionalFormatting sqref="B112">
    <cfRule type="duplicateValues" dxfId="2878" priority="28"/>
  </conditionalFormatting>
  <conditionalFormatting sqref="B154">
    <cfRule type="duplicateValues" dxfId="2877" priority="27"/>
  </conditionalFormatting>
  <conditionalFormatting sqref="B174:B175 B155 B104:B110 B113:B114 B116:B132 B137">
    <cfRule type="duplicateValues" dxfId="2876" priority="708" stopIfTrue="1"/>
    <cfRule type="duplicateValues" dxfId="2875" priority="709" stopIfTrue="1"/>
  </conditionalFormatting>
  <conditionalFormatting sqref="B174:B175 B155 B104:B110 B113:B114 B116:B132 B137">
    <cfRule type="duplicateValues" dxfId="2874" priority="718" stopIfTrue="1"/>
  </conditionalFormatting>
  <conditionalFormatting sqref="B170:B171 B184:B189 B135 B111 B138:B141 B182 B145:B146 B179:B180">
    <cfRule type="duplicateValues" dxfId="2873" priority="735" stopIfTrue="1"/>
    <cfRule type="duplicateValues" dxfId="2872" priority="736" stopIfTrue="1"/>
  </conditionalFormatting>
  <conditionalFormatting sqref="B170:B171 B184:B189 B135 B111 B138:B141 B182 B145:B146 B179:B180">
    <cfRule type="duplicateValues" dxfId="2871" priority="749" stopIfTrue="1"/>
  </conditionalFormatting>
  <conditionalFormatting sqref="B174:B175 B155:B156 B101 B104:B110 B113:B114 B116:B132 B137">
    <cfRule type="duplicateValues" dxfId="2870" priority="756" stopIfTrue="1"/>
    <cfRule type="duplicateValues" dxfId="2869" priority="757" stopIfTrue="1"/>
  </conditionalFormatting>
  <conditionalFormatting sqref="B174:B175 B155:B156 B101 B104:B110 B113:B114 B116:B132 B137">
    <cfRule type="duplicateValues" dxfId="2868" priority="768" stopIfTrue="1"/>
  </conditionalFormatting>
  <conditionalFormatting sqref="B133">
    <cfRule type="duplicateValues" dxfId="2867" priority="17"/>
  </conditionalFormatting>
  <conditionalFormatting sqref="B134">
    <cfRule type="duplicateValues" dxfId="2866" priority="15"/>
  </conditionalFormatting>
  <conditionalFormatting sqref="B136">
    <cfRule type="duplicateValues" dxfId="2865" priority="13"/>
  </conditionalFormatting>
  <conditionalFormatting sqref="B140:B141">
    <cfRule type="duplicateValues" dxfId="2864" priority="11"/>
  </conditionalFormatting>
  <conditionalFormatting sqref="B141">
    <cfRule type="duplicateValues" dxfId="2863" priority="10"/>
  </conditionalFormatting>
  <conditionalFormatting sqref="B143:B144">
    <cfRule type="duplicateValues" dxfId="2862" priority="9"/>
  </conditionalFormatting>
  <conditionalFormatting sqref="B144">
    <cfRule type="duplicateValues" dxfId="2861" priority="8"/>
  </conditionalFormatting>
  <conditionalFormatting sqref="B146">
    <cfRule type="duplicateValues" dxfId="2860" priority="7"/>
  </conditionalFormatting>
  <conditionalFormatting sqref="B148">
    <cfRule type="duplicateValues" dxfId="2859" priority="6"/>
  </conditionalFormatting>
  <conditionalFormatting sqref="B184:B189 B331:B1048576 B191:B193 B93:B111 B32:B35 B1:B2 B145:B153 B182 B4:B15 B30 B38:B45 B47:B57 B155:B156 B170:B172 B113:B114 B64:B91 B116:B132 B135 B174:B175 B17:B28 B59:B62 B137:B141 B179:B180">
    <cfRule type="duplicateValues" dxfId="2858" priority="1496"/>
  </conditionalFormatting>
  <conditionalFormatting sqref="B182 B331:B1048576 B93:B111 B32:B35 B1:B15 B30 B38:B45 B47:B57 B155:B156 B170:B172 B113:B114 B64:B91 B116:B132 B135 B174:B175 B145:B153 B184:B193 B17:B28 B59:B62 B137:B141 B179:B180">
    <cfRule type="duplicateValues" dxfId="2857" priority="1527"/>
  </conditionalFormatting>
  <conditionalFormatting sqref="B151:B153">
    <cfRule type="duplicateValues" dxfId="2856" priority="5"/>
  </conditionalFormatting>
  <conditionalFormatting sqref="B152:B153">
    <cfRule type="duplicateValues" dxfId="2855" priority="4"/>
  </conditionalFormatting>
  <conditionalFormatting sqref="B153">
    <cfRule type="duplicateValues" dxfId="2854" priority="3"/>
  </conditionalFormatting>
  <conditionalFormatting sqref="B195 B331:B1048576 B170:B172 B174:B177 B182:B193 B179:B180 B1:B160">
    <cfRule type="duplicateValues" dxfId="2853" priority="2002"/>
  </conditionalFormatting>
  <conditionalFormatting sqref="B6:B160">
    <cfRule type="duplicateValues" dxfId="2852" priority="2"/>
  </conditionalFormatting>
  <conditionalFormatting sqref="G134">
    <cfRule type="duplicateValues" dxfId="2851" priority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00000"/>
  </sheetPr>
  <dimension ref="A3:N200"/>
  <sheetViews>
    <sheetView topLeftCell="A142" workbookViewId="0">
      <selection activeCell="E174" sqref="E174"/>
    </sheetView>
  </sheetViews>
  <sheetFormatPr defaultRowHeight="15"/>
  <cols>
    <col min="1" max="1" width="6.85546875" style="44" customWidth="1"/>
    <col min="2" max="2" width="37.14062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435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96">
        <v>1</v>
      </c>
      <c r="B6" s="142" t="s">
        <v>383</v>
      </c>
      <c r="C6" s="41">
        <v>200000</v>
      </c>
      <c r="D6" s="41">
        <v>26660</v>
      </c>
      <c r="E6" s="41">
        <f t="shared" ref="E6:E22" si="0">SUM(C6:D6)</f>
        <v>226660</v>
      </c>
      <c r="F6" s="33">
        <v>40</v>
      </c>
      <c r="G6" s="41">
        <v>5666.5</v>
      </c>
      <c r="H6" s="96">
        <v>38</v>
      </c>
      <c r="I6" s="96">
        <f t="shared" ref="I6:I37" si="1">F6-H6</f>
        <v>2</v>
      </c>
      <c r="J6" s="16">
        <f t="shared" ref="J6:J25" si="2">H6*G6</f>
        <v>215327</v>
      </c>
      <c r="K6" s="41">
        <f t="shared" ref="K6:K37" si="3">E6-J6</f>
        <v>11333</v>
      </c>
      <c r="L6" s="11"/>
      <c r="M6" s="180" t="e">
        <f>#REF!-G6</f>
        <v>#REF!</v>
      </c>
    </row>
    <row r="7" spans="1:13" s="114" customFormat="1">
      <c r="A7" s="96">
        <v>2</v>
      </c>
      <c r="B7" s="142" t="s">
        <v>417</v>
      </c>
      <c r="C7" s="16">
        <v>132000</v>
      </c>
      <c r="D7" s="16">
        <v>17595.599999999999</v>
      </c>
      <c r="E7" s="41">
        <f t="shared" si="0"/>
        <v>149595.6</v>
      </c>
      <c r="F7" s="33">
        <v>40</v>
      </c>
      <c r="G7" s="16">
        <v>3739.89</v>
      </c>
      <c r="H7" s="96">
        <v>31</v>
      </c>
      <c r="I7" s="96">
        <f t="shared" si="1"/>
        <v>9</v>
      </c>
      <c r="J7" s="16">
        <f t="shared" si="2"/>
        <v>115936.59</v>
      </c>
      <c r="K7" s="41">
        <f t="shared" si="3"/>
        <v>33659.010000000009</v>
      </c>
      <c r="L7" s="11"/>
      <c r="M7" s="180" t="e">
        <f>#REF!-G7</f>
        <v>#REF!</v>
      </c>
    </row>
    <row r="8" spans="1:13" s="114" customFormat="1">
      <c r="A8" s="96">
        <v>3</v>
      </c>
      <c r="B8" s="142" t="s">
        <v>384</v>
      </c>
      <c r="C8" s="41">
        <v>200000</v>
      </c>
      <c r="D8" s="41">
        <v>26660</v>
      </c>
      <c r="E8" s="41">
        <f t="shared" si="0"/>
        <v>226660</v>
      </c>
      <c r="F8" s="33">
        <v>40</v>
      </c>
      <c r="G8" s="41">
        <v>5666.5</v>
      </c>
      <c r="H8" s="96">
        <v>29</v>
      </c>
      <c r="I8" s="96">
        <f t="shared" si="1"/>
        <v>11</v>
      </c>
      <c r="J8" s="16">
        <f t="shared" si="2"/>
        <v>164328.5</v>
      </c>
      <c r="K8" s="41">
        <f t="shared" si="3"/>
        <v>62331.5</v>
      </c>
      <c r="L8" s="11"/>
      <c r="M8" s="180" t="e">
        <f>#REF!-G8</f>
        <v>#REF!</v>
      </c>
    </row>
    <row r="9" spans="1:13" s="114" customFormat="1">
      <c r="A9" s="96">
        <v>4</v>
      </c>
      <c r="B9" s="142" t="s">
        <v>413</v>
      </c>
      <c r="C9" s="12">
        <v>180000</v>
      </c>
      <c r="D9" s="12">
        <v>23994</v>
      </c>
      <c r="E9" s="15">
        <f t="shared" si="0"/>
        <v>203994</v>
      </c>
      <c r="F9" s="31">
        <v>40</v>
      </c>
      <c r="G9" s="12">
        <v>5099.8500000000004</v>
      </c>
      <c r="H9" s="159">
        <v>34</v>
      </c>
      <c r="I9" s="97">
        <f t="shared" si="1"/>
        <v>6</v>
      </c>
      <c r="J9" s="91">
        <f t="shared" si="2"/>
        <v>173394.90000000002</v>
      </c>
      <c r="K9" s="15">
        <f t="shared" si="3"/>
        <v>30599.099999999977</v>
      </c>
      <c r="L9" s="8"/>
      <c r="M9" s="180" t="e">
        <f>#REF!-G9</f>
        <v>#REF!</v>
      </c>
    </row>
    <row r="10" spans="1:13" s="114" customFormat="1">
      <c r="A10" s="96">
        <v>5</v>
      </c>
      <c r="B10" s="142" t="s">
        <v>385</v>
      </c>
      <c r="C10" s="41">
        <v>200000</v>
      </c>
      <c r="D10" s="41">
        <v>26660</v>
      </c>
      <c r="E10" s="41">
        <f t="shared" si="0"/>
        <v>226660</v>
      </c>
      <c r="F10" s="33">
        <v>40</v>
      </c>
      <c r="G10" s="41">
        <v>5666.5</v>
      </c>
      <c r="H10" s="96">
        <v>39</v>
      </c>
      <c r="I10" s="96">
        <f t="shared" si="1"/>
        <v>1</v>
      </c>
      <c r="J10" s="16">
        <f t="shared" si="2"/>
        <v>220993.5</v>
      </c>
      <c r="K10" s="41">
        <f t="shared" si="3"/>
        <v>5666.5</v>
      </c>
      <c r="L10" s="11"/>
      <c r="M10" s="180" t="e">
        <f>#REF!-G10</f>
        <v>#REF!</v>
      </c>
    </row>
    <row r="11" spans="1:13" s="114" customFormat="1">
      <c r="A11" s="96">
        <v>7</v>
      </c>
      <c r="B11" s="142" t="s">
        <v>418</v>
      </c>
      <c r="C11" s="16">
        <v>132000</v>
      </c>
      <c r="D11" s="16">
        <v>17595.599999999999</v>
      </c>
      <c r="E11" s="41">
        <f t="shared" si="0"/>
        <v>149595.6</v>
      </c>
      <c r="F11" s="33">
        <v>40</v>
      </c>
      <c r="G11" s="16">
        <v>3739.89</v>
      </c>
      <c r="H11" s="96">
        <v>39</v>
      </c>
      <c r="I11" s="96">
        <f t="shared" si="1"/>
        <v>1</v>
      </c>
      <c r="J11" s="16">
        <f t="shared" si="2"/>
        <v>145855.71</v>
      </c>
      <c r="K11" s="41">
        <f t="shared" si="3"/>
        <v>3739.890000000014</v>
      </c>
      <c r="L11" s="11"/>
      <c r="M11" s="180" t="e">
        <f>#REF!-G11</f>
        <v>#REF!</v>
      </c>
    </row>
    <row r="12" spans="1:13" s="114" customFormat="1">
      <c r="A12" s="96">
        <v>8</v>
      </c>
      <c r="B12" s="142" t="s">
        <v>307</v>
      </c>
      <c r="C12" s="12">
        <v>500000</v>
      </c>
      <c r="D12" s="12">
        <v>66650</v>
      </c>
      <c r="E12" s="15">
        <f t="shared" si="0"/>
        <v>566650</v>
      </c>
      <c r="F12" s="31">
        <v>50</v>
      </c>
      <c r="G12" s="18">
        <v>11333</v>
      </c>
      <c r="H12" s="14">
        <v>30</v>
      </c>
      <c r="I12" s="97">
        <f t="shared" si="1"/>
        <v>20</v>
      </c>
      <c r="J12" s="91">
        <f t="shared" si="2"/>
        <v>339990</v>
      </c>
      <c r="K12" s="15">
        <f t="shared" si="3"/>
        <v>226660</v>
      </c>
      <c r="L12" s="8"/>
      <c r="M12" s="180" t="e">
        <f>#REF!-G12</f>
        <v>#REF!</v>
      </c>
    </row>
    <row r="13" spans="1:13" s="114" customFormat="1">
      <c r="A13" s="96">
        <v>9</v>
      </c>
      <c r="B13" s="142" t="s">
        <v>304</v>
      </c>
      <c r="C13" s="16">
        <v>500000</v>
      </c>
      <c r="D13" s="16">
        <v>53320</v>
      </c>
      <c r="E13" s="41">
        <f t="shared" si="0"/>
        <v>553320</v>
      </c>
      <c r="F13" s="33">
        <v>40</v>
      </c>
      <c r="G13" s="16">
        <v>13833</v>
      </c>
      <c r="H13" s="96">
        <v>46</v>
      </c>
      <c r="I13" s="96">
        <f t="shared" si="1"/>
        <v>-6</v>
      </c>
      <c r="J13" s="16">
        <f t="shared" si="2"/>
        <v>636318</v>
      </c>
      <c r="K13" s="41">
        <f t="shared" si="3"/>
        <v>-82998</v>
      </c>
      <c r="L13" s="11"/>
      <c r="M13" s="180" t="e">
        <f>#REF!-G13</f>
        <v>#REF!</v>
      </c>
    </row>
    <row r="14" spans="1:13" s="120" customFormat="1" ht="15.75" customHeight="1">
      <c r="A14" s="96">
        <v>11</v>
      </c>
      <c r="B14" s="219" t="s">
        <v>281</v>
      </c>
      <c r="C14" s="161">
        <v>330000</v>
      </c>
      <c r="D14" s="161">
        <v>43989</v>
      </c>
      <c r="E14" s="162">
        <f t="shared" si="0"/>
        <v>373989</v>
      </c>
      <c r="F14" s="163">
        <v>50</v>
      </c>
      <c r="G14" s="196">
        <v>7478.78</v>
      </c>
      <c r="H14" s="96">
        <v>34</v>
      </c>
      <c r="I14" s="96">
        <f t="shared" si="1"/>
        <v>16</v>
      </c>
      <c r="J14" s="161">
        <f t="shared" si="2"/>
        <v>254278.52</v>
      </c>
      <c r="K14" s="162">
        <f t="shared" si="3"/>
        <v>119710.48000000001</v>
      </c>
      <c r="L14" s="123"/>
      <c r="M14" s="197" t="e">
        <f>#REF!-G14</f>
        <v>#REF!</v>
      </c>
    </row>
    <row r="15" spans="1:13" s="114" customFormat="1">
      <c r="A15" s="96">
        <v>12</v>
      </c>
      <c r="B15" s="170" t="s">
        <v>372</v>
      </c>
      <c r="C15" s="16">
        <v>330000</v>
      </c>
      <c r="D15" s="16">
        <v>43989</v>
      </c>
      <c r="E15" s="41">
        <f t="shared" si="0"/>
        <v>373989</v>
      </c>
      <c r="F15" s="33">
        <v>50</v>
      </c>
      <c r="G15" s="16">
        <v>7479.78</v>
      </c>
      <c r="H15" s="96">
        <v>34</v>
      </c>
      <c r="I15" s="96">
        <f t="shared" si="1"/>
        <v>16</v>
      </c>
      <c r="J15" s="16">
        <f t="shared" si="2"/>
        <v>254312.52</v>
      </c>
      <c r="K15" s="41">
        <f t="shared" si="3"/>
        <v>119676.48000000001</v>
      </c>
      <c r="L15" s="11"/>
      <c r="M15" s="180" t="e">
        <f>#REF!-G15</f>
        <v>#REF!</v>
      </c>
    </row>
    <row r="16" spans="1:13" s="114" customFormat="1">
      <c r="A16" s="96">
        <v>13</v>
      </c>
      <c r="B16" s="142" t="s">
        <v>386</v>
      </c>
      <c r="C16" s="41">
        <v>200000</v>
      </c>
      <c r="D16" s="41">
        <v>26660</v>
      </c>
      <c r="E16" s="41">
        <f t="shared" si="0"/>
        <v>226660</v>
      </c>
      <c r="F16" s="33">
        <v>40</v>
      </c>
      <c r="G16" s="41">
        <v>5666.5</v>
      </c>
      <c r="H16" s="96">
        <v>39</v>
      </c>
      <c r="I16" s="96">
        <f t="shared" si="1"/>
        <v>1</v>
      </c>
      <c r="J16" s="16">
        <f t="shared" si="2"/>
        <v>220993.5</v>
      </c>
      <c r="K16" s="41">
        <f t="shared" si="3"/>
        <v>5666.5</v>
      </c>
      <c r="L16" s="11"/>
      <c r="M16" s="180" t="e">
        <f>#REF!-G16</f>
        <v>#REF!</v>
      </c>
    </row>
    <row r="17" spans="1:13" s="114" customFormat="1">
      <c r="A17" s="96">
        <v>14</v>
      </c>
      <c r="B17" s="142" t="s">
        <v>373</v>
      </c>
      <c r="C17" s="16">
        <v>330000</v>
      </c>
      <c r="D17" s="16">
        <v>43989</v>
      </c>
      <c r="E17" s="41">
        <f t="shared" si="0"/>
        <v>373989</v>
      </c>
      <c r="F17" s="33">
        <v>50</v>
      </c>
      <c r="G17" s="16">
        <v>7479.78</v>
      </c>
      <c r="H17" s="96">
        <v>25</v>
      </c>
      <c r="I17" s="96">
        <f t="shared" si="1"/>
        <v>25</v>
      </c>
      <c r="J17" s="16">
        <f t="shared" si="2"/>
        <v>186994.5</v>
      </c>
      <c r="K17" s="41">
        <f t="shared" si="3"/>
        <v>186994.5</v>
      </c>
      <c r="L17" s="11"/>
      <c r="M17" s="180" t="e">
        <f>#REF!-G17</f>
        <v>#REF!</v>
      </c>
    </row>
    <row r="18" spans="1:13" s="114" customFormat="1">
      <c r="A18" s="96">
        <v>15</v>
      </c>
      <c r="B18" s="142" t="s">
        <v>387</v>
      </c>
      <c r="C18" s="41">
        <v>200000</v>
      </c>
      <c r="D18" s="41">
        <v>26660</v>
      </c>
      <c r="E18" s="41">
        <f t="shared" si="0"/>
        <v>226660</v>
      </c>
      <c r="F18" s="33">
        <v>40</v>
      </c>
      <c r="G18" s="41">
        <v>5666.5</v>
      </c>
      <c r="H18" s="96">
        <v>39</v>
      </c>
      <c r="I18" s="96">
        <f t="shared" si="1"/>
        <v>1</v>
      </c>
      <c r="J18" s="16">
        <f t="shared" si="2"/>
        <v>220993.5</v>
      </c>
      <c r="K18" s="41">
        <f t="shared" si="3"/>
        <v>5666.5</v>
      </c>
      <c r="L18" s="11"/>
      <c r="M18" s="180" t="e">
        <f>#REF!-G18</f>
        <v>#REF!</v>
      </c>
    </row>
    <row r="19" spans="1:13" s="114" customFormat="1">
      <c r="A19" s="96">
        <v>16</v>
      </c>
      <c r="B19" s="142" t="s">
        <v>388</v>
      </c>
      <c r="C19" s="15">
        <v>200000</v>
      </c>
      <c r="D19" s="15">
        <v>26660</v>
      </c>
      <c r="E19" s="15">
        <f t="shared" si="0"/>
        <v>226660</v>
      </c>
      <c r="F19" s="31">
        <v>40</v>
      </c>
      <c r="G19" s="15">
        <v>5666.5</v>
      </c>
      <c r="H19" s="14">
        <v>35</v>
      </c>
      <c r="I19" s="97">
        <f t="shared" si="1"/>
        <v>5</v>
      </c>
      <c r="J19" s="91">
        <f t="shared" si="2"/>
        <v>198327.5</v>
      </c>
      <c r="K19" s="15">
        <f t="shared" si="3"/>
        <v>28332.5</v>
      </c>
      <c r="L19" s="8"/>
      <c r="M19" s="180" t="e">
        <f>#REF!-G19</f>
        <v>#REF!</v>
      </c>
    </row>
    <row r="20" spans="1:13" s="114" customFormat="1">
      <c r="A20" s="96">
        <v>17</v>
      </c>
      <c r="B20" s="170" t="s">
        <v>308</v>
      </c>
      <c r="C20" s="16">
        <v>500000</v>
      </c>
      <c r="D20" s="16">
        <v>66650</v>
      </c>
      <c r="E20" s="41">
        <f t="shared" si="0"/>
        <v>566650</v>
      </c>
      <c r="F20" s="33">
        <v>50</v>
      </c>
      <c r="G20" s="16">
        <v>11333</v>
      </c>
      <c r="H20" s="96">
        <v>25</v>
      </c>
      <c r="I20" s="96">
        <f t="shared" si="1"/>
        <v>25</v>
      </c>
      <c r="J20" s="16">
        <f t="shared" si="2"/>
        <v>283325</v>
      </c>
      <c r="K20" s="41">
        <f t="shared" si="3"/>
        <v>283325</v>
      </c>
      <c r="L20" s="11"/>
      <c r="M20" s="180" t="e">
        <f>#REF!-G20</f>
        <v>#REF!</v>
      </c>
    </row>
    <row r="21" spans="1:13" s="114" customFormat="1">
      <c r="A21" s="96">
        <v>18</v>
      </c>
      <c r="B21" s="142" t="s">
        <v>389</v>
      </c>
      <c r="C21" s="41">
        <v>200000</v>
      </c>
      <c r="D21" s="41">
        <v>26660</v>
      </c>
      <c r="E21" s="41">
        <f t="shared" si="0"/>
        <v>226660</v>
      </c>
      <c r="F21" s="151">
        <v>40</v>
      </c>
      <c r="G21" s="41">
        <v>5666.5</v>
      </c>
      <c r="H21" s="96">
        <v>49</v>
      </c>
      <c r="I21" s="96">
        <f t="shared" si="1"/>
        <v>-9</v>
      </c>
      <c r="J21" s="16">
        <f t="shared" si="2"/>
        <v>277658.5</v>
      </c>
      <c r="K21" s="41">
        <f t="shared" si="3"/>
        <v>-50998.5</v>
      </c>
      <c r="L21" s="152"/>
      <c r="M21" s="180" t="e">
        <f>#REF!-G21</f>
        <v>#REF!</v>
      </c>
    </row>
    <row r="22" spans="1:13" s="114" customFormat="1">
      <c r="A22" s="96">
        <v>19</v>
      </c>
      <c r="B22" s="142" t="s">
        <v>309</v>
      </c>
      <c r="C22" s="16">
        <v>500000</v>
      </c>
      <c r="D22" s="16">
        <v>66650</v>
      </c>
      <c r="E22" s="41">
        <f t="shared" si="0"/>
        <v>566650</v>
      </c>
      <c r="F22" s="33">
        <v>50</v>
      </c>
      <c r="G22" s="16">
        <v>11333</v>
      </c>
      <c r="H22" s="96">
        <v>34</v>
      </c>
      <c r="I22" s="96">
        <f t="shared" si="1"/>
        <v>16</v>
      </c>
      <c r="J22" s="16">
        <f t="shared" si="2"/>
        <v>385322</v>
      </c>
      <c r="K22" s="41">
        <f t="shared" si="3"/>
        <v>181328</v>
      </c>
      <c r="L22" s="11"/>
      <c r="M22" s="180" t="e">
        <f>#REF!-G22</f>
        <v>#REF!</v>
      </c>
    </row>
    <row r="23" spans="1:13" s="114" customFormat="1">
      <c r="A23" s="96">
        <v>20</v>
      </c>
      <c r="B23" s="142" t="s">
        <v>310</v>
      </c>
      <c r="C23" s="19">
        <v>500000</v>
      </c>
      <c r="D23" s="19">
        <v>66650</v>
      </c>
      <c r="E23" s="19">
        <v>566650</v>
      </c>
      <c r="F23" s="33">
        <v>50</v>
      </c>
      <c r="G23" s="16">
        <v>11333</v>
      </c>
      <c r="H23" s="96">
        <v>11</v>
      </c>
      <c r="I23" s="96">
        <f t="shared" si="1"/>
        <v>39</v>
      </c>
      <c r="J23" s="16">
        <f t="shared" si="2"/>
        <v>124663</v>
      </c>
      <c r="K23" s="16">
        <f t="shared" si="3"/>
        <v>441987</v>
      </c>
      <c r="L23" s="122"/>
      <c r="M23" s="180" t="e">
        <f>#REF!-G23</f>
        <v>#REF!</v>
      </c>
    </row>
    <row r="24" spans="1:13" s="114" customFormat="1">
      <c r="A24" s="96">
        <v>21</v>
      </c>
      <c r="B24" s="142" t="s">
        <v>311</v>
      </c>
      <c r="C24" s="16">
        <v>500000</v>
      </c>
      <c r="D24" s="16">
        <v>66650</v>
      </c>
      <c r="E24" s="41">
        <f>SUM(C24:D24)</f>
        <v>566650</v>
      </c>
      <c r="F24" s="33">
        <v>50</v>
      </c>
      <c r="G24" s="16">
        <v>11333</v>
      </c>
      <c r="H24" s="96">
        <v>46</v>
      </c>
      <c r="I24" s="96">
        <f t="shared" si="1"/>
        <v>4</v>
      </c>
      <c r="J24" s="16">
        <f t="shared" si="2"/>
        <v>521318</v>
      </c>
      <c r="K24" s="41">
        <f t="shared" si="3"/>
        <v>45332</v>
      </c>
      <c r="L24" s="11"/>
      <c r="M24" s="180" t="e">
        <f>#REF!-G24</f>
        <v>#REF!</v>
      </c>
    </row>
    <row r="25" spans="1:13" s="114" customFormat="1">
      <c r="A25" s="96">
        <v>22</v>
      </c>
      <c r="B25" s="142" t="s">
        <v>390</v>
      </c>
      <c r="C25" s="41">
        <v>200000</v>
      </c>
      <c r="D25" s="41">
        <v>26660</v>
      </c>
      <c r="E25" s="41">
        <f>SUM(C25:D25)</f>
        <v>226660</v>
      </c>
      <c r="F25" s="33">
        <v>40</v>
      </c>
      <c r="G25" s="41">
        <v>5666.5</v>
      </c>
      <c r="H25" s="96">
        <v>39</v>
      </c>
      <c r="I25" s="96">
        <f t="shared" si="1"/>
        <v>1</v>
      </c>
      <c r="J25" s="16">
        <f t="shared" si="2"/>
        <v>220993.5</v>
      </c>
      <c r="K25" s="41">
        <f t="shared" si="3"/>
        <v>5666.5</v>
      </c>
      <c r="L25" s="11"/>
      <c r="M25" s="180" t="e">
        <f>#REF!-G25</f>
        <v>#REF!</v>
      </c>
    </row>
    <row r="26" spans="1:13" s="114" customFormat="1">
      <c r="A26" s="96">
        <v>23</v>
      </c>
      <c r="B26" s="170" t="s">
        <v>282</v>
      </c>
      <c r="C26" s="16">
        <v>330000</v>
      </c>
      <c r="D26" s="16">
        <v>43989</v>
      </c>
      <c r="E26" s="41">
        <f>SUM(C26:D26)</f>
        <v>373989</v>
      </c>
      <c r="F26" s="33">
        <v>50</v>
      </c>
      <c r="G26" s="153">
        <v>7479.78</v>
      </c>
      <c r="H26" s="159">
        <v>34</v>
      </c>
      <c r="I26" s="97">
        <f t="shared" si="1"/>
        <v>16</v>
      </c>
      <c r="J26" s="91">
        <f>(32*7479.78)</f>
        <v>239352.95999999999</v>
      </c>
      <c r="K26" s="94">
        <f t="shared" si="3"/>
        <v>134636.04</v>
      </c>
      <c r="L26" s="11"/>
      <c r="M26" s="180" t="e">
        <f>#REF!-G26</f>
        <v>#REF!</v>
      </c>
    </row>
    <row r="27" spans="1:13" s="114" customFormat="1">
      <c r="A27" s="96">
        <v>24</v>
      </c>
      <c r="B27" s="142" t="s">
        <v>312</v>
      </c>
      <c r="C27" s="16">
        <v>500000</v>
      </c>
      <c r="D27" s="16">
        <v>66650</v>
      </c>
      <c r="E27" s="41">
        <f>SUM(C27:D27)</f>
        <v>566650</v>
      </c>
      <c r="F27" s="33">
        <v>50</v>
      </c>
      <c r="G27" s="16">
        <v>11333</v>
      </c>
      <c r="H27" s="97">
        <v>46</v>
      </c>
      <c r="I27" s="97">
        <f t="shared" si="1"/>
        <v>4</v>
      </c>
      <c r="J27" s="91">
        <f>H27*G27</f>
        <v>521318</v>
      </c>
      <c r="K27" s="94">
        <f t="shared" si="3"/>
        <v>45332</v>
      </c>
      <c r="L27" s="11"/>
      <c r="M27" s="180" t="e">
        <f>#REF!-G27</f>
        <v>#REF!</v>
      </c>
    </row>
    <row r="28" spans="1:13" s="114" customFormat="1">
      <c r="A28" s="96">
        <v>25</v>
      </c>
      <c r="B28" s="142" t="s">
        <v>360</v>
      </c>
      <c r="C28" s="16">
        <v>450000</v>
      </c>
      <c r="D28" s="16">
        <v>59985</v>
      </c>
      <c r="E28" s="16">
        <v>509985</v>
      </c>
      <c r="F28" s="33">
        <v>50</v>
      </c>
      <c r="G28" s="16">
        <v>10199.700000000001</v>
      </c>
      <c r="H28" s="97">
        <v>10</v>
      </c>
      <c r="I28" s="97">
        <f t="shared" si="1"/>
        <v>40</v>
      </c>
      <c r="J28" s="91">
        <f>H28*G28</f>
        <v>101997</v>
      </c>
      <c r="K28" s="91">
        <f t="shared" si="3"/>
        <v>407988</v>
      </c>
      <c r="L28" s="11"/>
      <c r="M28" s="180" t="e">
        <f>#REF!-G28</f>
        <v>#REF!</v>
      </c>
    </row>
    <row r="29" spans="1:13" s="114" customFormat="1">
      <c r="A29" s="96">
        <v>26</v>
      </c>
      <c r="B29" s="142" t="s">
        <v>361</v>
      </c>
      <c r="C29" s="16">
        <v>450000</v>
      </c>
      <c r="D29" s="16">
        <v>59985</v>
      </c>
      <c r="E29" s="16">
        <v>509985</v>
      </c>
      <c r="F29" s="33">
        <v>50</v>
      </c>
      <c r="G29" s="19">
        <v>10199.700000000001</v>
      </c>
      <c r="H29" s="97">
        <v>25</v>
      </c>
      <c r="I29" s="97">
        <f t="shared" si="1"/>
        <v>25</v>
      </c>
      <c r="J29" s="91">
        <f>H29*G29</f>
        <v>254992.50000000003</v>
      </c>
      <c r="K29" s="94">
        <f t="shared" si="3"/>
        <v>254992.49999999997</v>
      </c>
      <c r="L29" s="11"/>
      <c r="M29" s="180" t="e">
        <f>#REF!-G29</f>
        <v>#REF!</v>
      </c>
    </row>
    <row r="30" spans="1:13" s="114" customFormat="1">
      <c r="A30" s="96">
        <v>27</v>
      </c>
      <c r="B30" s="142" t="s">
        <v>305</v>
      </c>
      <c r="C30" s="16">
        <v>500000</v>
      </c>
      <c r="D30" s="16">
        <v>53320</v>
      </c>
      <c r="E30" s="41">
        <f t="shared" ref="E30:E39" si="4">SUM(C30:D30)</f>
        <v>553320</v>
      </c>
      <c r="F30" s="33">
        <v>40</v>
      </c>
      <c r="G30" s="16">
        <v>13833</v>
      </c>
      <c r="H30" s="97">
        <v>46</v>
      </c>
      <c r="I30" s="97">
        <f t="shared" si="1"/>
        <v>-6</v>
      </c>
      <c r="J30" s="91">
        <f>H30*G30</f>
        <v>636318</v>
      </c>
      <c r="K30" s="94">
        <f t="shared" si="3"/>
        <v>-82998</v>
      </c>
      <c r="L30" s="11"/>
      <c r="M30" s="180" t="e">
        <f>#REF!-G30</f>
        <v>#REF!</v>
      </c>
    </row>
    <row r="31" spans="1:13" s="114" customFormat="1">
      <c r="A31" s="96">
        <v>28</v>
      </c>
      <c r="B31" s="142" t="s">
        <v>313</v>
      </c>
      <c r="C31" s="16">
        <v>500000</v>
      </c>
      <c r="D31" s="16">
        <v>66650</v>
      </c>
      <c r="E31" s="41">
        <f t="shared" si="4"/>
        <v>566650</v>
      </c>
      <c r="F31" s="33">
        <v>50</v>
      </c>
      <c r="G31" s="16">
        <v>11333</v>
      </c>
      <c r="H31" s="97">
        <v>25</v>
      </c>
      <c r="I31" s="97">
        <f t="shared" si="1"/>
        <v>25</v>
      </c>
      <c r="J31" s="91">
        <f>H31*G31</f>
        <v>283325</v>
      </c>
      <c r="K31" s="94">
        <f t="shared" si="3"/>
        <v>283325</v>
      </c>
      <c r="L31" s="11"/>
      <c r="M31" s="180" t="e">
        <f>#REF!-G31</f>
        <v>#REF!</v>
      </c>
    </row>
    <row r="32" spans="1:13" s="114" customFormat="1">
      <c r="A32" s="96">
        <v>29</v>
      </c>
      <c r="B32" s="170" t="s">
        <v>298</v>
      </c>
      <c r="C32" s="16">
        <v>60000</v>
      </c>
      <c r="D32" s="16">
        <v>7998</v>
      </c>
      <c r="E32" s="41">
        <f t="shared" si="4"/>
        <v>67998</v>
      </c>
      <c r="F32" s="33">
        <v>40</v>
      </c>
      <c r="G32" s="153">
        <v>1699.95</v>
      </c>
      <c r="H32" s="97"/>
      <c r="I32" s="97">
        <f t="shared" si="1"/>
        <v>40</v>
      </c>
      <c r="J32" s="91"/>
      <c r="K32" s="94">
        <f t="shared" si="3"/>
        <v>67998</v>
      </c>
      <c r="L32" s="11"/>
      <c r="M32" s="180" t="e">
        <f>#REF!-G32</f>
        <v>#REF!</v>
      </c>
    </row>
    <row r="33" spans="1:13" s="114" customFormat="1">
      <c r="A33" s="96">
        <v>30</v>
      </c>
      <c r="B33" s="170" t="s">
        <v>299</v>
      </c>
      <c r="C33" s="16">
        <v>500000</v>
      </c>
      <c r="D33" s="16">
        <v>66650</v>
      </c>
      <c r="E33" s="41">
        <f t="shared" si="4"/>
        <v>566650</v>
      </c>
      <c r="F33" s="33">
        <v>50</v>
      </c>
      <c r="G33" s="157">
        <v>11333</v>
      </c>
      <c r="H33" s="97">
        <v>35</v>
      </c>
      <c r="I33" s="97">
        <f t="shared" si="1"/>
        <v>15</v>
      </c>
      <c r="J33" s="91">
        <f t="shared" ref="J33:J44" si="5">H33*G33</f>
        <v>396655</v>
      </c>
      <c r="K33" s="94">
        <f t="shared" si="3"/>
        <v>169995</v>
      </c>
      <c r="L33" s="11" t="s">
        <v>276</v>
      </c>
      <c r="M33" s="180" t="e">
        <f>#REF!-G33</f>
        <v>#REF!</v>
      </c>
    </row>
    <row r="34" spans="1:13" s="114" customFormat="1">
      <c r="A34" s="96">
        <v>31</v>
      </c>
      <c r="B34" s="142" t="s">
        <v>391</v>
      </c>
      <c r="C34" s="41">
        <v>200000</v>
      </c>
      <c r="D34" s="41">
        <v>26660</v>
      </c>
      <c r="E34" s="41">
        <f t="shared" si="4"/>
        <v>226660</v>
      </c>
      <c r="F34" s="33">
        <v>40</v>
      </c>
      <c r="G34" s="41">
        <v>5666.5</v>
      </c>
      <c r="H34" s="97">
        <v>39</v>
      </c>
      <c r="I34" s="97">
        <f t="shared" si="1"/>
        <v>1</v>
      </c>
      <c r="J34" s="91">
        <f t="shared" si="5"/>
        <v>220993.5</v>
      </c>
      <c r="K34" s="94">
        <f t="shared" si="3"/>
        <v>5666.5</v>
      </c>
      <c r="L34" s="11"/>
      <c r="M34" s="180" t="e">
        <f>#REF!-G34</f>
        <v>#REF!</v>
      </c>
    </row>
    <row r="35" spans="1:13" s="114" customFormat="1">
      <c r="A35" s="96">
        <v>32</v>
      </c>
      <c r="B35" s="142" t="s">
        <v>140</v>
      </c>
      <c r="C35" s="15">
        <v>200000</v>
      </c>
      <c r="D35" s="15">
        <v>26660</v>
      </c>
      <c r="E35" s="15">
        <f t="shared" si="4"/>
        <v>226660</v>
      </c>
      <c r="F35" s="31">
        <v>40</v>
      </c>
      <c r="G35" s="15">
        <v>5666.5</v>
      </c>
      <c r="H35" s="14">
        <v>31</v>
      </c>
      <c r="I35" s="97">
        <f t="shared" si="1"/>
        <v>9</v>
      </c>
      <c r="J35" s="91">
        <f t="shared" si="5"/>
        <v>175661.5</v>
      </c>
      <c r="K35" s="15">
        <f t="shared" si="3"/>
        <v>50998.5</v>
      </c>
      <c r="L35" s="8"/>
      <c r="M35" s="180" t="e">
        <f>#REF!-G35</f>
        <v>#REF!</v>
      </c>
    </row>
    <row r="36" spans="1:13" s="114" customFormat="1">
      <c r="A36" s="96">
        <v>33</v>
      </c>
      <c r="B36" s="142" t="s">
        <v>392</v>
      </c>
      <c r="C36" s="41">
        <v>200000</v>
      </c>
      <c r="D36" s="41">
        <v>26660</v>
      </c>
      <c r="E36" s="41">
        <f t="shared" si="4"/>
        <v>226660</v>
      </c>
      <c r="F36" s="33">
        <v>40</v>
      </c>
      <c r="G36" s="41">
        <v>5666.5</v>
      </c>
      <c r="H36" s="97">
        <v>39</v>
      </c>
      <c r="I36" s="97">
        <f t="shared" si="1"/>
        <v>1</v>
      </c>
      <c r="J36" s="91">
        <f t="shared" si="5"/>
        <v>220993.5</v>
      </c>
      <c r="K36" s="94">
        <f t="shared" si="3"/>
        <v>5666.5</v>
      </c>
      <c r="L36" s="11"/>
      <c r="M36" s="180" t="e">
        <f>#REF!-G36</f>
        <v>#REF!</v>
      </c>
    </row>
    <row r="37" spans="1:13" s="114" customFormat="1">
      <c r="A37" s="96">
        <v>34</v>
      </c>
      <c r="B37" s="142" t="s">
        <v>107</v>
      </c>
      <c r="C37" s="16">
        <v>330000</v>
      </c>
      <c r="D37" s="16">
        <v>43989</v>
      </c>
      <c r="E37" s="41">
        <f t="shared" si="4"/>
        <v>373989</v>
      </c>
      <c r="F37" s="33">
        <v>50</v>
      </c>
      <c r="G37" s="16">
        <v>7479.78</v>
      </c>
      <c r="H37" s="97">
        <v>46</v>
      </c>
      <c r="I37" s="97">
        <f t="shared" si="1"/>
        <v>4</v>
      </c>
      <c r="J37" s="91">
        <f t="shared" si="5"/>
        <v>344069.88</v>
      </c>
      <c r="K37" s="94">
        <f t="shared" si="3"/>
        <v>29919.119999999995</v>
      </c>
      <c r="L37" s="11"/>
      <c r="M37" s="180" t="e">
        <f>#REF!-G37</f>
        <v>#REF!</v>
      </c>
    </row>
    <row r="38" spans="1:13" s="114" customFormat="1">
      <c r="A38" s="96">
        <v>35</v>
      </c>
      <c r="B38" s="142" t="s">
        <v>374</v>
      </c>
      <c r="C38" s="16">
        <v>330000</v>
      </c>
      <c r="D38" s="16">
        <v>43989</v>
      </c>
      <c r="E38" s="41">
        <f t="shared" si="4"/>
        <v>373989</v>
      </c>
      <c r="F38" s="33">
        <v>50</v>
      </c>
      <c r="G38" s="16">
        <v>7479.78</v>
      </c>
      <c r="H38" s="97">
        <v>46</v>
      </c>
      <c r="I38" s="97">
        <f t="shared" ref="I38:I69" si="6">F38-H38</f>
        <v>4</v>
      </c>
      <c r="J38" s="91">
        <f t="shared" si="5"/>
        <v>344069.88</v>
      </c>
      <c r="K38" s="94">
        <f t="shared" ref="K38:K69" si="7">E38-J38</f>
        <v>29919.119999999995</v>
      </c>
      <c r="L38" s="11"/>
      <c r="M38" s="180" t="e">
        <f>#REF!-G38</f>
        <v>#REF!</v>
      </c>
    </row>
    <row r="39" spans="1:13" s="114" customFormat="1">
      <c r="A39" s="96">
        <v>36</v>
      </c>
      <c r="B39" s="142" t="s">
        <v>393</v>
      </c>
      <c r="C39" s="41">
        <v>200000</v>
      </c>
      <c r="D39" s="41">
        <v>26660</v>
      </c>
      <c r="E39" s="41">
        <f t="shared" si="4"/>
        <v>226660</v>
      </c>
      <c r="F39" s="33">
        <v>40</v>
      </c>
      <c r="G39" s="41">
        <v>5666.5</v>
      </c>
      <c r="H39" s="97">
        <v>39</v>
      </c>
      <c r="I39" s="97">
        <f t="shared" si="6"/>
        <v>1</v>
      </c>
      <c r="J39" s="91">
        <f t="shared" si="5"/>
        <v>220993.5</v>
      </c>
      <c r="K39" s="94">
        <f t="shared" si="7"/>
        <v>5666.5</v>
      </c>
      <c r="L39" s="11"/>
      <c r="M39" s="180" t="e">
        <f>#REF!-G39</f>
        <v>#REF!</v>
      </c>
    </row>
    <row r="40" spans="1:13" s="114" customFormat="1">
      <c r="A40" s="96">
        <v>37</v>
      </c>
      <c r="B40" s="142" t="s">
        <v>314</v>
      </c>
      <c r="C40" s="19">
        <v>500000</v>
      </c>
      <c r="D40" s="19">
        <v>66650</v>
      </c>
      <c r="E40" s="19">
        <v>566650</v>
      </c>
      <c r="F40" s="33">
        <v>50</v>
      </c>
      <c r="G40" s="16">
        <v>11333</v>
      </c>
      <c r="H40" s="97">
        <v>11</v>
      </c>
      <c r="I40" s="97">
        <f t="shared" si="6"/>
        <v>39</v>
      </c>
      <c r="J40" s="91">
        <f t="shared" si="5"/>
        <v>124663</v>
      </c>
      <c r="K40" s="91">
        <f t="shared" si="7"/>
        <v>441987</v>
      </c>
      <c r="L40" s="122"/>
      <c r="M40" s="180" t="e">
        <f>#REF!-G40</f>
        <v>#REF!</v>
      </c>
    </row>
    <row r="41" spans="1:13" s="114" customFormat="1">
      <c r="A41" s="96">
        <v>38</v>
      </c>
      <c r="B41" s="142" t="s">
        <v>414</v>
      </c>
      <c r="C41" s="16">
        <v>180000</v>
      </c>
      <c r="D41" s="16">
        <v>23994</v>
      </c>
      <c r="E41" s="41">
        <f>SUM(C41:D41)</f>
        <v>203994</v>
      </c>
      <c r="F41" s="33">
        <v>40</v>
      </c>
      <c r="G41" s="16">
        <v>5099.8500000000004</v>
      </c>
      <c r="H41" s="97">
        <v>36</v>
      </c>
      <c r="I41" s="97">
        <f t="shared" si="6"/>
        <v>4</v>
      </c>
      <c r="J41" s="91">
        <f t="shared" si="5"/>
        <v>183594.6</v>
      </c>
      <c r="K41" s="94">
        <f t="shared" si="7"/>
        <v>20399.399999999994</v>
      </c>
      <c r="L41" s="11"/>
      <c r="M41" s="180" t="e">
        <f>#REF!-G41</f>
        <v>#REF!</v>
      </c>
    </row>
    <row r="42" spans="1:13" s="114" customFormat="1">
      <c r="A42" s="96">
        <v>39</v>
      </c>
      <c r="B42" s="170" t="s">
        <v>362</v>
      </c>
      <c r="C42" s="12">
        <v>450000</v>
      </c>
      <c r="D42" s="12">
        <v>59985</v>
      </c>
      <c r="E42" s="15">
        <f>SUM(C42:D42)</f>
        <v>509985</v>
      </c>
      <c r="F42" s="31">
        <v>50</v>
      </c>
      <c r="G42" s="12">
        <v>10199.700000000001</v>
      </c>
      <c r="H42" s="14">
        <v>28</v>
      </c>
      <c r="I42" s="97">
        <f t="shared" si="6"/>
        <v>22</v>
      </c>
      <c r="J42" s="91">
        <f t="shared" si="5"/>
        <v>285591.60000000003</v>
      </c>
      <c r="K42" s="15">
        <f t="shared" si="7"/>
        <v>224393.39999999997</v>
      </c>
      <c r="L42" s="8"/>
      <c r="M42" s="180" t="e">
        <f>#REF!-G42</f>
        <v>#REF!</v>
      </c>
    </row>
    <row r="43" spans="1:13" s="114" customFormat="1">
      <c r="A43" s="96">
        <v>40</v>
      </c>
      <c r="B43" s="142" t="s">
        <v>315</v>
      </c>
      <c r="C43" s="19">
        <v>500000</v>
      </c>
      <c r="D43" s="19">
        <v>66650</v>
      </c>
      <c r="E43" s="19">
        <v>566650</v>
      </c>
      <c r="F43" s="33">
        <v>50</v>
      </c>
      <c r="G43" s="16">
        <v>11333</v>
      </c>
      <c r="H43" s="97">
        <v>11</v>
      </c>
      <c r="I43" s="97">
        <f t="shared" si="6"/>
        <v>39</v>
      </c>
      <c r="J43" s="91">
        <f t="shared" si="5"/>
        <v>124663</v>
      </c>
      <c r="K43" s="91">
        <f t="shared" si="7"/>
        <v>441987</v>
      </c>
      <c r="L43" s="122"/>
      <c r="M43" s="180" t="e">
        <f>#REF!-G43</f>
        <v>#REF!</v>
      </c>
    </row>
    <row r="44" spans="1:13" s="114" customFormat="1">
      <c r="A44" s="96">
        <v>41</v>
      </c>
      <c r="B44" s="142" t="s">
        <v>284</v>
      </c>
      <c r="C44" s="19">
        <v>500000</v>
      </c>
      <c r="D44" s="19">
        <v>66650</v>
      </c>
      <c r="E44" s="19">
        <v>566650</v>
      </c>
      <c r="F44" s="33">
        <v>50</v>
      </c>
      <c r="G44" s="158">
        <v>11333</v>
      </c>
      <c r="H44" s="97">
        <v>31</v>
      </c>
      <c r="I44" s="97">
        <f t="shared" si="6"/>
        <v>19</v>
      </c>
      <c r="J44" s="91">
        <f t="shared" si="5"/>
        <v>351323</v>
      </c>
      <c r="K44" s="91">
        <f t="shared" si="7"/>
        <v>215327</v>
      </c>
      <c r="L44" s="122"/>
      <c r="M44" s="180" t="e">
        <f>#REF!-G44</f>
        <v>#REF!</v>
      </c>
    </row>
    <row r="45" spans="1:13" s="114" customFormat="1">
      <c r="A45" s="96">
        <v>42</v>
      </c>
      <c r="B45" s="170" t="s">
        <v>216</v>
      </c>
      <c r="C45" s="16">
        <v>60000</v>
      </c>
      <c r="D45" s="16">
        <v>7998</v>
      </c>
      <c r="E45" s="41">
        <f t="shared" ref="E45:E50" si="8">SUM(C45:D45)</f>
        <v>67998</v>
      </c>
      <c r="F45" s="33">
        <v>40</v>
      </c>
      <c r="G45" s="24">
        <v>1699.95</v>
      </c>
      <c r="H45" s="97"/>
      <c r="I45" s="97">
        <f t="shared" si="6"/>
        <v>40</v>
      </c>
      <c r="J45" s="91"/>
      <c r="K45" s="94">
        <f t="shared" si="7"/>
        <v>67998</v>
      </c>
      <c r="L45" s="11"/>
      <c r="M45" s="180" t="e">
        <f>#REF!-G45</f>
        <v>#REF!</v>
      </c>
    </row>
    <row r="46" spans="1:13" s="114" customFormat="1">
      <c r="A46" s="96">
        <v>43</v>
      </c>
      <c r="B46" s="142" t="s">
        <v>415</v>
      </c>
      <c r="C46" s="16">
        <v>180000</v>
      </c>
      <c r="D46" s="16">
        <v>23994</v>
      </c>
      <c r="E46" s="41">
        <f t="shared" si="8"/>
        <v>203994</v>
      </c>
      <c r="F46" s="33">
        <v>40</v>
      </c>
      <c r="G46" s="16">
        <v>5099.8500000000004</v>
      </c>
      <c r="H46" s="97">
        <v>39</v>
      </c>
      <c r="I46" s="97">
        <f t="shared" si="6"/>
        <v>1</v>
      </c>
      <c r="J46" s="91">
        <f>H46*G46</f>
        <v>198894.15000000002</v>
      </c>
      <c r="K46" s="94">
        <f t="shared" si="7"/>
        <v>5099.8499999999767</v>
      </c>
      <c r="L46" s="11"/>
      <c r="M46" s="180" t="e">
        <f>#REF!-G46</f>
        <v>#REF!</v>
      </c>
    </row>
    <row r="47" spans="1:13" s="114" customFormat="1">
      <c r="A47" s="96">
        <v>44</v>
      </c>
      <c r="B47" s="142" t="s">
        <v>316</v>
      </c>
      <c r="C47" s="16">
        <v>500000</v>
      </c>
      <c r="D47" s="16">
        <v>66650</v>
      </c>
      <c r="E47" s="41">
        <f t="shared" si="8"/>
        <v>566650</v>
      </c>
      <c r="F47" s="33">
        <v>50</v>
      </c>
      <c r="G47" s="16">
        <v>11333</v>
      </c>
      <c r="H47" s="97">
        <v>24</v>
      </c>
      <c r="I47" s="97">
        <f t="shared" si="6"/>
        <v>26</v>
      </c>
      <c r="J47" s="91">
        <f>H47*G47</f>
        <v>271992</v>
      </c>
      <c r="K47" s="94">
        <f t="shared" si="7"/>
        <v>294658</v>
      </c>
      <c r="L47" s="11"/>
      <c r="M47" s="180" t="e">
        <f>#REF!-G47</f>
        <v>#REF!</v>
      </c>
    </row>
    <row r="48" spans="1:13" s="114" customFormat="1">
      <c r="A48" s="96">
        <v>45</v>
      </c>
      <c r="B48" s="142" t="s">
        <v>317</v>
      </c>
      <c r="C48" s="16">
        <v>500000</v>
      </c>
      <c r="D48" s="16">
        <v>66650</v>
      </c>
      <c r="E48" s="41">
        <f t="shared" si="8"/>
        <v>566650</v>
      </c>
      <c r="F48" s="33">
        <v>50</v>
      </c>
      <c r="G48" s="16">
        <v>11333</v>
      </c>
      <c r="H48" s="97">
        <v>34</v>
      </c>
      <c r="I48" s="97">
        <f t="shared" si="6"/>
        <v>16</v>
      </c>
      <c r="J48" s="91">
        <f>H48*G48</f>
        <v>385322</v>
      </c>
      <c r="K48" s="94">
        <f t="shared" si="7"/>
        <v>181328</v>
      </c>
      <c r="L48" s="11"/>
      <c r="M48" s="180" t="e">
        <f>#REF!-G48</f>
        <v>#REF!</v>
      </c>
    </row>
    <row r="49" spans="1:13" s="114" customFormat="1">
      <c r="A49" s="96">
        <v>46</v>
      </c>
      <c r="B49" s="142" t="s">
        <v>318</v>
      </c>
      <c r="C49" s="16">
        <v>500000</v>
      </c>
      <c r="D49" s="16">
        <v>66650</v>
      </c>
      <c r="E49" s="41">
        <f t="shared" si="8"/>
        <v>566650</v>
      </c>
      <c r="F49" s="33">
        <v>50</v>
      </c>
      <c r="G49" s="16">
        <v>11333</v>
      </c>
      <c r="H49" s="97">
        <v>34</v>
      </c>
      <c r="I49" s="97">
        <f t="shared" si="6"/>
        <v>16</v>
      </c>
      <c r="J49" s="91">
        <f>H49*G49</f>
        <v>385322</v>
      </c>
      <c r="K49" s="94">
        <f t="shared" si="7"/>
        <v>181328</v>
      </c>
      <c r="L49" s="11"/>
      <c r="M49" s="180" t="e">
        <f>#REF!-G49</f>
        <v>#REF!</v>
      </c>
    </row>
    <row r="50" spans="1:13" s="114" customFormat="1">
      <c r="A50" s="96">
        <v>48</v>
      </c>
      <c r="B50" s="142" t="s">
        <v>394</v>
      </c>
      <c r="C50" s="41">
        <v>200000</v>
      </c>
      <c r="D50" s="41">
        <v>26660</v>
      </c>
      <c r="E50" s="41">
        <f t="shared" si="8"/>
        <v>226660</v>
      </c>
      <c r="F50" s="33">
        <v>40</v>
      </c>
      <c r="G50" s="41">
        <v>5666.5</v>
      </c>
      <c r="H50" s="97">
        <v>39</v>
      </c>
      <c r="I50" s="97">
        <f t="shared" si="6"/>
        <v>1</v>
      </c>
      <c r="J50" s="91">
        <f>H50*G50</f>
        <v>220993.5</v>
      </c>
      <c r="K50" s="94">
        <f t="shared" si="7"/>
        <v>5666.5</v>
      </c>
      <c r="L50" s="11"/>
      <c r="M50" s="180" t="e">
        <f>#REF!-G50</f>
        <v>#REF!</v>
      </c>
    </row>
    <row r="51" spans="1:13" s="114" customFormat="1">
      <c r="A51" s="96">
        <v>49</v>
      </c>
      <c r="B51" s="142" t="s">
        <v>363</v>
      </c>
      <c r="C51" s="16">
        <v>450000</v>
      </c>
      <c r="D51" s="16">
        <v>59985</v>
      </c>
      <c r="E51" s="16">
        <v>509985</v>
      </c>
      <c r="F51" s="33">
        <v>50</v>
      </c>
      <c r="G51" s="154">
        <v>10199.700000000001</v>
      </c>
      <c r="H51" s="97">
        <v>3</v>
      </c>
      <c r="I51" s="97">
        <f t="shared" si="6"/>
        <v>47</v>
      </c>
      <c r="J51" s="91">
        <f>(1*10199.7)</f>
        <v>10199.700000000001</v>
      </c>
      <c r="K51" s="94">
        <f t="shared" si="7"/>
        <v>499785.3</v>
      </c>
      <c r="L51" s="11"/>
      <c r="M51" s="180" t="e">
        <f>#REF!-G51</f>
        <v>#REF!</v>
      </c>
    </row>
    <row r="52" spans="1:13" s="114" customFormat="1">
      <c r="A52" s="96">
        <v>50</v>
      </c>
      <c r="B52" s="142" t="s">
        <v>319</v>
      </c>
      <c r="C52" s="16">
        <v>450000</v>
      </c>
      <c r="D52" s="16">
        <v>59985</v>
      </c>
      <c r="E52" s="41">
        <f t="shared" ref="E52:E65" si="9">SUM(C52:D52)</f>
        <v>509985</v>
      </c>
      <c r="F52" s="33">
        <v>50</v>
      </c>
      <c r="G52" s="16">
        <v>11333</v>
      </c>
      <c r="H52" s="97">
        <v>14</v>
      </c>
      <c r="I52" s="97">
        <f t="shared" si="6"/>
        <v>36</v>
      </c>
      <c r="J52" s="91">
        <f t="shared" ref="J52:J83" si="10">H52*G52</f>
        <v>158662</v>
      </c>
      <c r="K52" s="94">
        <f t="shared" si="7"/>
        <v>351323</v>
      </c>
      <c r="L52" s="11"/>
      <c r="M52" s="180" t="e">
        <f>#REF!-G52</f>
        <v>#REF!</v>
      </c>
    </row>
    <row r="53" spans="1:13" s="114" customFormat="1">
      <c r="A53" s="96">
        <v>51</v>
      </c>
      <c r="B53" s="142" t="s">
        <v>424</v>
      </c>
      <c r="C53" s="12">
        <v>150000</v>
      </c>
      <c r="D53" s="12">
        <v>19995</v>
      </c>
      <c r="E53" s="15">
        <f t="shared" si="9"/>
        <v>169995</v>
      </c>
      <c r="F53" s="31">
        <v>50</v>
      </c>
      <c r="G53" s="12">
        <v>3399.9</v>
      </c>
      <c r="H53" s="14">
        <v>30</v>
      </c>
      <c r="I53" s="97">
        <f t="shared" si="6"/>
        <v>20</v>
      </c>
      <c r="J53" s="91">
        <f t="shared" si="10"/>
        <v>101997</v>
      </c>
      <c r="K53" s="15">
        <f t="shared" si="7"/>
        <v>67998</v>
      </c>
      <c r="L53" s="8"/>
      <c r="M53" s="180" t="e">
        <f>#REF!-G53</f>
        <v>#REF!</v>
      </c>
    </row>
    <row r="54" spans="1:13" s="114" customFormat="1">
      <c r="A54" s="96">
        <v>52</v>
      </c>
      <c r="B54" s="142" t="s">
        <v>375</v>
      </c>
      <c r="C54" s="16">
        <v>330000</v>
      </c>
      <c r="D54" s="16">
        <v>43989</v>
      </c>
      <c r="E54" s="41">
        <f t="shared" si="9"/>
        <v>373989</v>
      </c>
      <c r="F54" s="33">
        <v>50</v>
      </c>
      <c r="G54" s="16">
        <v>7479.78</v>
      </c>
      <c r="H54" s="97">
        <v>25</v>
      </c>
      <c r="I54" s="97">
        <f t="shared" si="6"/>
        <v>25</v>
      </c>
      <c r="J54" s="91">
        <f t="shared" si="10"/>
        <v>186994.5</v>
      </c>
      <c r="K54" s="94">
        <f t="shared" si="7"/>
        <v>186994.5</v>
      </c>
      <c r="L54" s="11"/>
      <c r="M54" s="180" t="e">
        <f>#REF!-G54</f>
        <v>#REF!</v>
      </c>
    </row>
    <row r="55" spans="1:13" s="114" customFormat="1">
      <c r="A55" s="96">
        <v>53</v>
      </c>
      <c r="B55" s="142" t="s">
        <v>395</v>
      </c>
      <c r="C55" s="15">
        <v>200000</v>
      </c>
      <c r="D55" s="15">
        <v>26660</v>
      </c>
      <c r="E55" s="15">
        <f t="shared" si="9"/>
        <v>226660</v>
      </c>
      <c r="F55" s="31">
        <v>40</v>
      </c>
      <c r="G55" s="15">
        <v>5666.5</v>
      </c>
      <c r="H55" s="14">
        <v>37</v>
      </c>
      <c r="I55" s="97">
        <f t="shared" si="6"/>
        <v>3</v>
      </c>
      <c r="J55" s="91">
        <f t="shared" si="10"/>
        <v>209660.5</v>
      </c>
      <c r="K55" s="15">
        <f t="shared" si="7"/>
        <v>16999.5</v>
      </c>
      <c r="L55" s="8"/>
      <c r="M55" s="180" t="e">
        <f>#REF!-G55</f>
        <v>#REF!</v>
      </c>
    </row>
    <row r="56" spans="1:13" s="114" customFormat="1">
      <c r="A56" s="96">
        <v>54</v>
      </c>
      <c r="B56" s="142" t="s">
        <v>112</v>
      </c>
      <c r="C56" s="16">
        <v>330000</v>
      </c>
      <c r="D56" s="16">
        <v>43989</v>
      </c>
      <c r="E56" s="41">
        <f t="shared" si="9"/>
        <v>373989</v>
      </c>
      <c r="F56" s="33">
        <v>50</v>
      </c>
      <c r="G56" s="16">
        <v>7479.78</v>
      </c>
      <c r="H56" s="97">
        <v>25</v>
      </c>
      <c r="I56" s="97">
        <f t="shared" si="6"/>
        <v>25</v>
      </c>
      <c r="J56" s="91">
        <f t="shared" si="10"/>
        <v>186994.5</v>
      </c>
      <c r="K56" s="94">
        <f t="shared" si="7"/>
        <v>186994.5</v>
      </c>
      <c r="L56" s="11"/>
      <c r="M56" s="180" t="e">
        <f>#REF!-G56</f>
        <v>#REF!</v>
      </c>
    </row>
    <row r="57" spans="1:13" s="114" customFormat="1">
      <c r="A57" s="96">
        <v>55</v>
      </c>
      <c r="B57" s="187" t="s">
        <v>285</v>
      </c>
      <c r="C57" s="41">
        <v>200000</v>
      </c>
      <c r="D57" s="41">
        <v>26660</v>
      </c>
      <c r="E57" s="41">
        <f t="shared" si="9"/>
        <v>226660</v>
      </c>
      <c r="F57" s="33">
        <v>40</v>
      </c>
      <c r="G57" s="41">
        <v>7479</v>
      </c>
      <c r="H57" s="97">
        <v>10</v>
      </c>
      <c r="I57" s="97">
        <f t="shared" si="6"/>
        <v>30</v>
      </c>
      <c r="J57" s="91">
        <f t="shared" si="10"/>
        <v>74790</v>
      </c>
      <c r="K57" s="94">
        <f t="shared" si="7"/>
        <v>151870</v>
      </c>
      <c r="L57" s="11"/>
      <c r="M57" s="180" t="e">
        <f>#REF!-G57</f>
        <v>#REF!</v>
      </c>
    </row>
    <row r="58" spans="1:13" s="114" customFormat="1">
      <c r="A58" s="96">
        <v>56</v>
      </c>
      <c r="B58" s="142" t="s">
        <v>321</v>
      </c>
      <c r="C58" s="16">
        <v>500000</v>
      </c>
      <c r="D58" s="16">
        <v>66650</v>
      </c>
      <c r="E58" s="41">
        <f t="shared" si="9"/>
        <v>566650</v>
      </c>
      <c r="F58" s="33">
        <v>50</v>
      </c>
      <c r="G58" s="16">
        <v>11333</v>
      </c>
      <c r="H58" s="97">
        <v>24</v>
      </c>
      <c r="I58" s="97">
        <f t="shared" si="6"/>
        <v>26</v>
      </c>
      <c r="J58" s="91">
        <f t="shared" si="10"/>
        <v>271992</v>
      </c>
      <c r="K58" s="94">
        <f t="shared" si="7"/>
        <v>294658</v>
      </c>
      <c r="L58" s="11"/>
      <c r="M58" s="180" t="e">
        <f>#REF!-G58</f>
        <v>#REF!</v>
      </c>
    </row>
    <row r="59" spans="1:13" s="114" customFormat="1">
      <c r="A59" s="96">
        <v>57</v>
      </c>
      <c r="B59" s="142" t="s">
        <v>322</v>
      </c>
      <c r="C59" s="16">
        <v>500000</v>
      </c>
      <c r="D59" s="16">
        <v>66650</v>
      </c>
      <c r="E59" s="41">
        <f t="shared" si="9"/>
        <v>566650</v>
      </c>
      <c r="F59" s="33">
        <v>50</v>
      </c>
      <c r="G59" s="16">
        <v>11333</v>
      </c>
      <c r="H59" s="97">
        <v>25</v>
      </c>
      <c r="I59" s="97">
        <f t="shared" si="6"/>
        <v>25</v>
      </c>
      <c r="J59" s="91">
        <f t="shared" si="10"/>
        <v>283325</v>
      </c>
      <c r="K59" s="94">
        <f t="shared" si="7"/>
        <v>283325</v>
      </c>
      <c r="L59" s="11"/>
      <c r="M59" s="180" t="e">
        <f>#REF!-G59</f>
        <v>#REF!</v>
      </c>
    </row>
    <row r="60" spans="1:13" s="114" customFormat="1">
      <c r="A60" s="96">
        <v>58</v>
      </c>
      <c r="B60" s="142" t="s">
        <v>323</v>
      </c>
      <c r="C60" s="16">
        <v>500000</v>
      </c>
      <c r="D60" s="16">
        <v>66650</v>
      </c>
      <c r="E60" s="41">
        <f t="shared" si="9"/>
        <v>566650</v>
      </c>
      <c r="F60" s="33">
        <v>50</v>
      </c>
      <c r="G60" s="16">
        <v>11333</v>
      </c>
      <c r="H60" s="97">
        <v>24</v>
      </c>
      <c r="I60" s="97">
        <f t="shared" si="6"/>
        <v>26</v>
      </c>
      <c r="J60" s="91">
        <f t="shared" si="10"/>
        <v>271992</v>
      </c>
      <c r="K60" s="94">
        <f t="shared" si="7"/>
        <v>294658</v>
      </c>
      <c r="L60" s="11"/>
      <c r="M60" s="180" t="e">
        <f>#REF!-G60</f>
        <v>#REF!</v>
      </c>
    </row>
    <row r="61" spans="1:13" s="114" customFormat="1">
      <c r="A61" s="96">
        <v>59</v>
      </c>
      <c r="B61" s="142" t="s">
        <v>324</v>
      </c>
      <c r="C61" s="12">
        <v>500000</v>
      </c>
      <c r="D61" s="12">
        <v>66650</v>
      </c>
      <c r="E61" s="15">
        <f t="shared" si="9"/>
        <v>566650</v>
      </c>
      <c r="F61" s="31">
        <v>50</v>
      </c>
      <c r="G61" s="12">
        <v>11333</v>
      </c>
      <c r="H61" s="14">
        <v>30</v>
      </c>
      <c r="I61" s="97">
        <f t="shared" si="6"/>
        <v>20</v>
      </c>
      <c r="J61" s="91">
        <f t="shared" si="10"/>
        <v>339990</v>
      </c>
      <c r="K61" s="15">
        <f t="shared" si="7"/>
        <v>226660</v>
      </c>
      <c r="L61" s="8"/>
      <c r="M61" s="180" t="e">
        <f>#REF!-G61</f>
        <v>#REF!</v>
      </c>
    </row>
    <row r="62" spans="1:13" s="114" customFormat="1">
      <c r="A62" s="96">
        <v>60</v>
      </c>
      <c r="B62" s="142" t="s">
        <v>376</v>
      </c>
      <c r="C62" s="16">
        <v>330000</v>
      </c>
      <c r="D62" s="16">
        <v>43989</v>
      </c>
      <c r="E62" s="41">
        <f t="shared" si="9"/>
        <v>373989</v>
      </c>
      <c r="F62" s="33">
        <v>50</v>
      </c>
      <c r="G62" s="16">
        <v>7479.78</v>
      </c>
      <c r="H62" s="97">
        <v>46</v>
      </c>
      <c r="I62" s="97">
        <f t="shared" si="6"/>
        <v>4</v>
      </c>
      <c r="J62" s="91">
        <f t="shared" si="10"/>
        <v>344069.88</v>
      </c>
      <c r="K62" s="94">
        <f t="shared" si="7"/>
        <v>29919.119999999995</v>
      </c>
      <c r="L62" s="11"/>
      <c r="M62" s="180" t="e">
        <f>#REF!-G62</f>
        <v>#REF!</v>
      </c>
    </row>
    <row r="63" spans="1:13" s="114" customFormat="1">
      <c r="A63" s="96">
        <v>61</v>
      </c>
      <c r="B63" s="142" t="s">
        <v>419</v>
      </c>
      <c r="C63" s="16">
        <v>132000</v>
      </c>
      <c r="D63" s="16">
        <v>17595.599999999999</v>
      </c>
      <c r="E63" s="41">
        <f t="shared" si="9"/>
        <v>149595.6</v>
      </c>
      <c r="F63" s="33">
        <v>40</v>
      </c>
      <c r="G63" s="16">
        <v>3739.89</v>
      </c>
      <c r="H63" s="97">
        <v>39</v>
      </c>
      <c r="I63" s="97">
        <f t="shared" si="6"/>
        <v>1</v>
      </c>
      <c r="J63" s="91">
        <f t="shared" si="10"/>
        <v>145855.71</v>
      </c>
      <c r="K63" s="94">
        <f t="shared" si="7"/>
        <v>3739.890000000014</v>
      </c>
      <c r="L63" s="11"/>
      <c r="M63" s="180" t="e">
        <f>#REF!-G63</f>
        <v>#REF!</v>
      </c>
    </row>
    <row r="64" spans="1:13" s="114" customFormat="1">
      <c r="A64" s="96">
        <v>62</v>
      </c>
      <c r="B64" s="142" t="s">
        <v>396</v>
      </c>
      <c r="C64" s="41">
        <v>200000</v>
      </c>
      <c r="D64" s="41">
        <v>26660</v>
      </c>
      <c r="E64" s="41">
        <f t="shared" si="9"/>
        <v>226660</v>
      </c>
      <c r="F64" s="33">
        <v>40</v>
      </c>
      <c r="G64" s="41">
        <v>5666.5</v>
      </c>
      <c r="H64" s="97">
        <v>39</v>
      </c>
      <c r="I64" s="97">
        <f t="shared" si="6"/>
        <v>1</v>
      </c>
      <c r="J64" s="91">
        <f t="shared" si="10"/>
        <v>220993.5</v>
      </c>
      <c r="K64" s="94">
        <f t="shared" si="7"/>
        <v>5666.5</v>
      </c>
      <c r="L64" s="11"/>
      <c r="M64" s="180" t="e">
        <f>#REF!-G64</f>
        <v>#REF!</v>
      </c>
    </row>
    <row r="65" spans="1:13" s="114" customFormat="1">
      <c r="A65" s="96">
        <v>63</v>
      </c>
      <c r="B65" s="142" t="s">
        <v>325</v>
      </c>
      <c r="C65" s="16">
        <v>500000</v>
      </c>
      <c r="D65" s="16">
        <v>66650</v>
      </c>
      <c r="E65" s="41">
        <f t="shared" si="9"/>
        <v>566650</v>
      </c>
      <c r="F65" s="33">
        <v>50</v>
      </c>
      <c r="G65" s="16">
        <v>11333</v>
      </c>
      <c r="H65" s="97">
        <v>46</v>
      </c>
      <c r="I65" s="97">
        <f t="shared" si="6"/>
        <v>4</v>
      </c>
      <c r="J65" s="91">
        <f t="shared" si="10"/>
        <v>521318</v>
      </c>
      <c r="K65" s="94">
        <f t="shared" si="7"/>
        <v>45332</v>
      </c>
      <c r="L65" s="11"/>
      <c r="M65" s="180" t="e">
        <f>#REF!-G65</f>
        <v>#REF!</v>
      </c>
    </row>
    <row r="66" spans="1:13" s="114" customFormat="1">
      <c r="A66" s="96">
        <v>64</v>
      </c>
      <c r="B66" s="142" t="s">
        <v>326</v>
      </c>
      <c r="C66" s="19">
        <v>500000</v>
      </c>
      <c r="D66" s="19">
        <v>66650</v>
      </c>
      <c r="E66" s="19">
        <v>566650</v>
      </c>
      <c r="F66" s="33">
        <v>50</v>
      </c>
      <c r="G66" s="16">
        <v>11333</v>
      </c>
      <c r="H66" s="97">
        <v>10</v>
      </c>
      <c r="I66" s="97">
        <f t="shared" si="6"/>
        <v>40</v>
      </c>
      <c r="J66" s="91">
        <f t="shared" si="10"/>
        <v>113330</v>
      </c>
      <c r="K66" s="91">
        <f t="shared" si="7"/>
        <v>453320</v>
      </c>
      <c r="L66" s="122"/>
      <c r="M66" s="180" t="e">
        <f>#REF!-G66</f>
        <v>#REF!</v>
      </c>
    </row>
    <row r="67" spans="1:13" s="114" customFormat="1">
      <c r="A67" s="96">
        <v>65</v>
      </c>
      <c r="B67" s="142" t="s">
        <v>212</v>
      </c>
      <c r="C67" s="16">
        <v>150000</v>
      </c>
      <c r="D67" s="16">
        <v>19995</v>
      </c>
      <c r="E67" s="41">
        <f>SUM(C67:D67)</f>
        <v>169995</v>
      </c>
      <c r="F67" s="33">
        <v>50</v>
      </c>
      <c r="G67" s="16">
        <v>3399.9</v>
      </c>
      <c r="H67" s="97">
        <v>34</v>
      </c>
      <c r="I67" s="97">
        <f t="shared" si="6"/>
        <v>16</v>
      </c>
      <c r="J67" s="91">
        <f t="shared" si="10"/>
        <v>115596.6</v>
      </c>
      <c r="K67" s="94">
        <f t="shared" si="7"/>
        <v>54398.399999999994</v>
      </c>
      <c r="L67" s="11"/>
      <c r="M67" s="180" t="e">
        <f>#REF!-G67</f>
        <v>#REF!</v>
      </c>
    </row>
    <row r="68" spans="1:13" s="114" customFormat="1">
      <c r="A68" s="96">
        <v>66</v>
      </c>
      <c r="B68" s="142" t="s">
        <v>306</v>
      </c>
      <c r="C68" s="16">
        <v>500000</v>
      </c>
      <c r="D68" s="16">
        <v>53320</v>
      </c>
      <c r="E68" s="41">
        <f>SUM(C68:D68)</f>
        <v>553320</v>
      </c>
      <c r="F68" s="33">
        <v>40</v>
      </c>
      <c r="G68" s="16">
        <v>13833</v>
      </c>
      <c r="H68" s="97">
        <v>46</v>
      </c>
      <c r="I68" s="97">
        <f t="shared" si="6"/>
        <v>-6</v>
      </c>
      <c r="J68" s="91">
        <f t="shared" si="10"/>
        <v>636318</v>
      </c>
      <c r="K68" s="94">
        <f t="shared" si="7"/>
        <v>-82998</v>
      </c>
      <c r="L68" s="11"/>
      <c r="M68" s="180" t="e">
        <f>#REF!-G68</f>
        <v>#REF!</v>
      </c>
    </row>
    <row r="69" spans="1:13" s="114" customFormat="1">
      <c r="A69" s="96">
        <v>67</v>
      </c>
      <c r="B69" s="142" t="s">
        <v>420</v>
      </c>
      <c r="C69" s="16">
        <v>132000</v>
      </c>
      <c r="D69" s="16">
        <v>17595.599999999999</v>
      </c>
      <c r="E69" s="41">
        <f>SUM(C69:D69)</f>
        <v>149595.6</v>
      </c>
      <c r="F69" s="33">
        <v>40</v>
      </c>
      <c r="G69" s="16">
        <v>3739.89</v>
      </c>
      <c r="H69" s="97">
        <v>39</v>
      </c>
      <c r="I69" s="97">
        <f t="shared" si="6"/>
        <v>1</v>
      </c>
      <c r="J69" s="91">
        <f t="shared" si="10"/>
        <v>145855.71</v>
      </c>
      <c r="K69" s="94">
        <f t="shared" si="7"/>
        <v>3739.890000000014</v>
      </c>
      <c r="L69" s="11"/>
      <c r="M69" s="180" t="e">
        <f>#REF!-G69</f>
        <v>#REF!</v>
      </c>
    </row>
    <row r="70" spans="1:13" s="114" customFormat="1">
      <c r="A70" s="96">
        <v>68</v>
      </c>
      <c r="B70" s="142" t="s">
        <v>327</v>
      </c>
      <c r="C70" s="16">
        <v>500000</v>
      </c>
      <c r="D70" s="16">
        <v>66650</v>
      </c>
      <c r="E70" s="16">
        <v>566650</v>
      </c>
      <c r="F70" s="33">
        <v>50</v>
      </c>
      <c r="G70" s="19">
        <v>11333</v>
      </c>
      <c r="H70" s="97">
        <v>25</v>
      </c>
      <c r="I70" s="97">
        <f t="shared" ref="I70:I101" si="11">F70-H70</f>
        <v>25</v>
      </c>
      <c r="J70" s="91">
        <f t="shared" si="10"/>
        <v>283325</v>
      </c>
      <c r="K70" s="94">
        <f t="shared" ref="K70:K101" si="12">E70-J70</f>
        <v>283325</v>
      </c>
      <c r="L70" s="11"/>
      <c r="M70" s="180" t="e">
        <f>#REF!-G70</f>
        <v>#REF!</v>
      </c>
    </row>
    <row r="71" spans="1:13" s="114" customFormat="1">
      <c r="A71" s="96">
        <v>69</v>
      </c>
      <c r="B71" s="142" t="s">
        <v>397</v>
      </c>
      <c r="C71" s="41">
        <v>200000</v>
      </c>
      <c r="D71" s="41">
        <v>26660</v>
      </c>
      <c r="E71" s="41">
        <v>226660</v>
      </c>
      <c r="F71" s="33">
        <v>40</v>
      </c>
      <c r="G71" s="19">
        <v>5666.5</v>
      </c>
      <c r="H71" s="97">
        <v>39</v>
      </c>
      <c r="I71" s="97">
        <f t="shared" si="11"/>
        <v>1</v>
      </c>
      <c r="J71" s="91">
        <f t="shared" si="10"/>
        <v>220993.5</v>
      </c>
      <c r="K71" s="94">
        <f t="shared" si="12"/>
        <v>5666.5</v>
      </c>
      <c r="L71" s="11"/>
      <c r="M71" s="180" t="e">
        <f>#REF!-G71</f>
        <v>#REF!</v>
      </c>
    </row>
    <row r="72" spans="1:13" s="114" customFormat="1">
      <c r="A72" s="96">
        <v>71</v>
      </c>
      <c r="B72" s="142" t="s">
        <v>328</v>
      </c>
      <c r="C72" s="16">
        <v>500000</v>
      </c>
      <c r="D72" s="16">
        <v>66650</v>
      </c>
      <c r="E72" s="41">
        <f t="shared" ref="E72:E78" si="13">SUM(C72:D72)</f>
        <v>566650</v>
      </c>
      <c r="F72" s="33">
        <v>50</v>
      </c>
      <c r="G72" s="16">
        <v>11333</v>
      </c>
      <c r="H72" s="97">
        <v>25</v>
      </c>
      <c r="I72" s="97">
        <f t="shared" si="11"/>
        <v>25</v>
      </c>
      <c r="J72" s="91">
        <f t="shared" si="10"/>
        <v>283325</v>
      </c>
      <c r="K72" s="94">
        <f t="shared" si="12"/>
        <v>283325</v>
      </c>
      <c r="L72" s="11"/>
      <c r="M72" s="180" t="e">
        <f>#REF!-G72</f>
        <v>#REF!</v>
      </c>
    </row>
    <row r="73" spans="1:13" s="114" customFormat="1">
      <c r="A73" s="96">
        <v>72</v>
      </c>
      <c r="B73" s="142" t="s">
        <v>398</v>
      </c>
      <c r="C73" s="41">
        <v>200000</v>
      </c>
      <c r="D73" s="41">
        <v>26660</v>
      </c>
      <c r="E73" s="41">
        <f t="shared" si="13"/>
        <v>226660</v>
      </c>
      <c r="F73" s="33">
        <v>40</v>
      </c>
      <c r="G73" s="41">
        <v>5666.5</v>
      </c>
      <c r="H73" s="97">
        <v>39</v>
      </c>
      <c r="I73" s="97">
        <f t="shared" si="11"/>
        <v>1</v>
      </c>
      <c r="J73" s="91">
        <f t="shared" si="10"/>
        <v>220993.5</v>
      </c>
      <c r="K73" s="94">
        <f t="shared" si="12"/>
        <v>5666.5</v>
      </c>
      <c r="L73" s="11"/>
      <c r="M73" s="180" t="e">
        <f>#REF!-G73</f>
        <v>#REF!</v>
      </c>
    </row>
    <row r="74" spans="1:13" s="114" customFormat="1">
      <c r="A74" s="96">
        <v>73</v>
      </c>
      <c r="B74" s="142" t="s">
        <v>329</v>
      </c>
      <c r="C74" s="16">
        <v>500000</v>
      </c>
      <c r="D74" s="16">
        <v>66650</v>
      </c>
      <c r="E74" s="41">
        <f t="shared" si="13"/>
        <v>566650</v>
      </c>
      <c r="F74" s="33">
        <v>50</v>
      </c>
      <c r="G74" s="19">
        <v>11333</v>
      </c>
      <c r="H74" s="97">
        <v>30</v>
      </c>
      <c r="I74" s="97">
        <f t="shared" si="11"/>
        <v>20</v>
      </c>
      <c r="J74" s="91">
        <f t="shared" si="10"/>
        <v>339990</v>
      </c>
      <c r="K74" s="94">
        <f t="shared" si="12"/>
        <v>226660</v>
      </c>
      <c r="L74" s="11"/>
      <c r="M74" s="180" t="e">
        <f>#REF!-G74</f>
        <v>#REF!</v>
      </c>
    </row>
    <row r="75" spans="1:13" s="114" customFormat="1">
      <c r="A75" s="96">
        <v>74</v>
      </c>
      <c r="B75" s="142" t="s">
        <v>330</v>
      </c>
      <c r="C75" s="16">
        <v>500000</v>
      </c>
      <c r="D75" s="16">
        <v>66650</v>
      </c>
      <c r="E75" s="41">
        <f t="shared" si="13"/>
        <v>566650</v>
      </c>
      <c r="F75" s="33">
        <v>50</v>
      </c>
      <c r="G75" s="16">
        <v>11333</v>
      </c>
      <c r="H75" s="97">
        <v>46</v>
      </c>
      <c r="I75" s="97">
        <f t="shared" si="11"/>
        <v>4</v>
      </c>
      <c r="J75" s="91">
        <f t="shared" si="10"/>
        <v>521318</v>
      </c>
      <c r="K75" s="94">
        <f t="shared" si="12"/>
        <v>45332</v>
      </c>
      <c r="L75" s="11"/>
      <c r="M75" s="180" t="e">
        <f>#REF!-G75</f>
        <v>#REF!</v>
      </c>
    </row>
    <row r="76" spans="1:13" s="114" customFormat="1">
      <c r="A76" s="96">
        <v>75</v>
      </c>
      <c r="B76" s="142" t="s">
        <v>399</v>
      </c>
      <c r="C76" s="41">
        <v>200000</v>
      </c>
      <c r="D76" s="41">
        <v>26660</v>
      </c>
      <c r="E76" s="41">
        <f t="shared" si="13"/>
        <v>226660</v>
      </c>
      <c r="F76" s="33">
        <v>40</v>
      </c>
      <c r="G76" s="41">
        <v>5666.5</v>
      </c>
      <c r="H76" s="97">
        <v>39</v>
      </c>
      <c r="I76" s="97">
        <f t="shared" si="11"/>
        <v>1</v>
      </c>
      <c r="J76" s="91">
        <f t="shared" si="10"/>
        <v>220993.5</v>
      </c>
      <c r="K76" s="94">
        <f t="shared" si="12"/>
        <v>5666.5</v>
      </c>
      <c r="L76" s="11"/>
      <c r="M76" s="180" t="e">
        <f>#REF!-G76</f>
        <v>#REF!</v>
      </c>
    </row>
    <row r="77" spans="1:13" s="114" customFormat="1">
      <c r="A77" s="96">
        <v>76</v>
      </c>
      <c r="B77" s="142" t="s">
        <v>428</v>
      </c>
      <c r="C77" s="16">
        <v>60000</v>
      </c>
      <c r="D77" s="16">
        <v>7998</v>
      </c>
      <c r="E77" s="41">
        <f t="shared" si="13"/>
        <v>67998</v>
      </c>
      <c r="F77" s="33">
        <v>40</v>
      </c>
      <c r="G77" s="16">
        <v>1699.95</v>
      </c>
      <c r="H77" s="97">
        <v>39</v>
      </c>
      <c r="I77" s="97">
        <f t="shared" si="11"/>
        <v>1</v>
      </c>
      <c r="J77" s="91">
        <f t="shared" si="10"/>
        <v>66298.05</v>
      </c>
      <c r="K77" s="94">
        <f t="shared" si="12"/>
        <v>1699.9499999999971</v>
      </c>
      <c r="L77" s="11"/>
      <c r="M77" s="180" t="e">
        <f>#REF!-G77</f>
        <v>#REF!</v>
      </c>
    </row>
    <row r="78" spans="1:13" s="114" customFormat="1">
      <c r="A78" s="96">
        <v>77</v>
      </c>
      <c r="B78" s="170" t="s">
        <v>400</v>
      </c>
      <c r="C78" s="41">
        <v>200000</v>
      </c>
      <c r="D78" s="41">
        <v>26660</v>
      </c>
      <c r="E78" s="41">
        <f t="shared" si="13"/>
        <v>226660</v>
      </c>
      <c r="F78" s="33">
        <v>40</v>
      </c>
      <c r="G78" s="41">
        <v>5666.5</v>
      </c>
      <c r="H78" s="97">
        <v>36</v>
      </c>
      <c r="I78" s="97">
        <f t="shared" si="11"/>
        <v>4</v>
      </c>
      <c r="J78" s="91">
        <f t="shared" si="10"/>
        <v>203994</v>
      </c>
      <c r="K78" s="94">
        <f t="shared" si="12"/>
        <v>22666</v>
      </c>
      <c r="L78" s="11"/>
      <c r="M78" s="180" t="e">
        <f>#REF!-G78</f>
        <v>#REF!</v>
      </c>
    </row>
    <row r="79" spans="1:13" s="114" customFormat="1">
      <c r="A79" s="96">
        <v>78</v>
      </c>
      <c r="B79" s="142" t="s">
        <v>286</v>
      </c>
      <c r="C79" s="16">
        <v>450000</v>
      </c>
      <c r="D79" s="16">
        <v>59985</v>
      </c>
      <c r="E79" s="16">
        <v>509985</v>
      </c>
      <c r="F79" s="33">
        <v>50</v>
      </c>
      <c r="G79" s="16">
        <v>10199.700000000001</v>
      </c>
      <c r="H79" s="97">
        <v>13</v>
      </c>
      <c r="I79" s="97">
        <f t="shared" si="11"/>
        <v>37</v>
      </c>
      <c r="J79" s="91">
        <f t="shared" si="10"/>
        <v>132596.1</v>
      </c>
      <c r="K79" s="94">
        <f t="shared" si="12"/>
        <v>377388.9</v>
      </c>
      <c r="L79" s="11"/>
      <c r="M79" s="180" t="e">
        <f>#REF!-G79</f>
        <v>#REF!</v>
      </c>
    </row>
    <row r="80" spans="1:13" s="114" customFormat="1">
      <c r="A80" s="96">
        <v>79</v>
      </c>
      <c r="B80" s="238" t="s">
        <v>331</v>
      </c>
      <c r="C80" s="16">
        <v>500000</v>
      </c>
      <c r="D80" s="16">
        <v>66650</v>
      </c>
      <c r="E80" s="41">
        <f>SUM(C80:D80)</f>
        <v>566650</v>
      </c>
      <c r="F80" s="33">
        <v>50</v>
      </c>
      <c r="G80" s="16">
        <v>11333</v>
      </c>
      <c r="H80" s="97">
        <v>46</v>
      </c>
      <c r="I80" s="97">
        <f t="shared" si="11"/>
        <v>4</v>
      </c>
      <c r="J80" s="91">
        <f t="shared" si="10"/>
        <v>521318</v>
      </c>
      <c r="K80" s="94">
        <f t="shared" si="12"/>
        <v>45332</v>
      </c>
      <c r="L80" s="11"/>
      <c r="M80" s="180" t="e">
        <f>#REF!-G80</f>
        <v>#REF!</v>
      </c>
    </row>
    <row r="81" spans="1:13" s="114" customFormat="1">
      <c r="A81" s="96">
        <v>80</v>
      </c>
      <c r="B81" s="142" t="s">
        <v>301</v>
      </c>
      <c r="C81" s="16">
        <v>500000</v>
      </c>
      <c r="D81" s="16">
        <v>33325</v>
      </c>
      <c r="E81" s="41">
        <f>SUM(C81:D81)</f>
        <v>533325</v>
      </c>
      <c r="F81" s="33">
        <v>25</v>
      </c>
      <c r="G81" s="16">
        <v>21333</v>
      </c>
      <c r="H81" s="97">
        <v>15</v>
      </c>
      <c r="I81" s="97">
        <f t="shared" si="11"/>
        <v>10</v>
      </c>
      <c r="J81" s="91">
        <f t="shared" si="10"/>
        <v>319995</v>
      </c>
      <c r="K81" s="94">
        <f t="shared" si="12"/>
        <v>213330</v>
      </c>
      <c r="L81" s="11"/>
      <c r="M81" s="180" t="e">
        <f>#REF!-G81</f>
        <v>#REF!</v>
      </c>
    </row>
    <row r="82" spans="1:13" s="114" customFormat="1">
      <c r="A82" s="96">
        <v>81</v>
      </c>
      <c r="B82" s="142" t="s">
        <v>401</v>
      </c>
      <c r="C82" s="41">
        <v>200000</v>
      </c>
      <c r="D82" s="41">
        <v>26660</v>
      </c>
      <c r="E82" s="41">
        <f>SUM(C82:D82)</f>
        <v>226660</v>
      </c>
      <c r="F82" s="33">
        <v>40</v>
      </c>
      <c r="G82" s="41">
        <v>5666.5</v>
      </c>
      <c r="H82" s="97">
        <v>39</v>
      </c>
      <c r="I82" s="97">
        <f t="shared" si="11"/>
        <v>1</v>
      </c>
      <c r="J82" s="91">
        <f t="shared" si="10"/>
        <v>220993.5</v>
      </c>
      <c r="K82" s="94">
        <f t="shared" si="12"/>
        <v>5666.5</v>
      </c>
      <c r="L82" s="11"/>
      <c r="M82" s="180" t="e">
        <f>#REF!-G82</f>
        <v>#REF!</v>
      </c>
    </row>
    <row r="83" spans="1:13" s="114" customFormat="1">
      <c r="A83" s="96">
        <v>82</v>
      </c>
      <c r="B83" s="142" t="s">
        <v>332</v>
      </c>
      <c r="C83" s="19">
        <v>500000</v>
      </c>
      <c r="D83" s="19">
        <v>66650</v>
      </c>
      <c r="E83" s="19">
        <v>566650</v>
      </c>
      <c r="F83" s="33">
        <v>50</v>
      </c>
      <c r="G83" s="16">
        <v>11333</v>
      </c>
      <c r="H83" s="97">
        <v>11</v>
      </c>
      <c r="I83" s="97">
        <f t="shared" si="11"/>
        <v>39</v>
      </c>
      <c r="J83" s="91">
        <f t="shared" si="10"/>
        <v>124663</v>
      </c>
      <c r="K83" s="91">
        <f t="shared" si="12"/>
        <v>441987</v>
      </c>
      <c r="L83" s="11"/>
      <c r="M83" s="180" t="e">
        <f>#REF!-G83</f>
        <v>#REF!</v>
      </c>
    </row>
    <row r="84" spans="1:13" s="114" customFormat="1">
      <c r="A84" s="96">
        <v>83</v>
      </c>
      <c r="B84" s="142" t="s">
        <v>402</v>
      </c>
      <c r="C84" s="41">
        <v>200000</v>
      </c>
      <c r="D84" s="41">
        <v>26660</v>
      </c>
      <c r="E84" s="41">
        <f>SUM(C84:D84)</f>
        <v>226660</v>
      </c>
      <c r="F84" s="33">
        <v>40</v>
      </c>
      <c r="G84" s="41">
        <v>5666.5</v>
      </c>
      <c r="H84" s="97">
        <v>39</v>
      </c>
      <c r="I84" s="97">
        <f t="shared" si="11"/>
        <v>1</v>
      </c>
      <c r="J84" s="91">
        <f t="shared" ref="J84:J115" si="14">H84*G84</f>
        <v>220993.5</v>
      </c>
      <c r="K84" s="94">
        <f t="shared" si="12"/>
        <v>5666.5</v>
      </c>
      <c r="L84" s="11"/>
      <c r="M84" s="180" t="e">
        <f>#REF!-G84</f>
        <v>#REF!</v>
      </c>
    </row>
    <row r="85" spans="1:13" s="114" customFormat="1">
      <c r="A85" s="96">
        <v>84</v>
      </c>
      <c r="B85" s="142" t="s">
        <v>403</v>
      </c>
      <c r="C85" s="41">
        <v>200000</v>
      </c>
      <c r="D85" s="41">
        <v>26660</v>
      </c>
      <c r="E85" s="41">
        <f>SUM(C85:D85)</f>
        <v>226660</v>
      </c>
      <c r="F85" s="33">
        <v>40</v>
      </c>
      <c r="G85" s="41">
        <v>5666.5</v>
      </c>
      <c r="H85" s="97">
        <v>38</v>
      </c>
      <c r="I85" s="97">
        <f t="shared" si="11"/>
        <v>2</v>
      </c>
      <c r="J85" s="91">
        <f t="shared" si="14"/>
        <v>215327</v>
      </c>
      <c r="K85" s="94">
        <f t="shared" si="12"/>
        <v>11333</v>
      </c>
      <c r="L85" s="11"/>
      <c r="M85" s="180" t="e">
        <f>#REF!-G85</f>
        <v>#REF!</v>
      </c>
    </row>
    <row r="86" spans="1:13" s="114" customFormat="1">
      <c r="A86" s="96">
        <v>85</v>
      </c>
      <c r="B86" s="142" t="s">
        <v>364</v>
      </c>
      <c r="C86" s="16">
        <v>450000</v>
      </c>
      <c r="D86" s="16">
        <v>59985</v>
      </c>
      <c r="E86" s="16">
        <v>509985</v>
      </c>
      <c r="F86" s="33">
        <v>50</v>
      </c>
      <c r="G86" s="16">
        <v>10199.700000000001</v>
      </c>
      <c r="H86" s="97">
        <v>10</v>
      </c>
      <c r="I86" s="97">
        <f t="shared" si="11"/>
        <v>40</v>
      </c>
      <c r="J86" s="91">
        <f t="shared" si="14"/>
        <v>101997</v>
      </c>
      <c r="K86" s="91">
        <f t="shared" si="12"/>
        <v>407988</v>
      </c>
      <c r="L86" s="122"/>
      <c r="M86" s="180" t="e">
        <f>#REF!-G86</f>
        <v>#REF!</v>
      </c>
    </row>
    <row r="87" spans="1:13" s="114" customFormat="1">
      <c r="A87" s="96">
        <v>86</v>
      </c>
      <c r="B87" s="142" t="s">
        <v>404</v>
      </c>
      <c r="C87" s="41">
        <v>200000</v>
      </c>
      <c r="D87" s="41">
        <v>26660</v>
      </c>
      <c r="E87" s="41">
        <v>226660</v>
      </c>
      <c r="F87" s="33">
        <v>40</v>
      </c>
      <c r="G87" s="19">
        <v>5666.5</v>
      </c>
      <c r="H87" s="97">
        <v>39</v>
      </c>
      <c r="I87" s="97">
        <f t="shared" si="11"/>
        <v>1</v>
      </c>
      <c r="J87" s="91">
        <f t="shared" si="14"/>
        <v>220993.5</v>
      </c>
      <c r="K87" s="94">
        <f t="shared" si="12"/>
        <v>5666.5</v>
      </c>
      <c r="L87" s="11"/>
      <c r="M87" s="180" t="e">
        <f>#REF!-G87</f>
        <v>#REF!</v>
      </c>
    </row>
    <row r="88" spans="1:13" s="114" customFormat="1">
      <c r="A88" s="96">
        <v>87</v>
      </c>
      <c r="B88" s="142" t="s">
        <v>425</v>
      </c>
      <c r="C88" s="155">
        <v>150000</v>
      </c>
      <c r="D88" s="155">
        <v>19995</v>
      </c>
      <c r="E88" s="155">
        <f>SUM(C88:D88)</f>
        <v>169995</v>
      </c>
      <c r="F88" s="33">
        <v>50</v>
      </c>
      <c r="G88" s="154">
        <v>3399.9</v>
      </c>
      <c r="H88" s="97">
        <v>11</v>
      </c>
      <c r="I88" s="97">
        <f t="shared" si="11"/>
        <v>39</v>
      </c>
      <c r="J88" s="91">
        <f t="shared" si="14"/>
        <v>37398.9</v>
      </c>
      <c r="K88" s="91">
        <f t="shared" si="12"/>
        <v>132596.1</v>
      </c>
      <c r="L88" s="122"/>
      <c r="M88" s="180" t="e">
        <f>#REF!-G88</f>
        <v>#REF!</v>
      </c>
    </row>
    <row r="89" spans="1:13" s="114" customFormat="1">
      <c r="A89" s="96">
        <v>88</v>
      </c>
      <c r="B89" s="142" t="s">
        <v>405</v>
      </c>
      <c r="C89" s="41">
        <v>200000</v>
      </c>
      <c r="D89" s="41">
        <v>26660</v>
      </c>
      <c r="E89" s="41">
        <f>SUM(C89:D89)</f>
        <v>226660</v>
      </c>
      <c r="F89" s="33">
        <v>40</v>
      </c>
      <c r="G89" s="41">
        <v>5666.5</v>
      </c>
      <c r="H89" s="97">
        <v>39</v>
      </c>
      <c r="I89" s="97">
        <f t="shared" si="11"/>
        <v>1</v>
      </c>
      <c r="J89" s="91">
        <f t="shared" si="14"/>
        <v>220993.5</v>
      </c>
      <c r="K89" s="94">
        <f t="shared" si="12"/>
        <v>5666.5</v>
      </c>
      <c r="L89" s="11"/>
      <c r="M89" s="180" t="e">
        <f>#REF!-G89</f>
        <v>#REF!</v>
      </c>
    </row>
    <row r="90" spans="1:13" s="114" customFormat="1">
      <c r="A90" s="96">
        <v>89</v>
      </c>
      <c r="B90" s="142" t="s">
        <v>365</v>
      </c>
      <c r="C90" s="12">
        <v>450000</v>
      </c>
      <c r="D90" s="12">
        <v>59985</v>
      </c>
      <c r="E90" s="15">
        <f>SUM(C90:D90)</f>
        <v>509985</v>
      </c>
      <c r="F90" s="31">
        <v>50</v>
      </c>
      <c r="G90" s="12">
        <v>10199.700000000001</v>
      </c>
      <c r="H90" s="14">
        <v>28</v>
      </c>
      <c r="I90" s="97">
        <f t="shared" si="11"/>
        <v>22</v>
      </c>
      <c r="J90" s="91">
        <f t="shared" si="14"/>
        <v>285591.60000000003</v>
      </c>
      <c r="K90" s="15">
        <f t="shared" si="12"/>
        <v>224393.39999999997</v>
      </c>
      <c r="L90" s="8"/>
      <c r="M90" s="180" t="e">
        <f>#REF!-G90</f>
        <v>#REF!</v>
      </c>
    </row>
    <row r="91" spans="1:13" s="114" customFormat="1">
      <c r="A91" s="96">
        <v>90</v>
      </c>
      <c r="B91" s="142" t="s">
        <v>421</v>
      </c>
      <c r="C91" s="16">
        <v>132000</v>
      </c>
      <c r="D91" s="16">
        <v>17595.599999999999</v>
      </c>
      <c r="E91" s="16">
        <v>149595.6</v>
      </c>
      <c r="F91" s="45">
        <v>40</v>
      </c>
      <c r="G91" s="19">
        <v>3739.89</v>
      </c>
      <c r="H91" s="97">
        <v>45</v>
      </c>
      <c r="I91" s="97">
        <f t="shared" si="11"/>
        <v>-5</v>
      </c>
      <c r="J91" s="91">
        <f t="shared" si="14"/>
        <v>168295.05</v>
      </c>
      <c r="K91" s="94">
        <f t="shared" si="12"/>
        <v>-18699.449999999983</v>
      </c>
      <c r="L91" s="11"/>
      <c r="M91" s="180" t="e">
        <f>#REF!-G91</f>
        <v>#REF!</v>
      </c>
    </row>
    <row r="92" spans="1:13" s="114" customFormat="1">
      <c r="A92" s="96">
        <v>91</v>
      </c>
      <c r="B92" s="142" t="s">
        <v>422</v>
      </c>
      <c r="C92" s="16">
        <v>132000</v>
      </c>
      <c r="D92" s="16">
        <v>17595.599999999999</v>
      </c>
      <c r="E92" s="41">
        <f>SUM(C92:D92)</f>
        <v>149595.6</v>
      </c>
      <c r="F92" s="33">
        <v>40</v>
      </c>
      <c r="G92" s="16">
        <v>3739.89</v>
      </c>
      <c r="H92" s="97">
        <v>38</v>
      </c>
      <c r="I92" s="97">
        <f t="shared" si="11"/>
        <v>2</v>
      </c>
      <c r="J92" s="91">
        <f t="shared" si="14"/>
        <v>142115.82</v>
      </c>
      <c r="K92" s="94">
        <f t="shared" si="12"/>
        <v>7479.7799999999988</v>
      </c>
      <c r="L92" s="11"/>
      <c r="M92" s="180" t="e">
        <f>#REF!-G92</f>
        <v>#REF!</v>
      </c>
    </row>
    <row r="93" spans="1:13" s="114" customFormat="1">
      <c r="A93" s="96">
        <v>92</v>
      </c>
      <c r="B93" s="142" t="s">
        <v>73</v>
      </c>
      <c r="C93" s="16">
        <v>500000</v>
      </c>
      <c r="D93" s="16">
        <v>66650</v>
      </c>
      <c r="E93" s="41">
        <f>SUM(C93:D93)</f>
        <v>566650</v>
      </c>
      <c r="F93" s="33">
        <v>50</v>
      </c>
      <c r="G93" s="16">
        <v>11333</v>
      </c>
      <c r="H93" s="97">
        <v>34</v>
      </c>
      <c r="I93" s="97">
        <f t="shared" si="11"/>
        <v>16</v>
      </c>
      <c r="J93" s="91">
        <f t="shared" si="14"/>
        <v>385322</v>
      </c>
      <c r="K93" s="94">
        <f t="shared" si="12"/>
        <v>181328</v>
      </c>
      <c r="L93" s="11"/>
      <c r="M93" s="180" t="e">
        <f>#REF!-G93</f>
        <v>#REF!</v>
      </c>
    </row>
    <row r="94" spans="1:13" s="114" customFormat="1">
      <c r="A94" s="96">
        <v>94</v>
      </c>
      <c r="B94" s="142" t="s">
        <v>333</v>
      </c>
      <c r="C94" s="16">
        <v>500000</v>
      </c>
      <c r="D94" s="16">
        <v>66650</v>
      </c>
      <c r="E94" s="41">
        <f>SUM(C94:D94)</f>
        <v>566650</v>
      </c>
      <c r="F94" s="33">
        <v>50</v>
      </c>
      <c r="G94" s="16">
        <v>11333</v>
      </c>
      <c r="H94" s="97">
        <v>46</v>
      </c>
      <c r="I94" s="97">
        <f t="shared" si="11"/>
        <v>4</v>
      </c>
      <c r="J94" s="91">
        <f t="shared" si="14"/>
        <v>521318</v>
      </c>
      <c r="K94" s="94">
        <f t="shared" si="12"/>
        <v>45332</v>
      </c>
      <c r="L94" s="11"/>
      <c r="M94" s="180" t="e">
        <f>#REF!-G94</f>
        <v>#REF!</v>
      </c>
    </row>
    <row r="95" spans="1:13" s="114" customFormat="1">
      <c r="A95" s="96">
        <v>95</v>
      </c>
      <c r="B95" s="170" t="s">
        <v>426</v>
      </c>
      <c r="C95" s="16">
        <v>150000</v>
      </c>
      <c r="D95" s="16">
        <v>19995</v>
      </c>
      <c r="E95" s="41">
        <f>SUM(C95:D95)</f>
        <v>169995</v>
      </c>
      <c r="F95" s="33">
        <v>50</v>
      </c>
      <c r="G95" s="16">
        <v>3399.9</v>
      </c>
      <c r="H95" s="97">
        <v>34</v>
      </c>
      <c r="I95" s="97">
        <f t="shared" si="11"/>
        <v>16</v>
      </c>
      <c r="J95" s="91">
        <f t="shared" si="14"/>
        <v>115596.6</v>
      </c>
      <c r="K95" s="94">
        <f t="shared" si="12"/>
        <v>54398.399999999994</v>
      </c>
      <c r="L95" s="11"/>
      <c r="M95" s="180" t="e">
        <f>#REF!-G95</f>
        <v>#REF!</v>
      </c>
    </row>
    <row r="96" spans="1:13" s="114" customFormat="1">
      <c r="A96" s="96">
        <v>96</v>
      </c>
      <c r="B96" s="142" t="s">
        <v>334</v>
      </c>
      <c r="C96" s="19">
        <v>500000</v>
      </c>
      <c r="D96" s="19">
        <v>66650</v>
      </c>
      <c r="E96" s="19">
        <v>566650</v>
      </c>
      <c r="F96" s="33">
        <v>50</v>
      </c>
      <c r="G96" s="16">
        <v>11333</v>
      </c>
      <c r="H96" s="97">
        <v>11</v>
      </c>
      <c r="I96" s="97">
        <f t="shared" si="11"/>
        <v>39</v>
      </c>
      <c r="J96" s="91">
        <f t="shared" si="14"/>
        <v>124663</v>
      </c>
      <c r="K96" s="91">
        <f t="shared" si="12"/>
        <v>441987</v>
      </c>
      <c r="L96" s="122"/>
      <c r="M96" s="180" t="e">
        <f>#REF!-G96</f>
        <v>#REF!</v>
      </c>
    </row>
    <row r="97" spans="1:13" s="114" customFormat="1">
      <c r="A97" s="96">
        <v>97</v>
      </c>
      <c r="B97" s="142" t="s">
        <v>335</v>
      </c>
      <c r="C97" s="16">
        <v>500000</v>
      </c>
      <c r="D97" s="16">
        <v>66650</v>
      </c>
      <c r="E97" s="41">
        <f>SUM(C97:D97)</f>
        <v>566650</v>
      </c>
      <c r="F97" s="33">
        <v>50</v>
      </c>
      <c r="G97" s="16">
        <v>11333</v>
      </c>
      <c r="H97" s="97">
        <v>24</v>
      </c>
      <c r="I97" s="97">
        <f t="shared" si="11"/>
        <v>26</v>
      </c>
      <c r="J97" s="91">
        <f t="shared" si="14"/>
        <v>271992</v>
      </c>
      <c r="K97" s="94">
        <f t="shared" si="12"/>
        <v>294658</v>
      </c>
      <c r="L97" s="11"/>
      <c r="M97" s="180" t="e">
        <f>#REF!-G97</f>
        <v>#REF!</v>
      </c>
    </row>
    <row r="98" spans="1:13" s="114" customFormat="1">
      <c r="A98" s="96">
        <v>98</v>
      </c>
      <c r="B98" s="142" t="s">
        <v>336</v>
      </c>
      <c r="C98" s="16">
        <v>500000</v>
      </c>
      <c r="D98" s="16">
        <v>66650</v>
      </c>
      <c r="E98" s="16">
        <v>566650</v>
      </c>
      <c r="F98" s="33">
        <v>50</v>
      </c>
      <c r="G98" s="19">
        <v>11333</v>
      </c>
      <c r="H98" s="97">
        <v>24</v>
      </c>
      <c r="I98" s="97">
        <f t="shared" si="11"/>
        <v>26</v>
      </c>
      <c r="J98" s="91">
        <f t="shared" si="14"/>
        <v>271992</v>
      </c>
      <c r="K98" s="94">
        <f t="shared" si="12"/>
        <v>294658</v>
      </c>
      <c r="L98" s="11"/>
      <c r="M98" s="180" t="e">
        <f>#REF!-G98</f>
        <v>#REF!</v>
      </c>
    </row>
    <row r="99" spans="1:13" s="114" customFormat="1">
      <c r="A99" s="96">
        <v>99</v>
      </c>
      <c r="B99" s="170" t="s">
        <v>287</v>
      </c>
      <c r="C99" s="16">
        <v>450000</v>
      </c>
      <c r="D99" s="16">
        <v>59985</v>
      </c>
      <c r="E99" s="16">
        <v>509985</v>
      </c>
      <c r="F99" s="33">
        <v>50</v>
      </c>
      <c r="G99" s="153">
        <v>10199.700000000001</v>
      </c>
      <c r="H99" s="97">
        <v>18</v>
      </c>
      <c r="I99" s="97">
        <f t="shared" si="11"/>
        <v>32</v>
      </c>
      <c r="J99" s="91">
        <f t="shared" si="14"/>
        <v>183594.6</v>
      </c>
      <c r="K99" s="94">
        <f t="shared" si="12"/>
        <v>326390.40000000002</v>
      </c>
      <c r="L99" s="122"/>
      <c r="M99" s="180" t="e">
        <f>#REF!-G99</f>
        <v>#REF!</v>
      </c>
    </row>
    <row r="100" spans="1:13" s="114" customFormat="1">
      <c r="A100" s="96">
        <v>100</v>
      </c>
      <c r="B100" s="142" t="s">
        <v>366</v>
      </c>
      <c r="C100" s="16">
        <v>450000</v>
      </c>
      <c r="D100" s="16">
        <v>59985</v>
      </c>
      <c r="E100" s="41">
        <f>SUM(C100:D100)</f>
        <v>509985</v>
      </c>
      <c r="F100" s="33">
        <v>50</v>
      </c>
      <c r="G100" s="16">
        <v>10199.700000000001</v>
      </c>
      <c r="H100" s="97">
        <v>30</v>
      </c>
      <c r="I100" s="97">
        <f t="shared" si="11"/>
        <v>20</v>
      </c>
      <c r="J100" s="91">
        <f t="shared" si="14"/>
        <v>305991</v>
      </c>
      <c r="K100" s="94">
        <f t="shared" si="12"/>
        <v>203994</v>
      </c>
      <c r="L100" s="11"/>
      <c r="M100" s="180" t="e">
        <f>#REF!-G100</f>
        <v>#REF!</v>
      </c>
    </row>
    <row r="101" spans="1:13" s="114" customFormat="1">
      <c r="A101" s="96">
        <v>101</v>
      </c>
      <c r="B101" s="142" t="s">
        <v>337</v>
      </c>
      <c r="C101" s="16">
        <v>500000</v>
      </c>
      <c r="D101" s="16">
        <v>66650</v>
      </c>
      <c r="E101" s="41">
        <f>SUM(C101:D101)</f>
        <v>566650</v>
      </c>
      <c r="F101" s="33">
        <v>50</v>
      </c>
      <c r="G101" s="16">
        <v>11333</v>
      </c>
      <c r="H101" s="97">
        <v>25</v>
      </c>
      <c r="I101" s="97">
        <f t="shared" si="11"/>
        <v>25</v>
      </c>
      <c r="J101" s="91">
        <f t="shared" si="14"/>
        <v>283325</v>
      </c>
      <c r="K101" s="94">
        <f t="shared" si="12"/>
        <v>283325</v>
      </c>
      <c r="L101" s="11"/>
      <c r="M101" s="180" t="e">
        <f>#REF!-G101</f>
        <v>#REF!</v>
      </c>
    </row>
    <row r="102" spans="1:13" s="114" customFormat="1">
      <c r="A102" s="96">
        <v>102</v>
      </c>
      <c r="B102" s="170" t="s">
        <v>288</v>
      </c>
      <c r="C102" s="16">
        <v>500000</v>
      </c>
      <c r="D102" s="16">
        <v>66650</v>
      </c>
      <c r="E102" s="41">
        <f>SUM(C102:D102)</f>
        <v>566650</v>
      </c>
      <c r="F102" s="33">
        <v>50</v>
      </c>
      <c r="G102" s="153">
        <v>11333</v>
      </c>
      <c r="H102" s="97">
        <v>25</v>
      </c>
      <c r="I102" s="97">
        <f t="shared" ref="I102:I133" si="15">F102-H102</f>
        <v>25</v>
      </c>
      <c r="J102" s="91">
        <f t="shared" si="14"/>
        <v>283325</v>
      </c>
      <c r="K102" s="94">
        <f t="shared" ref="K102:K133" si="16">E102-J102</f>
        <v>283325</v>
      </c>
      <c r="L102" s="11"/>
      <c r="M102" s="180" t="e">
        <f>#REF!-G102</f>
        <v>#REF!</v>
      </c>
    </row>
    <row r="103" spans="1:13" s="114" customFormat="1">
      <c r="A103" s="96">
        <v>103</v>
      </c>
      <c r="B103" s="142" t="s">
        <v>338</v>
      </c>
      <c r="C103" s="16">
        <v>500000</v>
      </c>
      <c r="D103" s="16">
        <v>66650</v>
      </c>
      <c r="E103" s="41">
        <f>SUM(C103:D103)</f>
        <v>566650</v>
      </c>
      <c r="F103" s="33">
        <v>50</v>
      </c>
      <c r="G103" s="16">
        <v>11333</v>
      </c>
      <c r="H103" s="97">
        <v>46</v>
      </c>
      <c r="I103" s="97">
        <f t="shared" si="15"/>
        <v>4</v>
      </c>
      <c r="J103" s="91">
        <f t="shared" si="14"/>
        <v>521318</v>
      </c>
      <c r="K103" s="94">
        <f t="shared" si="16"/>
        <v>45332</v>
      </c>
      <c r="L103" s="11"/>
      <c r="M103" s="180" t="e">
        <f>#REF!-G103</f>
        <v>#REF!</v>
      </c>
    </row>
    <row r="104" spans="1:13" s="114" customFormat="1">
      <c r="A104" s="96">
        <v>104</v>
      </c>
      <c r="B104" s="142" t="s">
        <v>339</v>
      </c>
      <c r="C104" s="19">
        <v>500000</v>
      </c>
      <c r="D104" s="19">
        <v>66650</v>
      </c>
      <c r="E104" s="19">
        <v>566650</v>
      </c>
      <c r="F104" s="33">
        <v>50</v>
      </c>
      <c r="G104" s="16">
        <v>11333</v>
      </c>
      <c r="H104" s="97">
        <v>11</v>
      </c>
      <c r="I104" s="97">
        <f t="shared" si="15"/>
        <v>39</v>
      </c>
      <c r="J104" s="91">
        <f t="shared" si="14"/>
        <v>124663</v>
      </c>
      <c r="K104" s="91">
        <f t="shared" si="16"/>
        <v>441987</v>
      </c>
      <c r="L104" s="11"/>
      <c r="M104" s="180" t="e">
        <f>#REF!-G104</f>
        <v>#REF!</v>
      </c>
    </row>
    <row r="105" spans="1:13" s="114" customFormat="1">
      <c r="A105" s="96">
        <v>105</v>
      </c>
      <c r="B105" s="142" t="s">
        <v>340</v>
      </c>
      <c r="C105" s="16">
        <v>500000</v>
      </c>
      <c r="D105" s="16">
        <v>66650</v>
      </c>
      <c r="E105" s="41">
        <f>SUM(C105:D105)</f>
        <v>566650</v>
      </c>
      <c r="F105" s="33">
        <v>50</v>
      </c>
      <c r="G105" s="16">
        <v>11333</v>
      </c>
      <c r="H105" s="97">
        <v>25</v>
      </c>
      <c r="I105" s="97">
        <f t="shared" si="15"/>
        <v>25</v>
      </c>
      <c r="J105" s="91">
        <f t="shared" si="14"/>
        <v>283325</v>
      </c>
      <c r="K105" s="94">
        <f t="shared" si="16"/>
        <v>283325</v>
      </c>
      <c r="L105" s="11"/>
      <c r="M105" s="180" t="e">
        <f>#REF!-G105</f>
        <v>#REF!</v>
      </c>
    </row>
    <row r="106" spans="1:13" s="114" customFormat="1">
      <c r="A106" s="96">
        <v>106</v>
      </c>
      <c r="B106" s="142" t="s">
        <v>341</v>
      </c>
      <c r="C106" s="19">
        <v>500000</v>
      </c>
      <c r="D106" s="19">
        <v>66650</v>
      </c>
      <c r="E106" s="19">
        <v>566650</v>
      </c>
      <c r="F106" s="33">
        <v>50</v>
      </c>
      <c r="G106" s="16">
        <v>11333</v>
      </c>
      <c r="H106" s="97">
        <v>11</v>
      </c>
      <c r="I106" s="97">
        <f t="shared" si="15"/>
        <v>39</v>
      </c>
      <c r="J106" s="91">
        <f t="shared" si="14"/>
        <v>124663</v>
      </c>
      <c r="K106" s="91">
        <f t="shared" si="16"/>
        <v>441987</v>
      </c>
      <c r="L106" s="122"/>
      <c r="M106" s="180" t="e">
        <f>#REF!-G106</f>
        <v>#REF!</v>
      </c>
    </row>
    <row r="107" spans="1:13" s="114" customFormat="1">
      <c r="A107" s="96">
        <v>107</v>
      </c>
      <c r="B107" s="142" t="s">
        <v>367</v>
      </c>
      <c r="C107" s="16">
        <v>450000</v>
      </c>
      <c r="D107" s="16">
        <v>59985</v>
      </c>
      <c r="E107" s="41">
        <f>SUM(C107:D107)</f>
        <v>509985</v>
      </c>
      <c r="F107" s="33">
        <v>50</v>
      </c>
      <c r="G107" s="16">
        <v>10199.700000000001</v>
      </c>
      <c r="H107" s="97">
        <v>25</v>
      </c>
      <c r="I107" s="97">
        <f t="shared" si="15"/>
        <v>25</v>
      </c>
      <c r="J107" s="91">
        <f t="shared" si="14"/>
        <v>254992.50000000003</v>
      </c>
      <c r="K107" s="94">
        <f t="shared" si="16"/>
        <v>254992.49999999997</v>
      </c>
      <c r="L107" s="11"/>
      <c r="M107" s="180" t="e">
        <f>#REF!-G107</f>
        <v>#REF!</v>
      </c>
    </row>
    <row r="108" spans="1:13" s="114" customFormat="1">
      <c r="A108" s="96">
        <v>108</v>
      </c>
      <c r="B108" s="142" t="s">
        <v>342</v>
      </c>
      <c r="C108" s="16">
        <v>500000</v>
      </c>
      <c r="D108" s="16">
        <v>66650</v>
      </c>
      <c r="E108" s="41">
        <f>SUM(C108:D108)</f>
        <v>566650</v>
      </c>
      <c r="F108" s="33">
        <v>50</v>
      </c>
      <c r="G108" s="16">
        <v>11333</v>
      </c>
      <c r="H108" s="97">
        <v>46</v>
      </c>
      <c r="I108" s="97">
        <f t="shared" si="15"/>
        <v>4</v>
      </c>
      <c r="J108" s="91">
        <f t="shared" si="14"/>
        <v>521318</v>
      </c>
      <c r="K108" s="94">
        <f t="shared" si="16"/>
        <v>45332</v>
      </c>
      <c r="L108" s="11"/>
      <c r="M108" s="180" t="e">
        <f>#REF!-G108</f>
        <v>#REF!</v>
      </c>
    </row>
    <row r="109" spans="1:13" s="114" customFormat="1">
      <c r="A109" s="96">
        <v>109</v>
      </c>
      <c r="B109" s="142" t="s">
        <v>406</v>
      </c>
      <c r="C109" s="41">
        <v>200000</v>
      </c>
      <c r="D109" s="41">
        <v>26660</v>
      </c>
      <c r="E109" s="41">
        <f>SUM(C109:D109)</f>
        <v>226660</v>
      </c>
      <c r="F109" s="33">
        <v>40</v>
      </c>
      <c r="G109" s="41">
        <v>5666.5</v>
      </c>
      <c r="H109" s="97">
        <v>39</v>
      </c>
      <c r="I109" s="97">
        <f t="shared" si="15"/>
        <v>1</v>
      </c>
      <c r="J109" s="91">
        <f t="shared" si="14"/>
        <v>220993.5</v>
      </c>
      <c r="K109" s="94">
        <f t="shared" si="16"/>
        <v>5666.5</v>
      </c>
      <c r="L109" s="11"/>
      <c r="M109" s="180" t="e">
        <f>#REF!-G109</f>
        <v>#REF!</v>
      </c>
    </row>
    <row r="110" spans="1:13" s="114" customFormat="1">
      <c r="A110" s="96">
        <v>110</v>
      </c>
      <c r="B110" s="142" t="s">
        <v>407</v>
      </c>
      <c r="C110" s="41">
        <v>200000</v>
      </c>
      <c r="D110" s="41">
        <v>26660</v>
      </c>
      <c r="E110" s="41">
        <v>226660</v>
      </c>
      <c r="F110" s="33">
        <v>40</v>
      </c>
      <c r="G110" s="19">
        <v>5666.5</v>
      </c>
      <c r="H110" s="97">
        <v>38</v>
      </c>
      <c r="I110" s="97">
        <f t="shared" si="15"/>
        <v>2</v>
      </c>
      <c r="J110" s="91">
        <f t="shared" si="14"/>
        <v>215327</v>
      </c>
      <c r="K110" s="94">
        <f t="shared" si="16"/>
        <v>11333</v>
      </c>
      <c r="L110" s="11"/>
      <c r="M110" s="180" t="e">
        <f>#REF!-G110</f>
        <v>#REF!</v>
      </c>
    </row>
    <row r="111" spans="1:13" s="114" customFormat="1">
      <c r="A111" s="96">
        <v>111</v>
      </c>
      <c r="B111" s="142" t="s">
        <v>343</v>
      </c>
      <c r="C111" s="12">
        <v>500000</v>
      </c>
      <c r="D111" s="12">
        <v>66650</v>
      </c>
      <c r="E111" s="15">
        <f>SUM(C111:D111)</f>
        <v>566650</v>
      </c>
      <c r="F111" s="31">
        <v>50</v>
      </c>
      <c r="G111" s="12">
        <v>11333</v>
      </c>
      <c r="H111" s="14">
        <v>30</v>
      </c>
      <c r="I111" s="97">
        <f t="shared" si="15"/>
        <v>20</v>
      </c>
      <c r="J111" s="91">
        <f t="shared" si="14"/>
        <v>339990</v>
      </c>
      <c r="K111" s="15">
        <f t="shared" si="16"/>
        <v>226660</v>
      </c>
      <c r="L111" s="8"/>
      <c r="M111" s="180" t="e">
        <f>#REF!-G111</f>
        <v>#REF!</v>
      </c>
    </row>
    <row r="112" spans="1:13" s="114" customFormat="1">
      <c r="A112" s="96">
        <v>112</v>
      </c>
      <c r="B112" s="238" t="s">
        <v>344</v>
      </c>
      <c r="C112" s="16">
        <v>500000</v>
      </c>
      <c r="D112" s="16">
        <v>66650</v>
      </c>
      <c r="E112" s="41">
        <f>SUM(C112:D112)</f>
        <v>566650</v>
      </c>
      <c r="F112" s="33">
        <v>50</v>
      </c>
      <c r="G112" s="16">
        <v>11333</v>
      </c>
      <c r="H112" s="97">
        <v>46</v>
      </c>
      <c r="I112" s="97">
        <f t="shared" si="15"/>
        <v>4</v>
      </c>
      <c r="J112" s="91">
        <f t="shared" si="14"/>
        <v>521318</v>
      </c>
      <c r="K112" s="94">
        <f t="shared" si="16"/>
        <v>45332</v>
      </c>
      <c r="L112" s="11"/>
      <c r="M112" s="180" t="e">
        <f>#REF!-G112</f>
        <v>#REF!</v>
      </c>
    </row>
    <row r="113" spans="1:13" s="114" customFormat="1">
      <c r="A113" s="96">
        <v>113</v>
      </c>
      <c r="B113" s="142" t="s">
        <v>345</v>
      </c>
      <c r="C113" s="19">
        <v>500000</v>
      </c>
      <c r="D113" s="19">
        <v>66650</v>
      </c>
      <c r="E113" s="19">
        <v>566650</v>
      </c>
      <c r="F113" s="33">
        <v>50</v>
      </c>
      <c r="G113" s="16">
        <v>11333</v>
      </c>
      <c r="H113" s="97">
        <v>11</v>
      </c>
      <c r="I113" s="97">
        <f t="shared" si="15"/>
        <v>39</v>
      </c>
      <c r="J113" s="91">
        <f t="shared" si="14"/>
        <v>124663</v>
      </c>
      <c r="K113" s="91">
        <f t="shared" si="16"/>
        <v>441987</v>
      </c>
      <c r="L113" s="122"/>
      <c r="M113" s="180" t="e">
        <f>#REF!-G113</f>
        <v>#REF!</v>
      </c>
    </row>
    <row r="114" spans="1:13" s="114" customFormat="1">
      <c r="A114" s="96">
        <v>114</v>
      </c>
      <c r="B114" s="142" t="s">
        <v>99</v>
      </c>
      <c r="C114" s="16">
        <v>450000</v>
      </c>
      <c r="D114" s="16">
        <v>59985</v>
      </c>
      <c r="E114" s="41">
        <f>SUM(C114:D114)</f>
        <v>509985</v>
      </c>
      <c r="F114" s="33">
        <v>50</v>
      </c>
      <c r="G114" s="16">
        <v>10199.700000000001</v>
      </c>
      <c r="H114" s="159">
        <v>34</v>
      </c>
      <c r="I114" s="97">
        <f t="shared" si="15"/>
        <v>16</v>
      </c>
      <c r="J114" s="91">
        <f t="shared" si="14"/>
        <v>346789.80000000005</v>
      </c>
      <c r="K114" s="94">
        <f t="shared" si="16"/>
        <v>163195.19999999995</v>
      </c>
      <c r="L114" s="11"/>
      <c r="M114" s="180" t="e">
        <f>#REF!-G114</f>
        <v>#REF!</v>
      </c>
    </row>
    <row r="115" spans="1:13" s="114" customFormat="1">
      <c r="A115" s="96">
        <v>115</v>
      </c>
      <c r="B115" s="142" t="s">
        <v>416</v>
      </c>
      <c r="C115" s="12">
        <v>180000</v>
      </c>
      <c r="D115" s="12">
        <v>23994</v>
      </c>
      <c r="E115" s="15">
        <f>SUM(C115:D115)</f>
        <v>203994</v>
      </c>
      <c r="F115" s="30">
        <v>40</v>
      </c>
      <c r="G115" s="12">
        <v>5099.8500000000004</v>
      </c>
      <c r="H115" s="21">
        <v>44</v>
      </c>
      <c r="I115" s="97">
        <f t="shared" si="15"/>
        <v>-4</v>
      </c>
      <c r="J115" s="91">
        <f t="shared" si="14"/>
        <v>224393.40000000002</v>
      </c>
      <c r="K115" s="15">
        <f t="shared" si="16"/>
        <v>-20399.400000000023</v>
      </c>
      <c r="L115" s="10"/>
      <c r="M115" s="180" t="e">
        <f>#REF!-G115</f>
        <v>#REF!</v>
      </c>
    </row>
    <row r="116" spans="1:13" s="114" customFormat="1">
      <c r="A116" s="96">
        <v>116</v>
      </c>
      <c r="B116" s="142" t="s">
        <v>346</v>
      </c>
      <c r="C116" s="19">
        <v>500000</v>
      </c>
      <c r="D116" s="19">
        <v>66650</v>
      </c>
      <c r="E116" s="19">
        <v>566650</v>
      </c>
      <c r="F116" s="33">
        <v>50</v>
      </c>
      <c r="G116" s="16">
        <v>11333</v>
      </c>
      <c r="H116" s="97">
        <v>10</v>
      </c>
      <c r="I116" s="97">
        <f t="shared" si="15"/>
        <v>40</v>
      </c>
      <c r="J116" s="91">
        <f t="shared" ref="J116:J124" si="17">H116*G116</f>
        <v>113330</v>
      </c>
      <c r="K116" s="91">
        <f t="shared" si="16"/>
        <v>453320</v>
      </c>
      <c r="L116" s="11"/>
      <c r="M116" s="180" t="e">
        <f>#REF!-G116</f>
        <v>#REF!</v>
      </c>
    </row>
    <row r="117" spans="1:13" s="114" customFormat="1">
      <c r="A117" s="96">
        <v>117</v>
      </c>
      <c r="B117" s="142" t="s">
        <v>408</v>
      </c>
      <c r="C117" s="41">
        <v>200000</v>
      </c>
      <c r="D117" s="41">
        <v>26660</v>
      </c>
      <c r="E117" s="41">
        <v>226660</v>
      </c>
      <c r="F117" s="33">
        <v>40</v>
      </c>
      <c r="G117" s="19">
        <v>5666.5</v>
      </c>
      <c r="H117" s="97">
        <v>38</v>
      </c>
      <c r="I117" s="97">
        <f t="shared" si="15"/>
        <v>2</v>
      </c>
      <c r="J117" s="91">
        <f t="shared" si="17"/>
        <v>215327</v>
      </c>
      <c r="K117" s="94">
        <f t="shared" si="16"/>
        <v>11333</v>
      </c>
      <c r="L117" s="11"/>
      <c r="M117" s="180" t="e">
        <f>#REF!-G117</f>
        <v>#REF!</v>
      </c>
    </row>
    <row r="118" spans="1:13" s="114" customFormat="1">
      <c r="A118" s="96">
        <v>118</v>
      </c>
      <c r="B118" s="142" t="s">
        <v>83</v>
      </c>
      <c r="C118" s="12">
        <v>500000</v>
      </c>
      <c r="D118" s="12">
        <v>66650</v>
      </c>
      <c r="E118" s="15">
        <f>SUM(C118:D118)</f>
        <v>566650</v>
      </c>
      <c r="F118" s="31">
        <v>50</v>
      </c>
      <c r="G118" s="12">
        <v>11333</v>
      </c>
      <c r="H118" s="14">
        <v>28</v>
      </c>
      <c r="I118" s="97">
        <f t="shared" si="15"/>
        <v>22</v>
      </c>
      <c r="J118" s="91">
        <f t="shared" si="17"/>
        <v>317324</v>
      </c>
      <c r="K118" s="15">
        <f t="shared" si="16"/>
        <v>249326</v>
      </c>
      <c r="L118" s="8"/>
      <c r="M118" s="180" t="e">
        <f>#REF!-G118</f>
        <v>#REF!</v>
      </c>
    </row>
    <row r="119" spans="1:13" s="114" customFormat="1">
      <c r="A119" s="96">
        <v>119</v>
      </c>
      <c r="B119" s="142" t="s">
        <v>368</v>
      </c>
      <c r="C119" s="16">
        <v>450000</v>
      </c>
      <c r="D119" s="16">
        <v>59985</v>
      </c>
      <c r="E119" s="16">
        <v>509985</v>
      </c>
      <c r="F119" s="33">
        <v>50</v>
      </c>
      <c r="G119" s="16">
        <v>10199.700000000001</v>
      </c>
      <c r="H119" s="97">
        <v>10</v>
      </c>
      <c r="I119" s="97">
        <f t="shared" si="15"/>
        <v>40</v>
      </c>
      <c r="J119" s="91">
        <f t="shared" si="17"/>
        <v>101997</v>
      </c>
      <c r="K119" s="91">
        <f t="shared" si="16"/>
        <v>407988</v>
      </c>
      <c r="L119" s="122"/>
      <c r="M119" s="180" t="e">
        <f>#REF!-G119</f>
        <v>#REF!</v>
      </c>
    </row>
    <row r="120" spans="1:13" s="114" customFormat="1">
      <c r="A120" s="96">
        <v>120</v>
      </c>
      <c r="B120" s="142" t="s">
        <v>347</v>
      </c>
      <c r="C120" s="16">
        <v>500000</v>
      </c>
      <c r="D120" s="16">
        <v>66650</v>
      </c>
      <c r="E120" s="41">
        <f>SUM(C120:D120)</f>
        <v>566650</v>
      </c>
      <c r="F120" s="33">
        <v>50</v>
      </c>
      <c r="G120" s="16">
        <v>11333</v>
      </c>
      <c r="H120" s="97">
        <v>25</v>
      </c>
      <c r="I120" s="97">
        <f t="shared" si="15"/>
        <v>25</v>
      </c>
      <c r="J120" s="91">
        <f t="shared" si="17"/>
        <v>283325</v>
      </c>
      <c r="K120" s="94">
        <f t="shared" si="16"/>
        <v>283325</v>
      </c>
      <c r="L120" s="11"/>
      <c r="M120" s="180" t="e">
        <f>#REF!-G120</f>
        <v>#REF!</v>
      </c>
    </row>
    <row r="121" spans="1:13" s="114" customFormat="1">
      <c r="A121" s="96">
        <v>121</v>
      </c>
      <c r="B121" s="142" t="s">
        <v>377</v>
      </c>
      <c r="C121" s="155">
        <v>330000</v>
      </c>
      <c r="D121" s="155">
        <v>43989</v>
      </c>
      <c r="E121" s="155">
        <f>SUM(C121:D121)</f>
        <v>373989</v>
      </c>
      <c r="F121" s="33">
        <v>50</v>
      </c>
      <c r="G121" s="154">
        <v>7479.78</v>
      </c>
      <c r="H121" s="97">
        <v>11</v>
      </c>
      <c r="I121" s="97">
        <f t="shared" si="15"/>
        <v>39</v>
      </c>
      <c r="J121" s="91">
        <f t="shared" si="17"/>
        <v>82277.58</v>
      </c>
      <c r="K121" s="91">
        <f t="shared" si="16"/>
        <v>291711.42</v>
      </c>
      <c r="L121" s="122"/>
      <c r="M121" s="180" t="e">
        <f>#REF!-G121</f>
        <v>#REF!</v>
      </c>
    </row>
    <row r="122" spans="1:13" s="114" customFormat="1">
      <c r="A122" s="96">
        <v>122</v>
      </c>
      <c r="B122" s="142" t="s">
        <v>409</v>
      </c>
      <c r="C122" s="41">
        <v>200000</v>
      </c>
      <c r="D122" s="41">
        <v>26660</v>
      </c>
      <c r="E122" s="41">
        <f>SUM(C122:D122)</f>
        <v>226660</v>
      </c>
      <c r="F122" s="33">
        <v>40</v>
      </c>
      <c r="G122" s="41">
        <v>5666.5</v>
      </c>
      <c r="H122" s="97">
        <v>38</v>
      </c>
      <c r="I122" s="97">
        <f t="shared" si="15"/>
        <v>2</v>
      </c>
      <c r="J122" s="91">
        <f t="shared" si="17"/>
        <v>215327</v>
      </c>
      <c r="K122" s="94">
        <f t="shared" si="16"/>
        <v>11333</v>
      </c>
      <c r="L122" s="11"/>
      <c r="M122" s="180" t="e">
        <f>#REF!-G122</f>
        <v>#REF!</v>
      </c>
    </row>
    <row r="123" spans="1:13" s="114" customFormat="1" ht="25.5">
      <c r="A123" s="96">
        <v>123</v>
      </c>
      <c r="B123" s="142" t="s">
        <v>348</v>
      </c>
      <c r="C123" s="161">
        <v>500000</v>
      </c>
      <c r="D123" s="161">
        <v>66650</v>
      </c>
      <c r="E123" s="162">
        <f>SUM(C123:D123)</f>
        <v>566650</v>
      </c>
      <c r="F123" s="163">
        <v>50</v>
      </c>
      <c r="G123" s="161">
        <v>11333</v>
      </c>
      <c r="H123" s="97">
        <v>25</v>
      </c>
      <c r="I123" s="97">
        <f t="shared" si="15"/>
        <v>25</v>
      </c>
      <c r="J123" s="146">
        <f t="shared" si="17"/>
        <v>283325</v>
      </c>
      <c r="K123" s="164">
        <f t="shared" si="16"/>
        <v>283325</v>
      </c>
      <c r="L123" s="123"/>
      <c r="M123" s="180" t="e">
        <f>#REF!-G123</f>
        <v>#REF!</v>
      </c>
    </row>
    <row r="124" spans="1:13" s="114" customFormat="1">
      <c r="A124" s="96">
        <v>124</v>
      </c>
      <c r="B124" s="142" t="s">
        <v>427</v>
      </c>
      <c r="C124" s="155">
        <v>150000</v>
      </c>
      <c r="D124" s="155">
        <v>19995</v>
      </c>
      <c r="E124" s="155">
        <f>SUM(C124:D124)</f>
        <v>169995</v>
      </c>
      <c r="F124" s="33">
        <v>50</v>
      </c>
      <c r="G124" s="154">
        <v>3399.9</v>
      </c>
      <c r="H124" s="97">
        <v>9</v>
      </c>
      <c r="I124" s="97">
        <f t="shared" si="15"/>
        <v>41</v>
      </c>
      <c r="J124" s="91">
        <f t="shared" si="17"/>
        <v>30599.100000000002</v>
      </c>
      <c r="K124" s="91">
        <f t="shared" si="16"/>
        <v>139395.9</v>
      </c>
      <c r="L124" s="122"/>
      <c r="M124" s="180" t="e">
        <f>#REF!-G124</f>
        <v>#REF!</v>
      </c>
    </row>
    <row r="125" spans="1:13" s="114" customFormat="1">
      <c r="A125" s="96">
        <v>125</v>
      </c>
      <c r="B125" s="170" t="s">
        <v>289</v>
      </c>
      <c r="C125" s="16">
        <v>180000</v>
      </c>
      <c r="D125" s="16">
        <v>23994</v>
      </c>
      <c r="E125" s="16">
        <v>203994</v>
      </c>
      <c r="F125" s="45">
        <v>40</v>
      </c>
      <c r="G125" s="154">
        <v>5099.8500000000004</v>
      </c>
      <c r="H125" s="97">
        <v>38</v>
      </c>
      <c r="I125" s="97">
        <f t="shared" si="15"/>
        <v>2</v>
      </c>
      <c r="J125" s="156">
        <f>(36*5099.85)</f>
        <v>183594.6</v>
      </c>
      <c r="K125" s="91">
        <f t="shared" si="16"/>
        <v>20399.399999999994</v>
      </c>
      <c r="L125" s="122"/>
      <c r="M125" s="180" t="e">
        <f>#REF!-G125</f>
        <v>#REF!</v>
      </c>
    </row>
    <row r="126" spans="1:13" s="114" customFormat="1">
      <c r="A126" s="96">
        <v>126</v>
      </c>
      <c r="B126" s="142" t="s">
        <v>349</v>
      </c>
      <c r="C126" s="16">
        <v>500000</v>
      </c>
      <c r="D126" s="16">
        <v>66650</v>
      </c>
      <c r="E126" s="41">
        <f t="shared" ref="E126:E139" si="18">SUM(C126:D126)</f>
        <v>566650</v>
      </c>
      <c r="F126" s="33">
        <v>50</v>
      </c>
      <c r="G126" s="154">
        <v>11333</v>
      </c>
      <c r="H126" s="97">
        <v>3</v>
      </c>
      <c r="I126" s="97">
        <f t="shared" si="15"/>
        <v>47</v>
      </c>
      <c r="J126" s="156">
        <f>(1*11333)</f>
        <v>11333</v>
      </c>
      <c r="K126" s="91">
        <f t="shared" si="16"/>
        <v>555317</v>
      </c>
      <c r="L126" s="122"/>
      <c r="M126" s="180" t="e">
        <f>#REF!-G126</f>
        <v>#REF!</v>
      </c>
    </row>
    <row r="127" spans="1:13" s="114" customFormat="1">
      <c r="A127" s="96">
        <v>127</v>
      </c>
      <c r="B127" s="142" t="s">
        <v>423</v>
      </c>
      <c r="C127" s="16">
        <v>132000</v>
      </c>
      <c r="D127" s="16">
        <v>17595.599999999999</v>
      </c>
      <c r="E127" s="41">
        <f t="shared" si="18"/>
        <v>149595.6</v>
      </c>
      <c r="F127" s="33">
        <v>40</v>
      </c>
      <c r="G127" s="16">
        <v>3739.89</v>
      </c>
      <c r="H127" s="97">
        <v>40</v>
      </c>
      <c r="I127" s="97">
        <f t="shared" si="15"/>
        <v>0</v>
      </c>
      <c r="J127" s="91">
        <f>H127*G127</f>
        <v>149595.6</v>
      </c>
      <c r="K127" s="94">
        <f t="shared" si="16"/>
        <v>0</v>
      </c>
      <c r="L127" s="11"/>
      <c r="M127" s="180" t="e">
        <f>#REF!-G127</f>
        <v>#REF!</v>
      </c>
    </row>
    <row r="128" spans="1:13" s="114" customFormat="1">
      <c r="A128" s="96">
        <v>128</v>
      </c>
      <c r="B128" s="142" t="s">
        <v>369</v>
      </c>
      <c r="C128" s="16">
        <v>450000</v>
      </c>
      <c r="D128" s="16">
        <v>59985</v>
      </c>
      <c r="E128" s="41">
        <f t="shared" si="18"/>
        <v>509985</v>
      </c>
      <c r="F128" s="33">
        <v>50</v>
      </c>
      <c r="G128" s="16">
        <v>10199.700000000001</v>
      </c>
      <c r="H128" s="97">
        <v>24</v>
      </c>
      <c r="I128" s="97">
        <f t="shared" si="15"/>
        <v>26</v>
      </c>
      <c r="J128" s="91">
        <f>H128*G128</f>
        <v>244792.80000000002</v>
      </c>
      <c r="K128" s="94">
        <f t="shared" si="16"/>
        <v>265192.19999999995</v>
      </c>
      <c r="L128" s="11"/>
      <c r="M128" s="180" t="e">
        <f>#REF!-G128</f>
        <v>#REF!</v>
      </c>
    </row>
    <row r="129" spans="1:14" s="114" customFormat="1">
      <c r="A129" s="96">
        <v>129</v>
      </c>
      <c r="B129" s="142" t="s">
        <v>350</v>
      </c>
      <c r="C129" s="16">
        <v>500000</v>
      </c>
      <c r="D129" s="16">
        <v>66650</v>
      </c>
      <c r="E129" s="41">
        <f t="shared" si="18"/>
        <v>566650</v>
      </c>
      <c r="F129" s="33">
        <v>50</v>
      </c>
      <c r="G129" s="154">
        <v>11333</v>
      </c>
      <c r="H129" s="97">
        <v>3</v>
      </c>
      <c r="I129" s="97">
        <f t="shared" si="15"/>
        <v>47</v>
      </c>
      <c r="J129" s="156">
        <f>(1*11333)</f>
        <v>11333</v>
      </c>
      <c r="K129" s="91">
        <f t="shared" si="16"/>
        <v>555317</v>
      </c>
      <c r="L129" s="11"/>
      <c r="M129" s="180" t="e">
        <f>#REF!-G129</f>
        <v>#REF!</v>
      </c>
    </row>
    <row r="130" spans="1:14" s="114" customFormat="1">
      <c r="A130" s="96">
        <v>130</v>
      </c>
      <c r="B130" s="142" t="s">
        <v>35</v>
      </c>
      <c r="C130" s="155">
        <v>150000</v>
      </c>
      <c r="D130" s="155">
        <v>19995</v>
      </c>
      <c r="E130" s="155">
        <f t="shared" si="18"/>
        <v>169995</v>
      </c>
      <c r="F130" s="33">
        <v>50</v>
      </c>
      <c r="G130" s="154">
        <v>3399.9</v>
      </c>
      <c r="H130" s="97">
        <v>10</v>
      </c>
      <c r="I130" s="97">
        <f t="shared" si="15"/>
        <v>40</v>
      </c>
      <c r="J130" s="91">
        <f t="shared" ref="J130:J158" si="19">H130*G130</f>
        <v>33999</v>
      </c>
      <c r="K130" s="91">
        <f t="shared" si="16"/>
        <v>135996</v>
      </c>
      <c r="L130" s="122"/>
      <c r="M130" s="180" t="e">
        <f>#REF!-G130</f>
        <v>#REF!</v>
      </c>
      <c r="N130" s="120"/>
    </row>
    <row r="131" spans="1:14" s="114" customFormat="1">
      <c r="A131" s="96">
        <v>131</v>
      </c>
      <c r="B131" s="142" t="s">
        <v>378</v>
      </c>
      <c r="C131" s="12">
        <v>330000</v>
      </c>
      <c r="D131" s="12">
        <v>43989</v>
      </c>
      <c r="E131" s="15">
        <f t="shared" si="18"/>
        <v>373989</v>
      </c>
      <c r="F131" s="31">
        <v>50</v>
      </c>
      <c r="G131" s="12">
        <v>7479.78</v>
      </c>
      <c r="H131" s="14">
        <v>30</v>
      </c>
      <c r="I131" s="97">
        <f t="shared" si="15"/>
        <v>20</v>
      </c>
      <c r="J131" s="91">
        <f t="shared" si="19"/>
        <v>224393.4</v>
      </c>
      <c r="K131" s="15">
        <f t="shared" si="16"/>
        <v>149595.6</v>
      </c>
      <c r="L131" s="8"/>
      <c r="M131" s="180" t="e">
        <f>#REF!-G131</f>
        <v>#REF!</v>
      </c>
    </row>
    <row r="132" spans="1:14" s="114" customFormat="1">
      <c r="A132" s="96">
        <v>132</v>
      </c>
      <c r="B132" s="142" t="s">
        <v>351</v>
      </c>
      <c r="C132" s="16">
        <v>500000</v>
      </c>
      <c r="D132" s="16">
        <v>66650</v>
      </c>
      <c r="E132" s="41">
        <f t="shared" si="18"/>
        <v>566650</v>
      </c>
      <c r="F132" s="33">
        <v>50</v>
      </c>
      <c r="G132" s="16">
        <v>11333</v>
      </c>
      <c r="H132" s="97">
        <v>24</v>
      </c>
      <c r="I132" s="97">
        <f t="shared" si="15"/>
        <v>26</v>
      </c>
      <c r="J132" s="91">
        <f t="shared" si="19"/>
        <v>271992</v>
      </c>
      <c r="K132" s="94">
        <f t="shared" si="16"/>
        <v>294658</v>
      </c>
      <c r="L132" s="11"/>
      <c r="M132" s="180" t="e">
        <f>#REF!-G132</f>
        <v>#REF!</v>
      </c>
    </row>
    <row r="133" spans="1:14" s="120" customFormat="1">
      <c r="A133" s="96">
        <v>133</v>
      </c>
      <c r="B133" s="187" t="s">
        <v>300</v>
      </c>
      <c r="C133" s="16">
        <v>500000</v>
      </c>
      <c r="D133" s="16">
        <v>66650</v>
      </c>
      <c r="E133" s="41">
        <f t="shared" si="18"/>
        <v>566650</v>
      </c>
      <c r="F133" s="33">
        <v>50</v>
      </c>
      <c r="G133" s="16">
        <v>11333</v>
      </c>
      <c r="H133" s="97">
        <v>29</v>
      </c>
      <c r="I133" s="97">
        <f t="shared" si="15"/>
        <v>21</v>
      </c>
      <c r="J133" s="91">
        <f t="shared" si="19"/>
        <v>328657</v>
      </c>
      <c r="K133" s="94">
        <f t="shared" si="16"/>
        <v>237993</v>
      </c>
      <c r="L133" s="11"/>
      <c r="M133" s="180" t="e">
        <f>#REF!-G133</f>
        <v>#REF!</v>
      </c>
      <c r="N133" s="114"/>
    </row>
    <row r="134" spans="1:14" s="114" customFormat="1">
      <c r="A134" s="96">
        <v>134</v>
      </c>
      <c r="B134" s="142" t="s">
        <v>379</v>
      </c>
      <c r="C134" s="12">
        <v>330000</v>
      </c>
      <c r="D134" s="12">
        <v>43989</v>
      </c>
      <c r="E134" s="15">
        <f t="shared" si="18"/>
        <v>373989</v>
      </c>
      <c r="F134" s="31">
        <v>50</v>
      </c>
      <c r="G134" s="12">
        <v>7479.78</v>
      </c>
      <c r="H134" s="14">
        <v>30</v>
      </c>
      <c r="I134" s="97">
        <f t="shared" ref="I134:I159" si="20">F134-H134</f>
        <v>20</v>
      </c>
      <c r="J134" s="91">
        <f t="shared" si="19"/>
        <v>224393.4</v>
      </c>
      <c r="K134" s="15">
        <f t="shared" ref="K134:K159" si="21">E134-J134</f>
        <v>149595.6</v>
      </c>
      <c r="L134" s="8"/>
      <c r="M134" s="180" t="e">
        <f>#REF!-G134</f>
        <v>#REF!</v>
      </c>
    </row>
    <row r="135" spans="1:14" s="114" customFormat="1">
      <c r="A135" s="96">
        <v>135</v>
      </c>
      <c r="B135" s="238" t="s">
        <v>302</v>
      </c>
      <c r="C135" s="16">
        <v>500000</v>
      </c>
      <c r="D135" s="16">
        <v>47992</v>
      </c>
      <c r="E135" s="41">
        <f t="shared" si="18"/>
        <v>547992</v>
      </c>
      <c r="F135" s="33">
        <v>36</v>
      </c>
      <c r="G135" s="16">
        <v>15222</v>
      </c>
      <c r="H135" s="97">
        <v>24</v>
      </c>
      <c r="I135" s="97">
        <f t="shared" si="20"/>
        <v>12</v>
      </c>
      <c r="J135" s="91">
        <f t="shared" si="19"/>
        <v>365328</v>
      </c>
      <c r="K135" s="94">
        <f t="shared" si="21"/>
        <v>182664</v>
      </c>
      <c r="L135" s="11"/>
      <c r="M135" s="180" t="e">
        <f>#REF!-G135</f>
        <v>#REF!</v>
      </c>
    </row>
    <row r="136" spans="1:14" s="114" customFormat="1">
      <c r="A136" s="96">
        <v>136</v>
      </c>
      <c r="B136" s="142" t="s">
        <v>87</v>
      </c>
      <c r="C136" s="16">
        <v>500000</v>
      </c>
      <c r="D136" s="16">
        <v>66650</v>
      </c>
      <c r="E136" s="41">
        <f t="shared" si="18"/>
        <v>566650</v>
      </c>
      <c r="F136" s="33">
        <v>50</v>
      </c>
      <c r="G136" s="16">
        <v>11333</v>
      </c>
      <c r="H136" s="97">
        <v>46</v>
      </c>
      <c r="I136" s="97">
        <f t="shared" si="20"/>
        <v>4</v>
      </c>
      <c r="J136" s="91">
        <f t="shared" si="19"/>
        <v>521318</v>
      </c>
      <c r="K136" s="94">
        <f t="shared" si="21"/>
        <v>45332</v>
      </c>
      <c r="L136" s="11"/>
      <c r="M136" s="180" t="e">
        <f>#REF!-G136</f>
        <v>#REF!</v>
      </c>
    </row>
    <row r="137" spans="1:14" s="114" customFormat="1">
      <c r="A137" s="96">
        <v>137</v>
      </c>
      <c r="B137" s="142" t="s">
        <v>370</v>
      </c>
      <c r="C137" s="16">
        <v>450000</v>
      </c>
      <c r="D137" s="16">
        <v>59985</v>
      </c>
      <c r="E137" s="41">
        <f t="shared" si="18"/>
        <v>509985</v>
      </c>
      <c r="F137" s="33">
        <v>50</v>
      </c>
      <c r="G137" s="16">
        <v>10199.700000000001</v>
      </c>
      <c r="H137" s="97">
        <v>25</v>
      </c>
      <c r="I137" s="97">
        <f t="shared" si="20"/>
        <v>25</v>
      </c>
      <c r="J137" s="91">
        <f t="shared" si="19"/>
        <v>254992.50000000003</v>
      </c>
      <c r="K137" s="94">
        <f t="shared" si="21"/>
        <v>254992.49999999997</v>
      </c>
      <c r="L137" s="11"/>
      <c r="M137" s="180" t="e">
        <f>#REF!-G137</f>
        <v>#REF!</v>
      </c>
    </row>
    <row r="138" spans="1:14" s="114" customFormat="1">
      <c r="A138" s="96">
        <v>138</v>
      </c>
      <c r="B138" s="142" t="s">
        <v>352</v>
      </c>
      <c r="C138" s="16">
        <v>500000</v>
      </c>
      <c r="D138" s="16">
        <v>66650</v>
      </c>
      <c r="E138" s="41">
        <f t="shared" si="18"/>
        <v>566650</v>
      </c>
      <c r="F138" s="33">
        <v>50</v>
      </c>
      <c r="G138" s="16">
        <v>11333</v>
      </c>
      <c r="H138" s="97">
        <v>25</v>
      </c>
      <c r="I138" s="97">
        <f t="shared" si="20"/>
        <v>25</v>
      </c>
      <c r="J138" s="91">
        <f t="shared" si="19"/>
        <v>283325</v>
      </c>
      <c r="K138" s="94">
        <f t="shared" si="21"/>
        <v>283325</v>
      </c>
      <c r="L138" s="11"/>
      <c r="M138" s="180" t="e">
        <f>#REF!-G138</f>
        <v>#REF!</v>
      </c>
    </row>
    <row r="139" spans="1:14" s="114" customFormat="1">
      <c r="A139" s="96">
        <v>139</v>
      </c>
      <c r="B139" s="142" t="s">
        <v>371</v>
      </c>
      <c r="C139" s="16">
        <v>450000</v>
      </c>
      <c r="D139" s="16">
        <v>59985</v>
      </c>
      <c r="E139" s="41">
        <f t="shared" si="18"/>
        <v>509985</v>
      </c>
      <c r="F139" s="33">
        <v>50</v>
      </c>
      <c r="G139" s="16">
        <v>10199.700000000001</v>
      </c>
      <c r="H139" s="97">
        <v>25</v>
      </c>
      <c r="I139" s="97">
        <f t="shared" si="20"/>
        <v>25</v>
      </c>
      <c r="J139" s="91">
        <f t="shared" si="19"/>
        <v>254992.50000000003</v>
      </c>
      <c r="K139" s="94">
        <f t="shared" si="21"/>
        <v>254992.49999999997</v>
      </c>
      <c r="L139" s="11"/>
      <c r="M139" s="180" t="e">
        <f>#REF!-G139</f>
        <v>#REF!</v>
      </c>
    </row>
    <row r="140" spans="1:14" s="114" customFormat="1">
      <c r="A140" s="96">
        <v>140</v>
      </c>
      <c r="B140" s="142" t="s">
        <v>353</v>
      </c>
      <c r="C140" s="19">
        <v>500000</v>
      </c>
      <c r="D140" s="19">
        <v>66650</v>
      </c>
      <c r="E140" s="19">
        <v>566650</v>
      </c>
      <c r="F140" s="33">
        <v>50</v>
      </c>
      <c r="G140" s="16">
        <v>11333</v>
      </c>
      <c r="H140" s="97">
        <v>11</v>
      </c>
      <c r="I140" s="97">
        <f t="shared" si="20"/>
        <v>39</v>
      </c>
      <c r="J140" s="91">
        <f t="shared" si="19"/>
        <v>124663</v>
      </c>
      <c r="K140" s="91">
        <f t="shared" si="21"/>
        <v>441987</v>
      </c>
      <c r="L140" s="122"/>
      <c r="M140" s="180" t="e">
        <f>#REF!-G140</f>
        <v>#REF!</v>
      </c>
    </row>
    <row r="141" spans="1:14" s="114" customFormat="1">
      <c r="A141" s="96">
        <v>141</v>
      </c>
      <c r="B141" s="142" t="s">
        <v>354</v>
      </c>
      <c r="C141" s="12">
        <v>500000</v>
      </c>
      <c r="D141" s="12">
        <v>66650</v>
      </c>
      <c r="E141" s="15">
        <f>SUM(C141:D141)</f>
        <v>566650</v>
      </c>
      <c r="F141" s="31">
        <v>50</v>
      </c>
      <c r="G141" s="12">
        <v>11333</v>
      </c>
      <c r="H141" s="14">
        <v>30</v>
      </c>
      <c r="I141" s="97">
        <f t="shared" si="20"/>
        <v>20</v>
      </c>
      <c r="J141" s="91">
        <f t="shared" si="19"/>
        <v>339990</v>
      </c>
      <c r="K141" s="15">
        <f t="shared" si="21"/>
        <v>226660</v>
      </c>
      <c r="L141" s="8"/>
      <c r="M141" s="180" t="e">
        <f>#REF!-G141</f>
        <v>#REF!</v>
      </c>
    </row>
    <row r="142" spans="1:14" s="114" customFormat="1">
      <c r="A142" s="96">
        <v>142</v>
      </c>
      <c r="B142" s="142" t="s">
        <v>380</v>
      </c>
      <c r="C142" s="16">
        <v>330000</v>
      </c>
      <c r="D142" s="16">
        <v>43989</v>
      </c>
      <c r="E142" s="41">
        <f>SUM(C142:D142)</f>
        <v>373989</v>
      </c>
      <c r="F142" s="33">
        <v>50</v>
      </c>
      <c r="G142" s="16">
        <v>7479.78</v>
      </c>
      <c r="H142" s="159">
        <v>33</v>
      </c>
      <c r="I142" s="97">
        <f t="shared" si="20"/>
        <v>17</v>
      </c>
      <c r="J142" s="91">
        <f t="shared" si="19"/>
        <v>246832.74</v>
      </c>
      <c r="K142" s="94">
        <f t="shared" si="21"/>
        <v>127156.26000000001</v>
      </c>
      <c r="L142" s="11"/>
      <c r="M142" s="180" t="e">
        <f>#REF!-G142</f>
        <v>#REF!</v>
      </c>
    </row>
    <row r="143" spans="1:14" s="114" customFormat="1">
      <c r="A143" s="96">
        <v>143</v>
      </c>
      <c r="B143" s="142" t="s">
        <v>381</v>
      </c>
      <c r="C143" s="155">
        <v>330000</v>
      </c>
      <c r="D143" s="155">
        <v>43989</v>
      </c>
      <c r="E143" s="155">
        <f>SUM(C143:D143)</f>
        <v>373989</v>
      </c>
      <c r="F143" s="33">
        <v>50</v>
      </c>
      <c r="G143" s="154">
        <v>7479.78</v>
      </c>
      <c r="H143" s="97">
        <v>11</v>
      </c>
      <c r="I143" s="97">
        <f t="shared" si="20"/>
        <v>39</v>
      </c>
      <c r="J143" s="91">
        <f t="shared" si="19"/>
        <v>82277.58</v>
      </c>
      <c r="K143" s="91">
        <f t="shared" si="21"/>
        <v>291711.42</v>
      </c>
      <c r="L143" s="122"/>
      <c r="M143" s="180" t="e">
        <f>#REF!-G143</f>
        <v>#REF!</v>
      </c>
    </row>
    <row r="144" spans="1:14" s="114" customFormat="1">
      <c r="A144" s="96">
        <v>144</v>
      </c>
      <c r="B144" s="142" t="s">
        <v>29</v>
      </c>
      <c r="C144" s="19">
        <v>450000</v>
      </c>
      <c r="D144" s="19">
        <v>59985</v>
      </c>
      <c r="E144" s="19">
        <v>509985</v>
      </c>
      <c r="F144" s="33">
        <v>50</v>
      </c>
      <c r="G144" s="16">
        <v>10199.700000000001</v>
      </c>
      <c r="H144" s="97">
        <v>11</v>
      </c>
      <c r="I144" s="97">
        <f t="shared" si="20"/>
        <v>39</v>
      </c>
      <c r="J144" s="91">
        <f t="shared" si="19"/>
        <v>112196.70000000001</v>
      </c>
      <c r="K144" s="91">
        <f t="shared" si="21"/>
        <v>397788.3</v>
      </c>
      <c r="L144" s="122"/>
      <c r="M144" s="180" t="e">
        <f>#REF!-G144</f>
        <v>#REF!</v>
      </c>
    </row>
    <row r="145" spans="1:14" s="114" customFormat="1">
      <c r="A145" s="96">
        <v>145</v>
      </c>
      <c r="B145" s="239" t="s">
        <v>382</v>
      </c>
      <c r="C145" s="12">
        <v>330000</v>
      </c>
      <c r="D145" s="12">
        <v>43989</v>
      </c>
      <c r="E145" s="15">
        <f>SUM(C145:D145)</f>
        <v>373989</v>
      </c>
      <c r="F145" s="31">
        <v>50</v>
      </c>
      <c r="G145" s="12">
        <v>7479.78</v>
      </c>
      <c r="H145" s="14">
        <v>29</v>
      </c>
      <c r="I145" s="97">
        <f t="shared" si="20"/>
        <v>21</v>
      </c>
      <c r="J145" s="91">
        <f t="shared" si="19"/>
        <v>216913.62</v>
      </c>
      <c r="K145" s="15">
        <f t="shared" si="21"/>
        <v>157075.38</v>
      </c>
      <c r="L145" s="8"/>
      <c r="M145" s="180" t="e">
        <f>#REF!-G145</f>
        <v>#REF!</v>
      </c>
    </row>
    <row r="146" spans="1:14" s="114" customFormat="1">
      <c r="A146" s="96">
        <v>146</v>
      </c>
      <c r="B146" s="142" t="s">
        <v>355</v>
      </c>
      <c r="C146" s="16">
        <v>500000</v>
      </c>
      <c r="D146" s="16">
        <v>66650</v>
      </c>
      <c r="E146" s="41">
        <f>SUM(C146:D146)</f>
        <v>566650</v>
      </c>
      <c r="F146" s="33">
        <v>50</v>
      </c>
      <c r="G146" s="16">
        <v>11333</v>
      </c>
      <c r="H146" s="97">
        <v>45</v>
      </c>
      <c r="I146" s="97">
        <f t="shared" si="20"/>
        <v>5</v>
      </c>
      <c r="J146" s="91">
        <f t="shared" si="19"/>
        <v>509985</v>
      </c>
      <c r="K146" s="94">
        <f t="shared" si="21"/>
        <v>56665</v>
      </c>
      <c r="L146" s="11"/>
      <c r="M146" s="180" t="e">
        <f>#REF!-G146</f>
        <v>#REF!</v>
      </c>
    </row>
    <row r="147" spans="1:14" s="114" customFormat="1">
      <c r="A147" s="96">
        <v>147</v>
      </c>
      <c r="B147" s="142" t="s">
        <v>356</v>
      </c>
      <c r="C147" s="16">
        <v>500000</v>
      </c>
      <c r="D147" s="16">
        <v>66650</v>
      </c>
      <c r="E147" s="41">
        <f>SUM(C147:D147)</f>
        <v>566650</v>
      </c>
      <c r="F147" s="33">
        <v>50</v>
      </c>
      <c r="G147" s="16">
        <v>11333</v>
      </c>
      <c r="H147" s="97">
        <v>24</v>
      </c>
      <c r="I147" s="97">
        <f t="shared" si="20"/>
        <v>26</v>
      </c>
      <c r="J147" s="91">
        <f t="shared" si="19"/>
        <v>271992</v>
      </c>
      <c r="K147" s="94">
        <f t="shared" si="21"/>
        <v>294658</v>
      </c>
      <c r="L147" s="11"/>
      <c r="M147" s="180" t="e">
        <f>#REF!-G147</f>
        <v>#REF!</v>
      </c>
    </row>
    <row r="148" spans="1:14" s="114" customFormat="1">
      <c r="A148" s="96">
        <v>148</v>
      </c>
      <c r="B148" s="142" t="s">
        <v>357</v>
      </c>
      <c r="C148" s="12">
        <v>500000</v>
      </c>
      <c r="D148" s="12">
        <v>66650</v>
      </c>
      <c r="E148" s="15">
        <f>SUM(C148:D148)</f>
        <v>566650</v>
      </c>
      <c r="F148" s="31">
        <v>50</v>
      </c>
      <c r="G148" s="12">
        <v>11333</v>
      </c>
      <c r="H148" s="14">
        <v>30</v>
      </c>
      <c r="I148" s="97">
        <f t="shared" si="20"/>
        <v>20</v>
      </c>
      <c r="J148" s="91">
        <f t="shared" si="19"/>
        <v>339990</v>
      </c>
      <c r="K148" s="15">
        <f t="shared" si="21"/>
        <v>226660</v>
      </c>
      <c r="L148" s="8"/>
      <c r="M148" s="180" t="e">
        <f>#REF!-G148</f>
        <v>#REF!</v>
      </c>
    </row>
    <row r="149" spans="1:14" s="114" customFormat="1">
      <c r="A149" s="96">
        <v>149</v>
      </c>
      <c r="B149" s="142" t="s">
        <v>358</v>
      </c>
      <c r="C149" s="16">
        <v>500000</v>
      </c>
      <c r="D149" s="16">
        <v>66650</v>
      </c>
      <c r="E149" s="16">
        <v>566650</v>
      </c>
      <c r="F149" s="33">
        <v>50</v>
      </c>
      <c r="G149" s="16">
        <v>11333</v>
      </c>
      <c r="H149" s="97">
        <v>11</v>
      </c>
      <c r="I149" s="97">
        <f t="shared" si="20"/>
        <v>39</v>
      </c>
      <c r="J149" s="91">
        <f t="shared" si="19"/>
        <v>124663</v>
      </c>
      <c r="K149" s="91">
        <f t="shared" si="21"/>
        <v>441987</v>
      </c>
      <c r="L149" s="122"/>
      <c r="M149" s="180" t="e">
        <f>#REF!-G149</f>
        <v>#REF!</v>
      </c>
    </row>
    <row r="150" spans="1:14" s="114" customFormat="1">
      <c r="A150" s="96">
        <v>150</v>
      </c>
      <c r="B150" s="142" t="s">
        <v>303</v>
      </c>
      <c r="C150" s="16">
        <v>500000</v>
      </c>
      <c r="D150" s="16">
        <v>47992</v>
      </c>
      <c r="E150" s="41">
        <f>SUM(C150:D150)</f>
        <v>547992</v>
      </c>
      <c r="F150" s="33">
        <v>36</v>
      </c>
      <c r="G150" s="16">
        <v>15222</v>
      </c>
      <c r="H150" s="97">
        <v>24</v>
      </c>
      <c r="I150" s="97">
        <f t="shared" si="20"/>
        <v>12</v>
      </c>
      <c r="J150" s="91">
        <f t="shared" si="19"/>
        <v>365328</v>
      </c>
      <c r="K150" s="94">
        <f t="shared" si="21"/>
        <v>182664</v>
      </c>
      <c r="L150" s="11"/>
      <c r="M150" s="180" t="e">
        <f>#REF!-G150</f>
        <v>#REF!</v>
      </c>
    </row>
    <row r="151" spans="1:14" s="114" customFormat="1">
      <c r="A151" s="96">
        <v>151</v>
      </c>
      <c r="B151" s="170" t="s">
        <v>290</v>
      </c>
      <c r="C151" s="155">
        <v>150000</v>
      </c>
      <c r="D151" s="155">
        <v>19995</v>
      </c>
      <c r="E151" s="155">
        <f>SUM(C151:D151)</f>
        <v>169995</v>
      </c>
      <c r="F151" s="33">
        <v>50</v>
      </c>
      <c r="G151" s="153">
        <v>3399.9</v>
      </c>
      <c r="H151" s="97">
        <v>24</v>
      </c>
      <c r="I151" s="97">
        <f t="shared" si="20"/>
        <v>26</v>
      </c>
      <c r="J151" s="91">
        <f t="shared" si="19"/>
        <v>81597.600000000006</v>
      </c>
      <c r="K151" s="94">
        <f t="shared" si="21"/>
        <v>88397.4</v>
      </c>
      <c r="L151" s="122"/>
      <c r="M151" s="180" t="e">
        <f>#REF!-G151</f>
        <v>#REF!</v>
      </c>
    </row>
    <row r="152" spans="1:14" s="114" customFormat="1">
      <c r="A152" s="96">
        <v>152</v>
      </c>
      <c r="B152" s="142" t="s">
        <v>410</v>
      </c>
      <c r="C152" s="41">
        <v>200000</v>
      </c>
      <c r="D152" s="41">
        <v>26660</v>
      </c>
      <c r="E152" s="41">
        <f>SUM(C152:D152)</f>
        <v>226660</v>
      </c>
      <c r="F152" s="33">
        <v>40</v>
      </c>
      <c r="G152" s="41">
        <v>5666.5</v>
      </c>
      <c r="H152" s="97">
        <v>39</v>
      </c>
      <c r="I152" s="97">
        <f t="shared" si="20"/>
        <v>1</v>
      </c>
      <c r="J152" s="91">
        <f t="shared" si="19"/>
        <v>220993.5</v>
      </c>
      <c r="K152" s="94">
        <f t="shared" si="21"/>
        <v>5666.5</v>
      </c>
      <c r="L152" s="11"/>
      <c r="M152" s="180" t="e">
        <f>#REF!-G152</f>
        <v>#REF!</v>
      </c>
    </row>
    <row r="153" spans="1:14" s="114" customFormat="1">
      <c r="A153" s="96">
        <v>153</v>
      </c>
      <c r="B153" s="142" t="s">
        <v>429</v>
      </c>
      <c r="C153" s="16">
        <v>60000</v>
      </c>
      <c r="D153" s="16">
        <v>7998</v>
      </c>
      <c r="E153" s="41">
        <f>SUM(C153:D153)</f>
        <v>67998</v>
      </c>
      <c r="F153" s="33">
        <v>40</v>
      </c>
      <c r="G153" s="16">
        <v>1699.95</v>
      </c>
      <c r="H153" s="97">
        <v>38</v>
      </c>
      <c r="I153" s="97">
        <f t="shared" si="20"/>
        <v>2</v>
      </c>
      <c r="J153" s="91">
        <f t="shared" si="19"/>
        <v>64598.1</v>
      </c>
      <c r="K153" s="94">
        <f t="shared" si="21"/>
        <v>3399.9000000000015</v>
      </c>
      <c r="L153" s="11"/>
      <c r="M153" s="180" t="e">
        <f>#REF!-G153</f>
        <v>#REF!</v>
      </c>
    </row>
    <row r="154" spans="1:14" s="114" customFormat="1">
      <c r="A154" s="96">
        <v>154</v>
      </c>
      <c r="B154" s="142" t="s">
        <v>411</v>
      </c>
      <c r="C154" s="41">
        <v>200000</v>
      </c>
      <c r="D154" s="41">
        <v>26660</v>
      </c>
      <c r="E154" s="41">
        <v>226660</v>
      </c>
      <c r="F154" s="33">
        <v>40</v>
      </c>
      <c r="G154" s="19">
        <v>5666.5</v>
      </c>
      <c r="H154" s="97">
        <v>39</v>
      </c>
      <c r="I154" s="97">
        <f t="shared" si="20"/>
        <v>1</v>
      </c>
      <c r="J154" s="91">
        <f t="shared" si="19"/>
        <v>220993.5</v>
      </c>
      <c r="K154" s="94">
        <f t="shared" si="21"/>
        <v>5666.5</v>
      </c>
      <c r="L154" s="11"/>
      <c r="M154" s="180" t="e">
        <f>#REF!-G154</f>
        <v>#REF!</v>
      </c>
    </row>
    <row r="155" spans="1:14" s="114" customFormat="1">
      <c r="A155" s="96">
        <v>155</v>
      </c>
      <c r="B155" s="142" t="s">
        <v>412</v>
      </c>
      <c r="C155" s="41">
        <v>200000</v>
      </c>
      <c r="D155" s="41">
        <v>26660</v>
      </c>
      <c r="E155" s="41">
        <f>SUM(C155:D155)</f>
        <v>226660</v>
      </c>
      <c r="F155" s="33">
        <v>40</v>
      </c>
      <c r="G155" s="41">
        <v>5666.5</v>
      </c>
      <c r="H155" s="97">
        <v>39</v>
      </c>
      <c r="I155" s="97">
        <f t="shared" si="20"/>
        <v>1</v>
      </c>
      <c r="J155" s="91">
        <f t="shared" si="19"/>
        <v>220993.5</v>
      </c>
      <c r="K155" s="94">
        <f t="shared" si="21"/>
        <v>5666.5</v>
      </c>
      <c r="L155" s="11"/>
      <c r="M155" s="180" t="e">
        <f>#REF!-G155</f>
        <v>#REF!</v>
      </c>
    </row>
    <row r="156" spans="1:14" s="114" customFormat="1">
      <c r="A156" s="96">
        <v>156</v>
      </c>
      <c r="B156" s="142" t="s">
        <v>320</v>
      </c>
      <c r="C156" s="16">
        <v>500000</v>
      </c>
      <c r="D156" s="16">
        <v>66650</v>
      </c>
      <c r="E156" s="41">
        <f>SUM(C156:D156)</f>
        <v>566650</v>
      </c>
      <c r="F156" s="33">
        <v>50</v>
      </c>
      <c r="G156" s="176">
        <v>11333</v>
      </c>
      <c r="H156" s="188">
        <v>1</v>
      </c>
      <c r="I156" s="188">
        <f t="shared" si="20"/>
        <v>49</v>
      </c>
      <c r="J156" s="91">
        <f t="shared" si="19"/>
        <v>11333</v>
      </c>
      <c r="K156" s="94">
        <f t="shared" si="21"/>
        <v>555317</v>
      </c>
      <c r="L156" s="122"/>
    </row>
    <row r="157" spans="1:14" s="114" customFormat="1">
      <c r="A157" s="96">
        <v>157</v>
      </c>
      <c r="B157" s="170" t="s">
        <v>359</v>
      </c>
      <c r="C157" s="16">
        <v>500000</v>
      </c>
      <c r="D157" s="16">
        <v>66650</v>
      </c>
      <c r="E157" s="41">
        <f>SUM(C157:D157)</f>
        <v>566650</v>
      </c>
      <c r="F157" s="33">
        <v>50</v>
      </c>
      <c r="G157" s="176">
        <v>11333</v>
      </c>
      <c r="H157" s="188">
        <v>46</v>
      </c>
      <c r="I157" s="97">
        <f t="shared" si="20"/>
        <v>4</v>
      </c>
      <c r="J157" s="91">
        <f t="shared" si="19"/>
        <v>521318</v>
      </c>
      <c r="K157" s="94">
        <f t="shared" si="21"/>
        <v>45332</v>
      </c>
      <c r="L157" s="122"/>
    </row>
    <row r="158" spans="1:14" s="114" customFormat="1">
      <c r="A158" s="96">
        <v>158</v>
      </c>
      <c r="B158" s="2" t="s">
        <v>482</v>
      </c>
      <c r="C158" s="12">
        <v>60000</v>
      </c>
      <c r="D158" s="12">
        <v>7998</v>
      </c>
      <c r="E158" s="15">
        <f>SUM(C158:D158)</f>
        <v>67998</v>
      </c>
      <c r="F158" s="31">
        <v>40</v>
      </c>
      <c r="G158" s="12">
        <v>1699.95</v>
      </c>
      <c r="H158" s="188">
        <v>40</v>
      </c>
      <c r="I158" s="97">
        <f t="shared" si="20"/>
        <v>0</v>
      </c>
      <c r="J158" s="91">
        <f t="shared" si="19"/>
        <v>67998</v>
      </c>
      <c r="K158" s="94">
        <f t="shared" si="21"/>
        <v>0</v>
      </c>
      <c r="L158" s="122"/>
    </row>
    <row r="159" spans="1:14" s="114" customFormat="1">
      <c r="A159" s="96">
        <v>159</v>
      </c>
      <c r="B159" s="2" t="s">
        <v>242</v>
      </c>
      <c r="C159" s="12">
        <v>60000</v>
      </c>
      <c r="D159" s="12">
        <v>7998</v>
      </c>
      <c r="E159" s="15">
        <f>SUM(C159:D159)</f>
        <v>67998</v>
      </c>
      <c r="F159" s="31">
        <v>40</v>
      </c>
      <c r="G159" s="12">
        <v>8499.75</v>
      </c>
      <c r="H159" s="188">
        <v>40</v>
      </c>
      <c r="I159" s="97">
        <f t="shared" si="20"/>
        <v>0</v>
      </c>
      <c r="J159" s="91"/>
      <c r="K159" s="94">
        <f t="shared" si="21"/>
        <v>67998</v>
      </c>
      <c r="L159" s="122"/>
    </row>
    <row r="160" spans="1:14" s="114" customFormat="1">
      <c r="A160" s="175"/>
      <c r="B160" s="8"/>
      <c r="C160" s="34">
        <f>SUM(C6:C159)</f>
        <v>54734000</v>
      </c>
      <c r="D160" s="34">
        <f>SUM(D6:D159)</f>
        <v>7185411.2000000002</v>
      </c>
      <c r="E160" s="34">
        <f>SUM(E6:E159)</f>
        <v>61919411.20000001</v>
      </c>
      <c r="F160" s="34"/>
      <c r="G160" s="34">
        <f>SUM(G6:G159)</f>
        <v>1324264.6799999995</v>
      </c>
      <c r="H160" s="34"/>
      <c r="I160" s="34"/>
      <c r="J160" s="34">
        <f>SUM(J6:J159)</f>
        <v>37011261.650000013</v>
      </c>
      <c r="K160" s="34">
        <f>SUM(K6:K159)</f>
        <v>24908149.549999997</v>
      </c>
      <c r="L160" s="8"/>
      <c r="M160"/>
      <c r="N160"/>
    </row>
    <row r="161" spans="1:14" s="114" customFormat="1">
      <c r="A161" s="44"/>
      <c r="B161" s="184"/>
      <c r="C161"/>
      <c r="D161"/>
      <c r="E161"/>
      <c r="F161" s="43"/>
      <c r="G161" s="165">
        <v>1314064.9799999986</v>
      </c>
      <c r="H161" s="99"/>
      <c r="I161" s="99"/>
      <c r="J161"/>
      <c r="K161"/>
      <c r="L161"/>
      <c r="M161"/>
      <c r="N161"/>
    </row>
    <row r="162" spans="1:14" s="114" customFormat="1">
      <c r="A162" s="44"/>
      <c r="B162" s="184"/>
      <c r="C162"/>
      <c r="D162"/>
      <c r="E162"/>
      <c r="F162" s="43"/>
      <c r="G162"/>
      <c r="H162" s="99"/>
      <c r="I162" s="99"/>
      <c r="J162"/>
      <c r="K162"/>
      <c r="L162"/>
      <c r="M162"/>
      <c r="N162"/>
    </row>
    <row r="163" spans="1:14">
      <c r="G163" s="39">
        <f>G161-G160</f>
        <v>-10199.700000000885</v>
      </c>
    </row>
    <row r="166" spans="1:14">
      <c r="A166" s="169"/>
      <c r="B166" s="185"/>
    </row>
    <row r="167" spans="1:14">
      <c r="B167" s="127" t="s">
        <v>478</v>
      </c>
      <c r="C167" s="129">
        <v>200000</v>
      </c>
      <c r="D167" s="129">
        <v>26660</v>
      </c>
      <c r="E167" s="129">
        <v>226660</v>
      </c>
      <c r="F167" s="130">
        <v>40</v>
      </c>
      <c r="G167" s="137">
        <v>5666.5</v>
      </c>
      <c r="H167" s="134">
        <v>40</v>
      </c>
      <c r="I167" s="134">
        <f>F167-H167</f>
        <v>0</v>
      </c>
      <c r="J167" s="135">
        <f>H167*G167</f>
        <v>226660</v>
      </c>
      <c r="K167" s="136">
        <f>E167-J167</f>
        <v>0</v>
      </c>
      <c r="L167" s="132"/>
      <c r="M167" s="121"/>
    </row>
    <row r="168" spans="1:14">
      <c r="B168" s="127" t="s">
        <v>479</v>
      </c>
      <c r="C168" s="129">
        <v>200000</v>
      </c>
      <c r="D168" s="129">
        <v>26660</v>
      </c>
      <c r="E168" s="129">
        <f>SUM(C168:D168)</f>
        <v>226660</v>
      </c>
      <c r="F168" s="130">
        <v>40</v>
      </c>
      <c r="G168" s="129">
        <v>5666.5</v>
      </c>
      <c r="H168" s="134">
        <v>40</v>
      </c>
      <c r="I168" s="134">
        <f>F168-H168</f>
        <v>0</v>
      </c>
      <c r="J168" s="135">
        <f>H168*G168</f>
        <v>226660</v>
      </c>
      <c r="K168" s="136">
        <f>E168-J168</f>
        <v>0</v>
      </c>
      <c r="L168" s="132"/>
      <c r="N168" s="121"/>
    </row>
    <row r="169" spans="1:14">
      <c r="B169" s="127" t="s">
        <v>249</v>
      </c>
      <c r="C169" s="128">
        <v>180000</v>
      </c>
      <c r="D169" s="128">
        <v>23994</v>
      </c>
      <c r="E169" s="129">
        <f>SUM(C169:D169)</f>
        <v>203994</v>
      </c>
      <c r="F169" s="130">
        <v>40</v>
      </c>
      <c r="G169" s="128">
        <v>5099.8500000000004</v>
      </c>
      <c r="H169" s="134">
        <v>45</v>
      </c>
      <c r="I169" s="134">
        <f>F169-H169</f>
        <v>-5</v>
      </c>
      <c r="J169" s="135">
        <f>H169*G169</f>
        <v>229493.25000000003</v>
      </c>
      <c r="K169" s="136">
        <f>E169-J169</f>
        <v>-25499.250000000029</v>
      </c>
      <c r="L169" s="132"/>
    </row>
    <row r="171" spans="1:14" s="121" customFormat="1">
      <c r="A171" s="44"/>
      <c r="B171" s="127" t="s">
        <v>1111</v>
      </c>
      <c r="C171" s="128">
        <v>180000</v>
      </c>
      <c r="D171" s="128">
        <v>23994</v>
      </c>
      <c r="E171" s="129">
        <f>SUM(C171:D171)</f>
        <v>203994</v>
      </c>
      <c r="F171" s="130">
        <v>40</v>
      </c>
      <c r="G171" s="128">
        <v>5099.8500000000004</v>
      </c>
      <c r="H171" s="131">
        <v>37</v>
      </c>
      <c r="I171" s="131">
        <f>F171-H171</f>
        <v>3</v>
      </c>
      <c r="J171" s="128">
        <f>H171*G171</f>
        <v>188694.45</v>
      </c>
      <c r="K171" s="129">
        <f>E171-J171</f>
        <v>15299.549999999988</v>
      </c>
      <c r="L171" s="132"/>
      <c r="M171"/>
      <c r="N171"/>
    </row>
    <row r="172" spans="1:14">
      <c r="B172" s="127" t="s">
        <v>468</v>
      </c>
      <c r="C172" s="129">
        <v>200000</v>
      </c>
      <c r="D172" s="129">
        <v>26660</v>
      </c>
      <c r="E172" s="129">
        <f>SUM(C172:D172)</f>
        <v>226660</v>
      </c>
      <c r="F172" s="130">
        <v>40</v>
      </c>
      <c r="G172" s="129">
        <v>5666.5</v>
      </c>
      <c r="H172" s="131">
        <v>40</v>
      </c>
      <c r="I172" s="131">
        <f>F172-H172</f>
        <v>0</v>
      </c>
      <c r="J172" s="128">
        <f>H172*G172</f>
        <v>226660</v>
      </c>
      <c r="K172" s="129">
        <f>E172-J172</f>
        <v>0</v>
      </c>
      <c r="L172" s="132"/>
    </row>
    <row r="173" spans="1:14">
      <c r="B173" s="127" t="s">
        <v>469</v>
      </c>
      <c r="C173" s="129">
        <v>200000</v>
      </c>
      <c r="D173" s="129">
        <v>26660</v>
      </c>
      <c r="E173" s="129">
        <f>SUM(C173:D173)</f>
        <v>226660</v>
      </c>
      <c r="F173" s="130">
        <v>40</v>
      </c>
      <c r="G173" s="129">
        <v>5666.5</v>
      </c>
      <c r="H173" s="131">
        <v>38</v>
      </c>
      <c r="I173" s="131">
        <f>F173-H173</f>
        <v>2</v>
      </c>
      <c r="J173" s="128">
        <f>H173*G173</f>
        <v>215327</v>
      </c>
      <c r="K173" s="129">
        <f>E173-J173</f>
        <v>11333</v>
      </c>
      <c r="L173" s="132"/>
    </row>
    <row r="174" spans="1:14">
      <c r="B174" s="127" t="s">
        <v>1112</v>
      </c>
      <c r="C174" s="128">
        <v>132000</v>
      </c>
      <c r="D174" s="128">
        <v>17595.599999999999</v>
      </c>
      <c r="E174" s="129">
        <f>SUM(C174:D174)</f>
        <v>149595.6</v>
      </c>
      <c r="F174" s="130">
        <v>40</v>
      </c>
      <c r="G174" s="128">
        <v>3739.89</v>
      </c>
      <c r="H174" s="131">
        <v>34</v>
      </c>
      <c r="I174" s="131">
        <f>F174-H174</f>
        <v>6</v>
      </c>
      <c r="J174" s="128">
        <f>H174*G174</f>
        <v>127156.26</v>
      </c>
      <c r="K174" s="129">
        <f>E174-J174</f>
        <v>22439.340000000011</v>
      </c>
      <c r="L174" s="132"/>
    </row>
    <row r="175" spans="1:14">
      <c r="A175" s="101">
        <v>132</v>
      </c>
    </row>
    <row r="176" spans="1:14">
      <c r="A176" s="101">
        <v>135</v>
      </c>
      <c r="B176" s="125" t="s">
        <v>480</v>
      </c>
      <c r="C176" s="129">
        <v>200000</v>
      </c>
      <c r="D176" s="129">
        <v>26660</v>
      </c>
      <c r="E176" s="129">
        <f>SUM(C176:D176)</f>
        <v>226660</v>
      </c>
      <c r="F176" s="130">
        <v>40</v>
      </c>
      <c r="G176" s="129">
        <v>5666.5</v>
      </c>
      <c r="H176" s="134">
        <v>37</v>
      </c>
      <c r="I176" s="134">
        <f>F176-H176</f>
        <v>3</v>
      </c>
      <c r="J176" s="135">
        <f>H176*G176</f>
        <v>209660.5</v>
      </c>
      <c r="K176" s="136">
        <f>E176-J176</f>
        <v>16999.5</v>
      </c>
      <c r="L176" s="132"/>
    </row>
    <row r="177" spans="1:12">
      <c r="A177" s="101">
        <v>167.333333333333</v>
      </c>
      <c r="B177" s="127" t="s">
        <v>1113</v>
      </c>
      <c r="C177" s="128">
        <v>180000</v>
      </c>
      <c r="D177" s="128">
        <v>23994</v>
      </c>
      <c r="E177" s="128">
        <v>203994</v>
      </c>
      <c r="F177" s="139">
        <v>40</v>
      </c>
      <c r="G177" s="137">
        <v>5099.8500000000004</v>
      </c>
      <c r="H177" s="134">
        <v>46</v>
      </c>
      <c r="I177" s="134">
        <f>F177-H177</f>
        <v>-6</v>
      </c>
      <c r="J177" s="135">
        <f>H177*G177</f>
        <v>234593.1</v>
      </c>
      <c r="K177" s="136">
        <f>E177-J177</f>
        <v>-30599.100000000006</v>
      </c>
      <c r="L177" s="140"/>
    </row>
    <row r="179" spans="1:12">
      <c r="A179" s="101">
        <v>144.833333333333</v>
      </c>
      <c r="B179" s="127" t="s">
        <v>470</v>
      </c>
      <c r="C179" s="129">
        <v>200000</v>
      </c>
      <c r="D179" s="129">
        <v>26660</v>
      </c>
      <c r="E179" s="129">
        <v>226660</v>
      </c>
      <c r="F179" s="130">
        <v>40</v>
      </c>
      <c r="G179" s="137">
        <v>5666.5</v>
      </c>
      <c r="H179" s="134">
        <v>40</v>
      </c>
      <c r="I179" s="134">
        <f t="shared" ref="I179:I190" si="22">F179-H179</f>
        <v>0</v>
      </c>
      <c r="J179" s="135">
        <f t="shared" ref="J179:J190" si="23">H179*G179</f>
        <v>226660</v>
      </c>
      <c r="K179" s="136">
        <f t="shared" ref="K179:K190" si="24">E179-J179</f>
        <v>0</v>
      </c>
      <c r="L179" s="132"/>
    </row>
    <row r="180" spans="1:12">
      <c r="A180" s="101">
        <v>146.333333333333</v>
      </c>
      <c r="B180" s="141" t="s">
        <v>467</v>
      </c>
      <c r="C180" s="129">
        <v>150000</v>
      </c>
      <c r="D180" s="129">
        <v>11997</v>
      </c>
      <c r="E180" s="129">
        <f t="shared" ref="E180:E187" si="25">SUM(C180:D180)</f>
        <v>161997</v>
      </c>
      <c r="F180" s="130">
        <v>30</v>
      </c>
      <c r="G180" s="129">
        <v>5399.9</v>
      </c>
      <c r="H180" s="134">
        <v>31</v>
      </c>
      <c r="I180" s="134">
        <f t="shared" si="22"/>
        <v>-1</v>
      </c>
      <c r="J180" s="135">
        <f t="shared" si="23"/>
        <v>167396.9</v>
      </c>
      <c r="K180" s="136">
        <f t="shared" si="24"/>
        <v>-5399.8999999999942</v>
      </c>
      <c r="L180" s="132"/>
    </row>
    <row r="181" spans="1:12">
      <c r="A181" s="101">
        <v>147.833333333333</v>
      </c>
      <c r="B181" s="127" t="s">
        <v>471</v>
      </c>
      <c r="C181" s="129">
        <v>200000</v>
      </c>
      <c r="D181" s="129">
        <v>26660</v>
      </c>
      <c r="E181" s="129">
        <f t="shared" si="25"/>
        <v>226660</v>
      </c>
      <c r="F181" s="130">
        <v>40</v>
      </c>
      <c r="G181" s="129">
        <v>5666.5</v>
      </c>
      <c r="H181" s="134">
        <v>40</v>
      </c>
      <c r="I181" s="134">
        <f t="shared" si="22"/>
        <v>0</v>
      </c>
      <c r="J181" s="135">
        <f t="shared" si="23"/>
        <v>226660</v>
      </c>
      <c r="K181" s="136">
        <f t="shared" si="24"/>
        <v>0</v>
      </c>
      <c r="L181" s="132"/>
    </row>
    <row r="182" spans="1:12">
      <c r="A182" s="101">
        <v>149.333333333333</v>
      </c>
      <c r="B182" s="125" t="s">
        <v>466</v>
      </c>
      <c r="C182" s="129">
        <v>200000</v>
      </c>
      <c r="D182" s="129">
        <v>26660</v>
      </c>
      <c r="E182" s="129">
        <f t="shared" si="25"/>
        <v>226660</v>
      </c>
      <c r="F182" s="130">
        <v>40</v>
      </c>
      <c r="G182" s="129">
        <v>5666.5</v>
      </c>
      <c r="H182" s="134">
        <v>38</v>
      </c>
      <c r="I182" s="134">
        <f t="shared" si="22"/>
        <v>2</v>
      </c>
      <c r="J182" s="135">
        <f t="shared" si="23"/>
        <v>215327</v>
      </c>
      <c r="K182" s="136">
        <f t="shared" si="24"/>
        <v>11333</v>
      </c>
      <c r="L182" s="132"/>
    </row>
    <row r="183" spans="1:12">
      <c r="A183" s="101">
        <v>150.833333333333</v>
      </c>
      <c r="B183" s="186" t="s">
        <v>285</v>
      </c>
      <c r="C183" s="128">
        <v>330000</v>
      </c>
      <c r="D183" s="128">
        <v>43989</v>
      </c>
      <c r="E183" s="129">
        <f t="shared" si="25"/>
        <v>373989</v>
      </c>
      <c r="F183" s="130">
        <v>50</v>
      </c>
      <c r="G183" s="138">
        <v>7479</v>
      </c>
      <c r="H183" s="134">
        <v>8</v>
      </c>
      <c r="I183" s="134">
        <f t="shared" si="22"/>
        <v>42</v>
      </c>
      <c r="J183" s="135">
        <f t="shared" si="23"/>
        <v>59832</v>
      </c>
      <c r="K183" s="136">
        <f t="shared" si="24"/>
        <v>314157</v>
      </c>
      <c r="L183" s="124"/>
    </row>
    <row r="184" spans="1:12">
      <c r="A184" s="101">
        <v>152.333333333333</v>
      </c>
      <c r="B184" s="125" t="s">
        <v>1114</v>
      </c>
      <c r="C184" s="129">
        <v>200000</v>
      </c>
      <c r="D184" s="129">
        <v>26660</v>
      </c>
      <c r="E184" s="129">
        <f t="shared" si="25"/>
        <v>226660</v>
      </c>
      <c r="F184" s="130">
        <v>40</v>
      </c>
      <c r="G184" s="133">
        <v>3739.89</v>
      </c>
      <c r="H184" s="134">
        <v>40</v>
      </c>
      <c r="I184" s="134">
        <f t="shared" si="22"/>
        <v>0</v>
      </c>
      <c r="J184" s="135">
        <f t="shared" si="23"/>
        <v>149595.6</v>
      </c>
      <c r="K184" s="136">
        <f t="shared" si="24"/>
        <v>77064.399999999994</v>
      </c>
      <c r="L184" s="132"/>
    </row>
    <row r="185" spans="1:12">
      <c r="A185" s="101">
        <v>153.833333333333</v>
      </c>
      <c r="B185" s="125" t="s">
        <v>472</v>
      </c>
      <c r="C185" s="129">
        <v>200000</v>
      </c>
      <c r="D185" s="129">
        <v>26660</v>
      </c>
      <c r="E185" s="129">
        <f t="shared" si="25"/>
        <v>226660</v>
      </c>
      <c r="F185" s="130">
        <v>40</v>
      </c>
      <c r="G185" s="129">
        <v>5666.5</v>
      </c>
      <c r="H185" s="134">
        <v>40</v>
      </c>
      <c r="I185" s="134">
        <f t="shared" si="22"/>
        <v>0</v>
      </c>
      <c r="J185" s="135">
        <f t="shared" si="23"/>
        <v>226660</v>
      </c>
      <c r="K185" s="136">
        <f t="shared" si="24"/>
        <v>0</v>
      </c>
      <c r="L185" s="132"/>
    </row>
    <row r="186" spans="1:12">
      <c r="A186" s="101">
        <v>155.333333333333</v>
      </c>
      <c r="B186" s="125" t="s">
        <v>473</v>
      </c>
      <c r="C186" s="129">
        <v>200000</v>
      </c>
      <c r="D186" s="129">
        <v>26660</v>
      </c>
      <c r="E186" s="129">
        <f t="shared" si="25"/>
        <v>226660</v>
      </c>
      <c r="F186" s="130">
        <v>40</v>
      </c>
      <c r="G186" s="129">
        <v>5666.5</v>
      </c>
      <c r="H186" s="134">
        <v>40</v>
      </c>
      <c r="I186" s="134">
        <f t="shared" si="22"/>
        <v>0</v>
      </c>
      <c r="J186" s="135">
        <f t="shared" si="23"/>
        <v>226660</v>
      </c>
      <c r="K186" s="136">
        <f t="shared" si="24"/>
        <v>0</v>
      </c>
      <c r="L186" s="132"/>
    </row>
    <row r="187" spans="1:12">
      <c r="A187" s="101">
        <v>156.833333333333</v>
      </c>
      <c r="B187" s="125" t="s">
        <v>474</v>
      </c>
      <c r="C187" s="129">
        <v>200000</v>
      </c>
      <c r="D187" s="129">
        <v>26660</v>
      </c>
      <c r="E187" s="129">
        <f t="shared" si="25"/>
        <v>226660</v>
      </c>
      <c r="F187" s="130">
        <v>40</v>
      </c>
      <c r="G187" s="129">
        <v>5666.5</v>
      </c>
      <c r="H187" s="134">
        <v>31</v>
      </c>
      <c r="I187" s="134">
        <f t="shared" si="22"/>
        <v>9</v>
      </c>
      <c r="J187" s="135">
        <f t="shared" si="23"/>
        <v>175661.5</v>
      </c>
      <c r="K187" s="136">
        <f t="shared" si="24"/>
        <v>50998.5</v>
      </c>
      <c r="L187" s="132"/>
    </row>
    <row r="188" spans="1:12">
      <c r="A188" s="101">
        <v>158.333333333333</v>
      </c>
      <c r="B188" s="127" t="s">
        <v>475</v>
      </c>
      <c r="C188" s="129">
        <v>200000</v>
      </c>
      <c r="D188" s="129">
        <v>26660</v>
      </c>
      <c r="E188" s="129">
        <v>226660</v>
      </c>
      <c r="F188" s="130">
        <v>40</v>
      </c>
      <c r="G188" s="137">
        <v>5666.5</v>
      </c>
      <c r="H188" s="134">
        <v>40</v>
      </c>
      <c r="I188" s="134">
        <f t="shared" si="22"/>
        <v>0</v>
      </c>
      <c r="J188" s="135">
        <f t="shared" si="23"/>
        <v>226660</v>
      </c>
      <c r="K188" s="136">
        <f t="shared" si="24"/>
        <v>0</v>
      </c>
      <c r="L188" s="132"/>
    </row>
    <row r="189" spans="1:12">
      <c r="A189" s="101">
        <v>159.833333333333</v>
      </c>
      <c r="B189" s="127" t="s">
        <v>476</v>
      </c>
      <c r="C189" s="129">
        <v>200000</v>
      </c>
      <c r="D189" s="129">
        <v>26660</v>
      </c>
      <c r="E189" s="129">
        <f>SUM(C189:D189)</f>
        <v>226660</v>
      </c>
      <c r="F189" s="130">
        <v>40</v>
      </c>
      <c r="G189" s="129">
        <v>5666.5</v>
      </c>
      <c r="H189" s="134">
        <v>40</v>
      </c>
      <c r="I189" s="134">
        <f t="shared" si="22"/>
        <v>0</v>
      </c>
      <c r="J189" s="135">
        <f t="shared" si="23"/>
        <v>226660</v>
      </c>
      <c r="K189" s="136">
        <f t="shared" si="24"/>
        <v>0</v>
      </c>
      <c r="L189" s="132"/>
    </row>
    <row r="190" spans="1:12">
      <c r="A190" s="101">
        <v>161.333333333333</v>
      </c>
      <c r="B190" s="127" t="s">
        <v>477</v>
      </c>
      <c r="C190" s="128">
        <v>132000</v>
      </c>
      <c r="D190" s="128">
        <v>17595.599999999999</v>
      </c>
      <c r="E190" s="129">
        <f>SUM(C190:D190)</f>
        <v>149595.6</v>
      </c>
      <c r="F190" s="130">
        <v>40</v>
      </c>
      <c r="G190" s="128">
        <v>3739.89</v>
      </c>
      <c r="H190" s="134">
        <v>40</v>
      </c>
      <c r="I190" s="134">
        <f t="shared" si="22"/>
        <v>0</v>
      </c>
      <c r="J190" s="135">
        <f t="shared" si="23"/>
        <v>149595.6</v>
      </c>
      <c r="K190" s="136">
        <f t="shared" si="24"/>
        <v>0</v>
      </c>
      <c r="L190" s="132"/>
    </row>
    <row r="192" spans="1:12">
      <c r="A192" s="101">
        <v>173.333333333333</v>
      </c>
    </row>
    <row r="193" spans="1:14">
      <c r="A193" s="101">
        <v>174.833333333333</v>
      </c>
    </row>
    <row r="196" spans="1:14">
      <c r="A196" s="160">
        <v>47</v>
      </c>
      <c r="B196" s="181" t="s">
        <v>432</v>
      </c>
      <c r="C196" s="16">
        <v>500000</v>
      </c>
      <c r="D196" s="16">
        <v>66650</v>
      </c>
      <c r="E196" s="41">
        <f>SUM(C196:D196)</f>
        <v>566650</v>
      </c>
      <c r="F196" s="33">
        <v>50</v>
      </c>
      <c r="G196" s="24">
        <v>5666.5</v>
      </c>
      <c r="H196" s="97">
        <v>33</v>
      </c>
      <c r="I196" s="97">
        <f>F196-H196</f>
        <v>17</v>
      </c>
      <c r="J196" s="91">
        <f>H196*G196</f>
        <v>186994.5</v>
      </c>
      <c r="K196" s="94">
        <f>E196-J196</f>
        <v>379655.5</v>
      </c>
      <c r="L196" s="11"/>
      <c r="M196" s="180" t="e">
        <f>#REF!-G196</f>
        <v>#REF!</v>
      </c>
    </row>
    <row r="197" spans="1:14">
      <c r="A197" s="160">
        <v>70</v>
      </c>
      <c r="B197" s="181" t="s">
        <v>433</v>
      </c>
      <c r="C197" s="41">
        <v>200000</v>
      </c>
      <c r="D197" s="41">
        <v>26660</v>
      </c>
      <c r="E197" s="41">
        <f>SUM(C197:D197)</f>
        <v>226660</v>
      </c>
      <c r="F197" s="33">
        <v>40</v>
      </c>
      <c r="G197" s="41">
        <v>5666.5</v>
      </c>
      <c r="H197" s="97">
        <v>40</v>
      </c>
      <c r="I197" s="97">
        <f>F197-H197</f>
        <v>0</v>
      </c>
      <c r="J197" s="91">
        <f>H197*G197</f>
        <v>226660</v>
      </c>
      <c r="K197" s="94">
        <f>E197-J197</f>
        <v>0</v>
      </c>
      <c r="L197" s="11"/>
      <c r="M197" s="180" t="e">
        <f>#REF!-G197</f>
        <v>#REF!</v>
      </c>
    </row>
    <row r="198" spans="1:14">
      <c r="A198" s="160">
        <v>93</v>
      </c>
      <c r="B198" s="181" t="s">
        <v>434</v>
      </c>
      <c r="C198" s="41">
        <v>200000</v>
      </c>
      <c r="D198" s="41">
        <v>26660</v>
      </c>
      <c r="E198" s="41">
        <f>SUM(C198:D198)</f>
        <v>226660</v>
      </c>
      <c r="F198" s="33">
        <v>40</v>
      </c>
      <c r="G198" s="41">
        <v>5666.5</v>
      </c>
      <c r="H198" s="97">
        <v>41</v>
      </c>
      <c r="I198" s="97">
        <f>F198-H198</f>
        <v>-1</v>
      </c>
      <c r="J198" s="91">
        <f>H198*G198</f>
        <v>232326.5</v>
      </c>
      <c r="K198" s="94">
        <f>E198-J198</f>
        <v>-5666.5</v>
      </c>
      <c r="L198" s="11"/>
      <c r="M198" s="180" t="e">
        <f>#REF!-G198</f>
        <v>#REF!</v>
      </c>
      <c r="N198" s="114"/>
    </row>
    <row r="199" spans="1:14">
      <c r="A199" s="160">
        <v>10</v>
      </c>
      <c r="B199" s="181" t="s">
        <v>431</v>
      </c>
      <c r="C199" s="16">
        <v>450000</v>
      </c>
      <c r="D199" s="16">
        <v>28792.799999999999</v>
      </c>
      <c r="E199" s="41">
        <f>SUM(C199:D199)</f>
        <v>478792.8</v>
      </c>
      <c r="F199" s="33">
        <v>24</v>
      </c>
      <c r="G199" s="16">
        <v>19949.7</v>
      </c>
      <c r="H199" s="96">
        <v>24</v>
      </c>
      <c r="I199" s="96">
        <f>F199-H199</f>
        <v>0</v>
      </c>
      <c r="J199" s="16">
        <f>H199*G199</f>
        <v>478792.80000000005</v>
      </c>
      <c r="K199" s="41">
        <f>E199-J199</f>
        <v>0</v>
      </c>
      <c r="L199" s="11"/>
      <c r="M199" s="180" t="e">
        <f>#REF!-G199</f>
        <v>#REF!</v>
      </c>
      <c r="N199" s="114"/>
    </row>
    <row r="200" spans="1:14">
      <c r="A200" s="160">
        <v>6</v>
      </c>
      <c r="B200" s="181" t="s">
        <v>430</v>
      </c>
      <c r="C200" s="16">
        <v>330000</v>
      </c>
      <c r="D200" s="16">
        <v>21114.720000000001</v>
      </c>
      <c r="E200" s="41">
        <f>SUM(C200:D200)</f>
        <v>351114.72</v>
      </c>
      <c r="F200" s="33">
        <v>24</v>
      </c>
      <c r="G200" s="24">
        <v>6649.9</v>
      </c>
      <c r="H200" s="96">
        <v>24</v>
      </c>
      <c r="I200" s="96">
        <f>F200-H200</f>
        <v>0</v>
      </c>
      <c r="J200" s="16">
        <f>H200*G200</f>
        <v>159597.59999999998</v>
      </c>
      <c r="K200" s="41">
        <f>E200-J200</f>
        <v>191517.12</v>
      </c>
      <c r="L200" s="11"/>
      <c r="M200" s="180" t="e">
        <f>#REF!-G200</f>
        <v>#REF!</v>
      </c>
      <c r="N200" s="114"/>
    </row>
  </sheetData>
  <mergeCells count="2">
    <mergeCell ref="A3:L3"/>
    <mergeCell ref="A4:L4"/>
  </mergeCells>
  <conditionalFormatting sqref="B200">
    <cfRule type="duplicateValues" dxfId="2850" priority="306" stopIfTrue="1"/>
    <cfRule type="duplicateValues" dxfId="2849" priority="307" stopIfTrue="1"/>
  </conditionalFormatting>
  <conditionalFormatting sqref="B200">
    <cfRule type="duplicateValues" dxfId="2848" priority="305" stopIfTrue="1"/>
  </conditionalFormatting>
  <conditionalFormatting sqref="B11">
    <cfRule type="duplicateValues" dxfId="2847" priority="303" stopIfTrue="1"/>
    <cfRule type="duplicateValues" dxfId="2846" priority="304" stopIfTrue="1"/>
  </conditionalFormatting>
  <conditionalFormatting sqref="B11">
    <cfRule type="duplicateValues" dxfId="2845" priority="302" stopIfTrue="1"/>
  </conditionalFormatting>
  <conditionalFormatting sqref="B12">
    <cfRule type="duplicateValues" dxfId="2844" priority="300" stopIfTrue="1"/>
    <cfRule type="duplicateValues" dxfId="2843" priority="301" stopIfTrue="1"/>
  </conditionalFormatting>
  <conditionalFormatting sqref="B12">
    <cfRule type="duplicateValues" dxfId="2842" priority="299" stopIfTrue="1"/>
  </conditionalFormatting>
  <conditionalFormatting sqref="B13">
    <cfRule type="duplicateValues" dxfId="2841" priority="297" stopIfTrue="1"/>
    <cfRule type="duplicateValues" dxfId="2840" priority="298" stopIfTrue="1"/>
  </conditionalFormatting>
  <conditionalFormatting sqref="B13">
    <cfRule type="duplicateValues" dxfId="2839" priority="296" stopIfTrue="1"/>
  </conditionalFormatting>
  <conditionalFormatting sqref="B199">
    <cfRule type="duplicateValues" dxfId="2838" priority="294" stopIfTrue="1"/>
    <cfRule type="duplicateValues" dxfId="2837" priority="295" stopIfTrue="1"/>
  </conditionalFormatting>
  <conditionalFormatting sqref="B199">
    <cfRule type="duplicateValues" dxfId="2836" priority="293" stopIfTrue="1"/>
  </conditionalFormatting>
  <conditionalFormatting sqref="B15">
    <cfRule type="duplicateValues" dxfId="2835" priority="291" stopIfTrue="1"/>
    <cfRule type="duplicateValues" dxfId="2834" priority="292" stopIfTrue="1"/>
  </conditionalFormatting>
  <conditionalFormatting sqref="B15">
    <cfRule type="duplicateValues" dxfId="2833" priority="290" stopIfTrue="1"/>
  </conditionalFormatting>
  <conditionalFormatting sqref="B18">
    <cfRule type="duplicateValues" dxfId="2832" priority="288" stopIfTrue="1"/>
    <cfRule type="duplicateValues" dxfId="2831" priority="289" stopIfTrue="1"/>
  </conditionalFormatting>
  <conditionalFormatting sqref="B18">
    <cfRule type="duplicateValues" dxfId="2830" priority="287" stopIfTrue="1"/>
  </conditionalFormatting>
  <conditionalFormatting sqref="B20">
    <cfRule type="duplicateValues" dxfId="2829" priority="285" stopIfTrue="1"/>
    <cfRule type="duplicateValues" dxfId="2828" priority="286" stopIfTrue="1"/>
  </conditionalFormatting>
  <conditionalFormatting sqref="B20">
    <cfRule type="duplicateValues" dxfId="2827" priority="284" stopIfTrue="1"/>
  </conditionalFormatting>
  <conditionalFormatting sqref="B23">
    <cfRule type="duplicateValues" dxfId="2826" priority="282" stopIfTrue="1"/>
    <cfRule type="duplicateValues" dxfId="2825" priority="283" stopIfTrue="1"/>
  </conditionalFormatting>
  <conditionalFormatting sqref="B23">
    <cfRule type="duplicateValues" dxfId="2824" priority="281" stopIfTrue="1"/>
  </conditionalFormatting>
  <conditionalFormatting sqref="B24">
    <cfRule type="duplicateValues" dxfId="2823" priority="279" stopIfTrue="1"/>
    <cfRule type="duplicateValues" dxfId="2822" priority="280" stopIfTrue="1"/>
  </conditionalFormatting>
  <conditionalFormatting sqref="B24">
    <cfRule type="duplicateValues" dxfId="2821" priority="278" stopIfTrue="1"/>
  </conditionalFormatting>
  <conditionalFormatting sqref="B25">
    <cfRule type="duplicateValues" dxfId="2820" priority="276" stopIfTrue="1"/>
    <cfRule type="duplicateValues" dxfId="2819" priority="277" stopIfTrue="1"/>
  </conditionalFormatting>
  <conditionalFormatting sqref="B25">
    <cfRule type="duplicateValues" dxfId="2818" priority="275" stopIfTrue="1"/>
  </conditionalFormatting>
  <conditionalFormatting sqref="B31">
    <cfRule type="duplicateValues" dxfId="2817" priority="273" stopIfTrue="1"/>
    <cfRule type="duplicateValues" dxfId="2816" priority="274" stopIfTrue="1"/>
  </conditionalFormatting>
  <conditionalFormatting sqref="B31">
    <cfRule type="duplicateValues" dxfId="2815" priority="272" stopIfTrue="1"/>
  </conditionalFormatting>
  <conditionalFormatting sqref="B32">
    <cfRule type="duplicateValues" dxfId="2814" priority="270" stopIfTrue="1"/>
    <cfRule type="duplicateValues" dxfId="2813" priority="271" stopIfTrue="1"/>
  </conditionalFormatting>
  <conditionalFormatting sqref="B32">
    <cfRule type="duplicateValues" dxfId="2812" priority="269" stopIfTrue="1"/>
  </conditionalFormatting>
  <conditionalFormatting sqref="B33">
    <cfRule type="duplicateValues" dxfId="2811" priority="267" stopIfTrue="1"/>
    <cfRule type="duplicateValues" dxfId="2810" priority="268" stopIfTrue="1"/>
  </conditionalFormatting>
  <conditionalFormatting sqref="B33">
    <cfRule type="duplicateValues" dxfId="2809" priority="266" stopIfTrue="1"/>
  </conditionalFormatting>
  <conditionalFormatting sqref="B36">
    <cfRule type="duplicateValues" dxfId="2808" priority="264" stopIfTrue="1"/>
    <cfRule type="duplicateValues" dxfId="2807" priority="265" stopIfTrue="1"/>
  </conditionalFormatting>
  <conditionalFormatting sqref="B36">
    <cfRule type="duplicateValues" dxfId="2806" priority="263" stopIfTrue="1"/>
  </conditionalFormatting>
  <conditionalFormatting sqref="B37">
    <cfRule type="duplicateValues" dxfId="2805" priority="261" stopIfTrue="1"/>
    <cfRule type="duplicateValues" dxfId="2804" priority="262" stopIfTrue="1"/>
  </conditionalFormatting>
  <conditionalFormatting sqref="B37">
    <cfRule type="duplicateValues" dxfId="2803" priority="260" stopIfTrue="1"/>
  </conditionalFormatting>
  <conditionalFormatting sqref="B38">
    <cfRule type="duplicateValues" dxfId="2802" priority="258" stopIfTrue="1"/>
    <cfRule type="duplicateValues" dxfId="2801" priority="259" stopIfTrue="1"/>
  </conditionalFormatting>
  <conditionalFormatting sqref="B38">
    <cfRule type="duplicateValues" dxfId="2800" priority="257" stopIfTrue="1"/>
  </conditionalFormatting>
  <conditionalFormatting sqref="B39">
    <cfRule type="duplicateValues" dxfId="2799" priority="255" stopIfTrue="1"/>
    <cfRule type="duplicateValues" dxfId="2798" priority="256" stopIfTrue="1"/>
  </conditionalFormatting>
  <conditionalFormatting sqref="B39">
    <cfRule type="duplicateValues" dxfId="2797" priority="254" stopIfTrue="1"/>
  </conditionalFormatting>
  <conditionalFormatting sqref="B40">
    <cfRule type="duplicateValues" dxfId="2796" priority="252" stopIfTrue="1"/>
    <cfRule type="duplicateValues" dxfId="2795" priority="253" stopIfTrue="1"/>
  </conditionalFormatting>
  <conditionalFormatting sqref="B40">
    <cfRule type="duplicateValues" dxfId="2794" priority="251" stopIfTrue="1"/>
  </conditionalFormatting>
  <conditionalFormatting sqref="B42">
    <cfRule type="duplicateValues" dxfId="2793" priority="249" stopIfTrue="1"/>
    <cfRule type="duplicateValues" dxfId="2792" priority="250" stopIfTrue="1"/>
  </conditionalFormatting>
  <conditionalFormatting sqref="B42">
    <cfRule type="duplicateValues" dxfId="2791" priority="248" stopIfTrue="1"/>
  </conditionalFormatting>
  <conditionalFormatting sqref="B43">
    <cfRule type="duplicateValues" dxfId="2790" priority="246" stopIfTrue="1"/>
    <cfRule type="duplicateValues" dxfId="2789" priority="247" stopIfTrue="1"/>
  </conditionalFormatting>
  <conditionalFormatting sqref="B43">
    <cfRule type="duplicateValues" dxfId="2788" priority="245" stopIfTrue="1"/>
  </conditionalFormatting>
  <conditionalFormatting sqref="B47">
    <cfRule type="duplicateValues" dxfId="2787" priority="243" stopIfTrue="1"/>
    <cfRule type="duplicateValues" dxfId="2786" priority="244" stopIfTrue="1"/>
  </conditionalFormatting>
  <conditionalFormatting sqref="B47">
    <cfRule type="duplicateValues" dxfId="2785" priority="242" stopIfTrue="1"/>
  </conditionalFormatting>
  <conditionalFormatting sqref="B48">
    <cfRule type="duplicateValues" dxfId="2784" priority="240" stopIfTrue="1"/>
    <cfRule type="duplicateValues" dxfId="2783" priority="241" stopIfTrue="1"/>
  </conditionalFormatting>
  <conditionalFormatting sqref="B48">
    <cfRule type="duplicateValues" dxfId="2782" priority="239" stopIfTrue="1"/>
  </conditionalFormatting>
  <conditionalFormatting sqref="B196">
    <cfRule type="duplicateValues" dxfId="2781" priority="237" stopIfTrue="1"/>
    <cfRule type="duplicateValues" dxfId="2780" priority="238" stopIfTrue="1"/>
  </conditionalFormatting>
  <conditionalFormatting sqref="B196">
    <cfRule type="duplicateValues" dxfId="2779" priority="236" stopIfTrue="1"/>
  </conditionalFormatting>
  <conditionalFormatting sqref="B50">
    <cfRule type="duplicateValues" dxfId="2778" priority="234" stopIfTrue="1"/>
    <cfRule type="duplicateValues" dxfId="2777" priority="235" stopIfTrue="1"/>
  </conditionalFormatting>
  <conditionalFormatting sqref="B50">
    <cfRule type="duplicateValues" dxfId="2776" priority="233" stopIfTrue="1"/>
  </conditionalFormatting>
  <conditionalFormatting sqref="B51">
    <cfRule type="duplicateValues" dxfId="2775" priority="231" stopIfTrue="1"/>
    <cfRule type="duplicateValues" dxfId="2774" priority="232" stopIfTrue="1"/>
  </conditionalFormatting>
  <conditionalFormatting sqref="B51">
    <cfRule type="duplicateValues" dxfId="2773" priority="230" stopIfTrue="1"/>
  </conditionalFormatting>
  <conditionalFormatting sqref="B52">
    <cfRule type="duplicateValues" dxfId="2772" priority="228" stopIfTrue="1"/>
    <cfRule type="duplicateValues" dxfId="2771" priority="229" stopIfTrue="1"/>
  </conditionalFormatting>
  <conditionalFormatting sqref="B52">
    <cfRule type="duplicateValues" dxfId="2770" priority="227" stopIfTrue="1"/>
  </conditionalFormatting>
  <conditionalFormatting sqref="B53">
    <cfRule type="duplicateValues" dxfId="2769" priority="225" stopIfTrue="1"/>
    <cfRule type="duplicateValues" dxfId="2768" priority="226" stopIfTrue="1"/>
  </conditionalFormatting>
  <conditionalFormatting sqref="B53">
    <cfRule type="duplicateValues" dxfId="2767" priority="224" stopIfTrue="1"/>
  </conditionalFormatting>
  <conditionalFormatting sqref="B54">
    <cfRule type="duplicateValues" dxfId="2766" priority="222" stopIfTrue="1"/>
    <cfRule type="duplicateValues" dxfId="2765" priority="223" stopIfTrue="1"/>
  </conditionalFormatting>
  <conditionalFormatting sqref="B54">
    <cfRule type="duplicateValues" dxfId="2764" priority="221" stopIfTrue="1"/>
  </conditionalFormatting>
  <conditionalFormatting sqref="B56">
    <cfRule type="duplicateValues" dxfId="2763" priority="219" stopIfTrue="1"/>
    <cfRule type="duplicateValues" dxfId="2762" priority="220" stopIfTrue="1"/>
  </conditionalFormatting>
  <conditionalFormatting sqref="B56">
    <cfRule type="duplicateValues" dxfId="2761" priority="218" stopIfTrue="1"/>
  </conditionalFormatting>
  <conditionalFormatting sqref="B57">
    <cfRule type="duplicateValues" dxfId="2760" priority="216" stopIfTrue="1"/>
    <cfRule type="duplicateValues" dxfId="2759" priority="217" stopIfTrue="1"/>
  </conditionalFormatting>
  <conditionalFormatting sqref="B57">
    <cfRule type="duplicateValues" dxfId="2758" priority="215" stopIfTrue="1"/>
  </conditionalFormatting>
  <conditionalFormatting sqref="B58">
    <cfRule type="duplicateValues" dxfId="2757" priority="213" stopIfTrue="1"/>
    <cfRule type="duplicateValues" dxfId="2756" priority="214" stopIfTrue="1"/>
  </conditionalFormatting>
  <conditionalFormatting sqref="B58">
    <cfRule type="duplicateValues" dxfId="2755" priority="212" stopIfTrue="1"/>
  </conditionalFormatting>
  <conditionalFormatting sqref="B59">
    <cfRule type="duplicateValues" dxfId="2754" priority="210" stopIfTrue="1"/>
    <cfRule type="duplicateValues" dxfId="2753" priority="211" stopIfTrue="1"/>
  </conditionalFormatting>
  <conditionalFormatting sqref="B59">
    <cfRule type="duplicateValues" dxfId="2752" priority="209" stopIfTrue="1"/>
  </conditionalFormatting>
  <conditionalFormatting sqref="B61">
    <cfRule type="duplicateValues" dxfId="2751" priority="207" stopIfTrue="1"/>
    <cfRule type="duplicateValues" dxfId="2750" priority="208" stopIfTrue="1"/>
  </conditionalFormatting>
  <conditionalFormatting sqref="B61">
    <cfRule type="duplicateValues" dxfId="2749" priority="206" stopIfTrue="1"/>
  </conditionalFormatting>
  <conditionalFormatting sqref="B62">
    <cfRule type="duplicateValues" dxfId="2748" priority="204" stopIfTrue="1"/>
    <cfRule type="duplicateValues" dxfId="2747" priority="205" stopIfTrue="1"/>
  </conditionalFormatting>
  <conditionalFormatting sqref="B62">
    <cfRule type="duplicateValues" dxfId="2746" priority="203" stopIfTrue="1"/>
  </conditionalFormatting>
  <conditionalFormatting sqref="B64">
    <cfRule type="duplicateValues" dxfId="2745" priority="201" stopIfTrue="1"/>
    <cfRule type="duplicateValues" dxfId="2744" priority="202" stopIfTrue="1"/>
  </conditionalFormatting>
  <conditionalFormatting sqref="B64">
    <cfRule type="duplicateValues" dxfId="2743" priority="200" stopIfTrue="1"/>
  </conditionalFormatting>
  <conditionalFormatting sqref="B66">
    <cfRule type="duplicateValues" dxfId="2742" priority="198" stopIfTrue="1"/>
    <cfRule type="duplicateValues" dxfId="2741" priority="199" stopIfTrue="1"/>
  </conditionalFormatting>
  <conditionalFormatting sqref="B66">
    <cfRule type="duplicateValues" dxfId="2740" priority="197" stopIfTrue="1"/>
  </conditionalFormatting>
  <conditionalFormatting sqref="B169">
    <cfRule type="duplicateValues" dxfId="2739" priority="195" stopIfTrue="1"/>
    <cfRule type="duplicateValues" dxfId="2738" priority="196" stopIfTrue="1"/>
  </conditionalFormatting>
  <conditionalFormatting sqref="B169">
    <cfRule type="duplicateValues" dxfId="2737" priority="194" stopIfTrue="1"/>
  </conditionalFormatting>
  <conditionalFormatting sqref="B67">
    <cfRule type="duplicateValues" dxfId="2736" priority="192" stopIfTrue="1"/>
    <cfRule type="duplicateValues" dxfId="2735" priority="193" stopIfTrue="1"/>
  </conditionalFormatting>
  <conditionalFormatting sqref="B67">
    <cfRule type="duplicateValues" dxfId="2734" priority="191" stopIfTrue="1"/>
  </conditionalFormatting>
  <conditionalFormatting sqref="B68">
    <cfRule type="duplicateValues" dxfId="2733" priority="189" stopIfTrue="1"/>
    <cfRule type="duplicateValues" dxfId="2732" priority="190" stopIfTrue="1"/>
  </conditionalFormatting>
  <conditionalFormatting sqref="B68">
    <cfRule type="duplicateValues" dxfId="2731" priority="188" stopIfTrue="1"/>
  </conditionalFormatting>
  <conditionalFormatting sqref="B69">
    <cfRule type="duplicateValues" dxfId="2730" priority="186" stopIfTrue="1"/>
    <cfRule type="duplicateValues" dxfId="2729" priority="187" stopIfTrue="1"/>
  </conditionalFormatting>
  <conditionalFormatting sqref="B69">
    <cfRule type="duplicateValues" dxfId="2728" priority="185" stopIfTrue="1"/>
  </conditionalFormatting>
  <conditionalFormatting sqref="B70">
    <cfRule type="duplicateValues" dxfId="2727" priority="183" stopIfTrue="1"/>
    <cfRule type="duplicateValues" dxfId="2726" priority="184" stopIfTrue="1"/>
  </conditionalFormatting>
  <conditionalFormatting sqref="B70">
    <cfRule type="duplicateValues" dxfId="2725" priority="182" stopIfTrue="1"/>
  </conditionalFormatting>
  <conditionalFormatting sqref="B71">
    <cfRule type="duplicateValues" dxfId="2724" priority="180" stopIfTrue="1"/>
    <cfRule type="duplicateValues" dxfId="2723" priority="181" stopIfTrue="1"/>
  </conditionalFormatting>
  <conditionalFormatting sqref="B71">
    <cfRule type="duplicateValues" dxfId="2722" priority="179" stopIfTrue="1"/>
  </conditionalFormatting>
  <conditionalFormatting sqref="B197">
    <cfRule type="duplicateValues" dxfId="2721" priority="177" stopIfTrue="1"/>
    <cfRule type="duplicateValues" dxfId="2720" priority="178" stopIfTrue="1"/>
  </conditionalFormatting>
  <conditionalFormatting sqref="B197">
    <cfRule type="duplicateValues" dxfId="2719" priority="176" stopIfTrue="1"/>
  </conditionalFormatting>
  <conditionalFormatting sqref="B72">
    <cfRule type="duplicateValues" dxfId="2718" priority="174" stopIfTrue="1"/>
    <cfRule type="duplicateValues" dxfId="2717" priority="175" stopIfTrue="1"/>
  </conditionalFormatting>
  <conditionalFormatting sqref="B72">
    <cfRule type="duplicateValues" dxfId="2716" priority="173" stopIfTrue="1"/>
  </conditionalFormatting>
  <conditionalFormatting sqref="B73">
    <cfRule type="duplicateValues" dxfId="2715" priority="171" stopIfTrue="1"/>
    <cfRule type="duplicateValues" dxfId="2714" priority="172" stopIfTrue="1"/>
  </conditionalFormatting>
  <conditionalFormatting sqref="B73">
    <cfRule type="duplicateValues" dxfId="2713" priority="170" stopIfTrue="1"/>
  </conditionalFormatting>
  <conditionalFormatting sqref="B74">
    <cfRule type="duplicateValues" dxfId="2712" priority="168" stopIfTrue="1"/>
    <cfRule type="duplicateValues" dxfId="2711" priority="169" stopIfTrue="1"/>
  </conditionalFormatting>
  <conditionalFormatting sqref="B74">
    <cfRule type="duplicateValues" dxfId="2710" priority="167" stopIfTrue="1"/>
  </conditionalFormatting>
  <conditionalFormatting sqref="B75">
    <cfRule type="duplicateValues" dxfId="2709" priority="165" stopIfTrue="1"/>
    <cfRule type="duplicateValues" dxfId="2708" priority="166" stopIfTrue="1"/>
  </conditionalFormatting>
  <conditionalFormatting sqref="B75">
    <cfRule type="duplicateValues" dxfId="2707" priority="164" stopIfTrue="1"/>
  </conditionalFormatting>
  <conditionalFormatting sqref="B76">
    <cfRule type="duplicateValues" dxfId="2706" priority="162" stopIfTrue="1"/>
    <cfRule type="duplicateValues" dxfId="2705" priority="163" stopIfTrue="1"/>
  </conditionalFormatting>
  <conditionalFormatting sqref="B76">
    <cfRule type="duplicateValues" dxfId="2704" priority="161" stopIfTrue="1"/>
  </conditionalFormatting>
  <conditionalFormatting sqref="B78">
    <cfRule type="duplicateValues" dxfId="2703" priority="159" stopIfTrue="1"/>
    <cfRule type="duplicateValues" dxfId="2702" priority="160" stopIfTrue="1"/>
  </conditionalFormatting>
  <conditionalFormatting sqref="B78">
    <cfRule type="duplicateValues" dxfId="2701" priority="158" stopIfTrue="1"/>
  </conditionalFormatting>
  <conditionalFormatting sqref="B80">
    <cfRule type="duplicateValues" dxfId="2700" priority="156" stopIfTrue="1"/>
    <cfRule type="duplicateValues" dxfId="2699" priority="157" stopIfTrue="1"/>
  </conditionalFormatting>
  <conditionalFormatting sqref="B80">
    <cfRule type="duplicateValues" dxfId="2698" priority="155" stopIfTrue="1"/>
  </conditionalFormatting>
  <conditionalFormatting sqref="B81">
    <cfRule type="duplicateValues" dxfId="2697" priority="153" stopIfTrue="1"/>
    <cfRule type="duplicateValues" dxfId="2696" priority="154" stopIfTrue="1"/>
  </conditionalFormatting>
  <conditionalFormatting sqref="B81">
    <cfRule type="duplicateValues" dxfId="2695" priority="152" stopIfTrue="1"/>
  </conditionalFormatting>
  <conditionalFormatting sqref="B83">
    <cfRule type="duplicateValues" dxfId="2694" priority="150" stopIfTrue="1"/>
    <cfRule type="duplicateValues" dxfId="2693" priority="151" stopIfTrue="1"/>
  </conditionalFormatting>
  <conditionalFormatting sqref="B83">
    <cfRule type="duplicateValues" dxfId="2692" priority="149" stopIfTrue="1"/>
  </conditionalFormatting>
  <conditionalFormatting sqref="B84">
    <cfRule type="duplicateValues" dxfId="2691" priority="147" stopIfTrue="1"/>
    <cfRule type="duplicateValues" dxfId="2690" priority="148" stopIfTrue="1"/>
  </conditionalFormatting>
  <conditionalFormatting sqref="B84">
    <cfRule type="duplicateValues" dxfId="2689" priority="146" stopIfTrue="1"/>
  </conditionalFormatting>
  <conditionalFormatting sqref="B86">
    <cfRule type="duplicateValues" dxfId="2688" priority="144" stopIfTrue="1"/>
    <cfRule type="duplicateValues" dxfId="2687" priority="145" stopIfTrue="1"/>
  </conditionalFormatting>
  <conditionalFormatting sqref="B86">
    <cfRule type="duplicateValues" dxfId="2686" priority="143" stopIfTrue="1"/>
  </conditionalFormatting>
  <conditionalFormatting sqref="B89">
    <cfRule type="duplicateValues" dxfId="2685" priority="141" stopIfTrue="1"/>
    <cfRule type="duplicateValues" dxfId="2684" priority="142" stopIfTrue="1"/>
  </conditionalFormatting>
  <conditionalFormatting sqref="B89">
    <cfRule type="duplicateValues" dxfId="2683" priority="140" stopIfTrue="1"/>
  </conditionalFormatting>
  <conditionalFormatting sqref="B90">
    <cfRule type="duplicateValues" dxfId="2682" priority="138" stopIfTrue="1"/>
    <cfRule type="duplicateValues" dxfId="2681" priority="139" stopIfTrue="1"/>
  </conditionalFormatting>
  <conditionalFormatting sqref="B90">
    <cfRule type="duplicateValues" dxfId="2680" priority="137" stopIfTrue="1"/>
  </conditionalFormatting>
  <conditionalFormatting sqref="B91">
    <cfRule type="duplicateValues" dxfId="2679" priority="135" stopIfTrue="1"/>
    <cfRule type="duplicateValues" dxfId="2678" priority="136" stopIfTrue="1"/>
  </conditionalFormatting>
  <conditionalFormatting sqref="B91">
    <cfRule type="duplicateValues" dxfId="2677" priority="134" stopIfTrue="1"/>
  </conditionalFormatting>
  <conditionalFormatting sqref="B92">
    <cfRule type="duplicateValues" dxfId="2676" priority="132" stopIfTrue="1"/>
    <cfRule type="duplicateValues" dxfId="2675" priority="133" stopIfTrue="1"/>
  </conditionalFormatting>
  <conditionalFormatting sqref="B92">
    <cfRule type="duplicateValues" dxfId="2674" priority="131" stopIfTrue="1"/>
  </conditionalFormatting>
  <conditionalFormatting sqref="B93">
    <cfRule type="duplicateValues" dxfId="2673" priority="129" stopIfTrue="1"/>
    <cfRule type="duplicateValues" dxfId="2672" priority="130" stopIfTrue="1"/>
  </conditionalFormatting>
  <conditionalFormatting sqref="B93">
    <cfRule type="duplicateValues" dxfId="2671" priority="128" stopIfTrue="1"/>
  </conditionalFormatting>
  <conditionalFormatting sqref="B198">
    <cfRule type="duplicateValues" dxfId="2670" priority="126" stopIfTrue="1"/>
    <cfRule type="duplicateValues" dxfId="2669" priority="127" stopIfTrue="1"/>
  </conditionalFormatting>
  <conditionalFormatting sqref="B198">
    <cfRule type="duplicateValues" dxfId="2668" priority="125" stopIfTrue="1"/>
  </conditionalFormatting>
  <conditionalFormatting sqref="B190">
    <cfRule type="duplicateValues" dxfId="2667" priority="123" stopIfTrue="1"/>
    <cfRule type="duplicateValues" dxfId="2666" priority="124" stopIfTrue="1"/>
  </conditionalFormatting>
  <conditionalFormatting sqref="B190">
    <cfRule type="duplicateValues" dxfId="2665" priority="122" stopIfTrue="1"/>
  </conditionalFormatting>
  <conditionalFormatting sqref="B142:B143">
    <cfRule type="duplicateValues" dxfId="2664" priority="120" stopIfTrue="1"/>
    <cfRule type="duplicateValues" dxfId="2663" priority="121" stopIfTrue="1"/>
  </conditionalFormatting>
  <conditionalFormatting sqref="B142:B143">
    <cfRule type="duplicateValues" dxfId="2662" priority="119" stopIfTrue="1"/>
  </conditionalFormatting>
  <conditionalFormatting sqref="B77">
    <cfRule type="duplicateValues" dxfId="2661" priority="117" stopIfTrue="1"/>
    <cfRule type="duplicateValues" dxfId="2660" priority="118" stopIfTrue="1"/>
  </conditionalFormatting>
  <conditionalFormatting sqref="B77">
    <cfRule type="duplicateValues" dxfId="2659" priority="116" stopIfTrue="1"/>
  </conditionalFormatting>
  <conditionalFormatting sqref="B144">
    <cfRule type="duplicateValues" dxfId="2658" priority="114" stopIfTrue="1"/>
    <cfRule type="duplicateValues" dxfId="2657" priority="115" stopIfTrue="1"/>
  </conditionalFormatting>
  <conditionalFormatting sqref="B144">
    <cfRule type="duplicateValues" dxfId="2656" priority="113" stopIfTrue="1"/>
  </conditionalFormatting>
  <conditionalFormatting sqref="B94">
    <cfRule type="duplicateValues" dxfId="2655" priority="111" stopIfTrue="1"/>
    <cfRule type="duplicateValues" dxfId="2654" priority="112" stopIfTrue="1"/>
  </conditionalFormatting>
  <conditionalFormatting sqref="B94">
    <cfRule type="duplicateValues" dxfId="2653" priority="110" stopIfTrue="1"/>
  </conditionalFormatting>
  <conditionalFormatting sqref="B98">
    <cfRule type="duplicateValues" dxfId="2652" priority="108" stopIfTrue="1"/>
    <cfRule type="duplicateValues" dxfId="2651" priority="109" stopIfTrue="1"/>
  </conditionalFormatting>
  <conditionalFormatting sqref="B98">
    <cfRule type="duplicateValues" dxfId="2650" priority="107" stopIfTrue="1"/>
  </conditionalFormatting>
  <conditionalFormatting sqref="B97">
    <cfRule type="duplicateValues" dxfId="2649" priority="105" stopIfTrue="1"/>
    <cfRule type="duplicateValues" dxfId="2648" priority="106" stopIfTrue="1"/>
  </conditionalFormatting>
  <conditionalFormatting sqref="B97">
    <cfRule type="duplicateValues" dxfId="2647" priority="104" stopIfTrue="1"/>
  </conditionalFormatting>
  <conditionalFormatting sqref="B133">
    <cfRule type="duplicateValues" dxfId="2646" priority="102" stopIfTrue="1"/>
    <cfRule type="duplicateValues" dxfId="2645" priority="103" stopIfTrue="1"/>
  </conditionalFormatting>
  <conditionalFormatting sqref="B133">
    <cfRule type="duplicateValues" dxfId="2644" priority="101" stopIfTrue="1"/>
  </conditionalFormatting>
  <conditionalFormatting sqref="B176">
    <cfRule type="duplicateValues" dxfId="2643" priority="99" stopIfTrue="1"/>
    <cfRule type="duplicateValues" dxfId="2642" priority="100" stopIfTrue="1"/>
  </conditionalFormatting>
  <conditionalFormatting sqref="B176">
    <cfRule type="duplicateValues" dxfId="2641" priority="98" stopIfTrue="1"/>
  </conditionalFormatting>
  <conditionalFormatting sqref="B134:B136">
    <cfRule type="duplicateValues" dxfId="2640" priority="96" stopIfTrue="1"/>
    <cfRule type="duplicateValues" dxfId="2639" priority="97" stopIfTrue="1"/>
  </conditionalFormatting>
  <conditionalFormatting sqref="B134:B136">
    <cfRule type="duplicateValues" dxfId="2638" priority="95" stopIfTrue="1"/>
  </conditionalFormatting>
  <conditionalFormatting sqref="B140:B141">
    <cfRule type="duplicateValues" dxfId="2637" priority="93" stopIfTrue="1"/>
    <cfRule type="duplicateValues" dxfId="2636" priority="94" stopIfTrue="1"/>
  </conditionalFormatting>
  <conditionalFormatting sqref="B140:B141">
    <cfRule type="duplicateValues" dxfId="2635" priority="92" stopIfTrue="1"/>
  </conditionalFormatting>
  <conditionalFormatting sqref="B179">
    <cfRule type="duplicateValues" dxfId="2634" priority="90" stopIfTrue="1"/>
    <cfRule type="duplicateValues" dxfId="2633" priority="91" stopIfTrue="1"/>
  </conditionalFormatting>
  <conditionalFormatting sqref="B179">
    <cfRule type="duplicateValues" dxfId="2632" priority="89" stopIfTrue="1"/>
  </conditionalFormatting>
  <conditionalFormatting sqref="B181">
    <cfRule type="duplicateValues" dxfId="2631" priority="87" stopIfTrue="1"/>
    <cfRule type="duplicateValues" dxfId="2630" priority="88" stopIfTrue="1"/>
  </conditionalFormatting>
  <conditionalFormatting sqref="B181">
    <cfRule type="duplicateValues" dxfId="2629" priority="86" stopIfTrue="1"/>
  </conditionalFormatting>
  <conditionalFormatting sqref="B182">
    <cfRule type="duplicateValues" dxfId="2628" priority="84" stopIfTrue="1"/>
    <cfRule type="duplicateValues" dxfId="2627" priority="85" stopIfTrue="1"/>
  </conditionalFormatting>
  <conditionalFormatting sqref="B182">
    <cfRule type="duplicateValues" dxfId="2626" priority="83" stopIfTrue="1"/>
  </conditionalFormatting>
  <conditionalFormatting sqref="B183">
    <cfRule type="duplicateValues" dxfId="2625" priority="81" stopIfTrue="1"/>
    <cfRule type="duplicateValues" dxfId="2624" priority="82" stopIfTrue="1"/>
  </conditionalFormatting>
  <conditionalFormatting sqref="B183">
    <cfRule type="duplicateValues" dxfId="2623" priority="80" stopIfTrue="1"/>
  </conditionalFormatting>
  <conditionalFormatting sqref="B184">
    <cfRule type="duplicateValues" dxfId="2622" priority="78" stopIfTrue="1"/>
    <cfRule type="duplicateValues" dxfId="2621" priority="79" stopIfTrue="1"/>
  </conditionalFormatting>
  <conditionalFormatting sqref="B184">
    <cfRule type="duplicateValues" dxfId="2620" priority="77" stopIfTrue="1"/>
  </conditionalFormatting>
  <conditionalFormatting sqref="B106">
    <cfRule type="duplicateValues" dxfId="2619" priority="75" stopIfTrue="1"/>
    <cfRule type="duplicateValues" dxfId="2618" priority="76" stopIfTrue="1"/>
  </conditionalFormatting>
  <conditionalFormatting sqref="B106">
    <cfRule type="duplicateValues" dxfId="2617" priority="74" stopIfTrue="1"/>
  </conditionalFormatting>
  <conditionalFormatting sqref="B185">
    <cfRule type="duplicateValues" dxfId="2616" priority="72" stopIfTrue="1"/>
    <cfRule type="duplicateValues" dxfId="2615" priority="73" stopIfTrue="1"/>
  </conditionalFormatting>
  <conditionalFormatting sqref="B185">
    <cfRule type="duplicateValues" dxfId="2614" priority="71" stopIfTrue="1"/>
  </conditionalFormatting>
  <conditionalFormatting sqref="B186">
    <cfRule type="duplicateValues" dxfId="2613" priority="69" stopIfTrue="1"/>
    <cfRule type="duplicateValues" dxfId="2612" priority="70" stopIfTrue="1"/>
  </conditionalFormatting>
  <conditionalFormatting sqref="B186">
    <cfRule type="duplicateValues" dxfId="2611" priority="68" stopIfTrue="1"/>
  </conditionalFormatting>
  <conditionalFormatting sqref="B3">
    <cfRule type="duplicateValues" dxfId="2610" priority="67"/>
  </conditionalFormatting>
  <conditionalFormatting sqref="B187">
    <cfRule type="duplicateValues" dxfId="2609" priority="65" stopIfTrue="1"/>
    <cfRule type="duplicateValues" dxfId="2608" priority="66" stopIfTrue="1"/>
  </conditionalFormatting>
  <conditionalFormatting sqref="B187">
    <cfRule type="duplicateValues" dxfId="2607" priority="64" stopIfTrue="1"/>
  </conditionalFormatting>
  <conditionalFormatting sqref="B17">
    <cfRule type="duplicateValues" dxfId="2606" priority="62" stopIfTrue="1"/>
    <cfRule type="duplicateValues" dxfId="2605" priority="63" stopIfTrue="1"/>
  </conditionalFormatting>
  <conditionalFormatting sqref="B17">
    <cfRule type="duplicateValues" dxfId="2604" priority="61" stopIfTrue="1"/>
  </conditionalFormatting>
  <conditionalFormatting sqref="B27">
    <cfRule type="duplicateValues" dxfId="2603" priority="60"/>
  </conditionalFormatting>
  <conditionalFormatting sqref="B34">
    <cfRule type="duplicateValues" dxfId="2602" priority="59"/>
  </conditionalFormatting>
  <conditionalFormatting sqref="B45">
    <cfRule type="duplicateValues" dxfId="2601" priority="57" stopIfTrue="1"/>
    <cfRule type="duplicateValues" dxfId="2600" priority="58" stopIfTrue="1"/>
  </conditionalFormatting>
  <conditionalFormatting sqref="B45">
    <cfRule type="duplicateValues" dxfId="2599" priority="56" stopIfTrue="1"/>
  </conditionalFormatting>
  <conditionalFormatting sqref="B60">
    <cfRule type="duplicateValues" dxfId="2598" priority="55"/>
  </conditionalFormatting>
  <conditionalFormatting sqref="B107">
    <cfRule type="duplicateValues" dxfId="2597" priority="54"/>
  </conditionalFormatting>
  <conditionalFormatting sqref="B149">
    <cfRule type="duplicateValues" dxfId="2596" priority="53"/>
  </conditionalFormatting>
  <conditionalFormatting sqref="B171:B172 B150 B99:B105 B108:B109 B111:B127 B132">
    <cfRule type="duplicateValues" dxfId="2595" priority="51" stopIfTrue="1"/>
    <cfRule type="duplicateValues" dxfId="2594" priority="52" stopIfTrue="1"/>
  </conditionalFormatting>
  <conditionalFormatting sqref="B171:B172 B150 B99:B105 B108:B109 B111:B127 B132">
    <cfRule type="duplicateValues" dxfId="2593" priority="50" stopIfTrue="1"/>
  </conditionalFormatting>
  <conditionalFormatting sqref="B167:B168 B181:B186 B130 B106 B133:B136 B179 B140:B141 B176:B177">
    <cfRule type="duplicateValues" dxfId="2592" priority="48" stopIfTrue="1"/>
    <cfRule type="duplicateValues" dxfId="2591" priority="49" stopIfTrue="1"/>
  </conditionalFormatting>
  <conditionalFormatting sqref="B167:B168 B181:B186 B130 B106 B133:B136 B179 B140:B141 B176:B177">
    <cfRule type="duplicateValues" dxfId="2590" priority="47" stopIfTrue="1"/>
  </conditionalFormatting>
  <conditionalFormatting sqref="B171:B172 B150:B151 B96 B99:B105 B108:B109 B111:B127 B132">
    <cfRule type="duplicateValues" dxfId="2589" priority="45" stopIfTrue="1"/>
    <cfRule type="duplicateValues" dxfId="2588" priority="46" stopIfTrue="1"/>
  </conditionalFormatting>
  <conditionalFormatting sqref="B171:B172 B150:B151 B96 B99:B105 B108:B109 B111:B127 B132">
    <cfRule type="duplicateValues" dxfId="2587" priority="44" stopIfTrue="1"/>
  </conditionalFormatting>
  <conditionalFormatting sqref="B128">
    <cfRule type="duplicateValues" dxfId="2586" priority="43"/>
  </conditionalFormatting>
  <conditionalFormatting sqref="B129">
    <cfRule type="duplicateValues" dxfId="2585" priority="42"/>
  </conditionalFormatting>
  <conditionalFormatting sqref="B131">
    <cfRule type="duplicateValues" dxfId="2584" priority="41"/>
  </conditionalFormatting>
  <conditionalFormatting sqref="B135:B136">
    <cfRule type="duplicateValues" dxfId="2583" priority="40"/>
  </conditionalFormatting>
  <conditionalFormatting sqref="B136">
    <cfRule type="duplicateValues" dxfId="2582" priority="39"/>
  </conditionalFormatting>
  <conditionalFormatting sqref="B138:B139">
    <cfRule type="duplicateValues" dxfId="2581" priority="38"/>
  </conditionalFormatting>
  <conditionalFormatting sqref="B139">
    <cfRule type="duplicateValues" dxfId="2580" priority="37"/>
  </conditionalFormatting>
  <conditionalFormatting sqref="B141">
    <cfRule type="duplicateValues" dxfId="2579" priority="36"/>
  </conditionalFormatting>
  <conditionalFormatting sqref="B143">
    <cfRule type="duplicateValues" dxfId="2578" priority="35"/>
  </conditionalFormatting>
  <conditionalFormatting sqref="B146:B148">
    <cfRule type="duplicateValues" dxfId="2577" priority="32"/>
  </conditionalFormatting>
  <conditionalFormatting sqref="B147:B148">
    <cfRule type="duplicateValues" dxfId="2576" priority="31"/>
  </conditionalFormatting>
  <conditionalFormatting sqref="B148">
    <cfRule type="duplicateValues" dxfId="2575" priority="30"/>
  </conditionalFormatting>
  <conditionalFormatting sqref="B333:B1048576 B192 B167:B169 B171:B174 B179:B190 B176:B177 B1:B155 B196:B200">
    <cfRule type="duplicateValues" dxfId="2574" priority="29"/>
  </conditionalFormatting>
  <conditionalFormatting sqref="B6:B155 B196:B200">
    <cfRule type="duplicateValues" dxfId="2573" priority="28"/>
  </conditionalFormatting>
  <conditionalFormatting sqref="G129">
    <cfRule type="duplicateValues" dxfId="2572" priority="27"/>
  </conditionalFormatting>
  <conditionalFormatting sqref="B333:B1048576 B181:B186 B188:B190 B89:B106 B30:B33 B1:B2 B140:B148 B179 B4:B13 B28 B36:B43 B45:B54 B176:B177 B150:B151 B167:B169 B108:B109 B61:B87 B111:B127 B130 B171:B172 B15:B26 B56:B59 B132:B136 B196:B200">
    <cfRule type="duplicateValues" dxfId="2571" priority="632"/>
  </conditionalFormatting>
  <conditionalFormatting sqref="B333:B1048576 B179 B89:B106 B30:B33 B1:B13 B28 B36:B43 B45:B54 B176:B177 B150:B151 B167:B169 B108:B109 B61:B87 B111:B127 B130 B171:B172 B140:B148 B181:B190 B15:B26 B56:B59 B132:B136 B196:B200">
    <cfRule type="duplicateValues" dxfId="2570" priority="657"/>
  </conditionalFormatting>
  <conditionalFormatting sqref="B152">
    <cfRule type="duplicateValues" dxfId="2569" priority="16" stopIfTrue="1"/>
    <cfRule type="duplicateValues" dxfId="2568" priority="17" stopIfTrue="1"/>
  </conditionalFormatting>
  <conditionalFormatting sqref="B152">
    <cfRule type="duplicateValues" dxfId="2567" priority="15" stopIfTrue="1"/>
  </conditionalFormatting>
  <conditionalFormatting sqref="B11">
    <cfRule type="duplicateValues" dxfId="2566" priority="13" stopIfTrue="1"/>
    <cfRule type="duplicateValues" dxfId="2565" priority="14" stopIfTrue="1"/>
  </conditionalFormatting>
  <conditionalFormatting sqref="B11">
    <cfRule type="duplicateValues" dxfId="2564" priority="12" stopIfTrue="1"/>
  </conditionalFormatting>
  <conditionalFormatting sqref="B37:B41 B32:B35 B44:B46 B27:B30 B6:B15 B24:B25 B17:B22 B48:B159">
    <cfRule type="duplicateValues" dxfId="2563" priority="10" stopIfTrue="1"/>
    <cfRule type="duplicateValues" dxfId="2562" priority="11" stopIfTrue="1"/>
  </conditionalFormatting>
  <conditionalFormatting sqref="B37:B41 B32:B35 B44:B46 B27:B30 B6:B15 B24:B25 B17:B22 B48:B159">
    <cfRule type="duplicateValues" dxfId="2561" priority="9" stopIfTrue="1"/>
  </conditionalFormatting>
  <conditionalFormatting sqref="B158:B159">
    <cfRule type="duplicateValues" dxfId="2560" priority="7" stopIfTrue="1"/>
    <cfRule type="duplicateValues" dxfId="2559" priority="8" stopIfTrue="1"/>
  </conditionalFormatting>
  <conditionalFormatting sqref="B158:B159">
    <cfRule type="duplicateValues" dxfId="2558" priority="6" stopIfTrue="1"/>
  </conditionalFormatting>
  <conditionalFormatting sqref="B159">
    <cfRule type="duplicateValues" dxfId="2557" priority="4" stopIfTrue="1"/>
    <cfRule type="duplicateValues" dxfId="2556" priority="5" stopIfTrue="1"/>
  </conditionalFormatting>
  <conditionalFormatting sqref="B159">
    <cfRule type="duplicateValues" dxfId="2555" priority="3" stopIfTrue="1"/>
  </conditionalFormatting>
  <conditionalFormatting sqref="B159">
    <cfRule type="duplicateValues" dxfId="2554" priority="2"/>
  </conditionalFormatting>
  <conditionalFormatting sqref="B159">
    <cfRule type="duplicateValues" dxfId="2553" priority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3:N202"/>
  <sheetViews>
    <sheetView topLeftCell="A121" workbookViewId="0">
      <selection activeCell="B155" sqref="B155:G155"/>
    </sheetView>
  </sheetViews>
  <sheetFormatPr defaultRowHeight="15"/>
  <cols>
    <col min="1" max="1" width="6.85546875" style="44" customWidth="1"/>
    <col min="2" max="2" width="37.14062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486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96">
        <v>1</v>
      </c>
      <c r="B6" s="2" t="s">
        <v>383</v>
      </c>
      <c r="C6" s="41">
        <v>200000</v>
      </c>
      <c r="D6" s="41">
        <v>26660</v>
      </c>
      <c r="E6" s="41">
        <f t="shared" ref="E6:E22" si="0">SUM(C6:D6)</f>
        <v>226660</v>
      </c>
      <c r="F6" s="33">
        <v>40</v>
      </c>
      <c r="G6" s="41">
        <v>5666.5</v>
      </c>
      <c r="H6" s="96">
        <v>39</v>
      </c>
      <c r="I6" s="96">
        <f t="shared" ref="I6:I37" si="1">F6-H6</f>
        <v>1</v>
      </c>
      <c r="J6" s="16">
        <f t="shared" ref="J6:J25" si="2">H6*G6</f>
        <v>220993.5</v>
      </c>
      <c r="K6" s="41">
        <f t="shared" ref="K6:K37" si="3">E6-J6</f>
        <v>5666.5</v>
      </c>
      <c r="L6" s="11"/>
      <c r="M6" s="180" t="e">
        <f>#REF!-G6</f>
        <v>#REF!</v>
      </c>
    </row>
    <row r="7" spans="1:13" s="114" customFormat="1">
      <c r="A7" s="96">
        <v>2</v>
      </c>
      <c r="B7" s="2" t="s">
        <v>417</v>
      </c>
      <c r="C7" s="16">
        <v>132000</v>
      </c>
      <c r="D7" s="16">
        <v>17595.599999999999</v>
      </c>
      <c r="E7" s="41">
        <f t="shared" si="0"/>
        <v>149595.6</v>
      </c>
      <c r="F7" s="33">
        <v>40</v>
      </c>
      <c r="G7" s="16">
        <v>3739.89</v>
      </c>
      <c r="H7" s="96">
        <v>32</v>
      </c>
      <c r="I7" s="96">
        <f t="shared" si="1"/>
        <v>8</v>
      </c>
      <c r="J7" s="16">
        <f t="shared" si="2"/>
        <v>119676.48</v>
      </c>
      <c r="K7" s="41">
        <f t="shared" si="3"/>
        <v>29919.12000000001</v>
      </c>
      <c r="L7" s="11"/>
      <c r="M7" s="180" t="e">
        <f>#REF!-G7</f>
        <v>#REF!</v>
      </c>
    </row>
    <row r="8" spans="1:13" s="114" customFormat="1">
      <c r="A8" s="96">
        <v>3</v>
      </c>
      <c r="B8" s="2" t="s">
        <v>384</v>
      </c>
      <c r="C8" s="41">
        <v>200000</v>
      </c>
      <c r="D8" s="41">
        <v>26660</v>
      </c>
      <c r="E8" s="41">
        <f t="shared" si="0"/>
        <v>226660</v>
      </c>
      <c r="F8" s="33">
        <v>40</v>
      </c>
      <c r="G8" s="41">
        <v>5666.5</v>
      </c>
      <c r="H8" s="96">
        <v>30</v>
      </c>
      <c r="I8" s="96">
        <f t="shared" si="1"/>
        <v>10</v>
      </c>
      <c r="J8" s="16">
        <f t="shared" si="2"/>
        <v>169995</v>
      </c>
      <c r="K8" s="41">
        <f t="shared" si="3"/>
        <v>56665</v>
      </c>
      <c r="L8" s="11"/>
      <c r="M8" s="180" t="e">
        <f>#REF!-G8</f>
        <v>#REF!</v>
      </c>
    </row>
    <row r="9" spans="1:13" s="114" customFormat="1">
      <c r="A9" s="96">
        <v>4</v>
      </c>
      <c r="B9" s="2" t="s">
        <v>413</v>
      </c>
      <c r="C9" s="12">
        <v>180000</v>
      </c>
      <c r="D9" s="12">
        <v>23994</v>
      </c>
      <c r="E9" s="15">
        <f t="shared" si="0"/>
        <v>203994</v>
      </c>
      <c r="F9" s="31">
        <v>40</v>
      </c>
      <c r="G9" s="12">
        <v>5099.8500000000004</v>
      </c>
      <c r="H9" s="159">
        <v>35</v>
      </c>
      <c r="I9" s="97">
        <f t="shared" si="1"/>
        <v>5</v>
      </c>
      <c r="J9" s="91">
        <f t="shared" si="2"/>
        <v>178494.75</v>
      </c>
      <c r="K9" s="15">
        <f t="shared" si="3"/>
        <v>25499.25</v>
      </c>
      <c r="L9" s="8"/>
      <c r="M9" s="180" t="e">
        <f>#REF!-G9</f>
        <v>#REF!</v>
      </c>
    </row>
    <row r="10" spans="1:13" s="114" customFormat="1">
      <c r="A10" s="96">
        <v>5</v>
      </c>
      <c r="B10" s="2" t="s">
        <v>385</v>
      </c>
      <c r="C10" s="41">
        <v>200000</v>
      </c>
      <c r="D10" s="41">
        <v>26660</v>
      </c>
      <c r="E10" s="41">
        <f t="shared" si="0"/>
        <v>226660</v>
      </c>
      <c r="F10" s="33">
        <v>40</v>
      </c>
      <c r="G10" s="41">
        <v>5666.5</v>
      </c>
      <c r="H10" s="96">
        <v>40</v>
      </c>
      <c r="I10" s="96">
        <f t="shared" si="1"/>
        <v>0</v>
      </c>
      <c r="J10" s="16">
        <f t="shared" si="2"/>
        <v>226660</v>
      </c>
      <c r="K10" s="41">
        <f t="shared" si="3"/>
        <v>0</v>
      </c>
      <c r="L10" s="11"/>
      <c r="M10" s="180" t="e">
        <f>#REF!-G10</f>
        <v>#REF!</v>
      </c>
    </row>
    <row r="11" spans="1:13" s="114" customFormat="1">
      <c r="A11" s="96">
        <v>6</v>
      </c>
      <c r="B11" s="2" t="s">
        <v>418</v>
      </c>
      <c r="C11" s="16">
        <v>132000</v>
      </c>
      <c r="D11" s="16">
        <v>17595.599999999999</v>
      </c>
      <c r="E11" s="41">
        <f t="shared" si="0"/>
        <v>149595.6</v>
      </c>
      <c r="F11" s="33">
        <v>40</v>
      </c>
      <c r="G11" s="16">
        <v>3739.89</v>
      </c>
      <c r="H11" s="96">
        <v>40</v>
      </c>
      <c r="I11" s="96">
        <f t="shared" si="1"/>
        <v>0</v>
      </c>
      <c r="J11" s="16">
        <f t="shared" si="2"/>
        <v>149595.6</v>
      </c>
      <c r="K11" s="41">
        <f t="shared" si="3"/>
        <v>0</v>
      </c>
      <c r="L11" s="11"/>
      <c r="M11" s="180" t="e">
        <f>#REF!-G11</f>
        <v>#REF!</v>
      </c>
    </row>
    <row r="12" spans="1:13" s="114" customFormat="1">
      <c r="A12" s="96">
        <v>7</v>
      </c>
      <c r="B12" s="2" t="s">
        <v>307</v>
      </c>
      <c r="C12" s="12">
        <v>500000</v>
      </c>
      <c r="D12" s="12">
        <v>66650</v>
      </c>
      <c r="E12" s="15">
        <f t="shared" si="0"/>
        <v>566650</v>
      </c>
      <c r="F12" s="31">
        <v>50</v>
      </c>
      <c r="G12" s="18">
        <v>11333</v>
      </c>
      <c r="H12" s="14">
        <v>31</v>
      </c>
      <c r="I12" s="97">
        <f t="shared" si="1"/>
        <v>19</v>
      </c>
      <c r="J12" s="91">
        <f t="shared" si="2"/>
        <v>351323</v>
      </c>
      <c r="K12" s="15">
        <f t="shared" si="3"/>
        <v>215327</v>
      </c>
      <c r="L12" s="8"/>
      <c r="M12" s="180" t="e">
        <f>#REF!-G12</f>
        <v>#REF!</v>
      </c>
    </row>
    <row r="13" spans="1:13" s="114" customFormat="1">
      <c r="A13" s="96">
        <v>8</v>
      </c>
      <c r="B13" s="2" t="s">
        <v>304</v>
      </c>
      <c r="C13" s="16">
        <v>500000</v>
      </c>
      <c r="D13" s="16">
        <v>53320</v>
      </c>
      <c r="E13" s="41">
        <f t="shared" si="0"/>
        <v>553320</v>
      </c>
      <c r="F13" s="33">
        <v>40</v>
      </c>
      <c r="G13" s="16">
        <v>13833</v>
      </c>
      <c r="H13" s="96">
        <v>47</v>
      </c>
      <c r="I13" s="96">
        <f t="shared" si="1"/>
        <v>-7</v>
      </c>
      <c r="J13" s="16">
        <f t="shared" si="2"/>
        <v>650151</v>
      </c>
      <c r="K13" s="41">
        <f t="shared" si="3"/>
        <v>-96831</v>
      </c>
      <c r="L13" s="11"/>
      <c r="M13" s="180" t="e">
        <f>#REF!-G13</f>
        <v>#REF!</v>
      </c>
    </row>
    <row r="14" spans="1:13" s="114" customFormat="1">
      <c r="A14" s="96">
        <v>9</v>
      </c>
      <c r="B14" s="195" t="s">
        <v>281</v>
      </c>
      <c r="C14" s="16">
        <v>330000</v>
      </c>
      <c r="D14" s="16">
        <v>43989</v>
      </c>
      <c r="E14" s="41">
        <f t="shared" si="0"/>
        <v>373989</v>
      </c>
      <c r="F14" s="33">
        <v>50</v>
      </c>
      <c r="G14" s="154">
        <v>7478.78</v>
      </c>
      <c r="H14" s="159">
        <v>35</v>
      </c>
      <c r="I14" s="96">
        <f t="shared" si="1"/>
        <v>15</v>
      </c>
      <c r="J14" s="16">
        <f t="shared" si="2"/>
        <v>261757.3</v>
      </c>
      <c r="K14" s="41">
        <f t="shared" si="3"/>
        <v>112231.70000000001</v>
      </c>
      <c r="L14" s="11"/>
      <c r="M14" s="180" t="e">
        <f>#REF!-G14</f>
        <v>#REF!</v>
      </c>
    </row>
    <row r="15" spans="1:13" s="114" customFormat="1">
      <c r="A15" s="96">
        <v>10</v>
      </c>
      <c r="B15" s="25" t="s">
        <v>372</v>
      </c>
      <c r="C15" s="16">
        <v>330000</v>
      </c>
      <c r="D15" s="16">
        <v>43989</v>
      </c>
      <c r="E15" s="41">
        <f t="shared" si="0"/>
        <v>373989</v>
      </c>
      <c r="F15" s="33">
        <v>50</v>
      </c>
      <c r="G15" s="16">
        <v>7479.78</v>
      </c>
      <c r="H15" s="96">
        <v>35</v>
      </c>
      <c r="I15" s="96">
        <f t="shared" si="1"/>
        <v>15</v>
      </c>
      <c r="J15" s="16">
        <f t="shared" si="2"/>
        <v>261792.3</v>
      </c>
      <c r="K15" s="41">
        <f t="shared" si="3"/>
        <v>112196.70000000001</v>
      </c>
      <c r="L15" s="11"/>
      <c r="M15" s="180" t="e">
        <f>#REF!-G15</f>
        <v>#REF!</v>
      </c>
    </row>
    <row r="16" spans="1:13" s="114" customFormat="1">
      <c r="A16" s="96">
        <v>11</v>
      </c>
      <c r="B16" s="2" t="s">
        <v>386</v>
      </c>
      <c r="C16" s="41">
        <v>200000</v>
      </c>
      <c r="D16" s="41">
        <v>26660</v>
      </c>
      <c r="E16" s="41">
        <f t="shared" si="0"/>
        <v>226660</v>
      </c>
      <c r="F16" s="33">
        <v>40</v>
      </c>
      <c r="G16" s="41">
        <v>5666.5</v>
      </c>
      <c r="H16" s="96">
        <v>40</v>
      </c>
      <c r="I16" s="96">
        <f t="shared" si="1"/>
        <v>0</v>
      </c>
      <c r="J16" s="16">
        <f t="shared" si="2"/>
        <v>226660</v>
      </c>
      <c r="K16" s="41">
        <f t="shared" si="3"/>
        <v>0</v>
      </c>
      <c r="L16" s="11"/>
      <c r="M16" s="180" t="e">
        <f>#REF!-G16</f>
        <v>#REF!</v>
      </c>
    </row>
    <row r="17" spans="1:13" s="114" customFormat="1">
      <c r="A17" s="96">
        <v>12</v>
      </c>
      <c r="B17" s="2" t="s">
        <v>373</v>
      </c>
      <c r="C17" s="16">
        <v>330000</v>
      </c>
      <c r="D17" s="16">
        <v>43989</v>
      </c>
      <c r="E17" s="41">
        <f t="shared" si="0"/>
        <v>373989</v>
      </c>
      <c r="F17" s="33">
        <v>50</v>
      </c>
      <c r="G17" s="16">
        <v>7479.78</v>
      </c>
      <c r="H17" s="96">
        <v>26</v>
      </c>
      <c r="I17" s="96">
        <f t="shared" si="1"/>
        <v>24</v>
      </c>
      <c r="J17" s="16">
        <f t="shared" si="2"/>
        <v>194474.28</v>
      </c>
      <c r="K17" s="41">
        <f t="shared" si="3"/>
        <v>179514.72</v>
      </c>
      <c r="L17" s="11"/>
      <c r="M17" s="180" t="e">
        <f>#REF!-G17</f>
        <v>#REF!</v>
      </c>
    </row>
    <row r="18" spans="1:13" s="114" customFormat="1">
      <c r="A18" s="96">
        <v>13</v>
      </c>
      <c r="B18" s="2" t="s">
        <v>387</v>
      </c>
      <c r="C18" s="41">
        <v>200000</v>
      </c>
      <c r="D18" s="41">
        <v>26660</v>
      </c>
      <c r="E18" s="41">
        <f t="shared" si="0"/>
        <v>226660</v>
      </c>
      <c r="F18" s="33">
        <v>40</v>
      </c>
      <c r="G18" s="41">
        <v>5666.5</v>
      </c>
      <c r="H18" s="96">
        <v>40</v>
      </c>
      <c r="I18" s="96">
        <f t="shared" si="1"/>
        <v>0</v>
      </c>
      <c r="J18" s="16">
        <f t="shared" si="2"/>
        <v>226660</v>
      </c>
      <c r="K18" s="41">
        <f t="shared" si="3"/>
        <v>0</v>
      </c>
      <c r="L18" s="11"/>
      <c r="M18" s="180" t="e">
        <f>#REF!-G18</f>
        <v>#REF!</v>
      </c>
    </row>
    <row r="19" spans="1:13" s="114" customFormat="1">
      <c r="A19" s="96">
        <v>14</v>
      </c>
      <c r="B19" s="2" t="s">
        <v>388</v>
      </c>
      <c r="C19" s="15">
        <v>200000</v>
      </c>
      <c r="D19" s="15">
        <v>26660</v>
      </c>
      <c r="E19" s="15">
        <f t="shared" si="0"/>
        <v>226660</v>
      </c>
      <c r="F19" s="31">
        <v>40</v>
      </c>
      <c r="G19" s="15">
        <v>5666.5</v>
      </c>
      <c r="H19" s="14">
        <v>36</v>
      </c>
      <c r="I19" s="97">
        <f t="shared" si="1"/>
        <v>4</v>
      </c>
      <c r="J19" s="91">
        <f t="shared" si="2"/>
        <v>203994</v>
      </c>
      <c r="K19" s="15">
        <f t="shared" si="3"/>
        <v>22666</v>
      </c>
      <c r="L19" s="8"/>
      <c r="M19" s="180" t="e">
        <f>#REF!-G19</f>
        <v>#REF!</v>
      </c>
    </row>
    <row r="20" spans="1:13" s="114" customFormat="1">
      <c r="A20" s="96">
        <v>15</v>
      </c>
      <c r="B20" s="25" t="s">
        <v>308</v>
      </c>
      <c r="C20" s="16">
        <v>500000</v>
      </c>
      <c r="D20" s="16">
        <v>66650</v>
      </c>
      <c r="E20" s="41">
        <f t="shared" si="0"/>
        <v>566650</v>
      </c>
      <c r="F20" s="33">
        <v>50</v>
      </c>
      <c r="G20" s="16">
        <v>11333</v>
      </c>
      <c r="H20" s="96">
        <v>26</v>
      </c>
      <c r="I20" s="96">
        <f t="shared" si="1"/>
        <v>24</v>
      </c>
      <c r="J20" s="16">
        <f t="shared" si="2"/>
        <v>294658</v>
      </c>
      <c r="K20" s="41">
        <f t="shared" si="3"/>
        <v>271992</v>
      </c>
      <c r="L20" s="11"/>
      <c r="M20" s="180" t="e">
        <f>#REF!-G20</f>
        <v>#REF!</v>
      </c>
    </row>
    <row r="21" spans="1:13" s="114" customFormat="1">
      <c r="A21" s="96">
        <v>16</v>
      </c>
      <c r="B21" s="2" t="s">
        <v>389</v>
      </c>
      <c r="C21" s="41">
        <v>200000</v>
      </c>
      <c r="D21" s="41">
        <v>26660</v>
      </c>
      <c r="E21" s="41">
        <f t="shared" si="0"/>
        <v>226660</v>
      </c>
      <c r="F21" s="151">
        <v>40</v>
      </c>
      <c r="G21" s="41">
        <v>5666.5</v>
      </c>
      <c r="H21" s="96">
        <v>50</v>
      </c>
      <c r="I21" s="96">
        <f t="shared" si="1"/>
        <v>-10</v>
      </c>
      <c r="J21" s="16">
        <f t="shared" si="2"/>
        <v>283325</v>
      </c>
      <c r="K21" s="41">
        <f t="shared" si="3"/>
        <v>-56665</v>
      </c>
      <c r="L21" s="152"/>
      <c r="M21" s="180" t="e">
        <f>#REF!-G21</f>
        <v>#REF!</v>
      </c>
    </row>
    <row r="22" spans="1:13" s="114" customFormat="1">
      <c r="A22" s="96">
        <v>17</v>
      </c>
      <c r="B22" s="2" t="s">
        <v>309</v>
      </c>
      <c r="C22" s="16">
        <v>500000</v>
      </c>
      <c r="D22" s="16">
        <v>66650</v>
      </c>
      <c r="E22" s="41">
        <f t="shared" si="0"/>
        <v>566650</v>
      </c>
      <c r="F22" s="33">
        <v>50</v>
      </c>
      <c r="G22" s="16">
        <v>11333</v>
      </c>
      <c r="H22" s="96">
        <v>35</v>
      </c>
      <c r="I22" s="96">
        <f t="shared" si="1"/>
        <v>15</v>
      </c>
      <c r="J22" s="16">
        <f t="shared" si="2"/>
        <v>396655</v>
      </c>
      <c r="K22" s="41">
        <f t="shared" si="3"/>
        <v>169995</v>
      </c>
      <c r="L22" s="11"/>
      <c r="M22" s="180" t="e">
        <f>#REF!-G22</f>
        <v>#REF!</v>
      </c>
    </row>
    <row r="23" spans="1:13" s="114" customFormat="1">
      <c r="A23" s="96">
        <v>18</v>
      </c>
      <c r="B23" s="2" t="s">
        <v>310</v>
      </c>
      <c r="C23" s="19">
        <v>500000</v>
      </c>
      <c r="D23" s="19">
        <v>66650</v>
      </c>
      <c r="E23" s="19">
        <v>566650</v>
      </c>
      <c r="F23" s="33">
        <v>50</v>
      </c>
      <c r="G23" s="16">
        <v>11333</v>
      </c>
      <c r="H23" s="96">
        <v>12</v>
      </c>
      <c r="I23" s="96">
        <f t="shared" si="1"/>
        <v>38</v>
      </c>
      <c r="J23" s="16">
        <f t="shared" si="2"/>
        <v>135996</v>
      </c>
      <c r="K23" s="16">
        <f t="shared" si="3"/>
        <v>430654</v>
      </c>
      <c r="L23" s="122"/>
      <c r="M23" s="180" t="e">
        <f>#REF!-G23</f>
        <v>#REF!</v>
      </c>
    </row>
    <row r="24" spans="1:13" s="114" customFormat="1">
      <c r="A24" s="96">
        <v>19</v>
      </c>
      <c r="B24" s="2" t="s">
        <v>311</v>
      </c>
      <c r="C24" s="16">
        <v>500000</v>
      </c>
      <c r="D24" s="16">
        <v>66650</v>
      </c>
      <c r="E24" s="41">
        <f>SUM(C24:D24)</f>
        <v>566650</v>
      </c>
      <c r="F24" s="33">
        <v>50</v>
      </c>
      <c r="G24" s="16">
        <v>11333</v>
      </c>
      <c r="H24" s="96">
        <v>47</v>
      </c>
      <c r="I24" s="96">
        <f t="shared" si="1"/>
        <v>3</v>
      </c>
      <c r="J24" s="16">
        <f t="shared" si="2"/>
        <v>532651</v>
      </c>
      <c r="K24" s="41">
        <f t="shared" si="3"/>
        <v>33999</v>
      </c>
      <c r="L24" s="11"/>
      <c r="M24" s="180" t="e">
        <f>#REF!-G24</f>
        <v>#REF!</v>
      </c>
    </row>
    <row r="25" spans="1:13" s="114" customFormat="1">
      <c r="A25" s="96">
        <v>20</v>
      </c>
      <c r="B25" s="2" t="s">
        <v>390</v>
      </c>
      <c r="C25" s="41">
        <v>200000</v>
      </c>
      <c r="D25" s="41">
        <v>26660</v>
      </c>
      <c r="E25" s="41">
        <f>SUM(C25:D25)</f>
        <v>226660</v>
      </c>
      <c r="F25" s="33">
        <v>40</v>
      </c>
      <c r="G25" s="41">
        <v>5666.5</v>
      </c>
      <c r="H25" s="96">
        <v>40</v>
      </c>
      <c r="I25" s="96">
        <f t="shared" si="1"/>
        <v>0</v>
      </c>
      <c r="J25" s="16">
        <f t="shared" si="2"/>
        <v>226660</v>
      </c>
      <c r="K25" s="41">
        <f t="shared" si="3"/>
        <v>0</v>
      </c>
      <c r="L25" s="11"/>
      <c r="M25" s="180" t="e">
        <f>#REF!-G25</f>
        <v>#REF!</v>
      </c>
    </row>
    <row r="26" spans="1:13" s="114" customFormat="1">
      <c r="A26" s="96">
        <v>21</v>
      </c>
      <c r="B26" s="25" t="s">
        <v>282</v>
      </c>
      <c r="C26" s="16">
        <v>330000</v>
      </c>
      <c r="D26" s="16">
        <v>43989</v>
      </c>
      <c r="E26" s="41">
        <f>SUM(C26:D26)</f>
        <v>373989</v>
      </c>
      <c r="F26" s="33">
        <v>50</v>
      </c>
      <c r="G26" s="153">
        <v>7479.78</v>
      </c>
      <c r="H26" s="159">
        <v>35</v>
      </c>
      <c r="I26" s="97">
        <f t="shared" si="1"/>
        <v>15</v>
      </c>
      <c r="J26" s="91">
        <f>(32*7479.78)</f>
        <v>239352.95999999999</v>
      </c>
      <c r="K26" s="94">
        <f t="shared" si="3"/>
        <v>134636.04</v>
      </c>
      <c r="L26" s="11"/>
      <c r="M26" s="180" t="e">
        <f>#REF!-G26</f>
        <v>#REF!</v>
      </c>
    </row>
    <row r="27" spans="1:13" s="114" customFormat="1">
      <c r="A27" s="96">
        <v>22</v>
      </c>
      <c r="B27" s="2" t="s">
        <v>312</v>
      </c>
      <c r="C27" s="16">
        <v>500000</v>
      </c>
      <c r="D27" s="16">
        <v>66650</v>
      </c>
      <c r="E27" s="41">
        <f>SUM(C27:D27)</f>
        <v>566650</v>
      </c>
      <c r="F27" s="33">
        <v>50</v>
      </c>
      <c r="G27" s="16">
        <v>11333</v>
      </c>
      <c r="H27" s="97">
        <v>47</v>
      </c>
      <c r="I27" s="97">
        <f t="shared" si="1"/>
        <v>3</v>
      </c>
      <c r="J27" s="91">
        <f>H27*G27</f>
        <v>532651</v>
      </c>
      <c r="K27" s="94">
        <f t="shared" si="3"/>
        <v>33999</v>
      </c>
      <c r="L27" s="11"/>
      <c r="M27" s="180" t="e">
        <f>#REF!-G27</f>
        <v>#REF!</v>
      </c>
    </row>
    <row r="28" spans="1:13" s="114" customFormat="1">
      <c r="A28" s="96">
        <v>23</v>
      </c>
      <c r="B28" s="2" t="s">
        <v>360</v>
      </c>
      <c r="C28" s="16">
        <v>450000</v>
      </c>
      <c r="D28" s="16">
        <v>59985</v>
      </c>
      <c r="E28" s="16">
        <v>509985</v>
      </c>
      <c r="F28" s="33">
        <v>50</v>
      </c>
      <c r="G28" s="16">
        <v>10199.700000000001</v>
      </c>
      <c r="H28" s="97">
        <v>11</v>
      </c>
      <c r="I28" s="97">
        <f t="shared" si="1"/>
        <v>39</v>
      </c>
      <c r="J28" s="91">
        <f>H28*G28</f>
        <v>112196.70000000001</v>
      </c>
      <c r="K28" s="91">
        <f t="shared" si="3"/>
        <v>397788.3</v>
      </c>
      <c r="L28" s="11"/>
      <c r="M28" s="180" t="e">
        <f>#REF!-G28</f>
        <v>#REF!</v>
      </c>
    </row>
    <row r="29" spans="1:13" s="114" customFormat="1">
      <c r="A29" s="96">
        <v>24</v>
      </c>
      <c r="B29" s="2" t="s">
        <v>361</v>
      </c>
      <c r="C29" s="16">
        <v>450000</v>
      </c>
      <c r="D29" s="16">
        <v>59985</v>
      </c>
      <c r="E29" s="16">
        <v>509985</v>
      </c>
      <c r="F29" s="33">
        <v>50</v>
      </c>
      <c r="G29" s="19">
        <v>10199.700000000001</v>
      </c>
      <c r="H29" s="97">
        <v>26</v>
      </c>
      <c r="I29" s="97">
        <f t="shared" si="1"/>
        <v>24</v>
      </c>
      <c r="J29" s="91">
        <f>H29*G29</f>
        <v>265192.2</v>
      </c>
      <c r="K29" s="94">
        <f t="shared" si="3"/>
        <v>244792.8</v>
      </c>
      <c r="L29" s="11"/>
      <c r="M29" s="180" t="e">
        <f>#REF!-G29</f>
        <v>#REF!</v>
      </c>
    </row>
    <row r="30" spans="1:13" s="114" customFormat="1">
      <c r="A30" s="96">
        <v>25</v>
      </c>
      <c r="B30" s="2" t="s">
        <v>305</v>
      </c>
      <c r="C30" s="16">
        <v>500000</v>
      </c>
      <c r="D30" s="16">
        <v>53320</v>
      </c>
      <c r="E30" s="41">
        <f t="shared" ref="E30:E39" si="4">SUM(C30:D30)</f>
        <v>553320</v>
      </c>
      <c r="F30" s="33">
        <v>40</v>
      </c>
      <c r="G30" s="16">
        <v>13833</v>
      </c>
      <c r="H30" s="97">
        <v>47</v>
      </c>
      <c r="I30" s="97">
        <f t="shared" si="1"/>
        <v>-7</v>
      </c>
      <c r="J30" s="91">
        <f>H30*G30</f>
        <v>650151</v>
      </c>
      <c r="K30" s="94">
        <f t="shared" si="3"/>
        <v>-96831</v>
      </c>
      <c r="L30" s="11"/>
      <c r="M30" s="180" t="e">
        <f>#REF!-G30</f>
        <v>#REF!</v>
      </c>
    </row>
    <row r="31" spans="1:13" s="114" customFormat="1">
      <c r="A31" s="96">
        <v>26</v>
      </c>
      <c r="B31" s="2" t="s">
        <v>313</v>
      </c>
      <c r="C31" s="16">
        <v>500000</v>
      </c>
      <c r="D31" s="16">
        <v>66650</v>
      </c>
      <c r="E31" s="41">
        <f t="shared" si="4"/>
        <v>566650</v>
      </c>
      <c r="F31" s="33">
        <v>50</v>
      </c>
      <c r="G31" s="16">
        <v>11333</v>
      </c>
      <c r="H31" s="97">
        <v>26</v>
      </c>
      <c r="I31" s="97">
        <f t="shared" si="1"/>
        <v>24</v>
      </c>
      <c r="J31" s="91">
        <f>H31*G31</f>
        <v>294658</v>
      </c>
      <c r="K31" s="94">
        <f t="shared" si="3"/>
        <v>271992</v>
      </c>
      <c r="L31" s="11"/>
      <c r="M31" s="180" t="e">
        <f>#REF!-G31</f>
        <v>#REF!</v>
      </c>
    </row>
    <row r="32" spans="1:13" s="114" customFormat="1">
      <c r="A32" s="96">
        <v>27</v>
      </c>
      <c r="B32" s="25" t="s">
        <v>298</v>
      </c>
      <c r="C32" s="16">
        <v>60000</v>
      </c>
      <c r="D32" s="16">
        <v>7998</v>
      </c>
      <c r="E32" s="41">
        <f t="shared" si="4"/>
        <v>67998</v>
      </c>
      <c r="F32" s="33">
        <v>40</v>
      </c>
      <c r="G32" s="153">
        <v>1699.95</v>
      </c>
      <c r="H32" s="97">
        <v>1</v>
      </c>
      <c r="I32" s="97">
        <f t="shared" si="1"/>
        <v>39</v>
      </c>
      <c r="J32" s="91"/>
      <c r="K32" s="94">
        <f t="shared" si="3"/>
        <v>67998</v>
      </c>
      <c r="L32" s="11"/>
      <c r="M32" s="180" t="e">
        <f>#REF!-G32</f>
        <v>#REF!</v>
      </c>
    </row>
    <row r="33" spans="1:13" s="114" customFormat="1">
      <c r="A33" s="96">
        <v>28</v>
      </c>
      <c r="B33" s="25" t="s">
        <v>299</v>
      </c>
      <c r="C33" s="16">
        <v>500000</v>
      </c>
      <c r="D33" s="16">
        <v>66650</v>
      </c>
      <c r="E33" s="41">
        <f t="shared" si="4"/>
        <v>566650</v>
      </c>
      <c r="F33" s="33">
        <v>50</v>
      </c>
      <c r="G33" s="157">
        <v>11333</v>
      </c>
      <c r="H33" s="97">
        <v>36</v>
      </c>
      <c r="I33" s="97">
        <f t="shared" si="1"/>
        <v>14</v>
      </c>
      <c r="J33" s="91">
        <f t="shared" ref="J33:J44" si="5">H33*G33</f>
        <v>407988</v>
      </c>
      <c r="K33" s="94">
        <f t="shared" si="3"/>
        <v>158662</v>
      </c>
      <c r="L33" s="11" t="s">
        <v>276</v>
      </c>
      <c r="M33" s="180" t="e">
        <f>#REF!-G33</f>
        <v>#REF!</v>
      </c>
    </row>
    <row r="34" spans="1:13" s="114" customFormat="1">
      <c r="A34" s="96">
        <v>29</v>
      </c>
      <c r="B34" s="2" t="s">
        <v>391</v>
      </c>
      <c r="C34" s="41">
        <v>200000</v>
      </c>
      <c r="D34" s="41">
        <v>26660</v>
      </c>
      <c r="E34" s="41">
        <f t="shared" si="4"/>
        <v>226660</v>
      </c>
      <c r="F34" s="33">
        <v>40</v>
      </c>
      <c r="G34" s="41">
        <v>5666.5</v>
      </c>
      <c r="H34" s="97">
        <v>40</v>
      </c>
      <c r="I34" s="97">
        <f t="shared" si="1"/>
        <v>0</v>
      </c>
      <c r="J34" s="91">
        <f t="shared" si="5"/>
        <v>226660</v>
      </c>
      <c r="K34" s="94">
        <f t="shared" si="3"/>
        <v>0</v>
      </c>
      <c r="L34" s="11"/>
      <c r="M34" s="180" t="e">
        <f>#REF!-G34</f>
        <v>#REF!</v>
      </c>
    </row>
    <row r="35" spans="1:13" s="114" customFormat="1">
      <c r="A35" s="96">
        <v>30</v>
      </c>
      <c r="B35" s="2" t="s">
        <v>140</v>
      </c>
      <c r="C35" s="15">
        <v>200000</v>
      </c>
      <c r="D35" s="15">
        <v>26660</v>
      </c>
      <c r="E35" s="15">
        <f t="shared" si="4"/>
        <v>226660</v>
      </c>
      <c r="F35" s="31">
        <v>40</v>
      </c>
      <c r="G35" s="15">
        <v>5666.5</v>
      </c>
      <c r="H35" s="14">
        <v>32</v>
      </c>
      <c r="I35" s="97">
        <f t="shared" si="1"/>
        <v>8</v>
      </c>
      <c r="J35" s="91">
        <f t="shared" si="5"/>
        <v>181328</v>
      </c>
      <c r="K35" s="15">
        <f t="shared" si="3"/>
        <v>45332</v>
      </c>
      <c r="L35" s="8"/>
      <c r="M35" s="180" t="e">
        <f>#REF!-G35</f>
        <v>#REF!</v>
      </c>
    </row>
    <row r="36" spans="1:13" s="114" customFormat="1">
      <c r="A36" s="96">
        <v>31</v>
      </c>
      <c r="B36" s="2" t="s">
        <v>392</v>
      </c>
      <c r="C36" s="41">
        <v>200000</v>
      </c>
      <c r="D36" s="41">
        <v>26660</v>
      </c>
      <c r="E36" s="41">
        <f t="shared" si="4"/>
        <v>226660</v>
      </c>
      <c r="F36" s="33">
        <v>40</v>
      </c>
      <c r="G36" s="41">
        <v>5666.5</v>
      </c>
      <c r="H36" s="97">
        <v>40</v>
      </c>
      <c r="I36" s="97">
        <f t="shared" si="1"/>
        <v>0</v>
      </c>
      <c r="J36" s="91">
        <f t="shared" si="5"/>
        <v>226660</v>
      </c>
      <c r="K36" s="94">
        <f t="shared" si="3"/>
        <v>0</v>
      </c>
      <c r="L36" s="11"/>
      <c r="M36" s="180" t="e">
        <f>#REF!-G36</f>
        <v>#REF!</v>
      </c>
    </row>
    <row r="37" spans="1:13" s="114" customFormat="1">
      <c r="A37" s="96">
        <v>32</v>
      </c>
      <c r="B37" s="2" t="s">
        <v>107</v>
      </c>
      <c r="C37" s="16">
        <v>330000</v>
      </c>
      <c r="D37" s="16">
        <v>43989</v>
      </c>
      <c r="E37" s="41">
        <f t="shared" si="4"/>
        <v>373989</v>
      </c>
      <c r="F37" s="33">
        <v>50</v>
      </c>
      <c r="G37" s="16">
        <v>7479.78</v>
      </c>
      <c r="H37" s="97">
        <v>47</v>
      </c>
      <c r="I37" s="97">
        <f t="shared" si="1"/>
        <v>3</v>
      </c>
      <c r="J37" s="91">
        <f t="shared" si="5"/>
        <v>351549.66</v>
      </c>
      <c r="K37" s="94">
        <f t="shared" si="3"/>
        <v>22439.340000000026</v>
      </c>
      <c r="L37" s="11"/>
      <c r="M37" s="180" t="e">
        <f>#REF!-G37</f>
        <v>#REF!</v>
      </c>
    </row>
    <row r="38" spans="1:13" s="114" customFormat="1">
      <c r="A38" s="96">
        <v>33</v>
      </c>
      <c r="B38" s="2" t="s">
        <v>374</v>
      </c>
      <c r="C38" s="16">
        <v>330000</v>
      </c>
      <c r="D38" s="16">
        <v>43989</v>
      </c>
      <c r="E38" s="41">
        <f t="shared" si="4"/>
        <v>373989</v>
      </c>
      <c r="F38" s="33">
        <v>50</v>
      </c>
      <c r="G38" s="16">
        <v>7479.78</v>
      </c>
      <c r="H38" s="97">
        <v>47</v>
      </c>
      <c r="I38" s="97">
        <f t="shared" ref="I38:I69" si="6">F38-H38</f>
        <v>3</v>
      </c>
      <c r="J38" s="91">
        <f t="shared" si="5"/>
        <v>351549.66</v>
      </c>
      <c r="K38" s="94">
        <f t="shared" ref="K38:K69" si="7">E38-J38</f>
        <v>22439.340000000026</v>
      </c>
      <c r="L38" s="11"/>
      <c r="M38" s="180" t="e">
        <f>#REF!-G38</f>
        <v>#REF!</v>
      </c>
    </row>
    <row r="39" spans="1:13" s="114" customFormat="1">
      <c r="A39" s="96">
        <v>34</v>
      </c>
      <c r="B39" s="2" t="s">
        <v>393</v>
      </c>
      <c r="C39" s="41">
        <v>200000</v>
      </c>
      <c r="D39" s="41">
        <v>26660</v>
      </c>
      <c r="E39" s="41">
        <f t="shared" si="4"/>
        <v>226660</v>
      </c>
      <c r="F39" s="33">
        <v>40</v>
      </c>
      <c r="G39" s="41">
        <v>5666.5</v>
      </c>
      <c r="H39" s="97">
        <v>40</v>
      </c>
      <c r="I39" s="97">
        <f t="shared" si="6"/>
        <v>0</v>
      </c>
      <c r="J39" s="91">
        <f t="shared" si="5"/>
        <v>226660</v>
      </c>
      <c r="K39" s="94">
        <f t="shared" si="7"/>
        <v>0</v>
      </c>
      <c r="L39" s="11"/>
      <c r="M39" s="180" t="e">
        <f>#REF!-G39</f>
        <v>#REF!</v>
      </c>
    </row>
    <row r="40" spans="1:13" s="114" customFormat="1">
      <c r="A40" s="96">
        <v>35</v>
      </c>
      <c r="B40" s="2" t="s">
        <v>314</v>
      </c>
      <c r="C40" s="19">
        <v>500000</v>
      </c>
      <c r="D40" s="19">
        <v>66650</v>
      </c>
      <c r="E40" s="19">
        <v>566650</v>
      </c>
      <c r="F40" s="33">
        <v>50</v>
      </c>
      <c r="G40" s="16">
        <v>11333</v>
      </c>
      <c r="H40" s="97">
        <v>12</v>
      </c>
      <c r="I40" s="97">
        <f t="shared" si="6"/>
        <v>38</v>
      </c>
      <c r="J40" s="91">
        <f t="shared" si="5"/>
        <v>135996</v>
      </c>
      <c r="K40" s="91">
        <f t="shared" si="7"/>
        <v>430654</v>
      </c>
      <c r="L40" s="122"/>
      <c r="M40" s="180" t="e">
        <f>#REF!-G40</f>
        <v>#REF!</v>
      </c>
    </row>
    <row r="41" spans="1:13" s="114" customFormat="1">
      <c r="A41" s="96">
        <v>36</v>
      </c>
      <c r="B41" s="2" t="s">
        <v>414</v>
      </c>
      <c r="C41" s="16">
        <v>180000</v>
      </c>
      <c r="D41" s="16">
        <v>23994</v>
      </c>
      <c r="E41" s="41">
        <f>SUM(C41:D41)</f>
        <v>203994</v>
      </c>
      <c r="F41" s="33">
        <v>40</v>
      </c>
      <c r="G41" s="16">
        <v>5099.8500000000004</v>
      </c>
      <c r="H41" s="97">
        <v>37</v>
      </c>
      <c r="I41" s="97">
        <f t="shared" si="6"/>
        <v>3</v>
      </c>
      <c r="J41" s="91">
        <f t="shared" si="5"/>
        <v>188694.45</v>
      </c>
      <c r="K41" s="94">
        <f t="shared" si="7"/>
        <v>15299.549999999988</v>
      </c>
      <c r="L41" s="11"/>
      <c r="M41" s="180" t="e">
        <f>#REF!-G41</f>
        <v>#REF!</v>
      </c>
    </row>
    <row r="42" spans="1:13" s="114" customFormat="1">
      <c r="A42" s="96">
        <v>37</v>
      </c>
      <c r="B42" s="89" t="s">
        <v>362</v>
      </c>
      <c r="C42" s="12">
        <v>450000</v>
      </c>
      <c r="D42" s="12">
        <v>59985</v>
      </c>
      <c r="E42" s="15">
        <f>SUM(C42:D42)</f>
        <v>509985</v>
      </c>
      <c r="F42" s="31">
        <v>50</v>
      </c>
      <c r="G42" s="12">
        <v>10199.700000000001</v>
      </c>
      <c r="H42" s="14">
        <v>29</v>
      </c>
      <c r="I42" s="97">
        <f t="shared" si="6"/>
        <v>21</v>
      </c>
      <c r="J42" s="91">
        <f t="shared" si="5"/>
        <v>295791.30000000005</v>
      </c>
      <c r="K42" s="15">
        <f t="shared" si="7"/>
        <v>214193.69999999995</v>
      </c>
      <c r="L42" s="8"/>
      <c r="M42" s="180" t="e">
        <f>#REF!-G42</f>
        <v>#REF!</v>
      </c>
    </row>
    <row r="43" spans="1:13" s="114" customFormat="1">
      <c r="A43" s="96">
        <v>38</v>
      </c>
      <c r="B43" s="2" t="s">
        <v>315</v>
      </c>
      <c r="C43" s="19">
        <v>500000</v>
      </c>
      <c r="D43" s="19">
        <v>66650</v>
      </c>
      <c r="E43" s="19">
        <v>566650</v>
      </c>
      <c r="F43" s="33">
        <v>50</v>
      </c>
      <c r="G43" s="16">
        <v>11333</v>
      </c>
      <c r="H43" s="97">
        <v>12</v>
      </c>
      <c r="I43" s="97">
        <f t="shared" si="6"/>
        <v>38</v>
      </c>
      <c r="J43" s="91">
        <f t="shared" si="5"/>
        <v>135996</v>
      </c>
      <c r="K43" s="91">
        <f t="shared" si="7"/>
        <v>430654</v>
      </c>
      <c r="L43" s="122"/>
      <c r="M43" s="180" t="e">
        <f>#REF!-G43</f>
        <v>#REF!</v>
      </c>
    </row>
    <row r="44" spans="1:13" s="114" customFormat="1">
      <c r="A44" s="96">
        <v>39</v>
      </c>
      <c r="B44" s="2" t="s">
        <v>284</v>
      </c>
      <c r="C44" s="19">
        <v>500000</v>
      </c>
      <c r="D44" s="19">
        <v>66650</v>
      </c>
      <c r="E44" s="19">
        <v>566650</v>
      </c>
      <c r="F44" s="33">
        <v>50</v>
      </c>
      <c r="G44" s="158">
        <v>11333</v>
      </c>
      <c r="H44" s="97">
        <v>32</v>
      </c>
      <c r="I44" s="97">
        <f t="shared" si="6"/>
        <v>18</v>
      </c>
      <c r="J44" s="91">
        <f t="shared" si="5"/>
        <v>362656</v>
      </c>
      <c r="K44" s="91">
        <f t="shared" si="7"/>
        <v>203994</v>
      </c>
      <c r="L44" s="122"/>
      <c r="M44" s="180" t="e">
        <f>#REF!-G44</f>
        <v>#REF!</v>
      </c>
    </row>
    <row r="45" spans="1:13" s="114" customFormat="1">
      <c r="A45" s="96">
        <v>40</v>
      </c>
      <c r="B45" s="89" t="s">
        <v>216</v>
      </c>
      <c r="C45" s="16">
        <v>60000</v>
      </c>
      <c r="D45" s="16">
        <v>7998</v>
      </c>
      <c r="E45" s="41">
        <f t="shared" ref="E45:E50" si="8">SUM(C45:D45)</f>
        <v>67998</v>
      </c>
      <c r="F45" s="33">
        <v>40</v>
      </c>
      <c r="G45" s="24">
        <v>1699.95</v>
      </c>
      <c r="H45" s="97">
        <v>1</v>
      </c>
      <c r="I45" s="97">
        <f t="shared" si="6"/>
        <v>39</v>
      </c>
      <c r="J45" s="91"/>
      <c r="K45" s="94">
        <f t="shared" si="7"/>
        <v>67998</v>
      </c>
      <c r="L45" s="11"/>
      <c r="M45" s="180" t="e">
        <f>#REF!-G45</f>
        <v>#REF!</v>
      </c>
    </row>
    <row r="46" spans="1:13" s="114" customFormat="1">
      <c r="A46" s="96">
        <v>41</v>
      </c>
      <c r="B46" s="2" t="s">
        <v>415</v>
      </c>
      <c r="C46" s="16">
        <v>180000</v>
      </c>
      <c r="D46" s="16">
        <v>23994</v>
      </c>
      <c r="E46" s="41">
        <f t="shared" si="8"/>
        <v>203994</v>
      </c>
      <c r="F46" s="33">
        <v>40</v>
      </c>
      <c r="G46" s="16">
        <v>5099.8500000000004</v>
      </c>
      <c r="H46" s="97">
        <v>40</v>
      </c>
      <c r="I46" s="97">
        <f t="shared" si="6"/>
        <v>0</v>
      </c>
      <c r="J46" s="91">
        <f>H46*G46</f>
        <v>203994</v>
      </c>
      <c r="K46" s="94">
        <f t="shared" si="7"/>
        <v>0</v>
      </c>
      <c r="L46" s="11"/>
      <c r="M46" s="180" t="e">
        <f>#REF!-G46</f>
        <v>#REF!</v>
      </c>
    </row>
    <row r="47" spans="1:13" s="114" customFormat="1">
      <c r="A47" s="96">
        <v>42</v>
      </c>
      <c r="B47" s="2" t="s">
        <v>316</v>
      </c>
      <c r="C47" s="16">
        <v>500000</v>
      </c>
      <c r="D47" s="16">
        <v>66650</v>
      </c>
      <c r="E47" s="41">
        <f t="shared" si="8"/>
        <v>566650</v>
      </c>
      <c r="F47" s="33">
        <v>50</v>
      </c>
      <c r="G47" s="16">
        <v>11333</v>
      </c>
      <c r="H47" s="97">
        <v>25</v>
      </c>
      <c r="I47" s="97">
        <f t="shared" si="6"/>
        <v>25</v>
      </c>
      <c r="J47" s="91">
        <f>H47*G47</f>
        <v>283325</v>
      </c>
      <c r="K47" s="94">
        <f t="shared" si="7"/>
        <v>283325</v>
      </c>
      <c r="L47" s="11"/>
      <c r="M47" s="180" t="e">
        <f>#REF!-G47</f>
        <v>#REF!</v>
      </c>
    </row>
    <row r="48" spans="1:13" s="114" customFormat="1">
      <c r="A48" s="96">
        <v>43</v>
      </c>
      <c r="B48" s="2" t="s">
        <v>317</v>
      </c>
      <c r="C48" s="16">
        <v>500000</v>
      </c>
      <c r="D48" s="16">
        <v>66650</v>
      </c>
      <c r="E48" s="41">
        <f t="shared" si="8"/>
        <v>566650</v>
      </c>
      <c r="F48" s="33">
        <v>50</v>
      </c>
      <c r="G48" s="16">
        <v>11333</v>
      </c>
      <c r="H48" s="97">
        <v>35</v>
      </c>
      <c r="I48" s="97">
        <f t="shared" si="6"/>
        <v>15</v>
      </c>
      <c r="J48" s="91">
        <f>H48*G48</f>
        <v>396655</v>
      </c>
      <c r="K48" s="94">
        <f t="shared" si="7"/>
        <v>169995</v>
      </c>
      <c r="L48" s="11"/>
      <c r="M48" s="180" t="e">
        <f>#REF!-G48</f>
        <v>#REF!</v>
      </c>
    </row>
    <row r="49" spans="1:13" s="114" customFormat="1">
      <c r="A49" s="96">
        <v>44</v>
      </c>
      <c r="B49" s="2" t="s">
        <v>318</v>
      </c>
      <c r="C49" s="16">
        <v>500000</v>
      </c>
      <c r="D49" s="16">
        <v>66650</v>
      </c>
      <c r="E49" s="41">
        <f t="shared" si="8"/>
        <v>566650</v>
      </c>
      <c r="F49" s="33">
        <v>50</v>
      </c>
      <c r="G49" s="16">
        <v>11333</v>
      </c>
      <c r="H49" s="97">
        <v>35</v>
      </c>
      <c r="I49" s="97">
        <f t="shared" si="6"/>
        <v>15</v>
      </c>
      <c r="J49" s="91">
        <f>H49*G49</f>
        <v>396655</v>
      </c>
      <c r="K49" s="94">
        <f t="shared" si="7"/>
        <v>169995</v>
      </c>
      <c r="L49" s="11"/>
      <c r="M49" s="180" t="e">
        <f>#REF!-G49</f>
        <v>#REF!</v>
      </c>
    </row>
    <row r="50" spans="1:13" s="114" customFormat="1">
      <c r="A50" s="96">
        <v>45</v>
      </c>
      <c r="B50" s="2" t="s">
        <v>394</v>
      </c>
      <c r="C50" s="41">
        <v>200000</v>
      </c>
      <c r="D50" s="41">
        <v>26660</v>
      </c>
      <c r="E50" s="41">
        <f t="shared" si="8"/>
        <v>226660</v>
      </c>
      <c r="F50" s="33">
        <v>40</v>
      </c>
      <c r="G50" s="41">
        <v>5666.5</v>
      </c>
      <c r="H50" s="97">
        <v>40</v>
      </c>
      <c r="I50" s="97">
        <f t="shared" si="6"/>
        <v>0</v>
      </c>
      <c r="J50" s="91">
        <f>H50*G50</f>
        <v>226660</v>
      </c>
      <c r="K50" s="94">
        <f t="shared" si="7"/>
        <v>0</v>
      </c>
      <c r="L50" s="11"/>
      <c r="M50" s="180" t="e">
        <f>#REF!-G50</f>
        <v>#REF!</v>
      </c>
    </row>
    <row r="51" spans="1:13" s="114" customFormat="1">
      <c r="A51" s="96">
        <v>46</v>
      </c>
      <c r="B51" s="2" t="s">
        <v>363</v>
      </c>
      <c r="C51" s="16">
        <v>450000</v>
      </c>
      <c r="D51" s="16">
        <v>59985</v>
      </c>
      <c r="E51" s="16">
        <v>509985</v>
      </c>
      <c r="F51" s="33">
        <v>50</v>
      </c>
      <c r="G51" s="154">
        <v>10199.700000000001</v>
      </c>
      <c r="H51" s="97">
        <v>4</v>
      </c>
      <c r="I51" s="97">
        <f t="shared" si="6"/>
        <v>46</v>
      </c>
      <c r="J51" s="91">
        <f>(1*10199.7)</f>
        <v>10199.700000000001</v>
      </c>
      <c r="K51" s="94">
        <f t="shared" si="7"/>
        <v>499785.3</v>
      </c>
      <c r="L51" s="11"/>
      <c r="M51" s="180" t="e">
        <f>#REF!-G51</f>
        <v>#REF!</v>
      </c>
    </row>
    <row r="52" spans="1:13" s="114" customFormat="1">
      <c r="A52" s="96">
        <v>47</v>
      </c>
      <c r="B52" s="2" t="s">
        <v>319</v>
      </c>
      <c r="C52" s="16">
        <v>450000</v>
      </c>
      <c r="D52" s="16">
        <v>59985</v>
      </c>
      <c r="E52" s="41">
        <f t="shared" ref="E52:E66" si="9">SUM(C52:D52)</f>
        <v>509985</v>
      </c>
      <c r="F52" s="33">
        <v>50</v>
      </c>
      <c r="G52" s="16">
        <v>11333</v>
      </c>
      <c r="H52" s="97">
        <v>15</v>
      </c>
      <c r="I52" s="97">
        <f t="shared" si="6"/>
        <v>35</v>
      </c>
      <c r="J52" s="91">
        <f t="shared" ref="J52:J83" si="10">H52*G52</f>
        <v>169995</v>
      </c>
      <c r="K52" s="94">
        <f t="shared" si="7"/>
        <v>339990</v>
      </c>
      <c r="L52" s="11"/>
      <c r="M52" s="180" t="e">
        <f>#REF!-G52</f>
        <v>#REF!</v>
      </c>
    </row>
    <row r="53" spans="1:13" s="114" customFormat="1">
      <c r="A53" s="96">
        <v>48</v>
      </c>
      <c r="B53" s="2" t="s">
        <v>424</v>
      </c>
      <c r="C53" s="12">
        <v>150000</v>
      </c>
      <c r="D53" s="12">
        <v>19995</v>
      </c>
      <c r="E53" s="15">
        <f t="shared" si="9"/>
        <v>169995</v>
      </c>
      <c r="F53" s="31">
        <v>50</v>
      </c>
      <c r="G53" s="12">
        <v>3399.9</v>
      </c>
      <c r="H53" s="14">
        <v>31</v>
      </c>
      <c r="I53" s="97">
        <f t="shared" si="6"/>
        <v>19</v>
      </c>
      <c r="J53" s="91">
        <f t="shared" si="10"/>
        <v>105396.90000000001</v>
      </c>
      <c r="K53" s="15">
        <f t="shared" si="7"/>
        <v>64598.099999999991</v>
      </c>
      <c r="L53" s="8"/>
      <c r="M53" s="180" t="e">
        <f>#REF!-G53</f>
        <v>#REF!</v>
      </c>
    </row>
    <row r="54" spans="1:13" s="114" customFormat="1">
      <c r="A54" s="96">
        <v>49</v>
      </c>
      <c r="B54" s="2" t="s">
        <v>375</v>
      </c>
      <c r="C54" s="16">
        <v>330000</v>
      </c>
      <c r="D54" s="16">
        <v>43989</v>
      </c>
      <c r="E54" s="41">
        <f t="shared" si="9"/>
        <v>373989</v>
      </c>
      <c r="F54" s="33">
        <v>50</v>
      </c>
      <c r="G54" s="16">
        <v>7479.78</v>
      </c>
      <c r="H54" s="97">
        <v>26</v>
      </c>
      <c r="I54" s="97">
        <f t="shared" si="6"/>
        <v>24</v>
      </c>
      <c r="J54" s="91">
        <f t="shared" si="10"/>
        <v>194474.28</v>
      </c>
      <c r="K54" s="94">
        <f t="shared" si="7"/>
        <v>179514.72</v>
      </c>
      <c r="L54" s="11"/>
      <c r="M54" s="180" t="e">
        <f>#REF!-G54</f>
        <v>#REF!</v>
      </c>
    </row>
    <row r="55" spans="1:13" s="114" customFormat="1">
      <c r="A55" s="96">
        <v>50</v>
      </c>
      <c r="B55" s="2" t="s">
        <v>320</v>
      </c>
      <c r="C55" s="16">
        <v>500000</v>
      </c>
      <c r="D55" s="16">
        <v>66650</v>
      </c>
      <c r="E55" s="41">
        <f t="shared" si="9"/>
        <v>566650</v>
      </c>
      <c r="F55" s="33">
        <v>50</v>
      </c>
      <c r="G55" s="176">
        <v>11333</v>
      </c>
      <c r="H55" s="188">
        <v>2</v>
      </c>
      <c r="I55" s="188">
        <f t="shared" si="6"/>
        <v>48</v>
      </c>
      <c r="J55" s="91">
        <f t="shared" si="10"/>
        <v>22666</v>
      </c>
      <c r="K55" s="94">
        <f t="shared" si="7"/>
        <v>543984</v>
      </c>
      <c r="L55" s="122"/>
    </row>
    <row r="56" spans="1:13" s="114" customFormat="1">
      <c r="A56" s="96">
        <v>51</v>
      </c>
      <c r="B56" s="2" t="s">
        <v>395</v>
      </c>
      <c r="C56" s="15">
        <v>200000</v>
      </c>
      <c r="D56" s="15">
        <v>26660</v>
      </c>
      <c r="E56" s="15">
        <f t="shared" si="9"/>
        <v>226660</v>
      </c>
      <c r="F56" s="31">
        <v>40</v>
      </c>
      <c r="G56" s="15">
        <v>5666.5</v>
      </c>
      <c r="H56" s="14">
        <v>38</v>
      </c>
      <c r="I56" s="97">
        <f t="shared" si="6"/>
        <v>2</v>
      </c>
      <c r="J56" s="91">
        <f t="shared" si="10"/>
        <v>215327</v>
      </c>
      <c r="K56" s="15">
        <f t="shared" si="7"/>
        <v>11333</v>
      </c>
      <c r="L56" s="8"/>
      <c r="M56" s="180" t="e">
        <f>#REF!-G56</f>
        <v>#REF!</v>
      </c>
    </row>
    <row r="57" spans="1:13" s="114" customFormat="1">
      <c r="A57" s="96">
        <v>52</v>
      </c>
      <c r="B57" s="2" t="s">
        <v>112</v>
      </c>
      <c r="C57" s="16">
        <v>330000</v>
      </c>
      <c r="D57" s="16">
        <v>43989</v>
      </c>
      <c r="E57" s="41">
        <f t="shared" si="9"/>
        <v>373989</v>
      </c>
      <c r="F57" s="33">
        <v>50</v>
      </c>
      <c r="G57" s="16">
        <v>7479.78</v>
      </c>
      <c r="H57" s="97">
        <v>26</v>
      </c>
      <c r="I57" s="97">
        <f t="shared" si="6"/>
        <v>24</v>
      </c>
      <c r="J57" s="91">
        <f t="shared" si="10"/>
        <v>194474.28</v>
      </c>
      <c r="K57" s="94">
        <f t="shared" si="7"/>
        <v>179514.72</v>
      </c>
      <c r="L57" s="11"/>
      <c r="M57" s="180" t="e">
        <f>#REF!-G57</f>
        <v>#REF!</v>
      </c>
    </row>
    <row r="58" spans="1:13" s="114" customFormat="1">
      <c r="A58" s="96">
        <v>53</v>
      </c>
      <c r="B58" s="173" t="s">
        <v>285</v>
      </c>
      <c r="C58" s="41">
        <v>200000</v>
      </c>
      <c r="D58" s="41">
        <v>26660</v>
      </c>
      <c r="E58" s="41">
        <f t="shared" si="9"/>
        <v>226660</v>
      </c>
      <c r="F58" s="33">
        <v>40</v>
      </c>
      <c r="G58" s="41">
        <v>7479</v>
      </c>
      <c r="H58" s="97">
        <v>11</v>
      </c>
      <c r="I58" s="97">
        <f t="shared" si="6"/>
        <v>29</v>
      </c>
      <c r="J58" s="91">
        <f t="shared" si="10"/>
        <v>82269</v>
      </c>
      <c r="K58" s="94">
        <f t="shared" si="7"/>
        <v>144391</v>
      </c>
      <c r="L58" s="11"/>
      <c r="M58" s="180" t="e">
        <f>#REF!-G58</f>
        <v>#REF!</v>
      </c>
    </row>
    <row r="59" spans="1:13" s="114" customFormat="1">
      <c r="A59" s="96">
        <v>54</v>
      </c>
      <c r="B59" s="2" t="s">
        <v>321</v>
      </c>
      <c r="C59" s="16">
        <v>500000</v>
      </c>
      <c r="D59" s="16">
        <v>66650</v>
      </c>
      <c r="E59" s="41">
        <f t="shared" si="9"/>
        <v>566650</v>
      </c>
      <c r="F59" s="33">
        <v>50</v>
      </c>
      <c r="G59" s="16">
        <v>11333</v>
      </c>
      <c r="H59" s="97">
        <v>25</v>
      </c>
      <c r="I59" s="97">
        <f t="shared" si="6"/>
        <v>25</v>
      </c>
      <c r="J59" s="91">
        <f t="shared" si="10"/>
        <v>283325</v>
      </c>
      <c r="K59" s="94">
        <f t="shared" si="7"/>
        <v>283325</v>
      </c>
      <c r="L59" s="11"/>
      <c r="M59" s="180" t="e">
        <f>#REF!-G59</f>
        <v>#REF!</v>
      </c>
    </row>
    <row r="60" spans="1:13" s="114" customFormat="1">
      <c r="A60" s="96">
        <v>55</v>
      </c>
      <c r="B60" s="2" t="s">
        <v>322</v>
      </c>
      <c r="C60" s="16">
        <v>500000</v>
      </c>
      <c r="D60" s="16">
        <v>66650</v>
      </c>
      <c r="E60" s="41">
        <f t="shared" si="9"/>
        <v>566650</v>
      </c>
      <c r="F60" s="33">
        <v>50</v>
      </c>
      <c r="G60" s="16">
        <v>11333</v>
      </c>
      <c r="H60" s="97">
        <v>26</v>
      </c>
      <c r="I60" s="97">
        <f t="shared" si="6"/>
        <v>24</v>
      </c>
      <c r="J60" s="91">
        <f t="shared" si="10"/>
        <v>294658</v>
      </c>
      <c r="K60" s="94">
        <f t="shared" si="7"/>
        <v>271992</v>
      </c>
      <c r="L60" s="11"/>
      <c r="M60" s="180" t="e">
        <f>#REF!-G60</f>
        <v>#REF!</v>
      </c>
    </row>
    <row r="61" spans="1:13" s="114" customFormat="1">
      <c r="A61" s="96">
        <v>56</v>
      </c>
      <c r="B61" s="2" t="s">
        <v>323</v>
      </c>
      <c r="C61" s="16">
        <v>500000</v>
      </c>
      <c r="D61" s="16">
        <v>66650</v>
      </c>
      <c r="E61" s="41">
        <f t="shared" si="9"/>
        <v>566650</v>
      </c>
      <c r="F61" s="33">
        <v>50</v>
      </c>
      <c r="G61" s="16">
        <v>11333</v>
      </c>
      <c r="H61" s="97">
        <v>25</v>
      </c>
      <c r="I61" s="97">
        <f t="shared" si="6"/>
        <v>25</v>
      </c>
      <c r="J61" s="91">
        <f t="shared" si="10"/>
        <v>283325</v>
      </c>
      <c r="K61" s="94">
        <f t="shared" si="7"/>
        <v>283325</v>
      </c>
      <c r="L61" s="11"/>
      <c r="M61" s="180" t="e">
        <f>#REF!-G61</f>
        <v>#REF!</v>
      </c>
    </row>
    <row r="62" spans="1:13" s="114" customFormat="1">
      <c r="A62" s="96">
        <v>57</v>
      </c>
      <c r="B62" s="2" t="s">
        <v>324</v>
      </c>
      <c r="C62" s="12">
        <v>500000</v>
      </c>
      <c r="D62" s="12">
        <v>66650</v>
      </c>
      <c r="E62" s="15">
        <f t="shared" si="9"/>
        <v>566650</v>
      </c>
      <c r="F62" s="31">
        <v>50</v>
      </c>
      <c r="G62" s="12">
        <v>11333</v>
      </c>
      <c r="H62" s="14">
        <v>31</v>
      </c>
      <c r="I62" s="97">
        <f t="shared" si="6"/>
        <v>19</v>
      </c>
      <c r="J62" s="91">
        <f t="shared" si="10"/>
        <v>351323</v>
      </c>
      <c r="K62" s="15">
        <f t="shared" si="7"/>
        <v>215327</v>
      </c>
      <c r="L62" s="8"/>
      <c r="M62" s="180" t="e">
        <f>#REF!-G62</f>
        <v>#REF!</v>
      </c>
    </row>
    <row r="63" spans="1:13" s="114" customFormat="1">
      <c r="A63" s="96">
        <v>58</v>
      </c>
      <c r="B63" s="2" t="s">
        <v>376</v>
      </c>
      <c r="C63" s="16">
        <v>330000</v>
      </c>
      <c r="D63" s="16">
        <v>43989</v>
      </c>
      <c r="E63" s="41">
        <f t="shared" si="9"/>
        <v>373989</v>
      </c>
      <c r="F63" s="33">
        <v>50</v>
      </c>
      <c r="G63" s="16">
        <v>7479.78</v>
      </c>
      <c r="H63" s="97">
        <v>47</v>
      </c>
      <c r="I63" s="97">
        <f t="shared" si="6"/>
        <v>3</v>
      </c>
      <c r="J63" s="91">
        <f t="shared" si="10"/>
        <v>351549.66</v>
      </c>
      <c r="K63" s="94">
        <f t="shared" si="7"/>
        <v>22439.340000000026</v>
      </c>
      <c r="L63" s="11"/>
      <c r="M63" s="180" t="e">
        <f>#REF!-G63</f>
        <v>#REF!</v>
      </c>
    </row>
    <row r="64" spans="1:13" s="114" customFormat="1">
      <c r="A64" s="96">
        <v>59</v>
      </c>
      <c r="B64" s="2" t="s">
        <v>419</v>
      </c>
      <c r="C64" s="16">
        <v>132000</v>
      </c>
      <c r="D64" s="16">
        <v>17595.599999999999</v>
      </c>
      <c r="E64" s="41">
        <f t="shared" si="9"/>
        <v>149595.6</v>
      </c>
      <c r="F64" s="33">
        <v>40</v>
      </c>
      <c r="G64" s="16">
        <v>3739.89</v>
      </c>
      <c r="H64" s="97">
        <v>40</v>
      </c>
      <c r="I64" s="97">
        <f t="shared" si="6"/>
        <v>0</v>
      </c>
      <c r="J64" s="91">
        <f t="shared" si="10"/>
        <v>149595.6</v>
      </c>
      <c r="K64" s="94">
        <f t="shared" si="7"/>
        <v>0</v>
      </c>
      <c r="L64" s="11"/>
      <c r="M64" s="180" t="e">
        <f>#REF!-G64</f>
        <v>#REF!</v>
      </c>
    </row>
    <row r="65" spans="1:13" s="114" customFormat="1">
      <c r="A65" s="96">
        <v>60</v>
      </c>
      <c r="B65" s="2" t="s">
        <v>396</v>
      </c>
      <c r="C65" s="41">
        <v>200000</v>
      </c>
      <c r="D65" s="41">
        <v>26660</v>
      </c>
      <c r="E65" s="41">
        <f t="shared" si="9"/>
        <v>226660</v>
      </c>
      <c r="F65" s="33">
        <v>40</v>
      </c>
      <c r="G65" s="41">
        <v>5666.5</v>
      </c>
      <c r="H65" s="97">
        <v>40</v>
      </c>
      <c r="I65" s="97">
        <f t="shared" si="6"/>
        <v>0</v>
      </c>
      <c r="J65" s="91">
        <f t="shared" si="10"/>
        <v>226660</v>
      </c>
      <c r="K65" s="94">
        <f t="shared" si="7"/>
        <v>0</v>
      </c>
      <c r="L65" s="11"/>
      <c r="M65" s="180" t="e">
        <f>#REF!-G65</f>
        <v>#REF!</v>
      </c>
    </row>
    <row r="66" spans="1:13" s="114" customFormat="1">
      <c r="A66" s="96">
        <v>61</v>
      </c>
      <c r="B66" s="2" t="s">
        <v>325</v>
      </c>
      <c r="C66" s="16">
        <v>500000</v>
      </c>
      <c r="D66" s="16">
        <v>66650</v>
      </c>
      <c r="E66" s="41">
        <f t="shared" si="9"/>
        <v>566650</v>
      </c>
      <c r="F66" s="33">
        <v>50</v>
      </c>
      <c r="G66" s="16">
        <v>11333</v>
      </c>
      <c r="H66" s="97">
        <v>47</v>
      </c>
      <c r="I66" s="97">
        <f t="shared" si="6"/>
        <v>3</v>
      </c>
      <c r="J66" s="91">
        <f t="shared" si="10"/>
        <v>532651</v>
      </c>
      <c r="K66" s="94">
        <f t="shared" si="7"/>
        <v>33999</v>
      </c>
      <c r="L66" s="11"/>
      <c r="M66" s="180" t="e">
        <f>#REF!-G66</f>
        <v>#REF!</v>
      </c>
    </row>
    <row r="67" spans="1:13" s="114" customFormat="1">
      <c r="A67" s="96">
        <v>62</v>
      </c>
      <c r="B67" s="2" t="s">
        <v>326</v>
      </c>
      <c r="C67" s="19">
        <v>500000</v>
      </c>
      <c r="D67" s="19">
        <v>66650</v>
      </c>
      <c r="E67" s="19">
        <v>566650</v>
      </c>
      <c r="F67" s="33">
        <v>50</v>
      </c>
      <c r="G67" s="16">
        <v>11333</v>
      </c>
      <c r="H67" s="97">
        <v>11</v>
      </c>
      <c r="I67" s="97">
        <f t="shared" si="6"/>
        <v>39</v>
      </c>
      <c r="J67" s="91">
        <f t="shared" si="10"/>
        <v>124663</v>
      </c>
      <c r="K67" s="91">
        <f t="shared" si="7"/>
        <v>441987</v>
      </c>
      <c r="L67" s="122"/>
      <c r="M67" s="180" t="e">
        <f>#REF!-G67</f>
        <v>#REF!</v>
      </c>
    </row>
    <row r="68" spans="1:13" s="114" customFormat="1">
      <c r="A68" s="96">
        <v>63</v>
      </c>
      <c r="B68" s="2" t="s">
        <v>212</v>
      </c>
      <c r="C68" s="16">
        <v>150000</v>
      </c>
      <c r="D68" s="16">
        <v>19995</v>
      </c>
      <c r="E68" s="41">
        <f>SUM(C68:D68)</f>
        <v>169995</v>
      </c>
      <c r="F68" s="33">
        <v>50</v>
      </c>
      <c r="G68" s="16">
        <v>3399.9</v>
      </c>
      <c r="H68" s="97">
        <v>35</v>
      </c>
      <c r="I68" s="97">
        <f t="shared" si="6"/>
        <v>15</v>
      </c>
      <c r="J68" s="91">
        <f t="shared" si="10"/>
        <v>118996.5</v>
      </c>
      <c r="K68" s="94">
        <f t="shared" si="7"/>
        <v>50998.5</v>
      </c>
      <c r="L68" s="11"/>
      <c r="M68" s="180" t="e">
        <f>#REF!-G68</f>
        <v>#REF!</v>
      </c>
    </row>
    <row r="69" spans="1:13" s="114" customFormat="1">
      <c r="A69" s="96">
        <v>64</v>
      </c>
      <c r="B69" s="2" t="s">
        <v>306</v>
      </c>
      <c r="C69" s="16">
        <v>500000</v>
      </c>
      <c r="D69" s="16">
        <v>53320</v>
      </c>
      <c r="E69" s="41">
        <f>SUM(C69:D69)</f>
        <v>553320</v>
      </c>
      <c r="F69" s="33">
        <v>40</v>
      </c>
      <c r="G69" s="16">
        <v>13833</v>
      </c>
      <c r="H69" s="97">
        <v>47</v>
      </c>
      <c r="I69" s="97">
        <f t="shared" si="6"/>
        <v>-7</v>
      </c>
      <c r="J69" s="91">
        <f t="shared" si="10"/>
        <v>650151</v>
      </c>
      <c r="K69" s="94">
        <f t="shared" si="7"/>
        <v>-96831</v>
      </c>
      <c r="L69" s="11"/>
      <c r="M69" s="180" t="e">
        <f>#REF!-G69</f>
        <v>#REF!</v>
      </c>
    </row>
    <row r="70" spans="1:13" s="114" customFormat="1">
      <c r="A70" s="96">
        <v>65</v>
      </c>
      <c r="B70" s="2" t="s">
        <v>420</v>
      </c>
      <c r="C70" s="16">
        <v>132000</v>
      </c>
      <c r="D70" s="16">
        <v>17595.599999999999</v>
      </c>
      <c r="E70" s="41">
        <f>SUM(C70:D70)</f>
        <v>149595.6</v>
      </c>
      <c r="F70" s="33">
        <v>40</v>
      </c>
      <c r="G70" s="16">
        <v>3739.89</v>
      </c>
      <c r="H70" s="97">
        <v>40</v>
      </c>
      <c r="I70" s="97">
        <f t="shared" ref="I70:I101" si="11">F70-H70</f>
        <v>0</v>
      </c>
      <c r="J70" s="91">
        <f t="shared" si="10"/>
        <v>149595.6</v>
      </c>
      <c r="K70" s="94">
        <f t="shared" ref="K70:K101" si="12">E70-J70</f>
        <v>0</v>
      </c>
      <c r="L70" s="11"/>
      <c r="M70" s="180" t="e">
        <f>#REF!-G70</f>
        <v>#REF!</v>
      </c>
    </row>
    <row r="71" spans="1:13" s="114" customFormat="1">
      <c r="A71" s="96">
        <v>66</v>
      </c>
      <c r="B71" s="2" t="s">
        <v>327</v>
      </c>
      <c r="C71" s="16">
        <v>500000</v>
      </c>
      <c r="D71" s="16">
        <v>66650</v>
      </c>
      <c r="E71" s="16">
        <v>566650</v>
      </c>
      <c r="F71" s="33">
        <v>50</v>
      </c>
      <c r="G71" s="19">
        <v>11333</v>
      </c>
      <c r="H71" s="97">
        <v>26</v>
      </c>
      <c r="I71" s="97">
        <f t="shared" si="11"/>
        <v>24</v>
      </c>
      <c r="J71" s="91">
        <f t="shared" si="10"/>
        <v>294658</v>
      </c>
      <c r="K71" s="94">
        <f t="shared" si="12"/>
        <v>271992</v>
      </c>
      <c r="L71" s="11"/>
      <c r="M71" s="180" t="e">
        <f>#REF!-G71</f>
        <v>#REF!</v>
      </c>
    </row>
    <row r="72" spans="1:13" s="114" customFormat="1">
      <c r="A72" s="96">
        <v>67</v>
      </c>
      <c r="B72" s="2" t="s">
        <v>397</v>
      </c>
      <c r="C72" s="41">
        <v>200000</v>
      </c>
      <c r="D72" s="41">
        <v>26660</v>
      </c>
      <c r="E72" s="41">
        <v>226660</v>
      </c>
      <c r="F72" s="33">
        <v>40</v>
      </c>
      <c r="G72" s="19">
        <v>5666.5</v>
      </c>
      <c r="H72" s="97">
        <v>40</v>
      </c>
      <c r="I72" s="97">
        <f t="shared" si="11"/>
        <v>0</v>
      </c>
      <c r="J72" s="91">
        <f t="shared" si="10"/>
        <v>226660</v>
      </c>
      <c r="K72" s="94">
        <f t="shared" si="12"/>
        <v>0</v>
      </c>
      <c r="L72" s="11"/>
      <c r="M72" s="180" t="e">
        <f>#REF!-G72</f>
        <v>#REF!</v>
      </c>
    </row>
    <row r="73" spans="1:13" s="114" customFormat="1">
      <c r="A73" s="96">
        <v>68</v>
      </c>
      <c r="B73" s="2" t="s">
        <v>328</v>
      </c>
      <c r="C73" s="16">
        <v>500000</v>
      </c>
      <c r="D73" s="16">
        <v>66650</v>
      </c>
      <c r="E73" s="41">
        <f t="shared" ref="E73:E78" si="13">SUM(C73:D73)</f>
        <v>566650</v>
      </c>
      <c r="F73" s="33">
        <v>50</v>
      </c>
      <c r="G73" s="16">
        <v>11333</v>
      </c>
      <c r="H73" s="97">
        <v>26</v>
      </c>
      <c r="I73" s="97">
        <f t="shared" si="11"/>
        <v>24</v>
      </c>
      <c r="J73" s="91">
        <f t="shared" si="10"/>
        <v>294658</v>
      </c>
      <c r="K73" s="94">
        <f t="shared" si="12"/>
        <v>271992</v>
      </c>
      <c r="L73" s="11"/>
      <c r="M73" s="180" t="e">
        <f>#REF!-G73</f>
        <v>#REF!</v>
      </c>
    </row>
    <row r="74" spans="1:13" s="114" customFormat="1">
      <c r="A74" s="96">
        <v>69</v>
      </c>
      <c r="B74" s="2" t="s">
        <v>398</v>
      </c>
      <c r="C74" s="41">
        <v>200000</v>
      </c>
      <c r="D74" s="41">
        <v>26660</v>
      </c>
      <c r="E74" s="41">
        <f t="shared" si="13"/>
        <v>226660</v>
      </c>
      <c r="F74" s="33">
        <v>40</v>
      </c>
      <c r="G74" s="41">
        <v>5666.5</v>
      </c>
      <c r="H74" s="97">
        <v>40</v>
      </c>
      <c r="I74" s="97">
        <f t="shared" si="11"/>
        <v>0</v>
      </c>
      <c r="J74" s="91">
        <f t="shared" si="10"/>
        <v>226660</v>
      </c>
      <c r="K74" s="94">
        <f t="shared" si="12"/>
        <v>0</v>
      </c>
      <c r="L74" s="11"/>
      <c r="M74" s="180" t="e">
        <f>#REF!-G74</f>
        <v>#REF!</v>
      </c>
    </row>
    <row r="75" spans="1:13" s="114" customFormat="1">
      <c r="A75" s="96">
        <v>70</v>
      </c>
      <c r="B75" s="2" t="s">
        <v>329</v>
      </c>
      <c r="C75" s="16">
        <v>500000</v>
      </c>
      <c r="D75" s="16">
        <v>66650</v>
      </c>
      <c r="E75" s="41">
        <f t="shared" si="13"/>
        <v>566650</v>
      </c>
      <c r="F75" s="33">
        <v>50</v>
      </c>
      <c r="G75" s="19">
        <v>11333</v>
      </c>
      <c r="H75" s="97">
        <v>31</v>
      </c>
      <c r="I75" s="97">
        <f t="shared" si="11"/>
        <v>19</v>
      </c>
      <c r="J75" s="91">
        <f t="shared" si="10"/>
        <v>351323</v>
      </c>
      <c r="K75" s="94">
        <f t="shared" si="12"/>
        <v>215327</v>
      </c>
      <c r="L75" s="11"/>
      <c r="M75" s="180" t="e">
        <f>#REF!-G75</f>
        <v>#REF!</v>
      </c>
    </row>
    <row r="76" spans="1:13" s="114" customFormat="1">
      <c r="A76" s="96">
        <v>71</v>
      </c>
      <c r="B76" s="2" t="s">
        <v>330</v>
      </c>
      <c r="C76" s="16">
        <v>500000</v>
      </c>
      <c r="D76" s="16">
        <v>66650</v>
      </c>
      <c r="E76" s="41">
        <f t="shared" si="13"/>
        <v>566650</v>
      </c>
      <c r="F76" s="33">
        <v>50</v>
      </c>
      <c r="G76" s="16">
        <v>11333</v>
      </c>
      <c r="H76" s="97">
        <v>47</v>
      </c>
      <c r="I76" s="97">
        <f t="shared" si="11"/>
        <v>3</v>
      </c>
      <c r="J76" s="91">
        <f t="shared" si="10"/>
        <v>532651</v>
      </c>
      <c r="K76" s="94">
        <f t="shared" si="12"/>
        <v>33999</v>
      </c>
      <c r="L76" s="11"/>
      <c r="M76" s="180" t="e">
        <f>#REF!-G76</f>
        <v>#REF!</v>
      </c>
    </row>
    <row r="77" spans="1:13" s="114" customFormat="1">
      <c r="A77" s="96">
        <v>72</v>
      </c>
      <c r="B77" s="2" t="s">
        <v>399</v>
      </c>
      <c r="C77" s="41">
        <v>200000</v>
      </c>
      <c r="D77" s="41">
        <v>26660</v>
      </c>
      <c r="E77" s="41">
        <f t="shared" si="13"/>
        <v>226660</v>
      </c>
      <c r="F77" s="33">
        <v>40</v>
      </c>
      <c r="G77" s="41">
        <v>5666.5</v>
      </c>
      <c r="H77" s="97">
        <v>40</v>
      </c>
      <c r="I77" s="97">
        <f t="shared" si="11"/>
        <v>0</v>
      </c>
      <c r="J77" s="91">
        <f t="shared" si="10"/>
        <v>226660</v>
      </c>
      <c r="K77" s="94">
        <f t="shared" si="12"/>
        <v>0</v>
      </c>
      <c r="L77" s="11"/>
      <c r="M77" s="180" t="e">
        <f>#REF!-G77</f>
        <v>#REF!</v>
      </c>
    </row>
    <row r="78" spans="1:13" s="114" customFormat="1">
      <c r="A78" s="96">
        <v>73</v>
      </c>
      <c r="B78" s="2" t="s">
        <v>428</v>
      </c>
      <c r="C78" s="16">
        <v>60000</v>
      </c>
      <c r="D78" s="16">
        <v>7998</v>
      </c>
      <c r="E78" s="41">
        <f t="shared" si="13"/>
        <v>67998</v>
      </c>
      <c r="F78" s="33">
        <v>40</v>
      </c>
      <c r="G78" s="16">
        <v>1699.95</v>
      </c>
      <c r="H78" s="97">
        <v>40</v>
      </c>
      <c r="I78" s="97">
        <f t="shared" si="11"/>
        <v>0</v>
      </c>
      <c r="J78" s="91">
        <f t="shared" si="10"/>
        <v>67998</v>
      </c>
      <c r="K78" s="94">
        <f t="shared" si="12"/>
        <v>0</v>
      </c>
      <c r="L78" s="11"/>
      <c r="M78" s="180" t="e">
        <f>#REF!-G78</f>
        <v>#REF!</v>
      </c>
    </row>
    <row r="79" spans="1:13" s="114" customFormat="1">
      <c r="A79" s="96">
        <v>74</v>
      </c>
      <c r="B79" s="2" t="s">
        <v>286</v>
      </c>
      <c r="C79" s="16">
        <v>450000</v>
      </c>
      <c r="D79" s="16">
        <v>59985</v>
      </c>
      <c r="E79" s="16">
        <v>509985</v>
      </c>
      <c r="F79" s="33">
        <v>50</v>
      </c>
      <c r="G79" s="16">
        <v>10199.700000000001</v>
      </c>
      <c r="H79" s="97">
        <v>14</v>
      </c>
      <c r="I79" s="97">
        <f t="shared" si="11"/>
        <v>36</v>
      </c>
      <c r="J79" s="91">
        <f t="shared" si="10"/>
        <v>142795.80000000002</v>
      </c>
      <c r="K79" s="94">
        <f t="shared" si="12"/>
        <v>367189.19999999995</v>
      </c>
      <c r="L79" s="11"/>
      <c r="M79" s="180" t="e">
        <f>#REF!-G79</f>
        <v>#REF!</v>
      </c>
    </row>
    <row r="80" spans="1:13" s="114" customFormat="1">
      <c r="A80" s="96">
        <v>75</v>
      </c>
      <c r="B80" s="23" t="s">
        <v>331</v>
      </c>
      <c r="C80" s="16">
        <v>500000</v>
      </c>
      <c r="D80" s="16">
        <v>66650</v>
      </c>
      <c r="E80" s="41">
        <f>SUM(C80:D80)</f>
        <v>566650</v>
      </c>
      <c r="F80" s="33">
        <v>50</v>
      </c>
      <c r="G80" s="16">
        <v>11333</v>
      </c>
      <c r="H80" s="97">
        <v>47</v>
      </c>
      <c r="I80" s="97">
        <f t="shared" si="11"/>
        <v>3</v>
      </c>
      <c r="J80" s="91">
        <f t="shared" si="10"/>
        <v>532651</v>
      </c>
      <c r="K80" s="94">
        <f t="shared" si="12"/>
        <v>33999</v>
      </c>
      <c r="L80" s="11"/>
      <c r="M80" s="180" t="e">
        <f>#REF!-G80</f>
        <v>#REF!</v>
      </c>
    </row>
    <row r="81" spans="1:13" s="114" customFormat="1">
      <c r="A81" s="96">
        <v>76</v>
      </c>
      <c r="B81" s="2" t="s">
        <v>301</v>
      </c>
      <c r="C81" s="16">
        <v>500000</v>
      </c>
      <c r="D81" s="16">
        <v>33325</v>
      </c>
      <c r="E81" s="41">
        <f>SUM(C81:D81)</f>
        <v>533325</v>
      </c>
      <c r="F81" s="33">
        <v>25</v>
      </c>
      <c r="G81" s="16">
        <v>21333</v>
      </c>
      <c r="H81" s="97">
        <v>16</v>
      </c>
      <c r="I81" s="97">
        <f t="shared" si="11"/>
        <v>9</v>
      </c>
      <c r="J81" s="91">
        <f t="shared" si="10"/>
        <v>341328</v>
      </c>
      <c r="K81" s="94">
        <f t="shared" si="12"/>
        <v>191997</v>
      </c>
      <c r="L81" s="11"/>
      <c r="M81" s="180" t="e">
        <f>#REF!-G81</f>
        <v>#REF!</v>
      </c>
    </row>
    <row r="82" spans="1:13" s="114" customFormat="1">
      <c r="A82" s="96">
        <v>77</v>
      </c>
      <c r="B82" s="2" t="s">
        <v>401</v>
      </c>
      <c r="C82" s="41">
        <v>200000</v>
      </c>
      <c r="D82" s="41">
        <v>26660</v>
      </c>
      <c r="E82" s="41">
        <f>SUM(C82:D82)</f>
        <v>226660</v>
      </c>
      <c r="F82" s="33">
        <v>40</v>
      </c>
      <c r="G82" s="41">
        <v>5666.5</v>
      </c>
      <c r="H82" s="97">
        <v>40</v>
      </c>
      <c r="I82" s="97">
        <f t="shared" si="11"/>
        <v>0</v>
      </c>
      <c r="J82" s="91">
        <f t="shared" si="10"/>
        <v>226660</v>
      </c>
      <c r="K82" s="94">
        <f t="shared" si="12"/>
        <v>0</v>
      </c>
      <c r="L82" s="11"/>
      <c r="M82" s="180" t="e">
        <f>#REF!-G82</f>
        <v>#REF!</v>
      </c>
    </row>
    <row r="83" spans="1:13" s="114" customFormat="1">
      <c r="A83" s="96">
        <v>78</v>
      </c>
      <c r="B83" s="2" t="s">
        <v>332</v>
      </c>
      <c r="C83" s="19">
        <v>500000</v>
      </c>
      <c r="D83" s="19">
        <v>66650</v>
      </c>
      <c r="E83" s="19">
        <v>566650</v>
      </c>
      <c r="F83" s="33">
        <v>50</v>
      </c>
      <c r="G83" s="16">
        <v>11333</v>
      </c>
      <c r="H83" s="97">
        <v>12</v>
      </c>
      <c r="I83" s="97">
        <f t="shared" si="11"/>
        <v>38</v>
      </c>
      <c r="J83" s="91">
        <f t="shared" si="10"/>
        <v>135996</v>
      </c>
      <c r="K83" s="91">
        <f t="shared" si="12"/>
        <v>430654</v>
      </c>
      <c r="L83" s="11"/>
      <c r="M83" s="180" t="e">
        <f>#REF!-G83</f>
        <v>#REF!</v>
      </c>
    </row>
    <row r="84" spans="1:13" s="114" customFormat="1">
      <c r="A84" s="96">
        <v>79</v>
      </c>
      <c r="B84" s="2" t="s">
        <v>402</v>
      </c>
      <c r="C84" s="41">
        <v>200000</v>
      </c>
      <c r="D84" s="41">
        <v>26660</v>
      </c>
      <c r="E84" s="41">
        <f>SUM(C84:D84)</f>
        <v>226660</v>
      </c>
      <c r="F84" s="33">
        <v>40</v>
      </c>
      <c r="G84" s="41">
        <v>5666.5</v>
      </c>
      <c r="H84" s="97">
        <v>40</v>
      </c>
      <c r="I84" s="97">
        <f t="shared" si="11"/>
        <v>0</v>
      </c>
      <c r="J84" s="91">
        <f t="shared" ref="J84:J115" si="14">H84*G84</f>
        <v>226660</v>
      </c>
      <c r="K84" s="94">
        <f t="shared" si="12"/>
        <v>0</v>
      </c>
      <c r="L84" s="11"/>
      <c r="M84" s="180" t="e">
        <f>#REF!-G84</f>
        <v>#REF!</v>
      </c>
    </row>
    <row r="85" spans="1:13" s="114" customFormat="1">
      <c r="A85" s="96">
        <v>80</v>
      </c>
      <c r="B85" s="2" t="s">
        <v>403</v>
      </c>
      <c r="C85" s="41">
        <v>200000</v>
      </c>
      <c r="D85" s="41">
        <v>26660</v>
      </c>
      <c r="E85" s="41">
        <f>SUM(C85:D85)</f>
        <v>226660</v>
      </c>
      <c r="F85" s="33">
        <v>40</v>
      </c>
      <c r="G85" s="41">
        <v>5666.5</v>
      </c>
      <c r="H85" s="97">
        <v>39</v>
      </c>
      <c r="I85" s="97">
        <f t="shared" si="11"/>
        <v>1</v>
      </c>
      <c r="J85" s="91">
        <f t="shared" si="14"/>
        <v>220993.5</v>
      </c>
      <c r="K85" s="94">
        <f t="shared" si="12"/>
        <v>5666.5</v>
      </c>
      <c r="L85" s="11"/>
      <c r="M85" s="180" t="e">
        <f>#REF!-G85</f>
        <v>#REF!</v>
      </c>
    </row>
    <row r="86" spans="1:13" s="114" customFormat="1">
      <c r="A86" s="96">
        <v>81</v>
      </c>
      <c r="B86" s="2" t="s">
        <v>364</v>
      </c>
      <c r="C86" s="16">
        <v>450000</v>
      </c>
      <c r="D86" s="16">
        <v>59985</v>
      </c>
      <c r="E86" s="16">
        <v>509985</v>
      </c>
      <c r="F86" s="33">
        <v>50</v>
      </c>
      <c r="G86" s="16">
        <v>10199.700000000001</v>
      </c>
      <c r="H86" s="97">
        <v>11</v>
      </c>
      <c r="I86" s="97">
        <f t="shared" si="11"/>
        <v>39</v>
      </c>
      <c r="J86" s="91">
        <f t="shared" si="14"/>
        <v>112196.70000000001</v>
      </c>
      <c r="K86" s="91">
        <f t="shared" si="12"/>
        <v>397788.3</v>
      </c>
      <c r="L86" s="122"/>
      <c r="M86" s="180" t="e">
        <f>#REF!-G86</f>
        <v>#REF!</v>
      </c>
    </row>
    <row r="87" spans="1:13" s="114" customFormat="1">
      <c r="A87" s="96">
        <v>82</v>
      </c>
      <c r="B87" s="2" t="s">
        <v>404</v>
      </c>
      <c r="C87" s="41">
        <v>200000</v>
      </c>
      <c r="D87" s="41">
        <v>26660</v>
      </c>
      <c r="E87" s="41">
        <v>226660</v>
      </c>
      <c r="F87" s="33">
        <v>40</v>
      </c>
      <c r="G87" s="19">
        <v>5666.5</v>
      </c>
      <c r="H87" s="97">
        <v>40</v>
      </c>
      <c r="I87" s="97">
        <f t="shared" si="11"/>
        <v>0</v>
      </c>
      <c r="J87" s="91">
        <f t="shared" si="14"/>
        <v>226660</v>
      </c>
      <c r="K87" s="94">
        <f t="shared" si="12"/>
        <v>0</v>
      </c>
      <c r="L87" s="11"/>
      <c r="M87" s="180" t="e">
        <f>#REF!-G87</f>
        <v>#REF!</v>
      </c>
    </row>
    <row r="88" spans="1:13" s="114" customFormat="1">
      <c r="A88" s="96">
        <v>83</v>
      </c>
      <c r="B88" s="2" t="s">
        <v>425</v>
      </c>
      <c r="C88" s="155">
        <v>150000</v>
      </c>
      <c r="D88" s="155">
        <v>19995</v>
      </c>
      <c r="E88" s="155">
        <f>SUM(C88:D88)</f>
        <v>169995</v>
      </c>
      <c r="F88" s="33">
        <v>50</v>
      </c>
      <c r="G88" s="154">
        <v>3399.9</v>
      </c>
      <c r="H88" s="97">
        <v>12</v>
      </c>
      <c r="I88" s="97">
        <f t="shared" si="11"/>
        <v>38</v>
      </c>
      <c r="J88" s="91">
        <f t="shared" si="14"/>
        <v>40798.800000000003</v>
      </c>
      <c r="K88" s="91">
        <f t="shared" si="12"/>
        <v>129196.2</v>
      </c>
      <c r="L88" s="122"/>
      <c r="M88" s="180" t="e">
        <f>#REF!-G88</f>
        <v>#REF!</v>
      </c>
    </row>
    <row r="89" spans="1:13" s="114" customFormat="1">
      <c r="A89" s="96">
        <v>84</v>
      </c>
      <c r="B89" s="2" t="s">
        <v>405</v>
      </c>
      <c r="C89" s="41">
        <v>200000</v>
      </c>
      <c r="D89" s="41">
        <v>26660</v>
      </c>
      <c r="E89" s="41">
        <f>SUM(C89:D89)</f>
        <v>226660</v>
      </c>
      <c r="F89" s="33">
        <v>40</v>
      </c>
      <c r="G89" s="41">
        <v>5666.5</v>
      </c>
      <c r="H89" s="97">
        <v>40</v>
      </c>
      <c r="I89" s="97">
        <f t="shared" si="11"/>
        <v>0</v>
      </c>
      <c r="J89" s="91">
        <f t="shared" si="14"/>
        <v>226660</v>
      </c>
      <c r="K89" s="94">
        <f t="shared" si="12"/>
        <v>0</v>
      </c>
      <c r="L89" s="11"/>
      <c r="M89" s="180" t="e">
        <f>#REF!-G89</f>
        <v>#REF!</v>
      </c>
    </row>
    <row r="90" spans="1:13" s="114" customFormat="1">
      <c r="A90" s="96">
        <v>85</v>
      </c>
      <c r="B90" s="191" t="s">
        <v>365</v>
      </c>
      <c r="C90" s="12">
        <v>450000</v>
      </c>
      <c r="D90" s="12">
        <v>59985</v>
      </c>
      <c r="E90" s="15">
        <f>SUM(C90:D90)</f>
        <v>509985</v>
      </c>
      <c r="F90" s="31">
        <v>50</v>
      </c>
      <c r="G90" s="12">
        <v>10199.700000000001</v>
      </c>
      <c r="H90" s="14">
        <v>29</v>
      </c>
      <c r="I90" s="97">
        <f t="shared" si="11"/>
        <v>21</v>
      </c>
      <c r="J90" s="91">
        <f t="shared" si="14"/>
        <v>295791.30000000005</v>
      </c>
      <c r="K90" s="15">
        <f t="shared" si="12"/>
        <v>214193.69999999995</v>
      </c>
      <c r="L90" s="8"/>
      <c r="M90" s="180" t="e">
        <f>#REF!-G90</f>
        <v>#REF!</v>
      </c>
    </row>
    <row r="91" spans="1:13" s="114" customFormat="1">
      <c r="A91" s="96">
        <v>86</v>
      </c>
      <c r="B91" s="2" t="s">
        <v>421</v>
      </c>
      <c r="C91" s="16">
        <v>132000</v>
      </c>
      <c r="D91" s="16">
        <v>17595.599999999999</v>
      </c>
      <c r="E91" s="16">
        <v>149595.6</v>
      </c>
      <c r="F91" s="45">
        <v>40</v>
      </c>
      <c r="G91" s="19">
        <v>3739.89</v>
      </c>
      <c r="H91" s="97">
        <v>46</v>
      </c>
      <c r="I91" s="97">
        <f t="shared" si="11"/>
        <v>-6</v>
      </c>
      <c r="J91" s="91">
        <f t="shared" si="14"/>
        <v>172034.94</v>
      </c>
      <c r="K91" s="94">
        <f t="shared" si="12"/>
        <v>-22439.339999999997</v>
      </c>
      <c r="L91" s="11"/>
      <c r="M91" s="180" t="e">
        <f>#REF!-G91</f>
        <v>#REF!</v>
      </c>
    </row>
    <row r="92" spans="1:13" s="114" customFormat="1">
      <c r="A92" s="96">
        <v>87</v>
      </c>
      <c r="B92" s="2" t="s">
        <v>422</v>
      </c>
      <c r="C92" s="16">
        <v>132000</v>
      </c>
      <c r="D92" s="16">
        <v>17595.599999999999</v>
      </c>
      <c r="E92" s="41">
        <f>SUM(C92:D92)</f>
        <v>149595.6</v>
      </c>
      <c r="F92" s="33">
        <v>40</v>
      </c>
      <c r="G92" s="16">
        <v>3739.89</v>
      </c>
      <c r="H92" s="97">
        <v>39</v>
      </c>
      <c r="I92" s="97">
        <f t="shared" si="11"/>
        <v>1</v>
      </c>
      <c r="J92" s="91">
        <f t="shared" si="14"/>
        <v>145855.71</v>
      </c>
      <c r="K92" s="94">
        <f t="shared" si="12"/>
        <v>3739.890000000014</v>
      </c>
      <c r="L92" s="11"/>
      <c r="M92" s="180" t="e">
        <f>#REF!-G92</f>
        <v>#REF!</v>
      </c>
    </row>
    <row r="93" spans="1:13" s="114" customFormat="1">
      <c r="A93" s="96">
        <v>88</v>
      </c>
      <c r="B93" s="2" t="s">
        <v>73</v>
      </c>
      <c r="C93" s="16">
        <v>500000</v>
      </c>
      <c r="D93" s="16">
        <v>66650</v>
      </c>
      <c r="E93" s="41">
        <f>SUM(C93:D93)</f>
        <v>566650</v>
      </c>
      <c r="F93" s="33">
        <v>50</v>
      </c>
      <c r="G93" s="16">
        <v>11333</v>
      </c>
      <c r="H93" s="97">
        <v>35</v>
      </c>
      <c r="I93" s="97">
        <f t="shared" si="11"/>
        <v>15</v>
      </c>
      <c r="J93" s="91">
        <f t="shared" si="14"/>
        <v>396655</v>
      </c>
      <c r="K93" s="94">
        <f t="shared" si="12"/>
        <v>169995</v>
      </c>
      <c r="L93" s="11"/>
      <c r="M93" s="180" t="e">
        <f>#REF!-G93</f>
        <v>#REF!</v>
      </c>
    </row>
    <row r="94" spans="1:13" s="114" customFormat="1">
      <c r="A94" s="96">
        <v>89</v>
      </c>
      <c r="B94" s="2" t="s">
        <v>333</v>
      </c>
      <c r="C94" s="16">
        <v>500000</v>
      </c>
      <c r="D94" s="16">
        <v>66650</v>
      </c>
      <c r="E94" s="41">
        <f>SUM(C94:D94)</f>
        <v>566650</v>
      </c>
      <c r="F94" s="33">
        <v>50</v>
      </c>
      <c r="G94" s="16">
        <v>11333</v>
      </c>
      <c r="H94" s="97">
        <v>47</v>
      </c>
      <c r="I94" s="97">
        <f t="shared" si="11"/>
        <v>3</v>
      </c>
      <c r="J94" s="91">
        <f t="shared" si="14"/>
        <v>532651</v>
      </c>
      <c r="K94" s="94">
        <f t="shared" si="12"/>
        <v>33999</v>
      </c>
      <c r="L94" s="11"/>
      <c r="M94" s="180" t="e">
        <f>#REF!-G94</f>
        <v>#REF!</v>
      </c>
    </row>
    <row r="95" spans="1:13" s="114" customFormat="1">
      <c r="A95" s="96">
        <v>90</v>
      </c>
      <c r="B95" s="89" t="s">
        <v>426</v>
      </c>
      <c r="C95" s="16">
        <v>150000</v>
      </c>
      <c r="D95" s="16">
        <v>19995</v>
      </c>
      <c r="E95" s="41">
        <f>SUM(C95:D95)</f>
        <v>169995</v>
      </c>
      <c r="F95" s="33">
        <v>50</v>
      </c>
      <c r="G95" s="16">
        <v>3399.9</v>
      </c>
      <c r="H95" s="97">
        <v>35</v>
      </c>
      <c r="I95" s="97">
        <f t="shared" si="11"/>
        <v>15</v>
      </c>
      <c r="J95" s="91">
        <f t="shared" si="14"/>
        <v>118996.5</v>
      </c>
      <c r="K95" s="94">
        <f t="shared" si="12"/>
        <v>50998.5</v>
      </c>
      <c r="L95" s="11"/>
      <c r="M95" s="180" t="e">
        <f>#REF!-G95</f>
        <v>#REF!</v>
      </c>
    </row>
    <row r="96" spans="1:13" s="114" customFormat="1">
      <c r="A96" s="96">
        <v>91</v>
      </c>
      <c r="B96" s="2" t="s">
        <v>334</v>
      </c>
      <c r="C96" s="19">
        <v>500000</v>
      </c>
      <c r="D96" s="19">
        <v>66650</v>
      </c>
      <c r="E96" s="19">
        <v>566650</v>
      </c>
      <c r="F96" s="33">
        <v>50</v>
      </c>
      <c r="G96" s="16">
        <v>11333</v>
      </c>
      <c r="H96" s="97">
        <v>12</v>
      </c>
      <c r="I96" s="97">
        <f t="shared" si="11"/>
        <v>38</v>
      </c>
      <c r="J96" s="91">
        <f t="shared" si="14"/>
        <v>135996</v>
      </c>
      <c r="K96" s="91">
        <f t="shared" si="12"/>
        <v>430654</v>
      </c>
      <c r="L96" s="122"/>
      <c r="M96" s="180" t="e">
        <f>#REF!-G96</f>
        <v>#REF!</v>
      </c>
    </row>
    <row r="97" spans="1:13" s="114" customFormat="1">
      <c r="A97" s="96">
        <v>92</v>
      </c>
      <c r="B97" s="2" t="s">
        <v>335</v>
      </c>
      <c r="C97" s="16">
        <v>500000</v>
      </c>
      <c r="D97" s="16">
        <v>66650</v>
      </c>
      <c r="E97" s="41">
        <f>SUM(C97:D97)</f>
        <v>566650</v>
      </c>
      <c r="F97" s="33">
        <v>50</v>
      </c>
      <c r="G97" s="16">
        <v>11333</v>
      </c>
      <c r="H97" s="97">
        <v>25</v>
      </c>
      <c r="I97" s="97">
        <f t="shared" si="11"/>
        <v>25</v>
      </c>
      <c r="J97" s="91">
        <f t="shared" si="14"/>
        <v>283325</v>
      </c>
      <c r="K97" s="94">
        <f t="shared" si="12"/>
        <v>283325</v>
      </c>
      <c r="L97" s="11"/>
      <c r="M97" s="180" t="e">
        <f>#REF!-G97</f>
        <v>#REF!</v>
      </c>
    </row>
    <row r="98" spans="1:13" s="114" customFormat="1">
      <c r="A98" s="96">
        <v>93</v>
      </c>
      <c r="B98" s="2" t="s">
        <v>336</v>
      </c>
      <c r="C98" s="16">
        <v>500000</v>
      </c>
      <c r="D98" s="16">
        <v>66650</v>
      </c>
      <c r="E98" s="16">
        <v>566650</v>
      </c>
      <c r="F98" s="33">
        <v>50</v>
      </c>
      <c r="G98" s="19">
        <v>11333</v>
      </c>
      <c r="H98" s="97">
        <v>25</v>
      </c>
      <c r="I98" s="97">
        <f t="shared" si="11"/>
        <v>25</v>
      </c>
      <c r="J98" s="91">
        <f t="shared" si="14"/>
        <v>283325</v>
      </c>
      <c r="K98" s="94">
        <f t="shared" si="12"/>
        <v>283325</v>
      </c>
      <c r="L98" s="11"/>
      <c r="M98" s="180" t="e">
        <f>#REF!-G98</f>
        <v>#REF!</v>
      </c>
    </row>
    <row r="99" spans="1:13" s="114" customFormat="1">
      <c r="A99" s="96">
        <v>94</v>
      </c>
      <c r="B99" s="25" t="s">
        <v>287</v>
      </c>
      <c r="C99" s="16">
        <v>450000</v>
      </c>
      <c r="D99" s="16">
        <v>59985</v>
      </c>
      <c r="E99" s="16">
        <v>509985</v>
      </c>
      <c r="F99" s="33">
        <v>50</v>
      </c>
      <c r="G99" s="153">
        <v>10199.700000000001</v>
      </c>
      <c r="H99" s="97">
        <v>19</v>
      </c>
      <c r="I99" s="97">
        <f t="shared" si="11"/>
        <v>31</v>
      </c>
      <c r="J99" s="91">
        <f t="shared" si="14"/>
        <v>193794.30000000002</v>
      </c>
      <c r="K99" s="94">
        <f t="shared" si="12"/>
        <v>316190.69999999995</v>
      </c>
      <c r="L99" s="122"/>
      <c r="M99" s="180" t="e">
        <f>#REF!-G99</f>
        <v>#REF!</v>
      </c>
    </row>
    <row r="100" spans="1:13" s="114" customFormat="1">
      <c r="A100" s="96">
        <v>95</v>
      </c>
      <c r="B100" s="2" t="s">
        <v>366</v>
      </c>
      <c r="C100" s="16">
        <v>450000</v>
      </c>
      <c r="D100" s="16">
        <v>59985</v>
      </c>
      <c r="E100" s="41">
        <f>SUM(C100:D100)</f>
        <v>509985</v>
      </c>
      <c r="F100" s="33">
        <v>50</v>
      </c>
      <c r="G100" s="16">
        <v>10199.700000000001</v>
      </c>
      <c r="H100" s="97">
        <v>31</v>
      </c>
      <c r="I100" s="97">
        <f t="shared" si="11"/>
        <v>19</v>
      </c>
      <c r="J100" s="91">
        <f t="shared" si="14"/>
        <v>316190.7</v>
      </c>
      <c r="K100" s="94">
        <f t="shared" si="12"/>
        <v>193794.3</v>
      </c>
      <c r="L100" s="11"/>
      <c r="M100" s="180" t="e">
        <f>#REF!-G100</f>
        <v>#REF!</v>
      </c>
    </row>
    <row r="101" spans="1:13" s="114" customFormat="1">
      <c r="A101" s="96">
        <v>96</v>
      </c>
      <c r="B101" s="2" t="s">
        <v>337</v>
      </c>
      <c r="C101" s="16">
        <v>500000</v>
      </c>
      <c r="D101" s="16">
        <v>66650</v>
      </c>
      <c r="E101" s="41">
        <f>SUM(C101:D101)</f>
        <v>566650</v>
      </c>
      <c r="F101" s="33">
        <v>50</v>
      </c>
      <c r="G101" s="16">
        <v>11333</v>
      </c>
      <c r="H101" s="97">
        <v>26</v>
      </c>
      <c r="I101" s="97">
        <f t="shared" si="11"/>
        <v>24</v>
      </c>
      <c r="J101" s="91">
        <f t="shared" si="14"/>
        <v>294658</v>
      </c>
      <c r="K101" s="94">
        <f t="shared" si="12"/>
        <v>271992</v>
      </c>
      <c r="L101" s="11"/>
      <c r="M101" s="180" t="e">
        <f>#REF!-G101</f>
        <v>#REF!</v>
      </c>
    </row>
    <row r="102" spans="1:13" s="114" customFormat="1">
      <c r="A102" s="96">
        <v>97</v>
      </c>
      <c r="B102" s="25" t="s">
        <v>288</v>
      </c>
      <c r="C102" s="16">
        <v>500000</v>
      </c>
      <c r="D102" s="16">
        <v>66650</v>
      </c>
      <c r="E102" s="41">
        <f>SUM(C102:D102)</f>
        <v>566650</v>
      </c>
      <c r="F102" s="33">
        <v>50</v>
      </c>
      <c r="G102" s="153">
        <v>11333</v>
      </c>
      <c r="H102" s="97">
        <v>26</v>
      </c>
      <c r="I102" s="97">
        <f t="shared" ref="I102:I133" si="15">F102-H102</f>
        <v>24</v>
      </c>
      <c r="J102" s="91">
        <f t="shared" si="14"/>
        <v>294658</v>
      </c>
      <c r="K102" s="94">
        <f t="shared" ref="K102:K133" si="16">E102-J102</f>
        <v>271992</v>
      </c>
      <c r="L102" s="11"/>
      <c r="M102" s="180" t="e">
        <f>#REF!-G102</f>
        <v>#REF!</v>
      </c>
    </row>
    <row r="103" spans="1:13" s="114" customFormat="1">
      <c r="A103" s="96">
        <v>98</v>
      </c>
      <c r="B103" s="2" t="s">
        <v>338</v>
      </c>
      <c r="C103" s="16">
        <v>500000</v>
      </c>
      <c r="D103" s="16">
        <v>66650</v>
      </c>
      <c r="E103" s="41">
        <f>SUM(C103:D103)</f>
        <v>566650</v>
      </c>
      <c r="F103" s="33">
        <v>50</v>
      </c>
      <c r="G103" s="16">
        <v>11333</v>
      </c>
      <c r="H103" s="97">
        <v>47</v>
      </c>
      <c r="I103" s="97">
        <f t="shared" si="15"/>
        <v>3</v>
      </c>
      <c r="J103" s="91">
        <f t="shared" si="14"/>
        <v>532651</v>
      </c>
      <c r="K103" s="94">
        <f t="shared" si="16"/>
        <v>33999</v>
      </c>
      <c r="L103" s="11"/>
      <c r="M103" s="180" t="e">
        <f>#REF!-G103</f>
        <v>#REF!</v>
      </c>
    </row>
    <row r="104" spans="1:13" s="114" customFormat="1">
      <c r="A104" s="96">
        <v>99</v>
      </c>
      <c r="B104" s="2" t="s">
        <v>339</v>
      </c>
      <c r="C104" s="19">
        <v>500000</v>
      </c>
      <c r="D104" s="19">
        <v>66650</v>
      </c>
      <c r="E104" s="19">
        <v>566650</v>
      </c>
      <c r="F104" s="33">
        <v>50</v>
      </c>
      <c r="G104" s="16">
        <v>11333</v>
      </c>
      <c r="H104" s="97">
        <v>12</v>
      </c>
      <c r="I104" s="97">
        <f t="shared" si="15"/>
        <v>38</v>
      </c>
      <c r="J104" s="91">
        <f t="shared" si="14"/>
        <v>135996</v>
      </c>
      <c r="K104" s="91">
        <f t="shared" si="16"/>
        <v>430654</v>
      </c>
      <c r="L104" s="11"/>
      <c r="M104" s="180" t="e">
        <f>#REF!-G104</f>
        <v>#REF!</v>
      </c>
    </row>
    <row r="105" spans="1:13" s="114" customFormat="1">
      <c r="A105" s="96">
        <v>100</v>
      </c>
      <c r="B105" s="2" t="s">
        <v>340</v>
      </c>
      <c r="C105" s="16">
        <v>500000</v>
      </c>
      <c r="D105" s="16">
        <v>66650</v>
      </c>
      <c r="E105" s="41">
        <f>SUM(C105:D105)</f>
        <v>566650</v>
      </c>
      <c r="F105" s="33">
        <v>50</v>
      </c>
      <c r="G105" s="16">
        <v>11333</v>
      </c>
      <c r="H105" s="97">
        <v>26</v>
      </c>
      <c r="I105" s="97">
        <f t="shared" si="15"/>
        <v>24</v>
      </c>
      <c r="J105" s="91">
        <f t="shared" si="14"/>
        <v>294658</v>
      </c>
      <c r="K105" s="94">
        <f t="shared" si="16"/>
        <v>271992</v>
      </c>
      <c r="L105" s="11"/>
      <c r="M105" s="180" t="e">
        <f>#REF!-G105</f>
        <v>#REF!</v>
      </c>
    </row>
    <row r="106" spans="1:13" s="114" customFormat="1">
      <c r="A106" s="96">
        <v>101</v>
      </c>
      <c r="B106" s="2" t="s">
        <v>341</v>
      </c>
      <c r="C106" s="19">
        <v>500000</v>
      </c>
      <c r="D106" s="19">
        <v>66650</v>
      </c>
      <c r="E106" s="19">
        <v>566650</v>
      </c>
      <c r="F106" s="33">
        <v>50</v>
      </c>
      <c r="G106" s="16">
        <v>11333</v>
      </c>
      <c r="H106" s="97">
        <v>12</v>
      </c>
      <c r="I106" s="97">
        <f t="shared" si="15"/>
        <v>38</v>
      </c>
      <c r="J106" s="91">
        <f t="shared" si="14"/>
        <v>135996</v>
      </c>
      <c r="K106" s="91">
        <f t="shared" si="16"/>
        <v>430654</v>
      </c>
      <c r="L106" s="122"/>
      <c r="M106" s="180" t="e">
        <f>#REF!-G106</f>
        <v>#REF!</v>
      </c>
    </row>
    <row r="107" spans="1:13" s="114" customFormat="1">
      <c r="A107" s="96">
        <v>102</v>
      </c>
      <c r="B107" s="2" t="s">
        <v>367</v>
      </c>
      <c r="C107" s="16">
        <v>450000</v>
      </c>
      <c r="D107" s="16">
        <v>59985</v>
      </c>
      <c r="E107" s="41">
        <f>SUM(C107:D107)</f>
        <v>509985</v>
      </c>
      <c r="F107" s="33">
        <v>50</v>
      </c>
      <c r="G107" s="16">
        <v>10199.700000000001</v>
      </c>
      <c r="H107" s="97">
        <v>26</v>
      </c>
      <c r="I107" s="97">
        <f t="shared" si="15"/>
        <v>24</v>
      </c>
      <c r="J107" s="91">
        <f t="shared" si="14"/>
        <v>265192.2</v>
      </c>
      <c r="K107" s="94">
        <f t="shared" si="16"/>
        <v>244792.8</v>
      </c>
      <c r="L107" s="11"/>
      <c r="M107" s="180" t="e">
        <f>#REF!-G107</f>
        <v>#REF!</v>
      </c>
    </row>
    <row r="108" spans="1:13" s="114" customFormat="1">
      <c r="A108" s="96">
        <v>103</v>
      </c>
      <c r="B108" s="2" t="s">
        <v>342</v>
      </c>
      <c r="C108" s="16">
        <v>500000</v>
      </c>
      <c r="D108" s="16">
        <v>66650</v>
      </c>
      <c r="E108" s="41">
        <f>SUM(C108:D108)</f>
        <v>566650</v>
      </c>
      <c r="F108" s="33">
        <v>50</v>
      </c>
      <c r="G108" s="16">
        <v>11333</v>
      </c>
      <c r="H108" s="97">
        <v>47</v>
      </c>
      <c r="I108" s="97">
        <f t="shared" si="15"/>
        <v>3</v>
      </c>
      <c r="J108" s="91">
        <f t="shared" si="14"/>
        <v>532651</v>
      </c>
      <c r="K108" s="94">
        <f t="shared" si="16"/>
        <v>33999</v>
      </c>
      <c r="L108" s="11"/>
      <c r="M108" s="180" t="e">
        <f>#REF!-G108</f>
        <v>#REF!</v>
      </c>
    </row>
    <row r="109" spans="1:13" s="114" customFormat="1">
      <c r="A109" s="96">
        <v>104</v>
      </c>
      <c r="B109" s="2" t="s">
        <v>407</v>
      </c>
      <c r="C109" s="41">
        <v>200000</v>
      </c>
      <c r="D109" s="41">
        <v>26660</v>
      </c>
      <c r="E109" s="41">
        <v>226660</v>
      </c>
      <c r="F109" s="33">
        <v>40</v>
      </c>
      <c r="G109" s="19">
        <v>5666.5</v>
      </c>
      <c r="H109" s="97">
        <v>39</v>
      </c>
      <c r="I109" s="97">
        <f t="shared" si="15"/>
        <v>1</v>
      </c>
      <c r="J109" s="91">
        <f t="shared" si="14"/>
        <v>220993.5</v>
      </c>
      <c r="K109" s="94">
        <f t="shared" si="16"/>
        <v>5666.5</v>
      </c>
      <c r="L109" s="11"/>
      <c r="M109" s="180" t="e">
        <f>#REF!-G109</f>
        <v>#REF!</v>
      </c>
    </row>
    <row r="110" spans="1:13" s="114" customFormat="1">
      <c r="A110" s="96">
        <v>105</v>
      </c>
      <c r="B110" s="2" t="s">
        <v>343</v>
      </c>
      <c r="C110" s="12">
        <v>500000</v>
      </c>
      <c r="D110" s="12">
        <v>66650</v>
      </c>
      <c r="E110" s="15">
        <f>SUM(C110:D110)</f>
        <v>566650</v>
      </c>
      <c r="F110" s="31">
        <v>50</v>
      </c>
      <c r="G110" s="12">
        <v>11333</v>
      </c>
      <c r="H110" s="14">
        <v>31</v>
      </c>
      <c r="I110" s="97">
        <f t="shared" si="15"/>
        <v>19</v>
      </c>
      <c r="J110" s="91">
        <f t="shared" si="14"/>
        <v>351323</v>
      </c>
      <c r="K110" s="15">
        <f t="shared" si="16"/>
        <v>215327</v>
      </c>
      <c r="L110" s="8"/>
      <c r="M110" s="180" t="e">
        <f>#REF!-G110</f>
        <v>#REF!</v>
      </c>
    </row>
    <row r="111" spans="1:13" s="114" customFormat="1">
      <c r="A111" s="96">
        <v>106</v>
      </c>
      <c r="B111" s="23" t="s">
        <v>344</v>
      </c>
      <c r="C111" s="16">
        <v>500000</v>
      </c>
      <c r="D111" s="16">
        <v>66650</v>
      </c>
      <c r="E111" s="41">
        <f>SUM(C111:D111)</f>
        <v>566650</v>
      </c>
      <c r="F111" s="33">
        <v>50</v>
      </c>
      <c r="G111" s="16">
        <v>11333</v>
      </c>
      <c r="H111" s="97">
        <v>47</v>
      </c>
      <c r="I111" s="97">
        <f t="shared" si="15"/>
        <v>3</v>
      </c>
      <c r="J111" s="91">
        <f t="shared" si="14"/>
        <v>532651</v>
      </c>
      <c r="K111" s="94">
        <f t="shared" si="16"/>
        <v>33999</v>
      </c>
      <c r="L111" s="11"/>
      <c r="M111" s="180" t="e">
        <f>#REF!-G111</f>
        <v>#REF!</v>
      </c>
    </row>
    <row r="112" spans="1:13" s="114" customFormat="1">
      <c r="A112" s="96">
        <v>107</v>
      </c>
      <c r="B112" s="2" t="s">
        <v>345</v>
      </c>
      <c r="C112" s="19">
        <v>500000</v>
      </c>
      <c r="D112" s="19">
        <v>66650</v>
      </c>
      <c r="E112" s="19">
        <v>566650</v>
      </c>
      <c r="F112" s="33">
        <v>50</v>
      </c>
      <c r="G112" s="16">
        <v>11333</v>
      </c>
      <c r="H112" s="97">
        <v>12</v>
      </c>
      <c r="I112" s="97">
        <f t="shared" si="15"/>
        <v>38</v>
      </c>
      <c r="J112" s="91">
        <f t="shared" si="14"/>
        <v>135996</v>
      </c>
      <c r="K112" s="91">
        <f t="shared" si="16"/>
        <v>430654</v>
      </c>
      <c r="L112" s="122"/>
      <c r="M112" s="180" t="e">
        <f>#REF!-G112</f>
        <v>#REF!</v>
      </c>
    </row>
    <row r="113" spans="1:14" s="114" customFormat="1">
      <c r="A113" s="96">
        <v>108</v>
      </c>
      <c r="B113" s="191" t="s">
        <v>99</v>
      </c>
      <c r="C113" s="16">
        <v>450000</v>
      </c>
      <c r="D113" s="16">
        <v>59985</v>
      </c>
      <c r="E113" s="41">
        <f>SUM(C113:D113)</f>
        <v>509985</v>
      </c>
      <c r="F113" s="33">
        <v>50</v>
      </c>
      <c r="G113" s="16">
        <v>10199.700000000001</v>
      </c>
      <c r="H113" s="159">
        <v>35</v>
      </c>
      <c r="I113" s="97">
        <f t="shared" si="15"/>
        <v>15</v>
      </c>
      <c r="J113" s="91">
        <f t="shared" si="14"/>
        <v>356989.5</v>
      </c>
      <c r="K113" s="94">
        <f t="shared" si="16"/>
        <v>152995.5</v>
      </c>
      <c r="L113" s="11"/>
      <c r="M113" s="180" t="e">
        <f>#REF!-G113</f>
        <v>#REF!</v>
      </c>
    </row>
    <row r="114" spans="1:14" s="114" customFormat="1">
      <c r="A114" s="96">
        <v>109</v>
      </c>
      <c r="B114" s="2" t="s">
        <v>416</v>
      </c>
      <c r="C114" s="12">
        <v>180000</v>
      </c>
      <c r="D114" s="12">
        <v>23994</v>
      </c>
      <c r="E114" s="15">
        <f>SUM(C114:D114)</f>
        <v>203994</v>
      </c>
      <c r="F114" s="30">
        <v>40</v>
      </c>
      <c r="G114" s="12">
        <v>5099.8500000000004</v>
      </c>
      <c r="H114" s="14">
        <v>45</v>
      </c>
      <c r="I114" s="97">
        <f t="shared" si="15"/>
        <v>-5</v>
      </c>
      <c r="J114" s="91">
        <f t="shared" si="14"/>
        <v>229493.25000000003</v>
      </c>
      <c r="K114" s="15">
        <f t="shared" si="16"/>
        <v>-25499.250000000029</v>
      </c>
      <c r="L114" s="10"/>
      <c r="M114" s="180" t="e">
        <f>#REF!-G114</f>
        <v>#REF!</v>
      </c>
    </row>
    <row r="115" spans="1:14" s="114" customFormat="1">
      <c r="A115" s="96">
        <v>110</v>
      </c>
      <c r="B115" s="2" t="s">
        <v>346</v>
      </c>
      <c r="C115" s="19">
        <v>500000</v>
      </c>
      <c r="D115" s="19">
        <v>66650</v>
      </c>
      <c r="E115" s="19">
        <v>566650</v>
      </c>
      <c r="F115" s="33">
        <v>50</v>
      </c>
      <c r="G115" s="16">
        <v>11333</v>
      </c>
      <c r="H115" s="97">
        <v>11</v>
      </c>
      <c r="I115" s="97">
        <f t="shared" si="15"/>
        <v>39</v>
      </c>
      <c r="J115" s="91">
        <f t="shared" si="14"/>
        <v>124663</v>
      </c>
      <c r="K115" s="91">
        <f t="shared" si="16"/>
        <v>441987</v>
      </c>
      <c r="L115" s="11"/>
      <c r="M115" s="180" t="e">
        <f>#REF!-G115</f>
        <v>#REF!</v>
      </c>
    </row>
    <row r="116" spans="1:14" s="114" customFormat="1">
      <c r="A116" s="96">
        <v>111</v>
      </c>
      <c r="B116" s="2" t="s">
        <v>408</v>
      </c>
      <c r="C116" s="41">
        <v>200000</v>
      </c>
      <c r="D116" s="41">
        <v>26660</v>
      </c>
      <c r="E116" s="41">
        <v>226660</v>
      </c>
      <c r="F116" s="33">
        <v>40</v>
      </c>
      <c r="G116" s="19">
        <v>5666.5</v>
      </c>
      <c r="H116" s="97">
        <v>39</v>
      </c>
      <c r="I116" s="97">
        <f t="shared" si="15"/>
        <v>1</v>
      </c>
      <c r="J116" s="91">
        <f t="shared" ref="J116:J122" si="17">H116*G116</f>
        <v>220993.5</v>
      </c>
      <c r="K116" s="94">
        <f t="shared" si="16"/>
        <v>5666.5</v>
      </c>
      <c r="L116" s="11"/>
      <c r="M116" s="180" t="e">
        <f>#REF!-G116</f>
        <v>#REF!</v>
      </c>
    </row>
    <row r="117" spans="1:14" s="114" customFormat="1">
      <c r="A117" s="96">
        <v>112</v>
      </c>
      <c r="B117" s="2" t="s">
        <v>83</v>
      </c>
      <c r="C117" s="12">
        <v>500000</v>
      </c>
      <c r="D117" s="12">
        <v>66650</v>
      </c>
      <c r="E117" s="15">
        <f>SUM(C117:D117)</f>
        <v>566650</v>
      </c>
      <c r="F117" s="31">
        <v>50</v>
      </c>
      <c r="G117" s="12">
        <v>11333</v>
      </c>
      <c r="H117" s="14">
        <v>29</v>
      </c>
      <c r="I117" s="97">
        <f t="shared" si="15"/>
        <v>21</v>
      </c>
      <c r="J117" s="91">
        <f t="shared" si="17"/>
        <v>328657</v>
      </c>
      <c r="K117" s="15">
        <f t="shared" si="16"/>
        <v>237993</v>
      </c>
      <c r="L117" s="8"/>
      <c r="M117" s="180" t="e">
        <f>#REF!-G117</f>
        <v>#REF!</v>
      </c>
    </row>
    <row r="118" spans="1:14" s="114" customFormat="1">
      <c r="A118" s="96">
        <v>113</v>
      </c>
      <c r="B118" s="2" t="s">
        <v>368</v>
      </c>
      <c r="C118" s="16">
        <v>450000</v>
      </c>
      <c r="D118" s="16">
        <v>59985</v>
      </c>
      <c r="E118" s="16">
        <v>509985</v>
      </c>
      <c r="F118" s="33">
        <v>50</v>
      </c>
      <c r="G118" s="16">
        <v>10199.700000000001</v>
      </c>
      <c r="H118" s="97">
        <v>11</v>
      </c>
      <c r="I118" s="97">
        <f t="shared" si="15"/>
        <v>39</v>
      </c>
      <c r="J118" s="91">
        <f t="shared" si="17"/>
        <v>112196.70000000001</v>
      </c>
      <c r="K118" s="91">
        <f t="shared" si="16"/>
        <v>397788.3</v>
      </c>
      <c r="L118" s="122"/>
      <c r="M118" s="180" t="e">
        <f>#REF!-G118</f>
        <v>#REF!</v>
      </c>
    </row>
    <row r="119" spans="1:14" s="114" customFormat="1">
      <c r="A119" s="96">
        <v>114</v>
      </c>
      <c r="B119" s="2" t="s">
        <v>347</v>
      </c>
      <c r="C119" s="16">
        <v>500000</v>
      </c>
      <c r="D119" s="16">
        <v>66650</v>
      </c>
      <c r="E119" s="41">
        <f>SUM(C119:D119)</f>
        <v>566650</v>
      </c>
      <c r="F119" s="33">
        <v>50</v>
      </c>
      <c r="G119" s="16">
        <v>11333</v>
      </c>
      <c r="H119" s="97">
        <v>26</v>
      </c>
      <c r="I119" s="97">
        <f t="shared" si="15"/>
        <v>24</v>
      </c>
      <c r="J119" s="91">
        <f t="shared" si="17"/>
        <v>294658</v>
      </c>
      <c r="K119" s="94">
        <f t="shared" si="16"/>
        <v>271992</v>
      </c>
      <c r="L119" s="11"/>
      <c r="M119" s="180" t="e">
        <f>#REF!-G119</f>
        <v>#REF!</v>
      </c>
    </row>
    <row r="120" spans="1:14" s="114" customFormat="1">
      <c r="A120" s="96">
        <v>115</v>
      </c>
      <c r="B120" s="2" t="s">
        <v>377</v>
      </c>
      <c r="C120" s="155">
        <v>330000</v>
      </c>
      <c r="D120" s="155">
        <v>43989</v>
      </c>
      <c r="E120" s="155">
        <f>SUM(C120:D120)</f>
        <v>373989</v>
      </c>
      <c r="F120" s="33">
        <v>50</v>
      </c>
      <c r="G120" s="154">
        <v>7479.78</v>
      </c>
      <c r="H120" s="97">
        <v>12</v>
      </c>
      <c r="I120" s="97">
        <f t="shared" si="15"/>
        <v>38</v>
      </c>
      <c r="J120" s="91">
        <f t="shared" si="17"/>
        <v>89757.36</v>
      </c>
      <c r="K120" s="91">
        <f t="shared" si="16"/>
        <v>284231.64</v>
      </c>
      <c r="L120" s="122"/>
      <c r="M120" s="180" t="e">
        <f>#REF!-G120</f>
        <v>#REF!</v>
      </c>
    </row>
    <row r="121" spans="1:14" s="114" customFormat="1">
      <c r="A121" s="96">
        <v>116</v>
      </c>
      <c r="B121" s="2" t="s">
        <v>409</v>
      </c>
      <c r="C121" s="41">
        <v>200000</v>
      </c>
      <c r="D121" s="41">
        <v>26660</v>
      </c>
      <c r="E121" s="41">
        <f>SUM(C121:D121)</f>
        <v>226660</v>
      </c>
      <c r="F121" s="33">
        <v>40</v>
      </c>
      <c r="G121" s="41">
        <v>5666.5</v>
      </c>
      <c r="H121" s="97">
        <v>39</v>
      </c>
      <c r="I121" s="97">
        <f t="shared" si="15"/>
        <v>1</v>
      </c>
      <c r="J121" s="91">
        <f t="shared" si="17"/>
        <v>220993.5</v>
      </c>
      <c r="K121" s="94">
        <f t="shared" si="16"/>
        <v>5666.5</v>
      </c>
      <c r="L121" s="11"/>
      <c r="M121" s="180" t="e">
        <f>#REF!-G121</f>
        <v>#REF!</v>
      </c>
    </row>
    <row r="122" spans="1:14" s="114" customFormat="1">
      <c r="A122" s="96">
        <v>117</v>
      </c>
      <c r="B122" s="2" t="s">
        <v>348</v>
      </c>
      <c r="C122" s="161">
        <v>500000</v>
      </c>
      <c r="D122" s="161">
        <v>66650</v>
      </c>
      <c r="E122" s="162">
        <f>SUM(C122:D122)</f>
        <v>566650</v>
      </c>
      <c r="F122" s="163">
        <v>50</v>
      </c>
      <c r="G122" s="161">
        <v>11333</v>
      </c>
      <c r="H122" s="97">
        <v>26</v>
      </c>
      <c r="I122" s="97">
        <f t="shared" si="15"/>
        <v>24</v>
      </c>
      <c r="J122" s="146">
        <f t="shared" si="17"/>
        <v>294658</v>
      </c>
      <c r="K122" s="164">
        <f t="shared" si="16"/>
        <v>271992</v>
      </c>
      <c r="L122" s="123"/>
      <c r="M122" s="180" t="e">
        <f>#REF!-G122</f>
        <v>#REF!</v>
      </c>
    </row>
    <row r="123" spans="1:14" s="114" customFormat="1">
      <c r="A123" s="96">
        <v>118</v>
      </c>
      <c r="B123" s="25" t="s">
        <v>289</v>
      </c>
      <c r="C123" s="16">
        <v>180000</v>
      </c>
      <c r="D123" s="16">
        <v>23994</v>
      </c>
      <c r="E123" s="16">
        <v>203994</v>
      </c>
      <c r="F123" s="45">
        <v>40</v>
      </c>
      <c r="G123" s="154">
        <v>5099.8500000000004</v>
      </c>
      <c r="H123" s="97">
        <v>39</v>
      </c>
      <c r="I123" s="97">
        <f t="shared" si="15"/>
        <v>1</v>
      </c>
      <c r="J123" s="156">
        <f>(36*5099.85)</f>
        <v>183594.6</v>
      </c>
      <c r="K123" s="91">
        <f t="shared" si="16"/>
        <v>20399.399999999994</v>
      </c>
      <c r="L123" s="122"/>
      <c r="M123" s="180" t="e">
        <f>#REF!-G123</f>
        <v>#REF!</v>
      </c>
    </row>
    <row r="124" spans="1:14" s="114" customFormat="1">
      <c r="A124" s="96">
        <v>119</v>
      </c>
      <c r="B124" s="2" t="s">
        <v>349</v>
      </c>
      <c r="C124" s="16">
        <v>500000</v>
      </c>
      <c r="D124" s="16">
        <v>66650</v>
      </c>
      <c r="E124" s="41">
        <f t="shared" ref="E124:E136" si="18">SUM(C124:D124)</f>
        <v>566650</v>
      </c>
      <c r="F124" s="33">
        <v>50</v>
      </c>
      <c r="G124" s="154">
        <v>11333</v>
      </c>
      <c r="H124" s="97">
        <v>4</v>
      </c>
      <c r="I124" s="97">
        <f t="shared" si="15"/>
        <v>46</v>
      </c>
      <c r="J124" s="156">
        <f>(1*11333)</f>
        <v>11333</v>
      </c>
      <c r="K124" s="91">
        <f t="shared" si="16"/>
        <v>555317</v>
      </c>
      <c r="L124" s="122"/>
      <c r="M124" s="180" t="e">
        <f>#REF!-G124</f>
        <v>#REF!</v>
      </c>
    </row>
    <row r="125" spans="1:14" s="114" customFormat="1">
      <c r="A125" s="96">
        <v>120</v>
      </c>
      <c r="B125" s="2" t="s">
        <v>369</v>
      </c>
      <c r="C125" s="16">
        <v>450000</v>
      </c>
      <c r="D125" s="16">
        <v>59985</v>
      </c>
      <c r="E125" s="41">
        <f t="shared" si="18"/>
        <v>509985</v>
      </c>
      <c r="F125" s="33">
        <v>50</v>
      </c>
      <c r="G125" s="16">
        <v>10199.700000000001</v>
      </c>
      <c r="H125" s="97">
        <v>25</v>
      </c>
      <c r="I125" s="97">
        <f t="shared" si="15"/>
        <v>25</v>
      </c>
      <c r="J125" s="91">
        <f>H125*G125</f>
        <v>254992.50000000003</v>
      </c>
      <c r="K125" s="94">
        <f t="shared" si="16"/>
        <v>254992.49999999997</v>
      </c>
      <c r="L125" s="11"/>
      <c r="M125" s="180" t="e">
        <f>#REF!-G125</f>
        <v>#REF!</v>
      </c>
    </row>
    <row r="126" spans="1:14" s="114" customFormat="1">
      <c r="A126" s="96">
        <v>121</v>
      </c>
      <c r="B126" s="2" t="s">
        <v>350</v>
      </c>
      <c r="C126" s="16">
        <v>500000</v>
      </c>
      <c r="D126" s="16">
        <v>66650</v>
      </c>
      <c r="E126" s="41">
        <f t="shared" si="18"/>
        <v>566650</v>
      </c>
      <c r="F126" s="33">
        <v>50</v>
      </c>
      <c r="G126" s="154">
        <v>11333</v>
      </c>
      <c r="H126" s="97">
        <v>4</v>
      </c>
      <c r="I126" s="97">
        <f t="shared" si="15"/>
        <v>46</v>
      </c>
      <c r="J126" s="156">
        <f>(1*11333)</f>
        <v>11333</v>
      </c>
      <c r="K126" s="91">
        <f t="shared" si="16"/>
        <v>555317</v>
      </c>
      <c r="L126" s="11"/>
      <c r="M126" s="180" t="e">
        <f>#REF!-G126</f>
        <v>#REF!</v>
      </c>
    </row>
    <row r="127" spans="1:14" s="114" customFormat="1">
      <c r="A127" s="96">
        <v>122</v>
      </c>
      <c r="B127" s="2" t="s">
        <v>35</v>
      </c>
      <c r="C127" s="155">
        <v>150000</v>
      </c>
      <c r="D127" s="155">
        <v>19995</v>
      </c>
      <c r="E127" s="155">
        <f t="shared" si="18"/>
        <v>169995</v>
      </c>
      <c r="F127" s="33">
        <v>50</v>
      </c>
      <c r="G127" s="154">
        <v>3399.9</v>
      </c>
      <c r="H127" s="97">
        <v>11</v>
      </c>
      <c r="I127" s="97">
        <f t="shared" si="15"/>
        <v>39</v>
      </c>
      <c r="J127" s="91">
        <f t="shared" ref="J127:J153" si="19">H127*G127</f>
        <v>37398.9</v>
      </c>
      <c r="K127" s="91">
        <f t="shared" si="16"/>
        <v>132596.1</v>
      </c>
      <c r="L127" s="122"/>
      <c r="M127" s="180" t="e">
        <f>#REF!-G127</f>
        <v>#REF!</v>
      </c>
      <c r="N127" s="120"/>
    </row>
    <row r="128" spans="1:14" s="114" customFormat="1">
      <c r="A128" s="96">
        <v>123</v>
      </c>
      <c r="B128" s="2" t="s">
        <v>378</v>
      </c>
      <c r="C128" s="12">
        <v>330000</v>
      </c>
      <c r="D128" s="12">
        <v>43989</v>
      </c>
      <c r="E128" s="15">
        <f t="shared" si="18"/>
        <v>373989</v>
      </c>
      <c r="F128" s="31">
        <v>50</v>
      </c>
      <c r="G128" s="12">
        <v>7479.78</v>
      </c>
      <c r="H128" s="14">
        <v>31</v>
      </c>
      <c r="I128" s="97">
        <f t="shared" si="15"/>
        <v>19</v>
      </c>
      <c r="J128" s="91">
        <f t="shared" si="19"/>
        <v>231873.18</v>
      </c>
      <c r="K128" s="15">
        <f t="shared" si="16"/>
        <v>142115.82</v>
      </c>
      <c r="L128" s="8"/>
      <c r="M128" s="180" t="e">
        <f>#REF!-G128</f>
        <v>#REF!</v>
      </c>
    </row>
    <row r="129" spans="1:14" s="114" customFormat="1">
      <c r="A129" s="96">
        <v>124</v>
      </c>
      <c r="B129" s="2" t="s">
        <v>351</v>
      </c>
      <c r="C129" s="16">
        <v>500000</v>
      </c>
      <c r="D129" s="16">
        <v>66650</v>
      </c>
      <c r="E129" s="41">
        <f t="shared" si="18"/>
        <v>566650</v>
      </c>
      <c r="F129" s="33">
        <v>50</v>
      </c>
      <c r="G129" s="16">
        <v>11333</v>
      </c>
      <c r="H129" s="97">
        <v>25</v>
      </c>
      <c r="I129" s="97">
        <f t="shared" si="15"/>
        <v>25</v>
      </c>
      <c r="J129" s="91">
        <f t="shared" si="19"/>
        <v>283325</v>
      </c>
      <c r="K129" s="94">
        <f t="shared" si="16"/>
        <v>283325</v>
      </c>
      <c r="L129" s="11"/>
      <c r="M129" s="180" t="e">
        <f>#REF!-G129</f>
        <v>#REF!</v>
      </c>
    </row>
    <row r="130" spans="1:14" s="114" customFormat="1">
      <c r="A130" s="96">
        <v>125</v>
      </c>
      <c r="B130" s="190" t="s">
        <v>300</v>
      </c>
      <c r="C130" s="16">
        <v>500000</v>
      </c>
      <c r="D130" s="16">
        <v>66650</v>
      </c>
      <c r="E130" s="41">
        <f t="shared" si="18"/>
        <v>566650</v>
      </c>
      <c r="F130" s="33">
        <v>50</v>
      </c>
      <c r="G130" s="16">
        <v>11333</v>
      </c>
      <c r="H130" s="97">
        <v>30</v>
      </c>
      <c r="I130" s="97">
        <f t="shared" si="15"/>
        <v>20</v>
      </c>
      <c r="J130" s="91">
        <f t="shared" si="19"/>
        <v>339990</v>
      </c>
      <c r="K130" s="94">
        <f t="shared" si="16"/>
        <v>226660</v>
      </c>
      <c r="L130" s="11"/>
      <c r="M130" s="180" t="e">
        <f>#REF!-G130</f>
        <v>#REF!</v>
      </c>
    </row>
    <row r="131" spans="1:14" s="114" customFormat="1">
      <c r="A131" s="96">
        <v>126</v>
      </c>
      <c r="B131" s="2" t="s">
        <v>379</v>
      </c>
      <c r="C131" s="12">
        <v>330000</v>
      </c>
      <c r="D131" s="12">
        <v>43989</v>
      </c>
      <c r="E131" s="15">
        <f t="shared" si="18"/>
        <v>373989</v>
      </c>
      <c r="F131" s="31">
        <v>50</v>
      </c>
      <c r="G131" s="12">
        <v>7479.78</v>
      </c>
      <c r="H131" s="14">
        <v>31</v>
      </c>
      <c r="I131" s="97">
        <f t="shared" si="15"/>
        <v>19</v>
      </c>
      <c r="J131" s="91">
        <f t="shared" si="19"/>
        <v>231873.18</v>
      </c>
      <c r="K131" s="15">
        <f t="shared" si="16"/>
        <v>142115.82</v>
      </c>
      <c r="L131" s="8"/>
      <c r="M131" s="180" t="e">
        <f>#REF!-G131</f>
        <v>#REF!</v>
      </c>
    </row>
    <row r="132" spans="1:14" s="114" customFormat="1">
      <c r="A132" s="96">
        <v>127</v>
      </c>
      <c r="B132" s="23" t="s">
        <v>302</v>
      </c>
      <c r="C132" s="16">
        <v>500000</v>
      </c>
      <c r="D132" s="16">
        <v>47992</v>
      </c>
      <c r="E132" s="41">
        <f t="shared" si="18"/>
        <v>547992</v>
      </c>
      <c r="F132" s="33">
        <v>36</v>
      </c>
      <c r="G132" s="16">
        <v>15222</v>
      </c>
      <c r="H132" s="97">
        <v>25</v>
      </c>
      <c r="I132" s="97">
        <f t="shared" si="15"/>
        <v>11</v>
      </c>
      <c r="J132" s="91">
        <f t="shared" si="19"/>
        <v>380550</v>
      </c>
      <c r="K132" s="94">
        <f t="shared" si="16"/>
        <v>167442</v>
      </c>
      <c r="L132" s="11"/>
      <c r="M132" s="180" t="e">
        <f>#REF!-G132</f>
        <v>#REF!</v>
      </c>
    </row>
    <row r="133" spans="1:14" s="120" customFormat="1">
      <c r="A133" s="96">
        <v>128</v>
      </c>
      <c r="B133" s="2" t="s">
        <v>87</v>
      </c>
      <c r="C133" s="16">
        <v>500000</v>
      </c>
      <c r="D133" s="16">
        <v>66650</v>
      </c>
      <c r="E133" s="41">
        <f t="shared" si="18"/>
        <v>566650</v>
      </c>
      <c r="F133" s="33">
        <v>50</v>
      </c>
      <c r="G133" s="16">
        <v>11333</v>
      </c>
      <c r="H133" s="97">
        <v>47</v>
      </c>
      <c r="I133" s="97">
        <f t="shared" si="15"/>
        <v>3</v>
      </c>
      <c r="J133" s="91">
        <f t="shared" si="19"/>
        <v>532651</v>
      </c>
      <c r="K133" s="94">
        <f t="shared" si="16"/>
        <v>33999</v>
      </c>
      <c r="L133" s="11"/>
      <c r="M133" s="180" t="e">
        <f>#REF!-G133</f>
        <v>#REF!</v>
      </c>
      <c r="N133" s="114"/>
    </row>
    <row r="134" spans="1:14" s="114" customFormat="1">
      <c r="A134" s="96">
        <v>129</v>
      </c>
      <c r="B134" s="2" t="s">
        <v>370</v>
      </c>
      <c r="C134" s="16">
        <v>450000</v>
      </c>
      <c r="D134" s="16">
        <v>59985</v>
      </c>
      <c r="E134" s="41">
        <f t="shared" si="18"/>
        <v>509985</v>
      </c>
      <c r="F134" s="33">
        <v>50</v>
      </c>
      <c r="G134" s="16">
        <v>10199.700000000001</v>
      </c>
      <c r="H134" s="97">
        <v>26</v>
      </c>
      <c r="I134" s="97">
        <f t="shared" ref="I134:I155" si="20">F134-H134</f>
        <v>24</v>
      </c>
      <c r="J134" s="91">
        <f t="shared" si="19"/>
        <v>265192.2</v>
      </c>
      <c r="K134" s="94">
        <f t="shared" ref="K134:K155" si="21">E134-J134</f>
        <v>244792.8</v>
      </c>
      <c r="L134" s="11"/>
      <c r="M134" s="180" t="e">
        <f>#REF!-G134</f>
        <v>#REF!</v>
      </c>
    </row>
    <row r="135" spans="1:14" s="114" customFormat="1">
      <c r="A135" s="96">
        <v>130</v>
      </c>
      <c r="B135" s="2" t="s">
        <v>352</v>
      </c>
      <c r="C135" s="16">
        <v>500000</v>
      </c>
      <c r="D135" s="16">
        <v>66650</v>
      </c>
      <c r="E135" s="41">
        <f t="shared" si="18"/>
        <v>566650</v>
      </c>
      <c r="F135" s="33">
        <v>50</v>
      </c>
      <c r="G135" s="16">
        <v>11333</v>
      </c>
      <c r="H135" s="97">
        <v>26</v>
      </c>
      <c r="I135" s="97">
        <f t="shared" si="20"/>
        <v>24</v>
      </c>
      <c r="J135" s="91">
        <f t="shared" si="19"/>
        <v>294658</v>
      </c>
      <c r="K135" s="94">
        <f t="shared" si="21"/>
        <v>271992</v>
      </c>
      <c r="L135" s="11"/>
      <c r="M135" s="180" t="e">
        <f>#REF!-G135</f>
        <v>#REF!</v>
      </c>
    </row>
    <row r="136" spans="1:14" s="114" customFormat="1">
      <c r="A136" s="96">
        <v>131</v>
      </c>
      <c r="B136" s="2" t="s">
        <v>371</v>
      </c>
      <c r="C136" s="16">
        <v>450000</v>
      </c>
      <c r="D136" s="16">
        <v>59985</v>
      </c>
      <c r="E136" s="41">
        <f t="shared" si="18"/>
        <v>509985</v>
      </c>
      <c r="F136" s="33">
        <v>50</v>
      </c>
      <c r="G136" s="16">
        <v>10199.700000000001</v>
      </c>
      <c r="H136" s="97">
        <v>26</v>
      </c>
      <c r="I136" s="97">
        <f t="shared" si="20"/>
        <v>24</v>
      </c>
      <c r="J136" s="91">
        <f t="shared" si="19"/>
        <v>265192.2</v>
      </c>
      <c r="K136" s="94">
        <f t="shared" si="21"/>
        <v>244792.8</v>
      </c>
      <c r="L136" s="11"/>
      <c r="M136" s="180" t="e">
        <f>#REF!-G136</f>
        <v>#REF!</v>
      </c>
    </row>
    <row r="137" spans="1:14" s="114" customFormat="1">
      <c r="A137" s="96">
        <v>132</v>
      </c>
      <c r="B137" s="2" t="s">
        <v>353</v>
      </c>
      <c r="C137" s="19">
        <v>500000</v>
      </c>
      <c r="D137" s="19">
        <v>66650</v>
      </c>
      <c r="E137" s="19">
        <v>566650</v>
      </c>
      <c r="F137" s="33">
        <v>50</v>
      </c>
      <c r="G137" s="16">
        <v>11333</v>
      </c>
      <c r="H137" s="97">
        <v>12</v>
      </c>
      <c r="I137" s="97">
        <f t="shared" si="20"/>
        <v>38</v>
      </c>
      <c r="J137" s="91">
        <f t="shared" si="19"/>
        <v>135996</v>
      </c>
      <c r="K137" s="91">
        <f t="shared" si="21"/>
        <v>430654</v>
      </c>
      <c r="L137" s="122"/>
      <c r="M137" s="180" t="e">
        <f>#REF!-G137</f>
        <v>#REF!</v>
      </c>
    </row>
    <row r="138" spans="1:14" s="114" customFormat="1">
      <c r="A138" s="96">
        <v>133</v>
      </c>
      <c r="B138" s="2" t="s">
        <v>354</v>
      </c>
      <c r="C138" s="12">
        <v>500000</v>
      </c>
      <c r="D138" s="12">
        <v>66650</v>
      </c>
      <c r="E138" s="15">
        <f>SUM(C138:D138)</f>
        <v>566650</v>
      </c>
      <c r="F138" s="31">
        <v>50</v>
      </c>
      <c r="G138" s="12">
        <v>11333</v>
      </c>
      <c r="H138" s="14">
        <v>31</v>
      </c>
      <c r="I138" s="97">
        <f t="shared" si="20"/>
        <v>19</v>
      </c>
      <c r="J138" s="91">
        <f t="shared" si="19"/>
        <v>351323</v>
      </c>
      <c r="K138" s="15">
        <f t="shared" si="21"/>
        <v>215327</v>
      </c>
      <c r="L138" s="8"/>
      <c r="M138" s="180" t="e">
        <f>#REF!-G138</f>
        <v>#REF!</v>
      </c>
    </row>
    <row r="139" spans="1:14" s="114" customFormat="1">
      <c r="A139" s="96">
        <v>134</v>
      </c>
      <c r="B139" s="2" t="s">
        <v>380</v>
      </c>
      <c r="C139" s="16">
        <v>330000</v>
      </c>
      <c r="D139" s="16">
        <v>43989</v>
      </c>
      <c r="E139" s="41">
        <f>SUM(C139:D139)</f>
        <v>373989</v>
      </c>
      <c r="F139" s="33">
        <v>50</v>
      </c>
      <c r="G139" s="16">
        <v>7479.78</v>
      </c>
      <c r="H139" s="159">
        <v>34</v>
      </c>
      <c r="I139" s="97">
        <f t="shared" si="20"/>
        <v>16</v>
      </c>
      <c r="J139" s="91">
        <f t="shared" si="19"/>
        <v>254312.52</v>
      </c>
      <c r="K139" s="94">
        <f t="shared" si="21"/>
        <v>119676.48000000001</v>
      </c>
      <c r="L139" s="11"/>
      <c r="M139" s="180" t="e">
        <f>#REF!-G139</f>
        <v>#REF!</v>
      </c>
    </row>
    <row r="140" spans="1:14" s="114" customFormat="1">
      <c r="A140" s="96">
        <v>135</v>
      </c>
      <c r="B140" s="2" t="s">
        <v>381</v>
      </c>
      <c r="C140" s="155">
        <v>330000</v>
      </c>
      <c r="D140" s="155">
        <v>43989</v>
      </c>
      <c r="E140" s="155">
        <f>SUM(C140:D140)</f>
        <v>373989</v>
      </c>
      <c r="F140" s="33">
        <v>50</v>
      </c>
      <c r="G140" s="154">
        <v>7479.78</v>
      </c>
      <c r="H140" s="97">
        <v>12</v>
      </c>
      <c r="I140" s="97">
        <f t="shared" si="20"/>
        <v>38</v>
      </c>
      <c r="J140" s="91">
        <f t="shared" si="19"/>
        <v>89757.36</v>
      </c>
      <c r="K140" s="91">
        <f t="shared" si="21"/>
        <v>284231.64</v>
      </c>
      <c r="L140" s="122"/>
      <c r="M140" s="180" t="e">
        <f>#REF!-G140</f>
        <v>#REF!</v>
      </c>
    </row>
    <row r="141" spans="1:14" s="114" customFormat="1">
      <c r="A141" s="96">
        <v>136</v>
      </c>
      <c r="B141" s="2" t="s">
        <v>29</v>
      </c>
      <c r="C141" s="19">
        <v>450000</v>
      </c>
      <c r="D141" s="19">
        <v>59985</v>
      </c>
      <c r="E141" s="19">
        <v>509985</v>
      </c>
      <c r="F141" s="33">
        <v>50</v>
      </c>
      <c r="G141" s="16">
        <v>10199.700000000001</v>
      </c>
      <c r="H141" s="97">
        <v>12</v>
      </c>
      <c r="I141" s="97">
        <f t="shared" si="20"/>
        <v>38</v>
      </c>
      <c r="J141" s="91">
        <f t="shared" si="19"/>
        <v>122396.40000000001</v>
      </c>
      <c r="K141" s="91">
        <f t="shared" si="21"/>
        <v>387588.6</v>
      </c>
      <c r="L141" s="122"/>
      <c r="M141" s="180" t="e">
        <f>#REF!-G141</f>
        <v>#REF!</v>
      </c>
    </row>
    <row r="142" spans="1:14" s="114" customFormat="1">
      <c r="A142" s="96">
        <v>137</v>
      </c>
      <c r="B142" s="26" t="s">
        <v>382</v>
      </c>
      <c r="C142" s="12">
        <v>330000</v>
      </c>
      <c r="D142" s="12">
        <v>43989</v>
      </c>
      <c r="E142" s="15">
        <f>SUM(C142:D142)</f>
        <v>373989</v>
      </c>
      <c r="F142" s="31">
        <v>50</v>
      </c>
      <c r="G142" s="12">
        <v>7479.78</v>
      </c>
      <c r="H142" s="14">
        <v>30</v>
      </c>
      <c r="I142" s="97">
        <f t="shared" si="20"/>
        <v>20</v>
      </c>
      <c r="J142" s="91">
        <f t="shared" si="19"/>
        <v>224393.4</v>
      </c>
      <c r="K142" s="15">
        <f t="shared" si="21"/>
        <v>149595.6</v>
      </c>
      <c r="L142" s="8"/>
      <c r="M142" s="180" t="e">
        <f>#REF!-G142</f>
        <v>#REF!</v>
      </c>
    </row>
    <row r="143" spans="1:14" s="114" customFormat="1">
      <c r="A143" s="96">
        <v>138</v>
      </c>
      <c r="B143" s="2" t="s">
        <v>355</v>
      </c>
      <c r="C143" s="16">
        <v>500000</v>
      </c>
      <c r="D143" s="16">
        <v>66650</v>
      </c>
      <c r="E143" s="41">
        <f>SUM(C143:D143)</f>
        <v>566650</v>
      </c>
      <c r="F143" s="33">
        <v>50</v>
      </c>
      <c r="G143" s="16">
        <v>11333</v>
      </c>
      <c r="H143" s="97">
        <v>46</v>
      </c>
      <c r="I143" s="97">
        <f t="shared" si="20"/>
        <v>4</v>
      </c>
      <c r="J143" s="91">
        <f t="shared" si="19"/>
        <v>521318</v>
      </c>
      <c r="K143" s="94">
        <f t="shared" si="21"/>
        <v>45332</v>
      </c>
      <c r="L143" s="11"/>
      <c r="M143" s="180" t="e">
        <f>#REF!-G143</f>
        <v>#REF!</v>
      </c>
    </row>
    <row r="144" spans="1:14" s="114" customFormat="1">
      <c r="A144" s="96">
        <v>139</v>
      </c>
      <c r="B144" s="2" t="s">
        <v>356</v>
      </c>
      <c r="C144" s="16">
        <v>500000</v>
      </c>
      <c r="D144" s="16">
        <v>66650</v>
      </c>
      <c r="E144" s="41">
        <f>SUM(C144:D144)</f>
        <v>566650</v>
      </c>
      <c r="F144" s="33">
        <v>50</v>
      </c>
      <c r="G144" s="16">
        <v>11333</v>
      </c>
      <c r="H144" s="97">
        <v>25</v>
      </c>
      <c r="I144" s="97">
        <f t="shared" si="20"/>
        <v>25</v>
      </c>
      <c r="J144" s="91">
        <f t="shared" si="19"/>
        <v>283325</v>
      </c>
      <c r="K144" s="94">
        <f t="shared" si="21"/>
        <v>283325</v>
      </c>
      <c r="L144" s="11"/>
      <c r="M144" s="180" t="e">
        <f>#REF!-G144</f>
        <v>#REF!</v>
      </c>
    </row>
    <row r="145" spans="1:14" s="114" customFormat="1">
      <c r="A145" s="96">
        <v>140</v>
      </c>
      <c r="B145" s="2" t="s">
        <v>357</v>
      </c>
      <c r="C145" s="12">
        <v>500000</v>
      </c>
      <c r="D145" s="12">
        <v>66650</v>
      </c>
      <c r="E145" s="15">
        <f>SUM(C145:D145)</f>
        <v>566650</v>
      </c>
      <c r="F145" s="31">
        <v>50</v>
      </c>
      <c r="G145" s="12">
        <v>11333</v>
      </c>
      <c r="H145" s="14">
        <v>31</v>
      </c>
      <c r="I145" s="97">
        <f t="shared" si="20"/>
        <v>19</v>
      </c>
      <c r="J145" s="91">
        <f t="shared" si="19"/>
        <v>351323</v>
      </c>
      <c r="K145" s="15">
        <f t="shared" si="21"/>
        <v>215327</v>
      </c>
      <c r="L145" s="8"/>
      <c r="M145" s="180" t="e">
        <f>#REF!-G145</f>
        <v>#REF!</v>
      </c>
    </row>
    <row r="146" spans="1:14" s="114" customFormat="1">
      <c r="A146" s="96">
        <v>141</v>
      </c>
      <c r="B146" s="2" t="s">
        <v>358</v>
      </c>
      <c r="C146" s="16">
        <v>500000</v>
      </c>
      <c r="D146" s="16">
        <v>66650</v>
      </c>
      <c r="E146" s="16">
        <v>566650</v>
      </c>
      <c r="F146" s="33">
        <v>50</v>
      </c>
      <c r="G146" s="16">
        <v>11333</v>
      </c>
      <c r="H146" s="97">
        <v>12</v>
      </c>
      <c r="I146" s="97">
        <f t="shared" si="20"/>
        <v>38</v>
      </c>
      <c r="J146" s="91">
        <f t="shared" si="19"/>
        <v>135996</v>
      </c>
      <c r="K146" s="91">
        <f t="shared" si="21"/>
        <v>430654</v>
      </c>
      <c r="L146" s="122"/>
      <c r="M146" s="180" t="e">
        <f>#REF!-G146</f>
        <v>#REF!</v>
      </c>
    </row>
    <row r="147" spans="1:14" s="114" customFormat="1">
      <c r="A147" s="96">
        <v>142</v>
      </c>
      <c r="B147" s="2" t="s">
        <v>303</v>
      </c>
      <c r="C147" s="16">
        <v>500000</v>
      </c>
      <c r="D147" s="16">
        <v>47992</v>
      </c>
      <c r="E147" s="41">
        <f>SUM(C147:D147)</f>
        <v>547992</v>
      </c>
      <c r="F147" s="33">
        <v>36</v>
      </c>
      <c r="G147" s="16">
        <v>15222</v>
      </c>
      <c r="H147" s="97">
        <v>25</v>
      </c>
      <c r="I147" s="97">
        <f t="shared" si="20"/>
        <v>11</v>
      </c>
      <c r="J147" s="91">
        <f t="shared" si="19"/>
        <v>380550</v>
      </c>
      <c r="K147" s="94">
        <f t="shared" si="21"/>
        <v>167442</v>
      </c>
      <c r="L147" s="11"/>
      <c r="M147" s="180" t="e">
        <f>#REF!-G147</f>
        <v>#REF!</v>
      </c>
    </row>
    <row r="148" spans="1:14" s="114" customFormat="1">
      <c r="A148" s="96">
        <v>143</v>
      </c>
      <c r="B148" s="25" t="s">
        <v>290</v>
      </c>
      <c r="C148" s="155">
        <v>150000</v>
      </c>
      <c r="D148" s="155">
        <v>19995</v>
      </c>
      <c r="E148" s="155">
        <f>SUM(C148:D148)</f>
        <v>169995</v>
      </c>
      <c r="F148" s="33">
        <v>50</v>
      </c>
      <c r="G148" s="153">
        <v>3399.9</v>
      </c>
      <c r="H148" s="97">
        <v>25</v>
      </c>
      <c r="I148" s="97">
        <f t="shared" si="20"/>
        <v>25</v>
      </c>
      <c r="J148" s="91">
        <f t="shared" si="19"/>
        <v>84997.5</v>
      </c>
      <c r="K148" s="94">
        <f t="shared" si="21"/>
        <v>84997.5</v>
      </c>
      <c r="L148" s="122"/>
      <c r="M148" s="180" t="e">
        <f>#REF!-G148</f>
        <v>#REF!</v>
      </c>
    </row>
    <row r="149" spans="1:14" s="114" customFormat="1">
      <c r="A149" s="96">
        <v>144</v>
      </c>
      <c r="B149" s="2" t="s">
        <v>410</v>
      </c>
      <c r="C149" s="41">
        <v>200000</v>
      </c>
      <c r="D149" s="41">
        <v>26660</v>
      </c>
      <c r="E149" s="41">
        <f>SUM(C149:D149)</f>
        <v>226660</v>
      </c>
      <c r="F149" s="33">
        <v>40</v>
      </c>
      <c r="G149" s="41">
        <v>5666.5</v>
      </c>
      <c r="H149" s="97">
        <v>40</v>
      </c>
      <c r="I149" s="97">
        <f t="shared" si="20"/>
        <v>0</v>
      </c>
      <c r="J149" s="91">
        <f t="shared" si="19"/>
        <v>226660</v>
      </c>
      <c r="K149" s="94">
        <f t="shared" si="21"/>
        <v>0</v>
      </c>
      <c r="L149" s="11"/>
      <c r="M149" s="180" t="e">
        <f>#REF!-G149</f>
        <v>#REF!</v>
      </c>
    </row>
    <row r="150" spans="1:14" s="114" customFormat="1">
      <c r="A150" s="96">
        <v>145</v>
      </c>
      <c r="B150" s="2" t="s">
        <v>429</v>
      </c>
      <c r="C150" s="16">
        <v>60000</v>
      </c>
      <c r="D150" s="16">
        <v>7998</v>
      </c>
      <c r="E150" s="41">
        <f>SUM(C150:D150)</f>
        <v>67998</v>
      </c>
      <c r="F150" s="33">
        <v>40</v>
      </c>
      <c r="G150" s="16">
        <v>1699.95</v>
      </c>
      <c r="H150" s="97">
        <v>39</v>
      </c>
      <c r="I150" s="97">
        <f t="shared" si="20"/>
        <v>1</v>
      </c>
      <c r="J150" s="91">
        <f t="shared" si="19"/>
        <v>66298.05</v>
      </c>
      <c r="K150" s="94">
        <f t="shared" si="21"/>
        <v>1699.9499999999971</v>
      </c>
      <c r="L150" s="11"/>
      <c r="M150" s="180" t="e">
        <f>#REF!-G150</f>
        <v>#REF!</v>
      </c>
    </row>
    <row r="151" spans="1:14" s="114" customFormat="1">
      <c r="A151" s="96">
        <v>146</v>
      </c>
      <c r="B151" s="25" t="s">
        <v>359</v>
      </c>
      <c r="C151" s="16">
        <v>500000</v>
      </c>
      <c r="D151" s="16">
        <v>66650</v>
      </c>
      <c r="E151" s="41">
        <f>SUM(C151:D151)</f>
        <v>566650</v>
      </c>
      <c r="F151" s="33">
        <v>50</v>
      </c>
      <c r="G151" s="176">
        <v>11333</v>
      </c>
      <c r="H151" s="188">
        <v>47</v>
      </c>
      <c r="I151" s="97">
        <f t="shared" si="20"/>
        <v>3</v>
      </c>
      <c r="J151" s="91">
        <f t="shared" si="19"/>
        <v>532651</v>
      </c>
      <c r="K151" s="94">
        <f t="shared" si="21"/>
        <v>33999</v>
      </c>
      <c r="L151" s="122"/>
    </row>
    <row r="152" spans="1:14" s="114" customFormat="1">
      <c r="A152" s="96">
        <v>147</v>
      </c>
      <c r="B152" s="2" t="s">
        <v>411</v>
      </c>
      <c r="C152" s="41">
        <v>200000</v>
      </c>
      <c r="D152" s="41">
        <v>26660</v>
      </c>
      <c r="E152" s="41">
        <v>226660</v>
      </c>
      <c r="F152" s="33">
        <v>40</v>
      </c>
      <c r="G152" s="19">
        <v>5666.5</v>
      </c>
      <c r="H152" s="97">
        <v>40</v>
      </c>
      <c r="I152" s="97">
        <f t="shared" si="20"/>
        <v>0</v>
      </c>
      <c r="J152" s="91">
        <f t="shared" si="19"/>
        <v>226660</v>
      </c>
      <c r="K152" s="94">
        <f t="shared" si="21"/>
        <v>0</v>
      </c>
      <c r="L152" s="11"/>
      <c r="M152" s="180" t="e">
        <f>#REF!-G152</f>
        <v>#REF!</v>
      </c>
    </row>
    <row r="153" spans="1:14" s="114" customFormat="1">
      <c r="A153" s="96">
        <v>148</v>
      </c>
      <c r="B153" s="2" t="s">
        <v>412</v>
      </c>
      <c r="C153" s="41">
        <v>200000</v>
      </c>
      <c r="D153" s="41">
        <v>26660</v>
      </c>
      <c r="E153" s="41">
        <f>SUM(C153:D153)</f>
        <v>226660</v>
      </c>
      <c r="F153" s="33">
        <v>40</v>
      </c>
      <c r="G153" s="41">
        <v>5666.5</v>
      </c>
      <c r="H153" s="97">
        <v>40</v>
      </c>
      <c r="I153" s="97">
        <f t="shared" si="20"/>
        <v>0</v>
      </c>
      <c r="J153" s="91">
        <f t="shared" si="19"/>
        <v>226660</v>
      </c>
      <c r="K153" s="94">
        <f t="shared" si="21"/>
        <v>0</v>
      </c>
      <c r="L153" s="11"/>
      <c r="M153" s="180" t="e">
        <f>#REF!-G153</f>
        <v>#REF!</v>
      </c>
    </row>
    <row r="154" spans="1:14" s="114" customFormat="1">
      <c r="A154" s="96">
        <v>149</v>
      </c>
      <c r="B154" s="2" t="s">
        <v>485</v>
      </c>
      <c r="C154" s="19">
        <v>450000</v>
      </c>
      <c r="D154" s="19">
        <v>59985</v>
      </c>
      <c r="E154" s="19">
        <v>509985</v>
      </c>
      <c r="F154" s="33">
        <v>50</v>
      </c>
      <c r="G154" s="16">
        <v>10199.700000000001</v>
      </c>
      <c r="H154" s="97">
        <v>37</v>
      </c>
      <c r="I154" s="97">
        <f t="shared" si="20"/>
        <v>13</v>
      </c>
      <c r="J154" s="91">
        <f>H154*G154</f>
        <v>377388.9</v>
      </c>
      <c r="K154" s="94">
        <f t="shared" si="21"/>
        <v>132596.09999999998</v>
      </c>
      <c r="L154" s="11"/>
      <c r="M154" s="180"/>
    </row>
    <row r="155" spans="1:14" s="114" customFormat="1">
      <c r="A155" s="96">
        <v>150</v>
      </c>
      <c r="B155" s="2" t="s">
        <v>482</v>
      </c>
      <c r="C155" s="12">
        <v>60000</v>
      </c>
      <c r="D155" s="12">
        <v>7998</v>
      </c>
      <c r="E155" s="15">
        <f>SUM(C155:D155)</f>
        <v>67998</v>
      </c>
      <c r="F155" s="31">
        <v>40</v>
      </c>
      <c r="G155" s="12">
        <v>1699.95</v>
      </c>
      <c r="H155" s="198">
        <v>40</v>
      </c>
      <c r="I155" s="97">
        <f t="shared" si="20"/>
        <v>0</v>
      </c>
      <c r="J155" s="91">
        <f>H155*G155</f>
        <v>67998</v>
      </c>
      <c r="K155" s="94">
        <f t="shared" si="21"/>
        <v>0</v>
      </c>
      <c r="L155" s="122"/>
    </row>
    <row r="156" spans="1:14" s="114" customFormat="1">
      <c r="A156" s="175"/>
      <c r="B156" s="8"/>
      <c r="C156" s="34">
        <f>SUM(C6:C155)</f>
        <v>54442000</v>
      </c>
      <c r="D156" s="34">
        <f t="shared" ref="D156:K156" si="22">SUM(D6:D155)</f>
        <v>7146487.6000000006</v>
      </c>
      <c r="E156" s="34">
        <f t="shared" si="22"/>
        <v>61588487.600000009</v>
      </c>
      <c r="F156" s="34"/>
      <c r="G156" s="34">
        <f t="shared" si="22"/>
        <v>1307491.8399999996</v>
      </c>
      <c r="H156" s="34"/>
      <c r="I156" s="34"/>
      <c r="J156" s="34">
        <f t="shared" si="22"/>
        <v>38030215.309999987</v>
      </c>
      <c r="K156" s="34">
        <f t="shared" si="22"/>
        <v>23558272.290000007</v>
      </c>
      <c r="L156" s="8"/>
      <c r="M156"/>
      <c r="N156"/>
    </row>
    <row r="157" spans="1:14" s="114" customFormat="1">
      <c r="A157" s="44"/>
      <c r="B157" s="184"/>
      <c r="C157"/>
      <c r="D157"/>
      <c r="E157"/>
      <c r="F157" s="43"/>
      <c r="G157" s="165">
        <v>1314064.9799999986</v>
      </c>
      <c r="H157" s="99"/>
      <c r="I157" s="99"/>
      <c r="J157"/>
      <c r="K157"/>
      <c r="L157"/>
      <c r="M157"/>
      <c r="N157"/>
    </row>
    <row r="158" spans="1:14" s="114" customFormat="1">
      <c r="A158" s="44"/>
      <c r="B158" s="184"/>
      <c r="C158"/>
      <c r="D158"/>
      <c r="E158"/>
      <c r="F158" s="43"/>
      <c r="G158"/>
      <c r="H158" s="99"/>
      <c r="I158" s="99"/>
      <c r="J158"/>
      <c r="K158"/>
      <c r="L158"/>
      <c r="M158"/>
      <c r="N158"/>
    </row>
    <row r="159" spans="1:14" s="114" customFormat="1">
      <c r="A159" s="44"/>
      <c r="B159" s="184"/>
      <c r="C159"/>
      <c r="D159"/>
      <c r="E159"/>
      <c r="F159" s="43"/>
      <c r="G159" s="39">
        <f>G157-G156</f>
        <v>6573.1399999989662</v>
      </c>
      <c r="H159" s="99"/>
      <c r="I159" s="99"/>
      <c r="J159"/>
      <c r="K159"/>
      <c r="L159"/>
      <c r="M159"/>
      <c r="N159"/>
    </row>
    <row r="160" spans="1:14" s="114" customFormat="1" ht="14.25" customHeight="1">
      <c r="A160" s="44"/>
      <c r="B160" s="184"/>
      <c r="C160"/>
      <c r="D160"/>
      <c r="E160"/>
      <c r="F160" s="43"/>
      <c r="G160" s="39"/>
      <c r="H160" s="99"/>
      <c r="I160" s="99"/>
      <c r="J160"/>
      <c r="K160"/>
      <c r="L160"/>
      <c r="M160"/>
      <c r="N160"/>
    </row>
    <row r="161" spans="1:14" s="114" customFormat="1" ht="14.25" customHeight="1">
      <c r="A161" s="44"/>
      <c r="B161" s="184"/>
      <c r="C161"/>
      <c r="D161"/>
      <c r="E161"/>
      <c r="F161" s="43"/>
      <c r="G161" s="39"/>
      <c r="H161" s="99"/>
      <c r="I161" s="99"/>
      <c r="J161"/>
      <c r="K161"/>
      <c r="L161"/>
      <c r="M161"/>
      <c r="N161"/>
    </row>
    <row r="162" spans="1:14" ht="14.25" customHeight="1">
      <c r="G162" s="39"/>
    </row>
    <row r="163" spans="1:14" ht="14.25" customHeight="1">
      <c r="G163" s="39"/>
    </row>
    <row r="164" spans="1:14" ht="14.25" customHeight="1">
      <c r="G164" s="39"/>
    </row>
    <row r="165" spans="1:14" ht="14.25" customHeight="1"/>
    <row r="166" spans="1:14" ht="14.25" customHeight="1"/>
    <row r="167" spans="1:14" ht="14.25" customHeight="1">
      <c r="B167" s="127" t="s">
        <v>226</v>
      </c>
      <c r="C167" s="129">
        <v>200000</v>
      </c>
      <c r="D167" s="129">
        <v>26660</v>
      </c>
      <c r="E167" s="129">
        <v>226660</v>
      </c>
      <c r="F167" s="130">
        <v>40</v>
      </c>
      <c r="G167" s="137">
        <v>5666.5</v>
      </c>
      <c r="H167" s="134">
        <v>40</v>
      </c>
      <c r="I167" s="134">
        <f t="shared" ref="I167:I175" si="23">F167-H167</f>
        <v>0</v>
      </c>
      <c r="J167" s="135">
        <f t="shared" ref="J167:J175" si="24">H167*G167</f>
        <v>226660</v>
      </c>
      <c r="K167" s="136">
        <f t="shared" ref="K167:K187" si="25">E167-J167</f>
        <v>0</v>
      </c>
      <c r="L167" s="132"/>
      <c r="M167" s="121"/>
    </row>
    <row r="168" spans="1:14" ht="14.25" customHeight="1">
      <c r="B168" s="127" t="s">
        <v>181</v>
      </c>
      <c r="C168" s="129">
        <v>200000</v>
      </c>
      <c r="D168" s="129">
        <v>26660</v>
      </c>
      <c r="E168" s="129">
        <f t="shared" ref="E168:E174" si="26">SUM(C168:D168)</f>
        <v>226660</v>
      </c>
      <c r="F168" s="130">
        <v>40</v>
      </c>
      <c r="G168" s="129">
        <v>5666.5</v>
      </c>
      <c r="H168" s="134">
        <v>40</v>
      </c>
      <c r="I168" s="134">
        <f t="shared" si="23"/>
        <v>0</v>
      </c>
      <c r="J168" s="135">
        <f t="shared" si="24"/>
        <v>226660</v>
      </c>
      <c r="K168" s="136">
        <f t="shared" si="25"/>
        <v>0</v>
      </c>
      <c r="L168" s="132"/>
    </row>
    <row r="169" spans="1:14" ht="14.25" customHeight="1">
      <c r="B169" s="127" t="s">
        <v>249</v>
      </c>
      <c r="C169" s="128">
        <v>180000</v>
      </c>
      <c r="D169" s="128">
        <v>23994</v>
      </c>
      <c r="E169" s="129">
        <f t="shared" si="26"/>
        <v>203994</v>
      </c>
      <c r="F169" s="130">
        <v>40</v>
      </c>
      <c r="G169" s="128">
        <v>5099.8500000000004</v>
      </c>
      <c r="H169" s="134">
        <v>45</v>
      </c>
      <c r="I169" s="134">
        <f t="shared" si="23"/>
        <v>-5</v>
      </c>
      <c r="J169" s="135">
        <f t="shared" si="24"/>
        <v>229493.25000000003</v>
      </c>
      <c r="K169" s="136">
        <f t="shared" si="25"/>
        <v>-25499.250000000029</v>
      </c>
      <c r="L169" s="132"/>
      <c r="N169" s="121"/>
    </row>
    <row r="170" spans="1:14" ht="14.25" customHeight="1">
      <c r="B170" s="127" t="s">
        <v>188</v>
      </c>
      <c r="C170" s="128">
        <v>180000</v>
      </c>
      <c r="D170" s="128">
        <v>23994</v>
      </c>
      <c r="E170" s="129">
        <f t="shared" si="26"/>
        <v>203994</v>
      </c>
      <c r="F170" s="130">
        <v>40</v>
      </c>
      <c r="G170" s="128">
        <v>5099.8500000000004</v>
      </c>
      <c r="H170" s="131">
        <v>37</v>
      </c>
      <c r="I170" s="131">
        <f t="shared" si="23"/>
        <v>3</v>
      </c>
      <c r="J170" s="128">
        <f t="shared" si="24"/>
        <v>188694.45</v>
      </c>
      <c r="K170" s="129">
        <f t="shared" si="25"/>
        <v>15299.549999999988</v>
      </c>
      <c r="L170" s="132"/>
    </row>
    <row r="171" spans="1:14">
      <c r="B171" s="127" t="s">
        <v>124</v>
      </c>
      <c r="C171" s="129">
        <v>200000</v>
      </c>
      <c r="D171" s="129">
        <v>26660</v>
      </c>
      <c r="E171" s="129">
        <f t="shared" si="26"/>
        <v>226660</v>
      </c>
      <c r="F171" s="130">
        <v>40</v>
      </c>
      <c r="G171" s="129">
        <v>5666.5</v>
      </c>
      <c r="H171" s="131">
        <v>40</v>
      </c>
      <c r="I171" s="131">
        <f t="shared" si="23"/>
        <v>0</v>
      </c>
      <c r="J171" s="128">
        <f t="shared" si="24"/>
        <v>226660</v>
      </c>
      <c r="K171" s="129">
        <f t="shared" si="25"/>
        <v>0</v>
      </c>
      <c r="L171" s="132"/>
    </row>
    <row r="172" spans="1:14">
      <c r="B172" s="127" t="s">
        <v>129</v>
      </c>
      <c r="C172" s="129">
        <v>200000</v>
      </c>
      <c r="D172" s="129">
        <v>26660</v>
      </c>
      <c r="E172" s="129">
        <f t="shared" si="26"/>
        <v>226660</v>
      </c>
      <c r="F172" s="130">
        <v>40</v>
      </c>
      <c r="G172" s="129">
        <v>5666.5</v>
      </c>
      <c r="H172" s="131">
        <v>38</v>
      </c>
      <c r="I172" s="131">
        <f t="shared" si="23"/>
        <v>2</v>
      </c>
      <c r="J172" s="128">
        <f t="shared" si="24"/>
        <v>215327</v>
      </c>
      <c r="K172" s="129">
        <f t="shared" si="25"/>
        <v>11333</v>
      </c>
      <c r="L172" s="132"/>
    </row>
    <row r="173" spans="1:14">
      <c r="B173" s="127" t="s">
        <v>202</v>
      </c>
      <c r="C173" s="128">
        <v>132000</v>
      </c>
      <c r="D173" s="128">
        <v>17595.599999999999</v>
      </c>
      <c r="E173" s="129">
        <f t="shared" si="26"/>
        <v>149595.6</v>
      </c>
      <c r="F173" s="130">
        <v>40</v>
      </c>
      <c r="G173" s="128">
        <v>3739.89</v>
      </c>
      <c r="H173" s="131">
        <v>34</v>
      </c>
      <c r="I173" s="131">
        <f t="shared" si="23"/>
        <v>6</v>
      </c>
      <c r="J173" s="128">
        <f t="shared" si="24"/>
        <v>127156.26</v>
      </c>
      <c r="K173" s="129">
        <f t="shared" si="25"/>
        <v>22439.340000000011</v>
      </c>
      <c r="L173" s="132"/>
    </row>
    <row r="174" spans="1:14" s="121" customFormat="1">
      <c r="A174" s="101">
        <v>135</v>
      </c>
      <c r="B174" s="125" t="s">
        <v>138</v>
      </c>
      <c r="C174" s="129">
        <v>200000</v>
      </c>
      <c r="D174" s="129">
        <v>26660</v>
      </c>
      <c r="E174" s="129">
        <f t="shared" si="26"/>
        <v>226660</v>
      </c>
      <c r="F174" s="130">
        <v>40</v>
      </c>
      <c r="G174" s="129">
        <v>5666.5</v>
      </c>
      <c r="H174" s="134">
        <v>37</v>
      </c>
      <c r="I174" s="134">
        <f t="shared" si="23"/>
        <v>3</v>
      </c>
      <c r="J174" s="135">
        <f t="shared" si="24"/>
        <v>209660.5</v>
      </c>
      <c r="K174" s="136">
        <f t="shared" si="25"/>
        <v>16999.5</v>
      </c>
      <c r="L174" s="132"/>
      <c r="M174"/>
      <c r="N174"/>
    </row>
    <row r="175" spans="1:14">
      <c r="A175" s="101">
        <v>167.333333333333</v>
      </c>
      <c r="B175" s="127" t="s">
        <v>236</v>
      </c>
      <c r="C175" s="128">
        <v>180000</v>
      </c>
      <c r="D175" s="128">
        <v>23994</v>
      </c>
      <c r="E175" s="128">
        <v>203994</v>
      </c>
      <c r="F175" s="139">
        <v>40</v>
      </c>
      <c r="G175" s="137">
        <v>5099.8500000000004</v>
      </c>
      <c r="H175" s="134">
        <v>46</v>
      </c>
      <c r="I175" s="134">
        <f t="shared" si="23"/>
        <v>-6</v>
      </c>
      <c r="J175" s="135">
        <f t="shared" si="24"/>
        <v>234593.1</v>
      </c>
      <c r="K175" s="136">
        <f t="shared" si="25"/>
        <v>-30599.100000000006</v>
      </c>
      <c r="L175" s="140"/>
    </row>
    <row r="176" spans="1:14">
      <c r="A176" s="101">
        <v>144.833333333333</v>
      </c>
      <c r="B176" s="127" t="s">
        <v>234</v>
      </c>
      <c r="C176" s="129">
        <v>200000</v>
      </c>
      <c r="D176" s="129">
        <v>26660</v>
      </c>
      <c r="E176" s="129">
        <v>226660</v>
      </c>
      <c r="F176" s="130">
        <v>40</v>
      </c>
      <c r="G176" s="137">
        <v>5666.5</v>
      </c>
      <c r="H176" s="134">
        <v>40</v>
      </c>
      <c r="I176" s="134">
        <f t="shared" ref="I176:I187" si="27">F176-H176</f>
        <v>0</v>
      </c>
      <c r="J176" s="135">
        <f t="shared" ref="J176:J187" si="28">H176*G176</f>
        <v>226660</v>
      </c>
      <c r="K176" s="136">
        <f t="shared" si="25"/>
        <v>0</v>
      </c>
      <c r="L176" s="132"/>
    </row>
    <row r="177" spans="1:12">
      <c r="A177" s="101">
        <v>146.333333333333</v>
      </c>
      <c r="B177" s="141" t="s">
        <v>187</v>
      </c>
      <c r="C177" s="129">
        <v>150000</v>
      </c>
      <c r="D177" s="129">
        <v>11997</v>
      </c>
      <c r="E177" s="129">
        <f t="shared" ref="E177:E184" si="29">SUM(C177:D177)</f>
        <v>161997</v>
      </c>
      <c r="F177" s="130">
        <v>30</v>
      </c>
      <c r="G177" s="129">
        <v>5399.9</v>
      </c>
      <c r="H177" s="134">
        <v>31</v>
      </c>
      <c r="I177" s="134">
        <f t="shared" si="27"/>
        <v>-1</v>
      </c>
      <c r="J177" s="135">
        <f t="shared" si="28"/>
        <v>167396.9</v>
      </c>
      <c r="K177" s="136">
        <f t="shared" si="25"/>
        <v>-5399.8999999999942</v>
      </c>
      <c r="L177" s="132"/>
    </row>
    <row r="178" spans="1:12">
      <c r="A178" s="101">
        <v>147.833333333333</v>
      </c>
      <c r="B178" s="127" t="s">
        <v>150</v>
      </c>
      <c r="C178" s="129">
        <v>200000</v>
      </c>
      <c r="D178" s="129">
        <v>26660</v>
      </c>
      <c r="E178" s="129">
        <f t="shared" si="29"/>
        <v>226660</v>
      </c>
      <c r="F178" s="130">
        <v>40</v>
      </c>
      <c r="G178" s="129">
        <v>5666.5</v>
      </c>
      <c r="H178" s="134">
        <v>40</v>
      </c>
      <c r="I178" s="134">
        <f t="shared" si="27"/>
        <v>0</v>
      </c>
      <c r="J178" s="135">
        <f t="shared" si="28"/>
        <v>226660</v>
      </c>
      <c r="K178" s="136">
        <f t="shared" si="25"/>
        <v>0</v>
      </c>
      <c r="L178" s="132"/>
    </row>
    <row r="179" spans="1:12">
      <c r="A179" s="101">
        <v>149.333333333333</v>
      </c>
      <c r="B179" s="125" t="s">
        <v>151</v>
      </c>
      <c r="C179" s="129">
        <v>200000</v>
      </c>
      <c r="D179" s="129">
        <v>26660</v>
      </c>
      <c r="E179" s="129">
        <f t="shared" si="29"/>
        <v>226660</v>
      </c>
      <c r="F179" s="130">
        <v>40</v>
      </c>
      <c r="G179" s="129">
        <v>5666.5</v>
      </c>
      <c r="H179" s="134">
        <v>38</v>
      </c>
      <c r="I179" s="134">
        <f t="shared" si="27"/>
        <v>2</v>
      </c>
      <c r="J179" s="135">
        <f t="shared" si="28"/>
        <v>215327</v>
      </c>
      <c r="K179" s="136">
        <f t="shared" si="25"/>
        <v>11333</v>
      </c>
      <c r="L179" s="132"/>
    </row>
    <row r="180" spans="1:12">
      <c r="A180" s="101">
        <v>150.833333333333</v>
      </c>
      <c r="B180" s="186" t="s">
        <v>266</v>
      </c>
      <c r="C180" s="128">
        <v>330000</v>
      </c>
      <c r="D180" s="128">
        <v>43989</v>
      </c>
      <c r="E180" s="129">
        <f t="shared" si="29"/>
        <v>373989</v>
      </c>
      <c r="F180" s="130">
        <v>50</v>
      </c>
      <c r="G180" s="138">
        <v>7479</v>
      </c>
      <c r="H180" s="134">
        <v>8</v>
      </c>
      <c r="I180" s="134">
        <f t="shared" si="27"/>
        <v>42</v>
      </c>
      <c r="J180" s="135">
        <f t="shared" si="28"/>
        <v>59832</v>
      </c>
      <c r="K180" s="136">
        <f t="shared" si="25"/>
        <v>314157</v>
      </c>
      <c r="L180" s="124"/>
    </row>
    <row r="181" spans="1:12">
      <c r="A181" s="101">
        <v>152.333333333333</v>
      </c>
      <c r="B181" s="125" t="s">
        <v>156</v>
      </c>
      <c r="C181" s="129">
        <v>200000</v>
      </c>
      <c r="D181" s="129">
        <v>26660</v>
      </c>
      <c r="E181" s="129">
        <f t="shared" si="29"/>
        <v>226660</v>
      </c>
      <c r="F181" s="130">
        <v>40</v>
      </c>
      <c r="G181" s="133">
        <v>3739.89</v>
      </c>
      <c r="H181" s="134">
        <v>40</v>
      </c>
      <c r="I181" s="134">
        <f t="shared" si="27"/>
        <v>0</v>
      </c>
      <c r="J181" s="135">
        <f t="shared" si="28"/>
        <v>149595.6</v>
      </c>
      <c r="K181" s="136">
        <f t="shared" si="25"/>
        <v>77064.399999999994</v>
      </c>
      <c r="L181" s="132"/>
    </row>
    <row r="182" spans="1:12">
      <c r="A182" s="101">
        <v>153.833333333333</v>
      </c>
      <c r="B182" s="125" t="s">
        <v>157</v>
      </c>
      <c r="C182" s="129">
        <v>200000</v>
      </c>
      <c r="D182" s="129">
        <v>26660</v>
      </c>
      <c r="E182" s="129">
        <f t="shared" si="29"/>
        <v>226660</v>
      </c>
      <c r="F182" s="130">
        <v>40</v>
      </c>
      <c r="G182" s="129">
        <v>5666.5</v>
      </c>
      <c r="H182" s="134">
        <v>40</v>
      </c>
      <c r="I182" s="134">
        <f t="shared" si="27"/>
        <v>0</v>
      </c>
      <c r="J182" s="135">
        <f t="shared" si="28"/>
        <v>226660</v>
      </c>
      <c r="K182" s="136">
        <f t="shared" si="25"/>
        <v>0</v>
      </c>
      <c r="L182" s="132"/>
    </row>
    <row r="183" spans="1:12">
      <c r="A183" s="101">
        <v>155.333333333333</v>
      </c>
      <c r="B183" s="125" t="s">
        <v>158</v>
      </c>
      <c r="C183" s="129">
        <v>200000</v>
      </c>
      <c r="D183" s="129">
        <v>26660</v>
      </c>
      <c r="E183" s="129">
        <f t="shared" si="29"/>
        <v>226660</v>
      </c>
      <c r="F183" s="130">
        <v>40</v>
      </c>
      <c r="G183" s="129">
        <v>5666.5</v>
      </c>
      <c r="H183" s="134">
        <v>40</v>
      </c>
      <c r="I183" s="134">
        <f t="shared" si="27"/>
        <v>0</v>
      </c>
      <c r="J183" s="135">
        <f t="shared" si="28"/>
        <v>226660</v>
      </c>
      <c r="K183" s="136">
        <f t="shared" si="25"/>
        <v>0</v>
      </c>
      <c r="L183" s="132"/>
    </row>
    <row r="184" spans="1:12">
      <c r="A184" s="101">
        <v>156.833333333333</v>
      </c>
      <c r="B184" s="125" t="s">
        <v>159</v>
      </c>
      <c r="C184" s="129">
        <v>200000</v>
      </c>
      <c r="D184" s="129">
        <v>26660</v>
      </c>
      <c r="E184" s="129">
        <f t="shared" si="29"/>
        <v>226660</v>
      </c>
      <c r="F184" s="130">
        <v>40</v>
      </c>
      <c r="G184" s="129">
        <v>5666.5</v>
      </c>
      <c r="H184" s="134">
        <v>31</v>
      </c>
      <c r="I184" s="134">
        <f t="shared" si="27"/>
        <v>9</v>
      </c>
      <c r="J184" s="135">
        <f t="shared" si="28"/>
        <v>175661.5</v>
      </c>
      <c r="K184" s="136">
        <f t="shared" si="25"/>
        <v>50998.5</v>
      </c>
      <c r="L184" s="132"/>
    </row>
    <row r="185" spans="1:12">
      <c r="A185" s="101">
        <v>158.333333333333</v>
      </c>
      <c r="B185" s="127" t="s">
        <v>233</v>
      </c>
      <c r="C185" s="129">
        <v>200000</v>
      </c>
      <c r="D185" s="129">
        <v>26660</v>
      </c>
      <c r="E185" s="129">
        <v>226660</v>
      </c>
      <c r="F185" s="130">
        <v>40</v>
      </c>
      <c r="G185" s="137">
        <v>5666.5</v>
      </c>
      <c r="H185" s="134">
        <v>40</v>
      </c>
      <c r="I185" s="134">
        <f t="shared" si="27"/>
        <v>0</v>
      </c>
      <c r="J185" s="135">
        <f t="shared" si="28"/>
        <v>226660</v>
      </c>
      <c r="K185" s="136">
        <f t="shared" si="25"/>
        <v>0</v>
      </c>
      <c r="L185" s="132"/>
    </row>
    <row r="186" spans="1:12">
      <c r="A186" s="101">
        <v>159.833333333333</v>
      </c>
      <c r="B186" s="127" t="s">
        <v>160</v>
      </c>
      <c r="C186" s="129">
        <v>200000</v>
      </c>
      <c r="D186" s="129">
        <v>26660</v>
      </c>
      <c r="E186" s="129">
        <f>SUM(C186:D186)</f>
        <v>226660</v>
      </c>
      <c r="F186" s="130">
        <v>40</v>
      </c>
      <c r="G186" s="129">
        <v>5666.5</v>
      </c>
      <c r="H186" s="134">
        <v>40</v>
      </c>
      <c r="I186" s="134">
        <f t="shared" si="27"/>
        <v>0</v>
      </c>
      <c r="J186" s="135">
        <f t="shared" si="28"/>
        <v>226660</v>
      </c>
      <c r="K186" s="136">
        <f t="shared" si="25"/>
        <v>0</v>
      </c>
      <c r="L186" s="132"/>
    </row>
    <row r="187" spans="1:12">
      <c r="A187" s="101">
        <v>161.333333333333</v>
      </c>
      <c r="B187" s="127" t="s">
        <v>205</v>
      </c>
      <c r="C187" s="128">
        <v>132000</v>
      </c>
      <c r="D187" s="128">
        <v>17595.599999999999</v>
      </c>
      <c r="E187" s="129">
        <f>SUM(C187:D187)</f>
        <v>149595.6</v>
      </c>
      <c r="F187" s="130">
        <v>40</v>
      </c>
      <c r="G187" s="128">
        <v>3739.89</v>
      </c>
      <c r="H187" s="134">
        <v>40</v>
      </c>
      <c r="I187" s="134">
        <f t="shared" si="27"/>
        <v>0</v>
      </c>
      <c r="J187" s="135">
        <f t="shared" si="28"/>
        <v>149595.6</v>
      </c>
      <c r="K187" s="136">
        <f t="shared" si="25"/>
        <v>0</v>
      </c>
      <c r="L187" s="132"/>
    </row>
    <row r="189" spans="1:12">
      <c r="A189" s="101">
        <v>173.333333333333</v>
      </c>
    </row>
    <row r="190" spans="1:12">
      <c r="A190" s="101">
        <v>174.833333333333</v>
      </c>
    </row>
    <row r="193" spans="1:14">
      <c r="A193" s="160">
        <v>47</v>
      </c>
      <c r="B193" s="181" t="s">
        <v>432</v>
      </c>
      <c r="C193" s="16">
        <v>500000</v>
      </c>
      <c r="D193" s="16">
        <v>66650</v>
      </c>
      <c r="E193" s="41">
        <f>SUM(C193:D193)</f>
        <v>566650</v>
      </c>
      <c r="F193" s="33">
        <v>50</v>
      </c>
      <c r="G193" s="24">
        <v>5666.5</v>
      </c>
      <c r="H193" s="97">
        <v>33</v>
      </c>
      <c r="I193" s="97">
        <f>F193-H193</f>
        <v>17</v>
      </c>
      <c r="J193" s="91">
        <f>H193*G193</f>
        <v>186994.5</v>
      </c>
      <c r="K193" s="94">
        <f>E193-J193</f>
        <v>379655.5</v>
      </c>
      <c r="L193" s="11"/>
      <c r="M193" s="180" t="e">
        <f>#REF!-G193</f>
        <v>#REF!</v>
      </c>
    </row>
    <row r="194" spans="1:14">
      <c r="A194" s="160">
        <v>70</v>
      </c>
      <c r="B194" s="181" t="s">
        <v>433</v>
      </c>
      <c r="C194" s="41">
        <v>200000</v>
      </c>
      <c r="D194" s="41">
        <v>26660</v>
      </c>
      <c r="E194" s="41">
        <f>SUM(C194:D194)</f>
        <v>226660</v>
      </c>
      <c r="F194" s="33">
        <v>40</v>
      </c>
      <c r="G194" s="41">
        <v>5666.5</v>
      </c>
      <c r="H194" s="97">
        <v>40</v>
      </c>
      <c r="I194" s="97">
        <f>F194-H194</f>
        <v>0</v>
      </c>
      <c r="J194" s="91">
        <f>H194*G194</f>
        <v>226660</v>
      </c>
      <c r="K194" s="94">
        <f>E194-J194</f>
        <v>0</v>
      </c>
      <c r="L194" s="11"/>
      <c r="M194" s="180" t="e">
        <f>#REF!-G194</f>
        <v>#REF!</v>
      </c>
    </row>
    <row r="195" spans="1:14">
      <c r="A195" s="160">
        <v>93</v>
      </c>
      <c r="B195" s="181" t="s">
        <v>434</v>
      </c>
      <c r="C195" s="41">
        <v>200000</v>
      </c>
      <c r="D195" s="41">
        <v>26660</v>
      </c>
      <c r="E195" s="41">
        <f>SUM(C195:D195)</f>
        <v>226660</v>
      </c>
      <c r="F195" s="33">
        <v>40</v>
      </c>
      <c r="G195" s="41">
        <v>5666.5</v>
      </c>
      <c r="H195" s="97">
        <v>41</v>
      </c>
      <c r="I195" s="97">
        <f>F195-H195</f>
        <v>-1</v>
      </c>
      <c r="J195" s="91">
        <f>H195*G195</f>
        <v>232326.5</v>
      </c>
      <c r="K195" s="94">
        <f>E195-J195</f>
        <v>-5666.5</v>
      </c>
      <c r="L195" s="11"/>
      <c r="M195" s="180" t="e">
        <f>#REF!-G195</f>
        <v>#REF!</v>
      </c>
    </row>
    <row r="196" spans="1:14">
      <c r="A196" s="160">
        <v>10</v>
      </c>
      <c r="B196" s="181" t="s">
        <v>431</v>
      </c>
      <c r="C196" s="16">
        <v>450000</v>
      </c>
      <c r="D196" s="16">
        <v>28792.799999999999</v>
      </c>
      <c r="E196" s="41">
        <f>SUM(C196:D196)</f>
        <v>478792.8</v>
      </c>
      <c r="F196" s="33">
        <v>24</v>
      </c>
      <c r="G196" s="16">
        <v>19949.7</v>
      </c>
      <c r="H196" s="96">
        <v>24</v>
      </c>
      <c r="I196" s="96">
        <f>F196-H196</f>
        <v>0</v>
      </c>
      <c r="J196" s="16">
        <f>H196*G196</f>
        <v>478792.80000000005</v>
      </c>
      <c r="K196" s="41">
        <f>E196-J196</f>
        <v>0</v>
      </c>
      <c r="L196" s="11"/>
      <c r="M196" s="180" t="e">
        <f>#REF!-G196</f>
        <v>#REF!</v>
      </c>
      <c r="N196" s="114"/>
    </row>
    <row r="197" spans="1:14">
      <c r="A197" s="160">
        <v>6</v>
      </c>
      <c r="B197" s="181" t="s">
        <v>430</v>
      </c>
      <c r="C197" s="16">
        <v>330000</v>
      </c>
      <c r="D197" s="16">
        <v>21114.720000000001</v>
      </c>
      <c r="E197" s="41">
        <f>SUM(C197:D197)</f>
        <v>351114.72</v>
      </c>
      <c r="F197" s="33">
        <v>24</v>
      </c>
      <c r="G197" s="24">
        <v>6649.9</v>
      </c>
      <c r="H197" s="96">
        <v>24</v>
      </c>
      <c r="I197" s="96">
        <f>F197-H197</f>
        <v>0</v>
      </c>
      <c r="J197" s="16">
        <f>H197*G197</f>
        <v>159597.59999999998</v>
      </c>
      <c r="K197" s="41">
        <f>E197-J197</f>
        <v>191517.12</v>
      </c>
      <c r="L197" s="11"/>
      <c r="M197" s="180" t="e">
        <f>#REF!-G197</f>
        <v>#REF!</v>
      </c>
      <c r="N197" s="114"/>
    </row>
    <row r="198" spans="1:14">
      <c r="N198" s="114"/>
    </row>
    <row r="199" spans="1:14">
      <c r="A199" s="96">
        <v>77</v>
      </c>
      <c r="B199" s="170" t="s">
        <v>400</v>
      </c>
      <c r="C199" s="41">
        <v>200000</v>
      </c>
      <c r="D199" s="41">
        <v>26660</v>
      </c>
      <c r="E199" s="41">
        <f>SUM(C199:D199)</f>
        <v>226660</v>
      </c>
      <c r="F199" s="33">
        <v>40</v>
      </c>
      <c r="G199" s="41">
        <v>5666.5</v>
      </c>
      <c r="H199" s="97">
        <v>36</v>
      </c>
      <c r="I199" s="97">
        <f>F199-H199</f>
        <v>4</v>
      </c>
      <c r="J199" s="91">
        <f>H199*G199</f>
        <v>203994</v>
      </c>
      <c r="K199" s="94">
        <f>E199-J199</f>
        <v>22666</v>
      </c>
      <c r="L199" s="11"/>
      <c r="M199" s="180" t="e">
        <f>#REF!-G199</f>
        <v>#REF!</v>
      </c>
    </row>
    <row r="200" spans="1:14">
      <c r="A200" s="96">
        <v>109</v>
      </c>
      <c r="B200" s="142" t="s">
        <v>406</v>
      </c>
      <c r="C200" s="41">
        <v>200000</v>
      </c>
      <c r="D200" s="41">
        <v>26660</v>
      </c>
      <c r="E200" s="41">
        <f>SUM(C200:D200)</f>
        <v>226660</v>
      </c>
      <c r="F200" s="33">
        <v>40</v>
      </c>
      <c r="G200" s="41">
        <v>5666.5</v>
      </c>
      <c r="H200" s="97">
        <v>39</v>
      </c>
      <c r="I200" s="97">
        <f>F200-H200</f>
        <v>1</v>
      </c>
      <c r="J200" s="91">
        <f>H200*G200</f>
        <v>220993.5</v>
      </c>
      <c r="K200" s="94">
        <f>E200-J200</f>
        <v>5666.5</v>
      </c>
      <c r="L200" s="11"/>
      <c r="M200" s="180" t="e">
        <f>#REF!-G200</f>
        <v>#REF!</v>
      </c>
      <c r="N200" s="114"/>
    </row>
    <row r="201" spans="1:14">
      <c r="A201" s="96">
        <v>127</v>
      </c>
      <c r="B201" s="142" t="s">
        <v>423</v>
      </c>
      <c r="C201" s="16">
        <v>132000</v>
      </c>
      <c r="D201" s="16">
        <v>17595.599999999999</v>
      </c>
      <c r="E201" s="41">
        <f>SUM(C201:D201)</f>
        <v>149595.6</v>
      </c>
      <c r="F201" s="33">
        <v>40</v>
      </c>
      <c r="G201" s="16">
        <v>3739.89</v>
      </c>
      <c r="H201" s="97">
        <v>40</v>
      </c>
      <c r="I201" s="97">
        <f>F201-H201</f>
        <v>0</v>
      </c>
      <c r="J201" s="91">
        <f>H201*G201</f>
        <v>149595.6</v>
      </c>
      <c r="K201" s="94">
        <f>E201-J201</f>
        <v>0</v>
      </c>
      <c r="L201" s="11"/>
      <c r="M201" s="180" t="e">
        <f>#REF!-G201</f>
        <v>#REF!</v>
      </c>
      <c r="N201" s="114"/>
    </row>
    <row r="202" spans="1:14">
      <c r="A202" s="96">
        <v>125</v>
      </c>
      <c r="B202" s="142" t="s">
        <v>427</v>
      </c>
      <c r="C202" s="155">
        <v>150000</v>
      </c>
      <c r="D202" s="155">
        <v>19995</v>
      </c>
      <c r="E202" s="155">
        <f>SUM(C202:D202)</f>
        <v>169995</v>
      </c>
      <c r="F202" s="33">
        <v>50</v>
      </c>
      <c r="G202" s="154">
        <v>3399.9</v>
      </c>
      <c r="H202" s="97">
        <v>9</v>
      </c>
      <c r="I202" s="97">
        <f>F202-H202</f>
        <v>41</v>
      </c>
      <c r="J202" s="91">
        <f>H202*G202</f>
        <v>30599.100000000002</v>
      </c>
      <c r="K202" s="91">
        <f>E202-J202</f>
        <v>139395.9</v>
      </c>
      <c r="L202" s="122"/>
      <c r="M202" s="180" t="e">
        <f>#REF!-G202</f>
        <v>#REF!</v>
      </c>
      <c r="N202" s="114"/>
    </row>
  </sheetData>
  <sortState ref="B6:M154">
    <sortCondition ref="B6:B154"/>
  </sortState>
  <mergeCells count="2">
    <mergeCell ref="A3:L3"/>
    <mergeCell ref="A4:L4"/>
  </mergeCells>
  <conditionalFormatting sqref="B197">
    <cfRule type="duplicateValues" dxfId="2552" priority="325" stopIfTrue="1"/>
    <cfRule type="duplicateValues" dxfId="2551" priority="326" stopIfTrue="1"/>
  </conditionalFormatting>
  <conditionalFormatting sqref="B197">
    <cfRule type="duplicateValues" dxfId="2550" priority="324" stopIfTrue="1"/>
  </conditionalFormatting>
  <conditionalFormatting sqref="B11">
    <cfRule type="duplicateValues" dxfId="2549" priority="322" stopIfTrue="1"/>
    <cfRule type="duplicateValues" dxfId="2548" priority="323" stopIfTrue="1"/>
  </conditionalFormatting>
  <conditionalFormatting sqref="B11">
    <cfRule type="duplicateValues" dxfId="2547" priority="321" stopIfTrue="1"/>
  </conditionalFormatting>
  <conditionalFormatting sqref="B12">
    <cfRule type="duplicateValues" dxfId="2546" priority="319" stopIfTrue="1"/>
    <cfRule type="duplicateValues" dxfId="2545" priority="320" stopIfTrue="1"/>
  </conditionalFormatting>
  <conditionalFormatting sqref="B12">
    <cfRule type="duplicateValues" dxfId="2544" priority="318" stopIfTrue="1"/>
  </conditionalFormatting>
  <conditionalFormatting sqref="B13">
    <cfRule type="duplicateValues" dxfId="2543" priority="316" stopIfTrue="1"/>
    <cfRule type="duplicateValues" dxfId="2542" priority="317" stopIfTrue="1"/>
  </conditionalFormatting>
  <conditionalFormatting sqref="B13">
    <cfRule type="duplicateValues" dxfId="2541" priority="315" stopIfTrue="1"/>
  </conditionalFormatting>
  <conditionalFormatting sqref="B196">
    <cfRule type="duplicateValues" dxfId="2540" priority="313" stopIfTrue="1"/>
    <cfRule type="duplicateValues" dxfId="2539" priority="314" stopIfTrue="1"/>
  </conditionalFormatting>
  <conditionalFormatting sqref="B196">
    <cfRule type="duplicateValues" dxfId="2538" priority="312" stopIfTrue="1"/>
  </conditionalFormatting>
  <conditionalFormatting sqref="B15">
    <cfRule type="duplicateValues" dxfId="2537" priority="310" stopIfTrue="1"/>
    <cfRule type="duplicateValues" dxfId="2536" priority="311" stopIfTrue="1"/>
  </conditionalFormatting>
  <conditionalFormatting sqref="B15">
    <cfRule type="duplicateValues" dxfId="2535" priority="309" stopIfTrue="1"/>
  </conditionalFormatting>
  <conditionalFormatting sqref="B18">
    <cfRule type="duplicateValues" dxfId="2534" priority="307" stopIfTrue="1"/>
    <cfRule type="duplicateValues" dxfId="2533" priority="308" stopIfTrue="1"/>
  </conditionalFormatting>
  <conditionalFormatting sqref="B18">
    <cfRule type="duplicateValues" dxfId="2532" priority="306" stopIfTrue="1"/>
  </conditionalFormatting>
  <conditionalFormatting sqref="B20">
    <cfRule type="duplicateValues" dxfId="2531" priority="304" stopIfTrue="1"/>
    <cfRule type="duplicateValues" dxfId="2530" priority="305" stopIfTrue="1"/>
  </conditionalFormatting>
  <conditionalFormatting sqref="B20">
    <cfRule type="duplicateValues" dxfId="2529" priority="303" stopIfTrue="1"/>
  </conditionalFormatting>
  <conditionalFormatting sqref="B23">
    <cfRule type="duplicateValues" dxfId="2528" priority="301" stopIfTrue="1"/>
    <cfRule type="duplicateValues" dxfId="2527" priority="302" stopIfTrue="1"/>
  </conditionalFormatting>
  <conditionalFormatting sqref="B23">
    <cfRule type="duplicateValues" dxfId="2526" priority="300" stopIfTrue="1"/>
  </conditionalFormatting>
  <conditionalFormatting sqref="B24">
    <cfRule type="duplicateValues" dxfId="2525" priority="298" stopIfTrue="1"/>
    <cfRule type="duplicateValues" dxfId="2524" priority="299" stopIfTrue="1"/>
  </conditionalFormatting>
  <conditionalFormatting sqref="B24">
    <cfRule type="duplicateValues" dxfId="2523" priority="297" stopIfTrue="1"/>
  </conditionalFormatting>
  <conditionalFormatting sqref="B25">
    <cfRule type="duplicateValues" dxfId="2522" priority="295" stopIfTrue="1"/>
    <cfRule type="duplicateValues" dxfId="2521" priority="296" stopIfTrue="1"/>
  </conditionalFormatting>
  <conditionalFormatting sqref="B25">
    <cfRule type="duplicateValues" dxfId="2520" priority="294" stopIfTrue="1"/>
  </conditionalFormatting>
  <conditionalFormatting sqref="B31">
    <cfRule type="duplicateValues" dxfId="2519" priority="292" stopIfTrue="1"/>
    <cfRule type="duplicateValues" dxfId="2518" priority="293" stopIfTrue="1"/>
  </conditionalFormatting>
  <conditionalFormatting sqref="B31">
    <cfRule type="duplicateValues" dxfId="2517" priority="291" stopIfTrue="1"/>
  </conditionalFormatting>
  <conditionalFormatting sqref="B32">
    <cfRule type="duplicateValues" dxfId="2516" priority="289" stopIfTrue="1"/>
    <cfRule type="duplicateValues" dxfId="2515" priority="290" stopIfTrue="1"/>
  </conditionalFormatting>
  <conditionalFormatting sqref="B32">
    <cfRule type="duplicateValues" dxfId="2514" priority="288" stopIfTrue="1"/>
  </conditionalFormatting>
  <conditionalFormatting sqref="B33">
    <cfRule type="duplicateValues" dxfId="2513" priority="286" stopIfTrue="1"/>
    <cfRule type="duplicateValues" dxfId="2512" priority="287" stopIfTrue="1"/>
  </conditionalFormatting>
  <conditionalFormatting sqref="B33">
    <cfRule type="duplicateValues" dxfId="2511" priority="285" stopIfTrue="1"/>
  </conditionalFormatting>
  <conditionalFormatting sqref="B36">
    <cfRule type="duplicateValues" dxfId="2510" priority="283" stopIfTrue="1"/>
    <cfRule type="duplicateValues" dxfId="2509" priority="284" stopIfTrue="1"/>
  </conditionalFormatting>
  <conditionalFormatting sqref="B36">
    <cfRule type="duplicateValues" dxfId="2508" priority="282" stopIfTrue="1"/>
  </conditionalFormatting>
  <conditionalFormatting sqref="B37">
    <cfRule type="duplicateValues" dxfId="2507" priority="280" stopIfTrue="1"/>
    <cfRule type="duplicateValues" dxfId="2506" priority="281" stopIfTrue="1"/>
  </conditionalFormatting>
  <conditionalFormatting sqref="B37">
    <cfRule type="duplicateValues" dxfId="2505" priority="279" stopIfTrue="1"/>
  </conditionalFormatting>
  <conditionalFormatting sqref="B38">
    <cfRule type="duplicateValues" dxfId="2504" priority="277" stopIfTrue="1"/>
    <cfRule type="duplicateValues" dxfId="2503" priority="278" stopIfTrue="1"/>
  </conditionalFormatting>
  <conditionalFormatting sqref="B38">
    <cfRule type="duplicateValues" dxfId="2502" priority="276" stopIfTrue="1"/>
  </conditionalFormatting>
  <conditionalFormatting sqref="B39">
    <cfRule type="duplicateValues" dxfId="2501" priority="274" stopIfTrue="1"/>
    <cfRule type="duplicateValues" dxfId="2500" priority="275" stopIfTrue="1"/>
  </conditionalFormatting>
  <conditionalFormatting sqref="B39">
    <cfRule type="duplicateValues" dxfId="2499" priority="273" stopIfTrue="1"/>
  </conditionalFormatting>
  <conditionalFormatting sqref="B40">
    <cfRule type="duplicateValues" dxfId="2498" priority="271" stopIfTrue="1"/>
    <cfRule type="duplicateValues" dxfId="2497" priority="272" stopIfTrue="1"/>
  </conditionalFormatting>
  <conditionalFormatting sqref="B40">
    <cfRule type="duplicateValues" dxfId="2496" priority="270" stopIfTrue="1"/>
  </conditionalFormatting>
  <conditionalFormatting sqref="B42">
    <cfRule type="duplicateValues" dxfId="2495" priority="268" stopIfTrue="1"/>
    <cfRule type="duplicateValues" dxfId="2494" priority="269" stopIfTrue="1"/>
  </conditionalFormatting>
  <conditionalFormatting sqref="B42">
    <cfRule type="duplicateValues" dxfId="2493" priority="267" stopIfTrue="1"/>
  </conditionalFormatting>
  <conditionalFormatting sqref="B43">
    <cfRule type="duplicateValues" dxfId="2492" priority="265" stopIfTrue="1"/>
    <cfRule type="duplicateValues" dxfId="2491" priority="266" stopIfTrue="1"/>
  </conditionalFormatting>
  <conditionalFormatting sqref="B43">
    <cfRule type="duplicateValues" dxfId="2490" priority="264" stopIfTrue="1"/>
  </conditionalFormatting>
  <conditionalFormatting sqref="B47">
    <cfRule type="duplicateValues" dxfId="2489" priority="262" stopIfTrue="1"/>
    <cfRule type="duplicateValues" dxfId="2488" priority="263" stopIfTrue="1"/>
  </conditionalFormatting>
  <conditionalFormatting sqref="B47">
    <cfRule type="duplicateValues" dxfId="2487" priority="261" stopIfTrue="1"/>
  </conditionalFormatting>
  <conditionalFormatting sqref="B48">
    <cfRule type="duplicateValues" dxfId="2486" priority="259" stopIfTrue="1"/>
    <cfRule type="duplicateValues" dxfId="2485" priority="260" stopIfTrue="1"/>
  </conditionalFormatting>
  <conditionalFormatting sqref="B48">
    <cfRule type="duplicateValues" dxfId="2484" priority="258" stopIfTrue="1"/>
  </conditionalFormatting>
  <conditionalFormatting sqref="B193">
    <cfRule type="duplicateValues" dxfId="2483" priority="256" stopIfTrue="1"/>
    <cfRule type="duplicateValues" dxfId="2482" priority="257" stopIfTrue="1"/>
  </conditionalFormatting>
  <conditionalFormatting sqref="B193">
    <cfRule type="duplicateValues" dxfId="2481" priority="255" stopIfTrue="1"/>
  </conditionalFormatting>
  <conditionalFormatting sqref="B50">
    <cfRule type="duplicateValues" dxfId="2480" priority="253" stopIfTrue="1"/>
    <cfRule type="duplicateValues" dxfId="2479" priority="254" stopIfTrue="1"/>
  </conditionalFormatting>
  <conditionalFormatting sqref="B50">
    <cfRule type="duplicateValues" dxfId="2478" priority="252" stopIfTrue="1"/>
  </conditionalFormatting>
  <conditionalFormatting sqref="B51">
    <cfRule type="duplicateValues" dxfId="2477" priority="250" stopIfTrue="1"/>
    <cfRule type="duplicateValues" dxfId="2476" priority="251" stopIfTrue="1"/>
  </conditionalFormatting>
  <conditionalFormatting sqref="B51">
    <cfRule type="duplicateValues" dxfId="2475" priority="249" stopIfTrue="1"/>
  </conditionalFormatting>
  <conditionalFormatting sqref="B52">
    <cfRule type="duplicateValues" dxfId="2474" priority="247" stopIfTrue="1"/>
    <cfRule type="duplicateValues" dxfId="2473" priority="248" stopIfTrue="1"/>
  </conditionalFormatting>
  <conditionalFormatting sqref="B52">
    <cfRule type="duplicateValues" dxfId="2472" priority="246" stopIfTrue="1"/>
  </conditionalFormatting>
  <conditionalFormatting sqref="B53">
    <cfRule type="duplicateValues" dxfId="2471" priority="244" stopIfTrue="1"/>
    <cfRule type="duplicateValues" dxfId="2470" priority="245" stopIfTrue="1"/>
  </conditionalFormatting>
  <conditionalFormatting sqref="B53">
    <cfRule type="duplicateValues" dxfId="2469" priority="243" stopIfTrue="1"/>
  </conditionalFormatting>
  <conditionalFormatting sqref="B54">
    <cfRule type="duplicateValues" dxfId="2468" priority="241" stopIfTrue="1"/>
    <cfRule type="duplicateValues" dxfId="2467" priority="242" stopIfTrue="1"/>
  </conditionalFormatting>
  <conditionalFormatting sqref="B54">
    <cfRule type="duplicateValues" dxfId="2466" priority="240" stopIfTrue="1"/>
  </conditionalFormatting>
  <conditionalFormatting sqref="B56">
    <cfRule type="duplicateValues" dxfId="2465" priority="238" stopIfTrue="1"/>
    <cfRule type="duplicateValues" dxfId="2464" priority="239" stopIfTrue="1"/>
  </conditionalFormatting>
  <conditionalFormatting sqref="B56">
    <cfRule type="duplicateValues" dxfId="2463" priority="237" stopIfTrue="1"/>
  </conditionalFormatting>
  <conditionalFormatting sqref="B57">
    <cfRule type="duplicateValues" dxfId="2462" priority="235" stopIfTrue="1"/>
    <cfRule type="duplicateValues" dxfId="2461" priority="236" stopIfTrue="1"/>
  </conditionalFormatting>
  <conditionalFormatting sqref="B57">
    <cfRule type="duplicateValues" dxfId="2460" priority="234" stopIfTrue="1"/>
  </conditionalFormatting>
  <conditionalFormatting sqref="B58">
    <cfRule type="duplicateValues" dxfId="2459" priority="232" stopIfTrue="1"/>
    <cfRule type="duplicateValues" dxfId="2458" priority="233" stopIfTrue="1"/>
  </conditionalFormatting>
  <conditionalFormatting sqref="B58">
    <cfRule type="duplicateValues" dxfId="2457" priority="231" stopIfTrue="1"/>
  </conditionalFormatting>
  <conditionalFormatting sqref="B59">
    <cfRule type="duplicateValues" dxfId="2456" priority="229" stopIfTrue="1"/>
    <cfRule type="duplicateValues" dxfId="2455" priority="230" stopIfTrue="1"/>
  </conditionalFormatting>
  <conditionalFormatting sqref="B59">
    <cfRule type="duplicateValues" dxfId="2454" priority="228" stopIfTrue="1"/>
  </conditionalFormatting>
  <conditionalFormatting sqref="B61">
    <cfRule type="duplicateValues" dxfId="2453" priority="226" stopIfTrue="1"/>
    <cfRule type="duplicateValues" dxfId="2452" priority="227" stopIfTrue="1"/>
  </conditionalFormatting>
  <conditionalFormatting sqref="B61">
    <cfRule type="duplicateValues" dxfId="2451" priority="225" stopIfTrue="1"/>
  </conditionalFormatting>
  <conditionalFormatting sqref="B62">
    <cfRule type="duplicateValues" dxfId="2450" priority="223" stopIfTrue="1"/>
    <cfRule type="duplicateValues" dxfId="2449" priority="224" stopIfTrue="1"/>
  </conditionalFormatting>
  <conditionalFormatting sqref="B62">
    <cfRule type="duplicateValues" dxfId="2448" priority="222" stopIfTrue="1"/>
  </conditionalFormatting>
  <conditionalFormatting sqref="B64">
    <cfRule type="duplicateValues" dxfId="2447" priority="220" stopIfTrue="1"/>
    <cfRule type="duplicateValues" dxfId="2446" priority="221" stopIfTrue="1"/>
  </conditionalFormatting>
  <conditionalFormatting sqref="B64">
    <cfRule type="duplicateValues" dxfId="2445" priority="219" stopIfTrue="1"/>
  </conditionalFormatting>
  <conditionalFormatting sqref="B66">
    <cfRule type="duplicateValues" dxfId="2444" priority="217" stopIfTrue="1"/>
    <cfRule type="duplicateValues" dxfId="2443" priority="218" stopIfTrue="1"/>
  </conditionalFormatting>
  <conditionalFormatting sqref="B66">
    <cfRule type="duplicateValues" dxfId="2442" priority="216" stopIfTrue="1"/>
  </conditionalFormatting>
  <conditionalFormatting sqref="B169">
    <cfRule type="duplicateValues" dxfId="2441" priority="214" stopIfTrue="1"/>
    <cfRule type="duplicateValues" dxfId="2440" priority="215" stopIfTrue="1"/>
  </conditionalFormatting>
  <conditionalFormatting sqref="B169">
    <cfRule type="duplicateValues" dxfId="2439" priority="213" stopIfTrue="1"/>
  </conditionalFormatting>
  <conditionalFormatting sqref="B67">
    <cfRule type="duplicateValues" dxfId="2438" priority="211" stopIfTrue="1"/>
    <cfRule type="duplicateValues" dxfId="2437" priority="212" stopIfTrue="1"/>
  </conditionalFormatting>
  <conditionalFormatting sqref="B67">
    <cfRule type="duplicateValues" dxfId="2436" priority="210" stopIfTrue="1"/>
  </conditionalFormatting>
  <conditionalFormatting sqref="B68">
    <cfRule type="duplicateValues" dxfId="2435" priority="208" stopIfTrue="1"/>
    <cfRule type="duplicateValues" dxfId="2434" priority="209" stopIfTrue="1"/>
  </conditionalFormatting>
  <conditionalFormatting sqref="B68">
    <cfRule type="duplicateValues" dxfId="2433" priority="207" stopIfTrue="1"/>
  </conditionalFormatting>
  <conditionalFormatting sqref="B69">
    <cfRule type="duplicateValues" dxfId="2432" priority="205" stopIfTrue="1"/>
    <cfRule type="duplicateValues" dxfId="2431" priority="206" stopIfTrue="1"/>
  </conditionalFormatting>
  <conditionalFormatting sqref="B69">
    <cfRule type="duplicateValues" dxfId="2430" priority="204" stopIfTrue="1"/>
  </conditionalFormatting>
  <conditionalFormatting sqref="B70">
    <cfRule type="duplicateValues" dxfId="2429" priority="202" stopIfTrue="1"/>
    <cfRule type="duplicateValues" dxfId="2428" priority="203" stopIfTrue="1"/>
  </conditionalFormatting>
  <conditionalFormatting sqref="B70">
    <cfRule type="duplicateValues" dxfId="2427" priority="201" stopIfTrue="1"/>
  </conditionalFormatting>
  <conditionalFormatting sqref="B71">
    <cfRule type="duplicateValues" dxfId="2426" priority="199" stopIfTrue="1"/>
    <cfRule type="duplicateValues" dxfId="2425" priority="200" stopIfTrue="1"/>
  </conditionalFormatting>
  <conditionalFormatting sqref="B71">
    <cfRule type="duplicateValues" dxfId="2424" priority="198" stopIfTrue="1"/>
  </conditionalFormatting>
  <conditionalFormatting sqref="B194">
    <cfRule type="duplicateValues" dxfId="2423" priority="196" stopIfTrue="1"/>
    <cfRule type="duplicateValues" dxfId="2422" priority="197" stopIfTrue="1"/>
  </conditionalFormatting>
  <conditionalFormatting sqref="B194">
    <cfRule type="duplicateValues" dxfId="2421" priority="195" stopIfTrue="1"/>
  </conditionalFormatting>
  <conditionalFormatting sqref="B72">
    <cfRule type="duplicateValues" dxfId="2420" priority="193" stopIfTrue="1"/>
    <cfRule type="duplicateValues" dxfId="2419" priority="194" stopIfTrue="1"/>
  </conditionalFormatting>
  <conditionalFormatting sqref="B72">
    <cfRule type="duplicateValues" dxfId="2418" priority="192" stopIfTrue="1"/>
  </conditionalFormatting>
  <conditionalFormatting sqref="B73">
    <cfRule type="duplicateValues" dxfId="2417" priority="190" stopIfTrue="1"/>
    <cfRule type="duplicateValues" dxfId="2416" priority="191" stopIfTrue="1"/>
  </conditionalFormatting>
  <conditionalFormatting sqref="B73">
    <cfRule type="duplicateValues" dxfId="2415" priority="189" stopIfTrue="1"/>
  </conditionalFormatting>
  <conditionalFormatting sqref="B74">
    <cfRule type="duplicateValues" dxfId="2414" priority="187" stopIfTrue="1"/>
    <cfRule type="duplicateValues" dxfId="2413" priority="188" stopIfTrue="1"/>
  </conditionalFormatting>
  <conditionalFormatting sqref="B74">
    <cfRule type="duplicateValues" dxfId="2412" priority="186" stopIfTrue="1"/>
  </conditionalFormatting>
  <conditionalFormatting sqref="B75">
    <cfRule type="duplicateValues" dxfId="2411" priority="184" stopIfTrue="1"/>
    <cfRule type="duplicateValues" dxfId="2410" priority="185" stopIfTrue="1"/>
  </conditionalFormatting>
  <conditionalFormatting sqref="B75">
    <cfRule type="duplicateValues" dxfId="2409" priority="183" stopIfTrue="1"/>
  </conditionalFormatting>
  <conditionalFormatting sqref="B76">
    <cfRule type="duplicateValues" dxfId="2408" priority="181" stopIfTrue="1"/>
    <cfRule type="duplicateValues" dxfId="2407" priority="182" stopIfTrue="1"/>
  </conditionalFormatting>
  <conditionalFormatting sqref="B76">
    <cfRule type="duplicateValues" dxfId="2406" priority="180" stopIfTrue="1"/>
  </conditionalFormatting>
  <conditionalFormatting sqref="B199">
    <cfRule type="duplicateValues" dxfId="2405" priority="178" stopIfTrue="1"/>
    <cfRule type="duplicateValues" dxfId="2404" priority="179" stopIfTrue="1"/>
  </conditionalFormatting>
  <conditionalFormatting sqref="B199">
    <cfRule type="duplicateValues" dxfId="2403" priority="177" stopIfTrue="1"/>
  </conditionalFormatting>
  <conditionalFormatting sqref="B79">
    <cfRule type="duplicateValues" dxfId="2402" priority="175" stopIfTrue="1"/>
    <cfRule type="duplicateValues" dxfId="2401" priority="176" stopIfTrue="1"/>
  </conditionalFormatting>
  <conditionalFormatting sqref="B79">
    <cfRule type="duplicateValues" dxfId="2400" priority="174" stopIfTrue="1"/>
  </conditionalFormatting>
  <conditionalFormatting sqref="B80">
    <cfRule type="duplicateValues" dxfId="2399" priority="172" stopIfTrue="1"/>
    <cfRule type="duplicateValues" dxfId="2398" priority="173" stopIfTrue="1"/>
  </conditionalFormatting>
  <conditionalFormatting sqref="B80">
    <cfRule type="duplicateValues" dxfId="2397" priority="171" stopIfTrue="1"/>
  </conditionalFormatting>
  <conditionalFormatting sqref="B82">
    <cfRule type="duplicateValues" dxfId="2396" priority="169" stopIfTrue="1"/>
    <cfRule type="duplicateValues" dxfId="2395" priority="170" stopIfTrue="1"/>
  </conditionalFormatting>
  <conditionalFormatting sqref="B82">
    <cfRule type="duplicateValues" dxfId="2394" priority="168" stopIfTrue="1"/>
  </conditionalFormatting>
  <conditionalFormatting sqref="B83">
    <cfRule type="duplicateValues" dxfId="2393" priority="166" stopIfTrue="1"/>
    <cfRule type="duplicateValues" dxfId="2392" priority="167" stopIfTrue="1"/>
  </conditionalFormatting>
  <conditionalFormatting sqref="B83">
    <cfRule type="duplicateValues" dxfId="2391" priority="165" stopIfTrue="1"/>
  </conditionalFormatting>
  <conditionalFormatting sqref="B85">
    <cfRule type="duplicateValues" dxfId="2390" priority="163" stopIfTrue="1"/>
    <cfRule type="duplicateValues" dxfId="2389" priority="164" stopIfTrue="1"/>
  </conditionalFormatting>
  <conditionalFormatting sqref="B85">
    <cfRule type="duplicateValues" dxfId="2388" priority="162" stopIfTrue="1"/>
  </conditionalFormatting>
  <conditionalFormatting sqref="B88">
    <cfRule type="duplicateValues" dxfId="2387" priority="160" stopIfTrue="1"/>
    <cfRule type="duplicateValues" dxfId="2386" priority="161" stopIfTrue="1"/>
  </conditionalFormatting>
  <conditionalFormatting sqref="B88">
    <cfRule type="duplicateValues" dxfId="2385" priority="159" stopIfTrue="1"/>
  </conditionalFormatting>
  <conditionalFormatting sqref="B89">
    <cfRule type="duplicateValues" dxfId="2384" priority="157" stopIfTrue="1"/>
    <cfRule type="duplicateValues" dxfId="2383" priority="158" stopIfTrue="1"/>
  </conditionalFormatting>
  <conditionalFormatting sqref="B89">
    <cfRule type="duplicateValues" dxfId="2382" priority="156" stopIfTrue="1"/>
  </conditionalFormatting>
  <conditionalFormatting sqref="B90">
    <cfRule type="duplicateValues" dxfId="2381" priority="154" stopIfTrue="1"/>
    <cfRule type="duplicateValues" dxfId="2380" priority="155" stopIfTrue="1"/>
  </conditionalFormatting>
  <conditionalFormatting sqref="B90">
    <cfRule type="duplicateValues" dxfId="2379" priority="153" stopIfTrue="1"/>
  </conditionalFormatting>
  <conditionalFormatting sqref="B91">
    <cfRule type="duplicateValues" dxfId="2378" priority="151" stopIfTrue="1"/>
    <cfRule type="duplicateValues" dxfId="2377" priority="152" stopIfTrue="1"/>
  </conditionalFormatting>
  <conditionalFormatting sqref="B91">
    <cfRule type="duplicateValues" dxfId="2376" priority="150" stopIfTrue="1"/>
  </conditionalFormatting>
  <conditionalFormatting sqref="B92">
    <cfRule type="duplicateValues" dxfId="2375" priority="148" stopIfTrue="1"/>
    <cfRule type="duplicateValues" dxfId="2374" priority="149" stopIfTrue="1"/>
  </conditionalFormatting>
  <conditionalFormatting sqref="B92">
    <cfRule type="duplicateValues" dxfId="2373" priority="147" stopIfTrue="1"/>
  </conditionalFormatting>
  <conditionalFormatting sqref="B195">
    <cfRule type="duplicateValues" dxfId="2372" priority="145" stopIfTrue="1"/>
    <cfRule type="duplicateValues" dxfId="2371" priority="146" stopIfTrue="1"/>
  </conditionalFormatting>
  <conditionalFormatting sqref="B195">
    <cfRule type="duplicateValues" dxfId="2370" priority="144" stopIfTrue="1"/>
  </conditionalFormatting>
  <conditionalFormatting sqref="B187">
    <cfRule type="duplicateValues" dxfId="2369" priority="142" stopIfTrue="1"/>
    <cfRule type="duplicateValues" dxfId="2368" priority="143" stopIfTrue="1"/>
  </conditionalFormatting>
  <conditionalFormatting sqref="B187">
    <cfRule type="duplicateValues" dxfId="2367" priority="141" stopIfTrue="1"/>
  </conditionalFormatting>
  <conditionalFormatting sqref="B138:B139">
    <cfRule type="duplicateValues" dxfId="2366" priority="139" stopIfTrue="1"/>
    <cfRule type="duplicateValues" dxfId="2365" priority="140" stopIfTrue="1"/>
  </conditionalFormatting>
  <conditionalFormatting sqref="B138:B139">
    <cfRule type="duplicateValues" dxfId="2364" priority="138" stopIfTrue="1"/>
  </conditionalFormatting>
  <conditionalFormatting sqref="B77">
    <cfRule type="duplicateValues" dxfId="2363" priority="136" stopIfTrue="1"/>
    <cfRule type="duplicateValues" dxfId="2362" priority="137" stopIfTrue="1"/>
  </conditionalFormatting>
  <conditionalFormatting sqref="B77">
    <cfRule type="duplicateValues" dxfId="2361" priority="135" stopIfTrue="1"/>
  </conditionalFormatting>
  <conditionalFormatting sqref="B140">
    <cfRule type="duplicateValues" dxfId="2360" priority="133" stopIfTrue="1"/>
    <cfRule type="duplicateValues" dxfId="2359" priority="134" stopIfTrue="1"/>
  </conditionalFormatting>
  <conditionalFormatting sqref="B140">
    <cfRule type="duplicateValues" dxfId="2358" priority="132" stopIfTrue="1"/>
  </conditionalFormatting>
  <conditionalFormatting sqref="B93">
    <cfRule type="duplicateValues" dxfId="2357" priority="130" stopIfTrue="1"/>
    <cfRule type="duplicateValues" dxfId="2356" priority="131" stopIfTrue="1"/>
  </conditionalFormatting>
  <conditionalFormatting sqref="B93">
    <cfRule type="duplicateValues" dxfId="2355" priority="129" stopIfTrue="1"/>
  </conditionalFormatting>
  <conditionalFormatting sqref="B97">
    <cfRule type="duplicateValues" dxfId="2354" priority="127" stopIfTrue="1"/>
    <cfRule type="duplicateValues" dxfId="2353" priority="128" stopIfTrue="1"/>
  </conditionalFormatting>
  <conditionalFormatting sqref="B97">
    <cfRule type="duplicateValues" dxfId="2352" priority="126" stopIfTrue="1"/>
  </conditionalFormatting>
  <conditionalFormatting sqref="B96">
    <cfRule type="duplicateValues" dxfId="2351" priority="124" stopIfTrue="1"/>
    <cfRule type="duplicateValues" dxfId="2350" priority="125" stopIfTrue="1"/>
  </conditionalFormatting>
  <conditionalFormatting sqref="B96">
    <cfRule type="duplicateValues" dxfId="2349" priority="123" stopIfTrue="1"/>
  </conditionalFormatting>
  <conditionalFormatting sqref="B129">
    <cfRule type="duplicateValues" dxfId="2348" priority="121" stopIfTrue="1"/>
    <cfRule type="duplicateValues" dxfId="2347" priority="122" stopIfTrue="1"/>
  </conditionalFormatting>
  <conditionalFormatting sqref="B129">
    <cfRule type="duplicateValues" dxfId="2346" priority="120" stopIfTrue="1"/>
  </conditionalFormatting>
  <conditionalFormatting sqref="B174">
    <cfRule type="duplicateValues" dxfId="2345" priority="118" stopIfTrue="1"/>
    <cfRule type="duplicateValues" dxfId="2344" priority="119" stopIfTrue="1"/>
  </conditionalFormatting>
  <conditionalFormatting sqref="B174">
    <cfRule type="duplicateValues" dxfId="2343" priority="117" stopIfTrue="1"/>
  </conditionalFormatting>
  <conditionalFormatting sqref="B130:B132">
    <cfRule type="duplicateValues" dxfId="2342" priority="115" stopIfTrue="1"/>
    <cfRule type="duplicateValues" dxfId="2341" priority="116" stopIfTrue="1"/>
  </conditionalFormatting>
  <conditionalFormatting sqref="B130:B132">
    <cfRule type="duplicateValues" dxfId="2340" priority="114" stopIfTrue="1"/>
  </conditionalFormatting>
  <conditionalFormatting sqref="B136:B137">
    <cfRule type="duplicateValues" dxfId="2339" priority="112" stopIfTrue="1"/>
    <cfRule type="duplicateValues" dxfId="2338" priority="113" stopIfTrue="1"/>
  </conditionalFormatting>
  <conditionalFormatting sqref="B136:B137">
    <cfRule type="duplicateValues" dxfId="2337" priority="111" stopIfTrue="1"/>
  </conditionalFormatting>
  <conditionalFormatting sqref="B176">
    <cfRule type="duplicateValues" dxfId="2336" priority="109" stopIfTrue="1"/>
    <cfRule type="duplicateValues" dxfId="2335" priority="110" stopIfTrue="1"/>
  </conditionalFormatting>
  <conditionalFormatting sqref="B176">
    <cfRule type="duplicateValues" dxfId="2334" priority="108" stopIfTrue="1"/>
  </conditionalFormatting>
  <conditionalFormatting sqref="B178">
    <cfRule type="duplicateValues" dxfId="2333" priority="106" stopIfTrue="1"/>
    <cfRule type="duplicateValues" dxfId="2332" priority="107" stopIfTrue="1"/>
  </conditionalFormatting>
  <conditionalFormatting sqref="B178">
    <cfRule type="duplicateValues" dxfId="2331" priority="105" stopIfTrue="1"/>
  </conditionalFormatting>
  <conditionalFormatting sqref="B179">
    <cfRule type="duplicateValues" dxfId="2330" priority="103" stopIfTrue="1"/>
    <cfRule type="duplicateValues" dxfId="2329" priority="104" stopIfTrue="1"/>
  </conditionalFormatting>
  <conditionalFormatting sqref="B179">
    <cfRule type="duplicateValues" dxfId="2328" priority="102" stopIfTrue="1"/>
  </conditionalFormatting>
  <conditionalFormatting sqref="B180">
    <cfRule type="duplicateValues" dxfId="2327" priority="100" stopIfTrue="1"/>
    <cfRule type="duplicateValues" dxfId="2326" priority="101" stopIfTrue="1"/>
  </conditionalFormatting>
  <conditionalFormatting sqref="B180">
    <cfRule type="duplicateValues" dxfId="2325" priority="99" stopIfTrue="1"/>
  </conditionalFormatting>
  <conditionalFormatting sqref="B181">
    <cfRule type="duplicateValues" dxfId="2324" priority="97" stopIfTrue="1"/>
    <cfRule type="duplicateValues" dxfId="2323" priority="98" stopIfTrue="1"/>
  </conditionalFormatting>
  <conditionalFormatting sqref="B181">
    <cfRule type="duplicateValues" dxfId="2322" priority="96" stopIfTrue="1"/>
  </conditionalFormatting>
  <conditionalFormatting sqref="B105">
    <cfRule type="duplicateValues" dxfId="2321" priority="94" stopIfTrue="1"/>
    <cfRule type="duplicateValues" dxfId="2320" priority="95" stopIfTrue="1"/>
  </conditionalFormatting>
  <conditionalFormatting sqref="B105">
    <cfRule type="duplicateValues" dxfId="2319" priority="93" stopIfTrue="1"/>
  </conditionalFormatting>
  <conditionalFormatting sqref="B182">
    <cfRule type="duplicateValues" dxfId="2318" priority="91" stopIfTrue="1"/>
    <cfRule type="duplicateValues" dxfId="2317" priority="92" stopIfTrue="1"/>
  </conditionalFormatting>
  <conditionalFormatting sqref="B182">
    <cfRule type="duplicateValues" dxfId="2316" priority="90" stopIfTrue="1"/>
  </conditionalFormatting>
  <conditionalFormatting sqref="B183">
    <cfRule type="duplicateValues" dxfId="2315" priority="88" stopIfTrue="1"/>
    <cfRule type="duplicateValues" dxfId="2314" priority="89" stopIfTrue="1"/>
  </conditionalFormatting>
  <conditionalFormatting sqref="B183">
    <cfRule type="duplicateValues" dxfId="2313" priority="87" stopIfTrue="1"/>
  </conditionalFormatting>
  <conditionalFormatting sqref="B3">
    <cfRule type="duplicateValues" dxfId="2312" priority="86"/>
  </conditionalFormatting>
  <conditionalFormatting sqref="B184">
    <cfRule type="duplicateValues" dxfId="2311" priority="84" stopIfTrue="1"/>
    <cfRule type="duplicateValues" dxfId="2310" priority="85" stopIfTrue="1"/>
  </conditionalFormatting>
  <conditionalFormatting sqref="B184">
    <cfRule type="duplicateValues" dxfId="2309" priority="83" stopIfTrue="1"/>
  </conditionalFormatting>
  <conditionalFormatting sqref="B17">
    <cfRule type="duplicateValues" dxfId="2308" priority="81" stopIfTrue="1"/>
    <cfRule type="duplicateValues" dxfId="2307" priority="82" stopIfTrue="1"/>
  </conditionalFormatting>
  <conditionalFormatting sqref="B17">
    <cfRule type="duplicateValues" dxfId="2306" priority="80" stopIfTrue="1"/>
  </conditionalFormatting>
  <conditionalFormatting sqref="B27">
    <cfRule type="duplicateValues" dxfId="2305" priority="79"/>
  </conditionalFormatting>
  <conditionalFormatting sqref="B34">
    <cfRule type="duplicateValues" dxfId="2304" priority="78"/>
  </conditionalFormatting>
  <conditionalFormatting sqref="B45">
    <cfRule type="duplicateValues" dxfId="2303" priority="76" stopIfTrue="1"/>
    <cfRule type="duplicateValues" dxfId="2302" priority="77" stopIfTrue="1"/>
  </conditionalFormatting>
  <conditionalFormatting sqref="B45">
    <cfRule type="duplicateValues" dxfId="2301" priority="75" stopIfTrue="1"/>
  </conditionalFormatting>
  <conditionalFormatting sqref="B60">
    <cfRule type="duplicateValues" dxfId="2300" priority="74"/>
  </conditionalFormatting>
  <conditionalFormatting sqref="B106">
    <cfRule type="duplicateValues" dxfId="2299" priority="73"/>
  </conditionalFormatting>
  <conditionalFormatting sqref="B145">
    <cfRule type="duplicateValues" dxfId="2298" priority="72"/>
  </conditionalFormatting>
  <conditionalFormatting sqref="B178:B183 B167:B168 B126 B105 B129:B132 B136:B137 B174:B176">
    <cfRule type="duplicateValues" dxfId="2297" priority="67" stopIfTrue="1"/>
    <cfRule type="duplicateValues" dxfId="2296" priority="68" stopIfTrue="1"/>
  </conditionalFormatting>
  <conditionalFormatting sqref="B178:B183 B167:B168 B126 B105 B129:B132 B136:B137 B174:B176">
    <cfRule type="duplicateValues" dxfId="2295" priority="66" stopIfTrue="1"/>
  </conditionalFormatting>
  <conditionalFormatting sqref="B124">
    <cfRule type="duplicateValues" dxfId="2294" priority="62"/>
  </conditionalFormatting>
  <conditionalFormatting sqref="B125">
    <cfRule type="duplicateValues" dxfId="2293" priority="61"/>
  </conditionalFormatting>
  <conditionalFormatting sqref="B127">
    <cfRule type="duplicateValues" dxfId="2292" priority="60"/>
  </conditionalFormatting>
  <conditionalFormatting sqref="B131:B132">
    <cfRule type="duplicateValues" dxfId="2291" priority="59"/>
  </conditionalFormatting>
  <conditionalFormatting sqref="B132">
    <cfRule type="duplicateValues" dxfId="2290" priority="58"/>
  </conditionalFormatting>
  <conditionalFormatting sqref="B134:B135">
    <cfRule type="duplicateValues" dxfId="2289" priority="57"/>
  </conditionalFormatting>
  <conditionalFormatting sqref="B135">
    <cfRule type="duplicateValues" dxfId="2288" priority="56"/>
  </conditionalFormatting>
  <conditionalFormatting sqref="B137">
    <cfRule type="duplicateValues" dxfId="2287" priority="55"/>
  </conditionalFormatting>
  <conditionalFormatting sqref="B139">
    <cfRule type="duplicateValues" dxfId="2286" priority="54"/>
  </conditionalFormatting>
  <conditionalFormatting sqref="B142:B144">
    <cfRule type="duplicateValues" dxfId="2285" priority="53"/>
  </conditionalFormatting>
  <conditionalFormatting sqref="B143:B144">
    <cfRule type="duplicateValues" dxfId="2284" priority="52"/>
  </conditionalFormatting>
  <conditionalFormatting sqref="B144">
    <cfRule type="duplicateValues" dxfId="2283" priority="51"/>
  </conditionalFormatting>
  <conditionalFormatting sqref="B334:B1048576 B189 B167:B187 B1:B151 B193:B197 B199:B202">
    <cfRule type="duplicateValues" dxfId="2282" priority="50"/>
  </conditionalFormatting>
  <conditionalFormatting sqref="B193:B197 B6:B151 B199:B202">
    <cfRule type="duplicateValues" dxfId="2281" priority="49"/>
  </conditionalFormatting>
  <conditionalFormatting sqref="G125">
    <cfRule type="duplicateValues" dxfId="2280" priority="48"/>
  </conditionalFormatting>
  <conditionalFormatting sqref="B148">
    <cfRule type="duplicateValues" dxfId="2279" priority="44" stopIfTrue="1"/>
    <cfRule type="duplicateValues" dxfId="2278" priority="45" stopIfTrue="1"/>
  </conditionalFormatting>
  <conditionalFormatting sqref="B148">
    <cfRule type="duplicateValues" dxfId="2277" priority="43" stopIfTrue="1"/>
  </conditionalFormatting>
  <conditionalFormatting sqref="B37:B41 B32:B35 B44:B46 B27:B30 B6:B15 B24:B25 B17:B22 B48:B154 B199:B202">
    <cfRule type="duplicateValues" dxfId="2276" priority="38" stopIfTrue="1"/>
    <cfRule type="duplicateValues" dxfId="2275" priority="39" stopIfTrue="1"/>
  </conditionalFormatting>
  <conditionalFormatting sqref="B37:B41 B32:B35 B44:B46 B27:B30 B6:B15 B24:B25 B17:B22 B48:B154 B199:B202">
    <cfRule type="duplicateValues" dxfId="2274" priority="37" stopIfTrue="1"/>
  </conditionalFormatting>
  <conditionalFormatting sqref="B170:B171 B146 B98:B104 B107 B109:B123 B128 B200:B202">
    <cfRule type="duplicateValues" dxfId="2273" priority="1069" stopIfTrue="1"/>
    <cfRule type="duplicateValues" dxfId="2272" priority="1070" stopIfTrue="1"/>
  </conditionalFormatting>
  <conditionalFormatting sqref="B170:B171 B146 B98:B104 B107 B109:B123 B128 B200:B202">
    <cfRule type="duplicateValues" dxfId="2271" priority="1085" stopIfTrue="1"/>
  </conditionalFormatting>
  <conditionalFormatting sqref="B170:B171 B146:B147 B95 B98:B104 B107 B109:B123 B128 B200:B202">
    <cfRule type="duplicateValues" dxfId="2270" priority="1093" stopIfTrue="1"/>
    <cfRule type="duplicateValues" dxfId="2269" priority="1094" stopIfTrue="1"/>
  </conditionalFormatting>
  <conditionalFormatting sqref="B170:B171 B146:B147 B95 B98:B104 B107 B109:B123 B128 B200:B202">
    <cfRule type="duplicateValues" dxfId="2268" priority="1111" stopIfTrue="1"/>
  </conditionalFormatting>
  <conditionalFormatting sqref="B334:B1048576 B178:B183 B185:B187 B88:B105 B30:B33 B1:B2 B136:B144 B4:B13 B28 B36:B43 B45:B54 B174:B176 B146:B147 B107 B61:B86 B193:B197 B109:B123 B126 B167:B171 B15:B26 B56:B59 B128:B132 B199:B202">
    <cfRule type="duplicateValues" dxfId="2267" priority="1120"/>
  </conditionalFormatting>
  <conditionalFormatting sqref="B334:B1048576 B88:B105 B30:B33 B1:B13 B28 B36:B43 B45:B54 B174:B176 B146:B147 B107 B61:B86 B193:B197 B109:B123 B126 B167:B171 B136:B144 B178:B187 B15:B26 B56:B59 B128:B132 B199:B202">
    <cfRule type="duplicateValues" dxfId="2266" priority="1144"/>
  </conditionalFormatting>
  <conditionalFormatting sqref="B151">
    <cfRule type="duplicateValues" dxfId="2265" priority="17" stopIfTrue="1"/>
    <cfRule type="duplicateValues" dxfId="2264" priority="18" stopIfTrue="1"/>
  </conditionalFormatting>
  <conditionalFormatting sqref="B151">
    <cfRule type="duplicateValues" dxfId="2263" priority="16" stopIfTrue="1"/>
  </conditionalFormatting>
  <conditionalFormatting sqref="B44">
    <cfRule type="duplicateValues" dxfId="2262" priority="8" stopIfTrue="1"/>
    <cfRule type="duplicateValues" dxfId="2261" priority="9" stopIfTrue="1"/>
  </conditionalFormatting>
  <conditionalFormatting sqref="B44">
    <cfRule type="duplicateValues" dxfId="2260" priority="7" stopIfTrue="1"/>
  </conditionalFormatting>
  <conditionalFormatting sqref="B37:B41 B32:B35 B45:B46 B27:B30 B6:B15 B24:B25 B17:B22 B48:B155">
    <cfRule type="duplicateValues" dxfId="2259" priority="2" stopIfTrue="1"/>
    <cfRule type="duplicateValues" dxfId="2258" priority="3" stopIfTrue="1"/>
  </conditionalFormatting>
  <conditionalFormatting sqref="B37:B41 B32:B35 B45:B46 B27:B30 B6:B15 B24:B25 B17:B22 B48:B155">
    <cfRule type="duplicateValues" dxfId="2257" priority="1" stopIfTrue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49"/>
  <sheetViews>
    <sheetView topLeftCell="A25" workbookViewId="0">
      <selection activeCell="B36" sqref="B36"/>
    </sheetView>
  </sheetViews>
  <sheetFormatPr defaultRowHeight="15"/>
  <cols>
    <col min="1" max="1" width="5.28515625" customWidth="1"/>
    <col min="2" max="2" width="26.85546875" style="114" customWidth="1"/>
    <col min="3" max="3" width="14.28515625" bestFit="1" customWidth="1"/>
    <col min="4" max="4" width="14.140625" customWidth="1"/>
    <col min="5" max="5" width="13.85546875" customWidth="1"/>
    <col min="6" max="6" width="13.140625" customWidth="1"/>
    <col min="7" max="7" width="11.7109375" customWidth="1"/>
    <col min="8" max="8" width="13.42578125" customWidth="1"/>
    <col min="9" max="9" width="14.5703125" customWidth="1"/>
    <col min="10" max="10" width="14.28515625" bestFit="1" customWidth="1"/>
    <col min="11" max="11" width="14.85546875" customWidth="1"/>
    <col min="12" max="12" width="11" customWidth="1"/>
  </cols>
  <sheetData>
    <row r="1" spans="1:12" ht="15.75">
      <c r="A1" s="423" t="s">
        <v>245</v>
      </c>
      <c r="B1" s="423"/>
      <c r="C1" s="423"/>
      <c r="D1" s="423"/>
      <c r="E1" s="423"/>
      <c r="F1" s="423"/>
      <c r="G1" s="423"/>
      <c r="H1" s="423"/>
      <c r="I1" s="423"/>
      <c r="J1" s="423"/>
      <c r="K1" s="423"/>
      <c r="L1" s="423"/>
    </row>
    <row r="2" spans="1:12" ht="15.75">
      <c r="A2" s="423" t="s">
        <v>278</v>
      </c>
      <c r="B2" s="423"/>
      <c r="C2" s="423"/>
      <c r="D2" s="423"/>
      <c r="E2" s="423"/>
      <c r="F2" s="423"/>
      <c r="G2" s="423"/>
      <c r="H2" s="423"/>
      <c r="I2" s="423"/>
      <c r="J2" s="423"/>
      <c r="K2" s="423"/>
      <c r="L2" s="423"/>
    </row>
    <row r="3" spans="1:12" ht="15.75">
      <c r="A3" s="423" t="s">
        <v>252</v>
      </c>
      <c r="B3" s="423"/>
      <c r="C3" s="423"/>
      <c r="D3" s="423"/>
      <c r="E3" s="423"/>
      <c r="F3" s="423"/>
      <c r="G3" s="423"/>
      <c r="H3" s="423"/>
      <c r="I3" s="423"/>
      <c r="J3" s="423"/>
      <c r="K3" s="423"/>
      <c r="L3" s="423"/>
    </row>
    <row r="4" spans="1:12" ht="38.25">
      <c r="A4" s="5" t="s">
        <v>0</v>
      </c>
      <c r="B4" s="261" t="s">
        <v>1</v>
      </c>
      <c r="C4" s="7" t="s">
        <v>2</v>
      </c>
      <c r="D4" s="7" t="s">
        <v>280</v>
      </c>
      <c r="E4" s="5" t="s">
        <v>4</v>
      </c>
      <c r="F4" s="7" t="s">
        <v>5</v>
      </c>
      <c r="G4" s="6" t="s">
        <v>6</v>
      </c>
      <c r="H4" s="7" t="s">
        <v>7</v>
      </c>
      <c r="I4" s="6" t="s">
        <v>8</v>
      </c>
      <c r="J4" s="7" t="s">
        <v>9</v>
      </c>
      <c r="K4" s="6" t="s">
        <v>10</v>
      </c>
      <c r="L4" s="6" t="s">
        <v>11</v>
      </c>
    </row>
    <row r="5" spans="1:12" ht="22.5" customHeight="1">
      <c r="A5" s="101">
        <v>1</v>
      </c>
      <c r="B5" s="4" t="s">
        <v>242</v>
      </c>
      <c r="C5" s="161">
        <v>60000</v>
      </c>
      <c r="D5" s="161">
        <v>7998</v>
      </c>
      <c r="E5" s="162">
        <f>SUM(C5:D5)</f>
        <v>67998</v>
      </c>
      <c r="F5" s="96">
        <v>40</v>
      </c>
      <c r="G5" s="208">
        <v>1699.95</v>
      </c>
      <c r="H5" s="95">
        <v>36</v>
      </c>
      <c r="I5" s="96">
        <f>F5-H5</f>
        <v>4</v>
      </c>
      <c r="J5" s="143">
        <f>G5*H5</f>
        <v>61198.200000000004</v>
      </c>
      <c r="K5" s="144">
        <f>E5-J5</f>
        <v>6799.7999999999956</v>
      </c>
      <c r="L5" s="262"/>
    </row>
    <row r="6" spans="1:12">
      <c r="A6" s="14"/>
      <c r="B6" s="23"/>
      <c r="C6" s="34">
        <f>SUM(C5:C5)</f>
        <v>60000</v>
      </c>
      <c r="D6" s="34">
        <f>SUM(D5:D5)</f>
        <v>7998</v>
      </c>
      <c r="E6" s="34">
        <f>SUM(E5:E5)</f>
        <v>67998</v>
      </c>
      <c r="F6" s="34"/>
      <c r="G6" s="34">
        <f>SUM(G5:G5)</f>
        <v>1699.95</v>
      </c>
      <c r="H6" s="34"/>
      <c r="I6" s="34"/>
      <c r="J6" s="34">
        <f>SUM(J5:J5)</f>
        <v>61198.200000000004</v>
      </c>
      <c r="K6" s="34">
        <f>SUM(K5:K5)</f>
        <v>6799.7999999999956</v>
      </c>
      <c r="L6" s="8"/>
    </row>
    <row r="7" spans="1:12" ht="11.25" customHeight="1"/>
    <row r="8" spans="1:12" ht="15.75">
      <c r="A8" s="423" t="s">
        <v>245</v>
      </c>
      <c r="B8" s="423"/>
      <c r="C8" s="423"/>
      <c r="D8" s="423"/>
      <c r="E8" s="423"/>
      <c r="F8" s="423"/>
      <c r="G8" s="423"/>
      <c r="H8" s="423"/>
      <c r="I8" s="423"/>
      <c r="J8" s="423"/>
      <c r="K8" s="423"/>
      <c r="L8" s="423"/>
    </row>
    <row r="9" spans="1:12" ht="15.75">
      <c r="A9" s="423" t="s">
        <v>246</v>
      </c>
      <c r="B9" s="423"/>
      <c r="C9" s="423"/>
      <c r="D9" s="423"/>
      <c r="E9" s="423"/>
      <c r="F9" s="423"/>
      <c r="G9" s="423"/>
      <c r="H9" s="423"/>
      <c r="I9" s="423"/>
      <c r="J9" s="423"/>
      <c r="K9" s="423"/>
      <c r="L9" s="423"/>
    </row>
    <row r="10" spans="1:12" ht="15.75">
      <c r="A10" s="423" t="s">
        <v>252</v>
      </c>
      <c r="B10" s="423"/>
      <c r="C10" s="423"/>
      <c r="D10" s="423"/>
      <c r="E10" s="423"/>
      <c r="F10" s="423"/>
      <c r="G10" s="423"/>
      <c r="H10" s="423"/>
      <c r="I10" s="423"/>
      <c r="J10" s="423"/>
      <c r="K10" s="423"/>
      <c r="L10" s="423"/>
    </row>
    <row r="11" spans="1:12" ht="38.25">
      <c r="A11" s="5" t="s">
        <v>0</v>
      </c>
      <c r="B11" s="261" t="s">
        <v>1</v>
      </c>
      <c r="C11" s="7" t="s">
        <v>2</v>
      </c>
      <c r="D11" s="7" t="s">
        <v>3</v>
      </c>
      <c r="E11" s="5" t="s">
        <v>4</v>
      </c>
      <c r="F11" s="7" t="s">
        <v>5</v>
      </c>
      <c r="G11" s="6" t="s">
        <v>6</v>
      </c>
      <c r="H11" s="7" t="s">
        <v>7</v>
      </c>
      <c r="I11" s="6" t="s">
        <v>8</v>
      </c>
      <c r="J11" s="7" t="s">
        <v>9</v>
      </c>
      <c r="K11" s="6" t="s">
        <v>10</v>
      </c>
      <c r="L11" s="6" t="s">
        <v>11</v>
      </c>
    </row>
    <row r="12" spans="1:12" s="44" customFormat="1" ht="22.5" customHeight="1">
      <c r="A12" s="101">
        <v>1</v>
      </c>
      <c r="B12" s="4" t="s">
        <v>242</v>
      </c>
      <c r="C12" s="161">
        <v>60000</v>
      </c>
      <c r="D12" s="161">
        <v>7998</v>
      </c>
      <c r="E12" s="162">
        <f>SUM(C12:D12)</f>
        <v>67998</v>
      </c>
      <c r="F12" s="96">
        <v>40</v>
      </c>
      <c r="G12" s="208">
        <v>1699.95</v>
      </c>
      <c r="H12" s="95">
        <v>37</v>
      </c>
      <c r="I12" s="96">
        <f>F12-H12</f>
        <v>3</v>
      </c>
      <c r="J12" s="143">
        <f>G12*H12</f>
        <v>62898.15</v>
      </c>
      <c r="K12" s="144">
        <f>E12-J12</f>
        <v>5099.8499999999985</v>
      </c>
      <c r="L12" s="262"/>
    </row>
    <row r="13" spans="1:12">
      <c r="A13" s="14"/>
      <c r="B13" s="23"/>
      <c r="C13" s="34">
        <f>SUM(C12:C12)</f>
        <v>60000</v>
      </c>
      <c r="D13" s="34">
        <f>SUM(D12:D12)</f>
        <v>7998</v>
      </c>
      <c r="E13" s="34">
        <f>SUM(E12:E12)</f>
        <v>67998</v>
      </c>
      <c r="F13" s="34"/>
      <c r="G13" s="34">
        <f>SUM(G12:G12)</f>
        <v>1699.95</v>
      </c>
      <c r="H13" s="34"/>
      <c r="I13" s="34"/>
      <c r="J13" s="34">
        <f>SUM(J12:J12)</f>
        <v>62898.15</v>
      </c>
      <c r="K13" s="34">
        <f>SUM(K12:K12)</f>
        <v>5099.8499999999985</v>
      </c>
      <c r="L13" s="8"/>
    </row>
    <row r="14" spans="1:12" ht="12.75" customHeight="1">
      <c r="A14" s="118"/>
      <c r="B14" s="119"/>
      <c r="C14" s="118"/>
      <c r="D14" s="118"/>
      <c r="E14" s="118"/>
      <c r="F14" s="118"/>
      <c r="G14" s="118"/>
      <c r="H14" s="118"/>
      <c r="I14" s="118"/>
      <c r="J14" s="118"/>
      <c r="K14" s="118"/>
      <c r="L14" s="118"/>
    </row>
    <row r="15" spans="1:12" ht="15.75">
      <c r="A15" s="423" t="s">
        <v>245</v>
      </c>
      <c r="B15" s="423"/>
      <c r="C15" s="423"/>
      <c r="D15" s="423"/>
      <c r="E15" s="423"/>
      <c r="F15" s="423"/>
      <c r="G15" s="423"/>
      <c r="H15" s="423"/>
      <c r="I15" s="423"/>
      <c r="J15" s="423"/>
      <c r="K15" s="423"/>
      <c r="L15" s="423"/>
    </row>
    <row r="16" spans="1:12" ht="15.75">
      <c r="A16" s="423" t="s">
        <v>279</v>
      </c>
      <c r="B16" s="423"/>
      <c r="C16" s="423"/>
      <c r="D16" s="423"/>
      <c r="E16" s="423"/>
      <c r="F16" s="423"/>
      <c r="G16" s="423"/>
      <c r="H16" s="423"/>
      <c r="I16" s="423"/>
      <c r="J16" s="423"/>
      <c r="K16" s="423"/>
      <c r="L16" s="423"/>
    </row>
    <row r="17" spans="1:12" ht="15.75">
      <c r="A17" s="423" t="s">
        <v>252</v>
      </c>
      <c r="B17" s="423"/>
      <c r="C17" s="423"/>
      <c r="D17" s="423"/>
      <c r="E17" s="423"/>
      <c r="F17" s="423"/>
      <c r="G17" s="423"/>
      <c r="H17" s="423"/>
      <c r="I17" s="423"/>
      <c r="J17" s="423"/>
      <c r="K17" s="423"/>
      <c r="L17" s="423"/>
    </row>
    <row r="18" spans="1:12" ht="38.25">
      <c r="A18" s="5" t="s">
        <v>0</v>
      </c>
      <c r="B18" s="261" t="s">
        <v>1</v>
      </c>
      <c r="C18" s="7" t="s">
        <v>2</v>
      </c>
      <c r="D18" s="7" t="s">
        <v>3</v>
      </c>
      <c r="E18" s="5" t="s">
        <v>4</v>
      </c>
      <c r="F18" s="7" t="s">
        <v>5</v>
      </c>
      <c r="G18" s="6" t="s">
        <v>6</v>
      </c>
      <c r="H18" s="7" t="s">
        <v>7</v>
      </c>
      <c r="I18" s="6" t="s">
        <v>8</v>
      </c>
      <c r="J18" s="7" t="s">
        <v>9</v>
      </c>
      <c r="K18" s="6" t="s">
        <v>10</v>
      </c>
      <c r="L18" s="6" t="s">
        <v>11</v>
      </c>
    </row>
    <row r="19" spans="1:12" ht="22.5" customHeight="1">
      <c r="A19" s="101">
        <v>1</v>
      </c>
      <c r="B19" s="4" t="s">
        <v>34</v>
      </c>
      <c r="C19" s="263">
        <v>150000</v>
      </c>
      <c r="D19" s="263">
        <v>19995</v>
      </c>
      <c r="E19" s="263">
        <f>SUM(C19:D19)</f>
        <v>169995</v>
      </c>
      <c r="F19" s="96">
        <v>50</v>
      </c>
      <c r="G19" s="167">
        <v>3399.9</v>
      </c>
      <c r="H19" s="95">
        <v>42</v>
      </c>
      <c r="I19" s="96">
        <f>F19-H19</f>
        <v>8</v>
      </c>
      <c r="J19" s="143">
        <f>G19*H19</f>
        <v>142795.80000000002</v>
      </c>
      <c r="K19" s="144">
        <f>E19-J19</f>
        <v>27199.199999999983</v>
      </c>
      <c r="L19" s="262"/>
    </row>
    <row r="20" spans="1:12" ht="19.5" customHeight="1">
      <c r="A20" s="101">
        <v>2</v>
      </c>
      <c r="B20" s="4" t="s">
        <v>242</v>
      </c>
      <c r="C20" s="161">
        <v>60000</v>
      </c>
      <c r="D20" s="161">
        <v>7998</v>
      </c>
      <c r="E20" s="162">
        <f>SUM(C20:D20)</f>
        <v>67998</v>
      </c>
      <c r="F20" s="96">
        <v>40</v>
      </c>
      <c r="G20" s="208">
        <v>1699.95</v>
      </c>
      <c r="H20" s="96">
        <v>38</v>
      </c>
      <c r="I20" s="96">
        <f>F20-H20</f>
        <v>2</v>
      </c>
      <c r="J20" s="143">
        <f>G20*H20</f>
        <v>64598.1</v>
      </c>
      <c r="K20" s="144">
        <f>E20-J20</f>
        <v>3399.9000000000015</v>
      </c>
      <c r="L20" s="126"/>
    </row>
    <row r="21" spans="1:12">
      <c r="A21" s="14"/>
      <c r="B21" s="23"/>
      <c r="C21" s="34">
        <f>SUM(C19:C20)</f>
        <v>210000</v>
      </c>
      <c r="D21" s="34">
        <f>SUM(D19:D20)</f>
        <v>27993</v>
      </c>
      <c r="E21" s="34">
        <f>SUM(E19:E20)</f>
        <v>237993</v>
      </c>
      <c r="F21" s="34"/>
      <c r="G21" s="34">
        <f>SUM(G19:G20)</f>
        <v>5099.8500000000004</v>
      </c>
      <c r="H21" s="34"/>
      <c r="I21" s="34"/>
      <c r="J21" s="34">
        <f>SUM(J19:J20)</f>
        <v>207393.90000000002</v>
      </c>
      <c r="K21" s="34">
        <f>SUM(K19:K20)</f>
        <v>30599.099999999984</v>
      </c>
      <c r="L21" s="8"/>
    </row>
    <row r="22" spans="1:12" ht="12.75" customHeight="1">
      <c r="A22" s="118"/>
      <c r="B22" s="119"/>
      <c r="C22" s="118"/>
      <c r="D22" s="118"/>
      <c r="E22" s="118"/>
      <c r="F22" s="118"/>
      <c r="G22" s="118"/>
      <c r="H22" s="118"/>
      <c r="I22" s="118"/>
      <c r="J22" s="118"/>
      <c r="K22" s="118"/>
      <c r="L22" s="118"/>
    </row>
    <row r="23" spans="1:12" ht="15.75">
      <c r="A23" s="423" t="s">
        <v>245</v>
      </c>
      <c r="B23" s="423"/>
      <c r="C23" s="423"/>
      <c r="D23" s="423"/>
      <c r="E23" s="423"/>
      <c r="F23" s="423"/>
      <c r="G23" s="423"/>
      <c r="H23" s="423"/>
      <c r="I23" s="423"/>
      <c r="J23" s="423"/>
      <c r="K23" s="423"/>
      <c r="L23" s="423"/>
    </row>
    <row r="24" spans="1:12" ht="15.75">
      <c r="A24" s="423" t="s">
        <v>248</v>
      </c>
      <c r="B24" s="423"/>
      <c r="C24" s="423"/>
      <c r="D24" s="423"/>
      <c r="E24" s="423"/>
      <c r="F24" s="423"/>
      <c r="G24" s="423"/>
      <c r="H24" s="423"/>
      <c r="I24" s="423"/>
      <c r="J24" s="423"/>
      <c r="K24" s="423"/>
      <c r="L24" s="423"/>
    </row>
    <row r="25" spans="1:12" ht="15.75">
      <c r="A25" s="423" t="s">
        <v>252</v>
      </c>
      <c r="B25" s="423"/>
      <c r="C25" s="423"/>
      <c r="D25" s="423"/>
      <c r="E25" s="423"/>
      <c r="F25" s="423"/>
      <c r="G25" s="423"/>
      <c r="H25" s="423"/>
      <c r="I25" s="423"/>
      <c r="J25" s="423"/>
      <c r="K25" s="423"/>
      <c r="L25" s="423"/>
    </row>
    <row r="26" spans="1:12" ht="38.25">
      <c r="A26" s="5" t="s">
        <v>0</v>
      </c>
      <c r="B26" s="261" t="s">
        <v>1</v>
      </c>
      <c r="C26" s="7" t="s">
        <v>2</v>
      </c>
      <c r="D26" s="7" t="s">
        <v>3</v>
      </c>
      <c r="E26" s="5" t="s">
        <v>4</v>
      </c>
      <c r="F26" s="7" t="s">
        <v>5</v>
      </c>
      <c r="G26" s="6" t="s">
        <v>6</v>
      </c>
      <c r="H26" s="7" t="s">
        <v>7</v>
      </c>
      <c r="I26" s="6" t="s">
        <v>8</v>
      </c>
      <c r="J26" s="7" t="s">
        <v>9</v>
      </c>
      <c r="K26" s="6" t="s">
        <v>10</v>
      </c>
      <c r="L26" s="6" t="s">
        <v>11</v>
      </c>
    </row>
    <row r="27" spans="1:12" s="259" customFormat="1">
      <c r="A27" s="101">
        <v>1</v>
      </c>
      <c r="B27" s="4" t="s">
        <v>34</v>
      </c>
      <c r="C27" s="263">
        <v>150000</v>
      </c>
      <c r="D27" s="263">
        <v>19995</v>
      </c>
      <c r="E27" s="263">
        <f>SUM(C27:D27)</f>
        <v>169995</v>
      </c>
      <c r="F27" s="96">
        <v>50</v>
      </c>
      <c r="G27" s="167">
        <v>3399.9</v>
      </c>
      <c r="H27" s="95">
        <v>43</v>
      </c>
      <c r="I27" s="96">
        <f>F27-H27</f>
        <v>7</v>
      </c>
      <c r="J27" s="143">
        <f>G27*H27</f>
        <v>146195.70000000001</v>
      </c>
      <c r="K27" s="144">
        <f>E27-J27</f>
        <v>23799.299999999988</v>
      </c>
      <c r="L27" s="262"/>
    </row>
    <row r="28" spans="1:12" s="259" customFormat="1">
      <c r="A28" s="101">
        <v>2</v>
      </c>
      <c r="B28" s="4" t="s">
        <v>242</v>
      </c>
      <c r="C28" s="161">
        <v>60000</v>
      </c>
      <c r="D28" s="161">
        <v>7998</v>
      </c>
      <c r="E28" s="162">
        <f>SUM(C28:D28)</f>
        <v>67998</v>
      </c>
      <c r="F28" s="96">
        <v>40</v>
      </c>
      <c r="G28" s="208">
        <v>1699.95</v>
      </c>
      <c r="H28" s="96">
        <v>39</v>
      </c>
      <c r="I28" s="96">
        <f>F28-H28</f>
        <v>1</v>
      </c>
      <c r="J28" s="143">
        <f>G28*H28</f>
        <v>66298.05</v>
      </c>
      <c r="K28" s="144">
        <f>E28-J28</f>
        <v>1699.9499999999971</v>
      </c>
      <c r="L28" s="126"/>
    </row>
    <row r="29" spans="1:12">
      <c r="A29" s="14"/>
      <c r="B29" s="23"/>
      <c r="C29" s="34">
        <f>SUM(C27:C28)</f>
        <v>210000</v>
      </c>
      <c r="D29" s="34">
        <f>SUM(D27:D28)</f>
        <v>27993</v>
      </c>
      <c r="E29" s="34">
        <f>SUM(E27:E28)</f>
        <v>237993</v>
      </c>
      <c r="F29" s="34"/>
      <c r="G29" s="34">
        <f>SUM(G27:G28)</f>
        <v>5099.8500000000004</v>
      </c>
      <c r="H29" s="34"/>
      <c r="I29" s="34"/>
      <c r="J29" s="34">
        <f>SUM(J27:J28)</f>
        <v>212493.75</v>
      </c>
      <c r="K29" s="34">
        <f>SUM(K27:K28)</f>
        <v>25499.249999999985</v>
      </c>
      <c r="L29" s="8"/>
    </row>
    <row r="30" spans="1:12" ht="11.25" customHeight="1">
      <c r="A30" s="118"/>
      <c r="B30" s="119"/>
      <c r="C30" s="118"/>
      <c r="D30" s="118"/>
      <c r="E30" s="118"/>
      <c r="F30" s="118"/>
      <c r="G30" s="118"/>
      <c r="H30" s="118"/>
      <c r="I30" s="118"/>
      <c r="J30" s="118"/>
      <c r="K30" s="118"/>
      <c r="L30" s="118"/>
    </row>
    <row r="31" spans="1:12" ht="15.75">
      <c r="A31" s="423" t="s">
        <v>245</v>
      </c>
      <c r="B31" s="423"/>
      <c r="C31" s="423"/>
      <c r="D31" s="423"/>
      <c r="E31" s="423"/>
      <c r="F31" s="423"/>
      <c r="G31" s="423"/>
      <c r="H31" s="423"/>
      <c r="I31" s="423"/>
      <c r="J31" s="423"/>
      <c r="K31" s="423"/>
      <c r="L31" s="423"/>
    </row>
    <row r="32" spans="1:12" ht="15.75">
      <c r="A32" s="423" t="s">
        <v>254</v>
      </c>
      <c r="B32" s="423"/>
      <c r="C32" s="423"/>
      <c r="D32" s="423"/>
      <c r="E32" s="423"/>
      <c r="F32" s="423"/>
      <c r="G32" s="423"/>
      <c r="H32" s="423"/>
      <c r="I32" s="423"/>
      <c r="J32" s="423"/>
      <c r="K32" s="423"/>
      <c r="L32" s="423"/>
    </row>
    <row r="33" spans="1:12" ht="15.75">
      <c r="A33" s="423" t="s">
        <v>252</v>
      </c>
      <c r="B33" s="423"/>
      <c r="C33" s="423"/>
      <c r="D33" s="423"/>
      <c r="E33" s="423"/>
      <c r="F33" s="423"/>
      <c r="G33" s="423"/>
      <c r="H33" s="423"/>
      <c r="I33" s="423"/>
      <c r="J33" s="423"/>
      <c r="K33" s="423"/>
      <c r="L33" s="423"/>
    </row>
    <row r="34" spans="1:12" s="113" customFormat="1" ht="38.25">
      <c r="A34" s="266" t="s">
        <v>0</v>
      </c>
      <c r="B34" s="100" t="s">
        <v>1</v>
      </c>
      <c r="C34" s="7" t="s">
        <v>2</v>
      </c>
      <c r="D34" s="7" t="s">
        <v>3</v>
      </c>
      <c r="E34" s="266" t="s">
        <v>4</v>
      </c>
      <c r="F34" s="7" t="s">
        <v>5</v>
      </c>
      <c r="G34" s="7" t="s">
        <v>6</v>
      </c>
      <c r="H34" s="7" t="s">
        <v>7</v>
      </c>
      <c r="I34" s="7" t="s">
        <v>8</v>
      </c>
      <c r="J34" s="7" t="s">
        <v>9</v>
      </c>
      <c r="K34" s="7" t="s">
        <v>10</v>
      </c>
      <c r="L34" s="7" t="s">
        <v>11</v>
      </c>
    </row>
    <row r="35" spans="1:12" s="258" customFormat="1" ht="20.25" customHeight="1">
      <c r="A35" s="101">
        <v>1</v>
      </c>
      <c r="B35" s="4" t="s">
        <v>34</v>
      </c>
      <c r="C35" s="263">
        <v>150000</v>
      </c>
      <c r="D35" s="263">
        <v>19995</v>
      </c>
      <c r="E35" s="263">
        <f>SUM(C35:D35)</f>
        <v>169995</v>
      </c>
      <c r="F35" s="96">
        <v>50</v>
      </c>
      <c r="G35" s="167">
        <v>3399.9</v>
      </c>
      <c r="H35" s="95">
        <v>44</v>
      </c>
      <c r="I35" s="96">
        <f>F35-H35</f>
        <v>6</v>
      </c>
      <c r="J35" s="143">
        <f>G35*H35</f>
        <v>149595.6</v>
      </c>
      <c r="K35" s="144">
        <f>E35-J35</f>
        <v>20399.399999999994</v>
      </c>
      <c r="L35" s="262"/>
    </row>
    <row r="36" spans="1:12" s="258" customFormat="1" ht="20.25" customHeight="1">
      <c r="A36" s="101">
        <v>2</v>
      </c>
      <c r="B36" s="4" t="s">
        <v>242</v>
      </c>
      <c r="C36" s="161">
        <v>60000</v>
      </c>
      <c r="D36" s="161">
        <v>7998</v>
      </c>
      <c r="E36" s="162">
        <f>SUM(C36:D36)</f>
        <v>67998</v>
      </c>
      <c r="F36" s="96">
        <v>40</v>
      </c>
      <c r="G36" s="208">
        <v>1699.95</v>
      </c>
      <c r="H36" s="96">
        <v>40</v>
      </c>
      <c r="I36" s="96">
        <f>F36-H36</f>
        <v>0</v>
      </c>
      <c r="J36" s="143">
        <f>G36*H36</f>
        <v>67998</v>
      </c>
      <c r="K36" s="144">
        <f>E36-J36</f>
        <v>0</v>
      </c>
      <c r="L36" s="126"/>
    </row>
    <row r="37" spans="1:12">
      <c r="A37" s="14"/>
      <c r="B37" s="23"/>
      <c r="C37" s="34">
        <f>SUM(C35:C36)</f>
        <v>210000</v>
      </c>
      <c r="D37" s="34">
        <f>SUM(D35:D36)</f>
        <v>27993</v>
      </c>
      <c r="E37" s="34">
        <f>SUM(E35:E36)</f>
        <v>237993</v>
      </c>
      <c r="F37" s="34"/>
      <c r="G37" s="34">
        <f>SUM(G35:G36)</f>
        <v>5099.8500000000004</v>
      </c>
      <c r="H37" s="34"/>
      <c r="I37" s="34"/>
      <c r="J37" s="34">
        <f>SUM(J35:J36)</f>
        <v>217593.60000000001</v>
      </c>
      <c r="K37" s="34">
        <f>SUM(K35:K36)</f>
        <v>20399.399999999994</v>
      </c>
      <c r="L37" s="8"/>
    </row>
    <row r="38" spans="1:12">
      <c r="G38" s="39">
        <f>G37+G29</f>
        <v>10199.700000000001</v>
      </c>
    </row>
    <row r="39" spans="1:12" ht="15.75">
      <c r="A39" s="423" t="s">
        <v>245</v>
      </c>
      <c r="B39" s="423"/>
      <c r="C39" s="423"/>
      <c r="D39" s="423"/>
      <c r="E39" s="423"/>
      <c r="F39" s="423"/>
      <c r="G39" s="423"/>
      <c r="H39" s="423"/>
      <c r="I39" s="423"/>
      <c r="J39" s="423"/>
      <c r="K39" s="423"/>
      <c r="L39" s="423"/>
    </row>
    <row r="40" spans="1:12" ht="15.75">
      <c r="A40" s="423" t="s">
        <v>258</v>
      </c>
      <c r="B40" s="423"/>
      <c r="C40" s="423"/>
      <c r="D40" s="423"/>
      <c r="E40" s="423"/>
      <c r="F40" s="423"/>
      <c r="G40" s="423"/>
      <c r="H40" s="423"/>
      <c r="I40" s="423"/>
      <c r="J40" s="423"/>
      <c r="K40" s="423"/>
      <c r="L40" s="423"/>
    </row>
    <row r="41" spans="1:12" ht="15.75">
      <c r="A41" s="423" t="s">
        <v>252</v>
      </c>
      <c r="B41" s="423"/>
      <c r="C41" s="423"/>
      <c r="D41" s="423"/>
      <c r="E41" s="423"/>
      <c r="F41" s="423"/>
      <c r="G41" s="423"/>
      <c r="H41" s="423"/>
      <c r="I41" s="423"/>
      <c r="J41" s="423"/>
      <c r="K41" s="423"/>
      <c r="L41" s="423"/>
    </row>
    <row r="42" spans="1:12" s="113" customFormat="1" ht="38.25">
      <c r="A42" s="266" t="s">
        <v>0</v>
      </c>
      <c r="B42" s="100" t="s">
        <v>1</v>
      </c>
      <c r="C42" s="7" t="s">
        <v>2</v>
      </c>
      <c r="D42" s="7" t="s">
        <v>3</v>
      </c>
      <c r="E42" s="266" t="s">
        <v>4</v>
      </c>
      <c r="F42" s="7" t="s">
        <v>5</v>
      </c>
      <c r="G42" s="7" t="s">
        <v>6</v>
      </c>
      <c r="H42" s="7" t="s">
        <v>7</v>
      </c>
      <c r="I42" s="7" t="s">
        <v>8</v>
      </c>
      <c r="J42" s="7" t="s">
        <v>9</v>
      </c>
      <c r="K42" s="7" t="s">
        <v>10</v>
      </c>
      <c r="L42" s="7" t="s">
        <v>11</v>
      </c>
    </row>
    <row r="43" spans="1:12" s="258" customFormat="1" ht="22.5" customHeight="1">
      <c r="A43" s="101">
        <v>1</v>
      </c>
      <c r="B43" s="2" t="s">
        <v>34</v>
      </c>
      <c r="C43" s="263">
        <v>150000</v>
      </c>
      <c r="D43" s="263">
        <v>19995</v>
      </c>
      <c r="E43" s="263">
        <f>SUM(C43:D43)</f>
        <v>169995</v>
      </c>
      <c r="F43" s="96">
        <v>50</v>
      </c>
      <c r="G43" s="167">
        <v>3399.9</v>
      </c>
      <c r="H43" s="95">
        <v>45</v>
      </c>
      <c r="I43" s="96">
        <f>F43-H43</f>
        <v>5</v>
      </c>
      <c r="J43" s="143">
        <f>G43*H43</f>
        <v>152995.5</v>
      </c>
      <c r="K43" s="144">
        <f>E43-J43</f>
        <v>16999.5</v>
      </c>
      <c r="L43" s="262"/>
    </row>
    <row r="44" spans="1:12">
      <c r="A44" s="264"/>
      <c r="B44" s="265"/>
      <c r="C44" s="13">
        <f>SUM(C43:C43)</f>
        <v>150000</v>
      </c>
      <c r="D44" s="13">
        <f>SUM(D43:D43)</f>
        <v>19995</v>
      </c>
      <c r="E44" s="13">
        <f>SUM(E43:E43)</f>
        <v>169995</v>
      </c>
      <c r="F44" s="13"/>
      <c r="G44" s="13">
        <f>SUM(G43:G43)</f>
        <v>3399.9</v>
      </c>
      <c r="H44" s="264"/>
      <c r="I44" s="264"/>
      <c r="J44" s="13">
        <f>SUM(J43:J43)</f>
        <v>152995.5</v>
      </c>
      <c r="K44" s="13">
        <f>SUM(K43:K43)</f>
        <v>16999.5</v>
      </c>
      <c r="L44" s="264"/>
    </row>
    <row r="46" spans="1:12">
      <c r="G46" s="39">
        <f>G44+G37+G29+G21+G13+G6</f>
        <v>22099.350000000002</v>
      </c>
      <c r="J46" s="39"/>
    </row>
    <row r="47" spans="1:12">
      <c r="G47" s="165"/>
    </row>
    <row r="48" spans="1:12">
      <c r="G48" s="39">
        <f>G36*6</f>
        <v>10199.700000000001</v>
      </c>
    </row>
    <row r="49" spans="7:7">
      <c r="G49" s="39"/>
    </row>
  </sheetData>
  <mergeCells count="18">
    <mergeCell ref="A41:L41"/>
    <mergeCell ref="A15:L15"/>
    <mergeCell ref="A16:L16"/>
    <mergeCell ref="A17:L17"/>
    <mergeCell ref="A23:L23"/>
    <mergeCell ref="A24:L24"/>
    <mergeCell ref="A25:L25"/>
    <mergeCell ref="A31:L31"/>
    <mergeCell ref="A32:L32"/>
    <mergeCell ref="A33:L33"/>
    <mergeCell ref="A39:L39"/>
    <mergeCell ref="A40:L40"/>
    <mergeCell ref="A10:L10"/>
    <mergeCell ref="A1:L1"/>
    <mergeCell ref="A2:L2"/>
    <mergeCell ref="A3:L3"/>
    <mergeCell ref="A8:L8"/>
    <mergeCell ref="A9:L9"/>
  </mergeCells>
  <conditionalFormatting sqref="B6">
    <cfRule type="duplicateValues" dxfId="2256" priority="188" stopIfTrue="1"/>
    <cfRule type="duplicateValues" dxfId="2255" priority="189" stopIfTrue="1"/>
  </conditionalFormatting>
  <conditionalFormatting sqref="B6">
    <cfRule type="duplicateValues" dxfId="2254" priority="187" stopIfTrue="1"/>
  </conditionalFormatting>
  <conditionalFormatting sqref="B1">
    <cfRule type="duplicateValues" dxfId="2253" priority="186"/>
  </conditionalFormatting>
  <conditionalFormatting sqref="B6 B2:B4">
    <cfRule type="duplicateValues" dxfId="2252" priority="182"/>
  </conditionalFormatting>
  <conditionalFormatting sqref="B6 B1:B4">
    <cfRule type="duplicateValues" dxfId="2251" priority="181"/>
  </conditionalFormatting>
  <conditionalFormatting sqref="B13">
    <cfRule type="duplicateValues" dxfId="2250" priority="170" stopIfTrue="1"/>
    <cfRule type="duplicateValues" dxfId="2249" priority="171" stopIfTrue="1"/>
  </conditionalFormatting>
  <conditionalFormatting sqref="B13">
    <cfRule type="duplicateValues" dxfId="2248" priority="169" stopIfTrue="1"/>
  </conditionalFormatting>
  <conditionalFormatting sqref="B8">
    <cfRule type="duplicateValues" dxfId="2247" priority="168"/>
  </conditionalFormatting>
  <conditionalFormatting sqref="B13 B9:B11">
    <cfRule type="duplicateValues" dxfId="2246" priority="164"/>
  </conditionalFormatting>
  <conditionalFormatting sqref="B13 B8:B11">
    <cfRule type="duplicateValues" dxfId="2245" priority="163"/>
  </conditionalFormatting>
  <conditionalFormatting sqref="B20">
    <cfRule type="duplicateValues" dxfId="2244" priority="161" stopIfTrue="1"/>
    <cfRule type="duplicateValues" dxfId="2243" priority="162" stopIfTrue="1"/>
  </conditionalFormatting>
  <conditionalFormatting sqref="B20">
    <cfRule type="duplicateValues" dxfId="2242" priority="160" stopIfTrue="1"/>
  </conditionalFormatting>
  <conditionalFormatting sqref="B21">
    <cfRule type="duplicateValues" dxfId="2241" priority="152" stopIfTrue="1"/>
    <cfRule type="duplicateValues" dxfId="2240" priority="153" stopIfTrue="1"/>
  </conditionalFormatting>
  <conditionalFormatting sqref="B21">
    <cfRule type="duplicateValues" dxfId="2239" priority="151" stopIfTrue="1"/>
  </conditionalFormatting>
  <conditionalFormatting sqref="B15">
    <cfRule type="duplicateValues" dxfId="2238" priority="150"/>
  </conditionalFormatting>
  <conditionalFormatting sqref="B19">
    <cfRule type="duplicateValues" dxfId="2237" priority="148" stopIfTrue="1"/>
    <cfRule type="duplicateValues" dxfId="2236" priority="149" stopIfTrue="1"/>
  </conditionalFormatting>
  <conditionalFormatting sqref="B19">
    <cfRule type="duplicateValues" dxfId="2235" priority="147" stopIfTrue="1"/>
  </conditionalFormatting>
  <conditionalFormatting sqref="B16:B21">
    <cfRule type="duplicateValues" dxfId="2234" priority="146"/>
  </conditionalFormatting>
  <conditionalFormatting sqref="B15:B21">
    <cfRule type="duplicateValues" dxfId="2233" priority="145"/>
  </conditionalFormatting>
  <conditionalFormatting sqref="B28">
    <cfRule type="duplicateValues" dxfId="2232" priority="143" stopIfTrue="1"/>
    <cfRule type="duplicateValues" dxfId="2231" priority="144" stopIfTrue="1"/>
  </conditionalFormatting>
  <conditionalFormatting sqref="B28">
    <cfRule type="duplicateValues" dxfId="2230" priority="142" stopIfTrue="1"/>
  </conditionalFormatting>
  <conditionalFormatting sqref="B29">
    <cfRule type="duplicateValues" dxfId="2229" priority="134" stopIfTrue="1"/>
    <cfRule type="duplicateValues" dxfId="2228" priority="135" stopIfTrue="1"/>
  </conditionalFormatting>
  <conditionalFormatting sqref="B29">
    <cfRule type="duplicateValues" dxfId="2227" priority="133" stopIfTrue="1"/>
  </conditionalFormatting>
  <conditionalFormatting sqref="B23">
    <cfRule type="duplicateValues" dxfId="2226" priority="132"/>
  </conditionalFormatting>
  <conditionalFormatting sqref="B27">
    <cfRule type="duplicateValues" dxfId="2225" priority="130" stopIfTrue="1"/>
    <cfRule type="duplicateValues" dxfId="2224" priority="131" stopIfTrue="1"/>
  </conditionalFormatting>
  <conditionalFormatting sqref="B27">
    <cfRule type="duplicateValues" dxfId="2223" priority="129" stopIfTrue="1"/>
  </conditionalFormatting>
  <conditionalFormatting sqref="B24:B29">
    <cfRule type="duplicateValues" dxfId="2222" priority="128"/>
  </conditionalFormatting>
  <conditionalFormatting sqref="B23:B29">
    <cfRule type="duplicateValues" dxfId="2221" priority="127"/>
  </conditionalFormatting>
  <conditionalFormatting sqref="B36">
    <cfRule type="duplicateValues" dxfId="2220" priority="125" stopIfTrue="1"/>
    <cfRule type="duplicateValues" dxfId="2219" priority="126" stopIfTrue="1"/>
  </conditionalFormatting>
  <conditionalFormatting sqref="B36">
    <cfRule type="duplicateValues" dxfId="2218" priority="124" stopIfTrue="1"/>
  </conditionalFormatting>
  <conditionalFormatting sqref="B37">
    <cfRule type="duplicateValues" dxfId="2217" priority="116" stopIfTrue="1"/>
    <cfRule type="duplicateValues" dxfId="2216" priority="117" stopIfTrue="1"/>
  </conditionalFormatting>
  <conditionalFormatting sqref="B37">
    <cfRule type="duplicateValues" dxfId="2215" priority="115" stopIfTrue="1"/>
  </conditionalFormatting>
  <conditionalFormatting sqref="B31">
    <cfRule type="duplicateValues" dxfId="2214" priority="114"/>
  </conditionalFormatting>
  <conditionalFormatting sqref="B35">
    <cfRule type="duplicateValues" dxfId="2213" priority="112" stopIfTrue="1"/>
    <cfRule type="duplicateValues" dxfId="2212" priority="113" stopIfTrue="1"/>
  </conditionalFormatting>
  <conditionalFormatting sqref="B35">
    <cfRule type="duplicateValues" dxfId="2211" priority="111" stopIfTrue="1"/>
  </conditionalFormatting>
  <conditionalFormatting sqref="B10">
    <cfRule type="duplicateValues" dxfId="2210" priority="60"/>
  </conditionalFormatting>
  <conditionalFormatting sqref="B17">
    <cfRule type="duplicateValues" dxfId="2209" priority="59"/>
  </conditionalFormatting>
  <conditionalFormatting sqref="B25">
    <cfRule type="duplicateValues" dxfId="2208" priority="58"/>
  </conditionalFormatting>
  <conditionalFormatting sqref="B33">
    <cfRule type="duplicateValues" dxfId="2207" priority="57"/>
  </conditionalFormatting>
  <conditionalFormatting sqref="B27:B28">
    <cfRule type="duplicateValues" dxfId="2206" priority="44"/>
  </conditionalFormatting>
  <conditionalFormatting sqref="B35:B36">
    <cfRule type="duplicateValues" dxfId="2205" priority="36"/>
  </conditionalFormatting>
  <conditionalFormatting sqref="B39">
    <cfRule type="duplicateValues" dxfId="2204" priority="23"/>
  </conditionalFormatting>
  <conditionalFormatting sqref="B43">
    <cfRule type="duplicateValues" dxfId="2203" priority="21" stopIfTrue="1"/>
    <cfRule type="duplicateValues" dxfId="2202" priority="22" stopIfTrue="1"/>
  </conditionalFormatting>
  <conditionalFormatting sqref="B43">
    <cfRule type="duplicateValues" dxfId="2201" priority="20" stopIfTrue="1"/>
  </conditionalFormatting>
  <conditionalFormatting sqref="B41">
    <cfRule type="duplicateValues" dxfId="2200" priority="17"/>
  </conditionalFormatting>
  <conditionalFormatting sqref="B32:B37">
    <cfRule type="duplicateValues" dxfId="2199" priority="237"/>
  </conditionalFormatting>
  <conditionalFormatting sqref="B31:B37">
    <cfRule type="duplicateValues" dxfId="2198" priority="239"/>
  </conditionalFormatting>
  <conditionalFormatting sqref="B40:B43">
    <cfRule type="duplicateValues" dxfId="2197" priority="300"/>
  </conditionalFormatting>
  <conditionalFormatting sqref="B39:B43">
    <cfRule type="duplicateValues" dxfId="2196" priority="301"/>
  </conditionalFormatting>
  <pageMargins left="0.7" right="0.45" top="0.75" bottom="0.75" header="0.3" footer="0.3"/>
  <pageSetup paperSize="9" scale="8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3:N224"/>
  <sheetViews>
    <sheetView topLeftCell="A67" workbookViewId="0">
      <selection activeCell="B101" sqref="B101"/>
    </sheetView>
  </sheetViews>
  <sheetFormatPr defaultRowHeight="15"/>
  <cols>
    <col min="1" max="1" width="6.85546875" style="44" customWidth="1"/>
    <col min="2" max="2" width="37.14062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492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96">
        <v>1</v>
      </c>
      <c r="B6" s="199" t="s">
        <v>383</v>
      </c>
      <c r="C6" s="41">
        <v>200000</v>
      </c>
      <c r="D6" s="41">
        <v>26660</v>
      </c>
      <c r="E6" s="41">
        <f t="shared" ref="E6:E17" si="0">SUM(C6:D6)</f>
        <v>226660</v>
      </c>
      <c r="F6" s="33">
        <v>40</v>
      </c>
      <c r="G6" s="179">
        <v>5666.5</v>
      </c>
      <c r="H6" s="96">
        <v>40</v>
      </c>
      <c r="I6" s="96">
        <f t="shared" ref="I6:I37" si="1">F6-H6</f>
        <v>0</v>
      </c>
      <c r="J6" s="16">
        <f t="shared" ref="J6:J19" si="2">H6*G6</f>
        <v>226660</v>
      </c>
      <c r="K6" s="41">
        <f t="shared" ref="K6:K37" si="3">E6-J6</f>
        <v>0</v>
      </c>
      <c r="L6" s="11"/>
      <c r="M6" s="180" t="e">
        <f>#REF!-G6</f>
        <v>#REF!</v>
      </c>
    </row>
    <row r="7" spans="1:13" s="114" customFormat="1">
      <c r="A7" s="96">
        <v>2</v>
      </c>
      <c r="B7" s="4" t="s">
        <v>417</v>
      </c>
      <c r="C7" s="16">
        <v>132000</v>
      </c>
      <c r="D7" s="16">
        <v>17595.599999999999</v>
      </c>
      <c r="E7" s="41">
        <f t="shared" si="0"/>
        <v>149595.6</v>
      </c>
      <c r="F7" s="33">
        <v>40</v>
      </c>
      <c r="G7" s="172">
        <v>3739.89</v>
      </c>
      <c r="H7" s="96">
        <v>33</v>
      </c>
      <c r="I7" s="96">
        <f t="shared" si="1"/>
        <v>7</v>
      </c>
      <c r="J7" s="16">
        <f t="shared" si="2"/>
        <v>123416.37</v>
      </c>
      <c r="K7" s="41">
        <f t="shared" si="3"/>
        <v>26179.23000000001</v>
      </c>
      <c r="L7" s="11"/>
      <c r="M7" s="180" t="e">
        <f>#REF!-G7</f>
        <v>#REF!</v>
      </c>
    </row>
    <row r="8" spans="1:13" s="114" customFormat="1">
      <c r="A8" s="96">
        <v>3</v>
      </c>
      <c r="B8" s="4" t="s">
        <v>384</v>
      </c>
      <c r="C8" s="41">
        <v>200000</v>
      </c>
      <c r="D8" s="41">
        <v>26660</v>
      </c>
      <c r="E8" s="41">
        <f t="shared" si="0"/>
        <v>226660</v>
      </c>
      <c r="F8" s="33">
        <v>40</v>
      </c>
      <c r="G8" s="167">
        <v>5666.5</v>
      </c>
      <c r="H8" s="96">
        <v>31</v>
      </c>
      <c r="I8" s="96">
        <f t="shared" si="1"/>
        <v>9</v>
      </c>
      <c r="J8" s="16">
        <f t="shared" si="2"/>
        <v>175661.5</v>
      </c>
      <c r="K8" s="41">
        <f t="shared" si="3"/>
        <v>50998.5</v>
      </c>
      <c r="L8" s="11"/>
      <c r="M8" s="180" t="e">
        <f>#REF!-G8</f>
        <v>#REF!</v>
      </c>
    </row>
    <row r="9" spans="1:13" s="114" customFormat="1">
      <c r="A9" s="96">
        <v>4</v>
      </c>
      <c r="B9" s="4" t="s">
        <v>413</v>
      </c>
      <c r="C9" s="12">
        <v>180000</v>
      </c>
      <c r="D9" s="12">
        <v>23994</v>
      </c>
      <c r="E9" s="15">
        <f t="shared" si="0"/>
        <v>203994</v>
      </c>
      <c r="F9" s="31">
        <v>40</v>
      </c>
      <c r="G9" s="167">
        <v>5099.8500000000004</v>
      </c>
      <c r="H9" s="159">
        <v>36</v>
      </c>
      <c r="I9" s="97">
        <f t="shared" si="1"/>
        <v>4</v>
      </c>
      <c r="J9" s="91">
        <f t="shared" si="2"/>
        <v>183594.6</v>
      </c>
      <c r="K9" s="15">
        <f t="shared" si="3"/>
        <v>20399.399999999994</v>
      </c>
      <c r="L9" s="8"/>
      <c r="M9" s="180" t="e">
        <f>#REF!-G9</f>
        <v>#REF!</v>
      </c>
    </row>
    <row r="10" spans="1:13" s="114" customFormat="1">
      <c r="A10" s="96">
        <v>5</v>
      </c>
      <c r="B10" s="2" t="s">
        <v>307</v>
      </c>
      <c r="C10" s="12">
        <v>500000</v>
      </c>
      <c r="D10" s="12">
        <v>66650</v>
      </c>
      <c r="E10" s="15">
        <f t="shared" si="0"/>
        <v>566650</v>
      </c>
      <c r="F10" s="31">
        <v>50</v>
      </c>
      <c r="G10" s="167">
        <v>11333</v>
      </c>
      <c r="H10" s="14">
        <v>32</v>
      </c>
      <c r="I10" s="97">
        <f t="shared" si="1"/>
        <v>18</v>
      </c>
      <c r="J10" s="91">
        <f t="shared" si="2"/>
        <v>362656</v>
      </c>
      <c r="K10" s="15">
        <f t="shared" si="3"/>
        <v>203994</v>
      </c>
      <c r="L10" s="8"/>
      <c r="M10" s="180" t="e">
        <f>#REF!-G10</f>
        <v>#REF!</v>
      </c>
    </row>
    <row r="11" spans="1:13" s="114" customFormat="1">
      <c r="A11" s="96">
        <v>6</v>
      </c>
      <c r="B11" s="4" t="s">
        <v>304</v>
      </c>
      <c r="C11" s="16">
        <v>500000</v>
      </c>
      <c r="D11" s="16">
        <v>53320</v>
      </c>
      <c r="E11" s="41">
        <f t="shared" si="0"/>
        <v>553320</v>
      </c>
      <c r="F11" s="33">
        <v>40</v>
      </c>
      <c r="G11" s="167">
        <v>13833</v>
      </c>
      <c r="H11" s="96">
        <v>48</v>
      </c>
      <c r="I11" s="96">
        <f t="shared" si="1"/>
        <v>-8</v>
      </c>
      <c r="J11" s="16">
        <f t="shared" si="2"/>
        <v>663984</v>
      </c>
      <c r="K11" s="41">
        <f t="shared" si="3"/>
        <v>-110664</v>
      </c>
      <c r="L11" s="11"/>
      <c r="M11" s="180" t="e">
        <f>#REF!-G11</f>
        <v>#REF!</v>
      </c>
    </row>
    <row r="12" spans="1:13" s="114" customFormat="1">
      <c r="A12" s="96">
        <v>7</v>
      </c>
      <c r="B12" s="178" t="s">
        <v>281</v>
      </c>
      <c r="C12" s="16">
        <v>330000</v>
      </c>
      <c r="D12" s="16">
        <v>43989</v>
      </c>
      <c r="E12" s="41">
        <f t="shared" si="0"/>
        <v>373989</v>
      </c>
      <c r="F12" s="33">
        <v>50</v>
      </c>
      <c r="G12" s="167">
        <v>7478.78</v>
      </c>
      <c r="H12" s="159">
        <v>36</v>
      </c>
      <c r="I12" s="96">
        <f t="shared" si="1"/>
        <v>14</v>
      </c>
      <c r="J12" s="16">
        <f t="shared" si="2"/>
        <v>269236.08</v>
      </c>
      <c r="K12" s="41">
        <f t="shared" si="3"/>
        <v>104752.91999999998</v>
      </c>
      <c r="L12" s="11"/>
      <c r="M12" s="180" t="e">
        <f>#REF!-G12</f>
        <v>#REF!</v>
      </c>
    </row>
    <row r="13" spans="1:13" s="114" customFormat="1">
      <c r="A13" s="96">
        <v>8</v>
      </c>
      <c r="B13" s="46" t="s">
        <v>372</v>
      </c>
      <c r="C13" s="16">
        <v>330000</v>
      </c>
      <c r="D13" s="16">
        <v>43989</v>
      </c>
      <c r="E13" s="41">
        <f t="shared" si="0"/>
        <v>373989</v>
      </c>
      <c r="F13" s="33">
        <v>50</v>
      </c>
      <c r="G13" s="174">
        <v>7479.78</v>
      </c>
      <c r="H13" s="96">
        <v>36</v>
      </c>
      <c r="I13" s="96">
        <f t="shared" si="1"/>
        <v>14</v>
      </c>
      <c r="J13" s="16">
        <f t="shared" si="2"/>
        <v>269272.08</v>
      </c>
      <c r="K13" s="41">
        <f t="shared" si="3"/>
        <v>104716.91999999998</v>
      </c>
      <c r="L13" s="11"/>
      <c r="M13" s="180" t="e">
        <f>#REF!-G13</f>
        <v>#REF!</v>
      </c>
    </row>
    <row r="14" spans="1:13" s="114" customFormat="1">
      <c r="A14" s="96">
        <v>9</v>
      </c>
      <c r="B14" s="4" t="s">
        <v>388</v>
      </c>
      <c r="C14" s="15">
        <v>200000</v>
      </c>
      <c r="D14" s="15">
        <v>26660</v>
      </c>
      <c r="E14" s="15">
        <f t="shared" si="0"/>
        <v>226660</v>
      </c>
      <c r="F14" s="31">
        <v>40</v>
      </c>
      <c r="G14" s="167">
        <v>5666.5</v>
      </c>
      <c r="H14" s="14">
        <v>37</v>
      </c>
      <c r="I14" s="97">
        <f t="shared" si="1"/>
        <v>3</v>
      </c>
      <c r="J14" s="91">
        <f t="shared" si="2"/>
        <v>209660.5</v>
      </c>
      <c r="K14" s="15">
        <f t="shared" si="3"/>
        <v>16999.5</v>
      </c>
      <c r="L14" s="8"/>
      <c r="M14" s="180" t="e">
        <f>#REF!-G14</f>
        <v>#REF!</v>
      </c>
    </row>
    <row r="15" spans="1:13" s="114" customFormat="1">
      <c r="A15" s="96">
        <v>10</v>
      </c>
      <c r="B15" s="46" t="s">
        <v>308</v>
      </c>
      <c r="C15" s="16">
        <v>500000</v>
      </c>
      <c r="D15" s="16">
        <v>66650</v>
      </c>
      <c r="E15" s="41">
        <f t="shared" si="0"/>
        <v>566650</v>
      </c>
      <c r="F15" s="33">
        <v>50</v>
      </c>
      <c r="G15" s="24">
        <v>11333</v>
      </c>
      <c r="H15" s="96">
        <v>27</v>
      </c>
      <c r="I15" s="96">
        <f t="shared" si="1"/>
        <v>23</v>
      </c>
      <c r="J15" s="16">
        <f t="shared" si="2"/>
        <v>305991</v>
      </c>
      <c r="K15" s="41">
        <f t="shared" si="3"/>
        <v>260659</v>
      </c>
      <c r="L15" s="11"/>
      <c r="M15" s="180" t="e">
        <f>#REF!-G15</f>
        <v>#REF!</v>
      </c>
    </row>
    <row r="16" spans="1:13" s="114" customFormat="1">
      <c r="A16" s="96">
        <v>11</v>
      </c>
      <c r="B16" s="2" t="s">
        <v>389</v>
      </c>
      <c r="C16" s="41">
        <v>200000</v>
      </c>
      <c r="D16" s="41">
        <v>26660</v>
      </c>
      <c r="E16" s="41">
        <f t="shared" si="0"/>
        <v>226660</v>
      </c>
      <c r="F16" s="151">
        <v>40</v>
      </c>
      <c r="G16" s="167">
        <v>5666.5</v>
      </c>
      <c r="H16" s="96">
        <v>51</v>
      </c>
      <c r="I16" s="96">
        <f t="shared" si="1"/>
        <v>-11</v>
      </c>
      <c r="J16" s="16">
        <f t="shared" si="2"/>
        <v>288991.5</v>
      </c>
      <c r="K16" s="41">
        <f t="shared" si="3"/>
        <v>-62331.5</v>
      </c>
      <c r="L16" s="152"/>
      <c r="M16" s="180" t="e">
        <f>#REF!-G16</f>
        <v>#REF!</v>
      </c>
    </row>
    <row r="17" spans="1:13" s="114" customFormat="1">
      <c r="A17" s="96">
        <v>12</v>
      </c>
      <c r="B17" s="4" t="s">
        <v>309</v>
      </c>
      <c r="C17" s="16">
        <v>500000</v>
      </c>
      <c r="D17" s="16">
        <v>66650</v>
      </c>
      <c r="E17" s="41">
        <f t="shared" si="0"/>
        <v>566650</v>
      </c>
      <c r="F17" s="33">
        <v>50</v>
      </c>
      <c r="G17" s="167">
        <v>11333</v>
      </c>
      <c r="H17" s="96">
        <v>36</v>
      </c>
      <c r="I17" s="96">
        <f t="shared" si="1"/>
        <v>14</v>
      </c>
      <c r="J17" s="16">
        <f t="shared" si="2"/>
        <v>407988</v>
      </c>
      <c r="K17" s="41">
        <f t="shared" si="3"/>
        <v>158662</v>
      </c>
      <c r="L17" s="11"/>
      <c r="M17" s="180" t="e">
        <f>#REF!-G17</f>
        <v>#REF!</v>
      </c>
    </row>
    <row r="18" spans="1:13" s="114" customFormat="1">
      <c r="A18" s="96">
        <v>13</v>
      </c>
      <c r="B18" s="4" t="s">
        <v>310</v>
      </c>
      <c r="C18" s="19">
        <v>500000</v>
      </c>
      <c r="D18" s="19">
        <v>66650</v>
      </c>
      <c r="E18" s="19">
        <v>566650</v>
      </c>
      <c r="F18" s="33">
        <v>50</v>
      </c>
      <c r="G18" s="24">
        <v>11333</v>
      </c>
      <c r="H18" s="96">
        <v>13</v>
      </c>
      <c r="I18" s="96">
        <f t="shared" si="1"/>
        <v>37</v>
      </c>
      <c r="J18" s="16">
        <f t="shared" si="2"/>
        <v>147329</v>
      </c>
      <c r="K18" s="16">
        <f t="shared" si="3"/>
        <v>419321</v>
      </c>
      <c r="L18" s="122"/>
      <c r="M18" s="180" t="e">
        <f>#REF!-G18</f>
        <v>#REF!</v>
      </c>
    </row>
    <row r="19" spans="1:13" s="114" customFormat="1">
      <c r="A19" s="96">
        <v>14</v>
      </c>
      <c r="B19" s="2" t="s">
        <v>311</v>
      </c>
      <c r="C19" s="16">
        <v>500000</v>
      </c>
      <c r="D19" s="16">
        <v>66650</v>
      </c>
      <c r="E19" s="41">
        <f>SUM(C19:D19)</f>
        <v>566650</v>
      </c>
      <c r="F19" s="33">
        <v>50</v>
      </c>
      <c r="G19" s="167">
        <v>11333</v>
      </c>
      <c r="H19" s="96">
        <v>48</v>
      </c>
      <c r="I19" s="96">
        <f t="shared" si="1"/>
        <v>2</v>
      </c>
      <c r="J19" s="16">
        <f t="shared" si="2"/>
        <v>543984</v>
      </c>
      <c r="K19" s="41">
        <f t="shared" si="3"/>
        <v>22666</v>
      </c>
      <c r="L19" s="11"/>
      <c r="M19" s="180" t="e">
        <f>#REF!-G19</f>
        <v>#REF!</v>
      </c>
    </row>
    <row r="20" spans="1:13" s="114" customFormat="1">
      <c r="A20" s="96">
        <v>15</v>
      </c>
      <c r="B20" s="46" t="s">
        <v>282</v>
      </c>
      <c r="C20" s="16">
        <v>330000</v>
      </c>
      <c r="D20" s="16">
        <v>43989</v>
      </c>
      <c r="E20" s="41">
        <f>SUM(C20:D20)</f>
        <v>373989</v>
      </c>
      <c r="F20" s="33">
        <v>50</v>
      </c>
      <c r="G20" s="174">
        <v>7479.78</v>
      </c>
      <c r="H20" s="159">
        <v>36</v>
      </c>
      <c r="I20" s="97">
        <f t="shared" si="1"/>
        <v>14</v>
      </c>
      <c r="J20" s="91">
        <f>(32*7479.78)</f>
        <v>239352.95999999999</v>
      </c>
      <c r="K20" s="94">
        <f t="shared" si="3"/>
        <v>134636.04</v>
      </c>
      <c r="L20" s="11"/>
      <c r="M20" s="180" t="e">
        <f>#REF!-G20</f>
        <v>#REF!</v>
      </c>
    </row>
    <row r="21" spans="1:13" s="114" customFormat="1">
      <c r="A21" s="96">
        <v>16</v>
      </c>
      <c r="B21" s="4" t="s">
        <v>312</v>
      </c>
      <c r="C21" s="16">
        <v>500000</v>
      </c>
      <c r="D21" s="16">
        <v>66650</v>
      </c>
      <c r="E21" s="41">
        <f>SUM(C21:D21)</f>
        <v>566650</v>
      </c>
      <c r="F21" s="33">
        <v>50</v>
      </c>
      <c r="G21" s="167">
        <v>11333</v>
      </c>
      <c r="H21" s="97">
        <v>48</v>
      </c>
      <c r="I21" s="97">
        <f t="shared" si="1"/>
        <v>2</v>
      </c>
      <c r="J21" s="91">
        <f>H21*G21</f>
        <v>543984</v>
      </c>
      <c r="K21" s="94">
        <f t="shared" si="3"/>
        <v>22666</v>
      </c>
      <c r="L21" s="11"/>
      <c r="M21" s="180" t="e">
        <f>#REF!-G21</f>
        <v>#REF!</v>
      </c>
    </row>
    <row r="22" spans="1:13" s="114" customFormat="1">
      <c r="A22" s="96">
        <v>17</v>
      </c>
      <c r="B22" s="4" t="s">
        <v>360</v>
      </c>
      <c r="C22" s="16">
        <v>450000</v>
      </c>
      <c r="D22" s="16">
        <v>59985</v>
      </c>
      <c r="E22" s="16">
        <v>509985</v>
      </c>
      <c r="F22" s="33">
        <v>50</v>
      </c>
      <c r="G22" s="167">
        <v>10199.700000000001</v>
      </c>
      <c r="H22" s="97">
        <v>12</v>
      </c>
      <c r="I22" s="97">
        <f t="shared" si="1"/>
        <v>38</v>
      </c>
      <c r="J22" s="91">
        <f>H22*G22</f>
        <v>122396.40000000001</v>
      </c>
      <c r="K22" s="91">
        <f t="shared" si="3"/>
        <v>387588.6</v>
      </c>
      <c r="L22" s="11"/>
      <c r="M22" s="180" t="e">
        <f>#REF!-G22</f>
        <v>#REF!</v>
      </c>
    </row>
    <row r="23" spans="1:13" s="114" customFormat="1">
      <c r="A23" s="96">
        <v>18</v>
      </c>
      <c r="B23" s="2" t="s">
        <v>361</v>
      </c>
      <c r="C23" s="16">
        <v>450000</v>
      </c>
      <c r="D23" s="16">
        <v>59985</v>
      </c>
      <c r="E23" s="16">
        <v>509985</v>
      </c>
      <c r="F23" s="33">
        <v>50</v>
      </c>
      <c r="G23" s="24">
        <v>10199.700000000001</v>
      </c>
      <c r="H23" s="97">
        <v>27</v>
      </c>
      <c r="I23" s="97">
        <f t="shared" si="1"/>
        <v>23</v>
      </c>
      <c r="J23" s="91">
        <f>H23*G23</f>
        <v>275391.90000000002</v>
      </c>
      <c r="K23" s="94">
        <f t="shared" si="3"/>
        <v>234593.09999999998</v>
      </c>
      <c r="L23" s="11"/>
      <c r="M23" s="180" t="e">
        <f>#REF!-G23</f>
        <v>#REF!</v>
      </c>
    </row>
    <row r="24" spans="1:13" s="114" customFormat="1">
      <c r="A24" s="96">
        <v>19</v>
      </c>
      <c r="B24" s="2" t="s">
        <v>305</v>
      </c>
      <c r="C24" s="16">
        <v>500000</v>
      </c>
      <c r="D24" s="16">
        <v>53320</v>
      </c>
      <c r="E24" s="41">
        <f t="shared" ref="E24:E30" si="4">SUM(C24:D24)</f>
        <v>553320</v>
      </c>
      <c r="F24" s="33">
        <v>40</v>
      </c>
      <c r="G24" s="24">
        <v>13833</v>
      </c>
      <c r="H24" s="97">
        <v>48</v>
      </c>
      <c r="I24" s="97">
        <f t="shared" si="1"/>
        <v>-8</v>
      </c>
      <c r="J24" s="91">
        <f>H24*G24</f>
        <v>663984</v>
      </c>
      <c r="K24" s="94">
        <f t="shared" si="3"/>
        <v>-110664</v>
      </c>
      <c r="L24" s="11"/>
      <c r="M24" s="180" t="e">
        <f>#REF!-G24</f>
        <v>#REF!</v>
      </c>
    </row>
    <row r="25" spans="1:13" s="114" customFormat="1">
      <c r="A25" s="96">
        <v>20</v>
      </c>
      <c r="B25" s="2" t="s">
        <v>313</v>
      </c>
      <c r="C25" s="16">
        <v>500000</v>
      </c>
      <c r="D25" s="16">
        <v>66650</v>
      </c>
      <c r="E25" s="41">
        <f t="shared" si="4"/>
        <v>566650</v>
      </c>
      <c r="F25" s="33">
        <v>50</v>
      </c>
      <c r="G25" s="24">
        <v>11333</v>
      </c>
      <c r="H25" s="97">
        <v>27</v>
      </c>
      <c r="I25" s="97">
        <f t="shared" si="1"/>
        <v>23</v>
      </c>
      <c r="J25" s="91">
        <f>H25*G25</f>
        <v>305991</v>
      </c>
      <c r="K25" s="94">
        <f t="shared" si="3"/>
        <v>260659</v>
      </c>
      <c r="L25" s="11"/>
      <c r="M25" s="180" t="e">
        <f>#REF!-G25</f>
        <v>#REF!</v>
      </c>
    </row>
    <row r="26" spans="1:13" s="114" customFormat="1">
      <c r="A26" s="96">
        <v>21</v>
      </c>
      <c r="B26" s="25" t="s">
        <v>298</v>
      </c>
      <c r="C26" s="16">
        <v>60000</v>
      </c>
      <c r="D26" s="16">
        <v>7998</v>
      </c>
      <c r="E26" s="41">
        <f t="shared" si="4"/>
        <v>67998</v>
      </c>
      <c r="F26" s="33">
        <v>40</v>
      </c>
      <c r="G26" s="24">
        <v>1699.95</v>
      </c>
      <c r="H26" s="97">
        <v>2</v>
      </c>
      <c r="I26" s="97">
        <f t="shared" si="1"/>
        <v>38</v>
      </c>
      <c r="J26" s="91"/>
      <c r="K26" s="94">
        <f t="shared" si="3"/>
        <v>67998</v>
      </c>
      <c r="L26" s="11"/>
      <c r="M26" s="180" t="e">
        <f>#REF!-G26</f>
        <v>#REF!</v>
      </c>
    </row>
    <row r="27" spans="1:13" s="114" customFormat="1">
      <c r="A27" s="96">
        <v>22</v>
      </c>
      <c r="B27" s="46" t="s">
        <v>299</v>
      </c>
      <c r="C27" s="16">
        <v>500000</v>
      </c>
      <c r="D27" s="16">
        <v>66650</v>
      </c>
      <c r="E27" s="41">
        <f t="shared" si="4"/>
        <v>566650</v>
      </c>
      <c r="F27" s="33">
        <v>50</v>
      </c>
      <c r="G27" s="167">
        <v>11333</v>
      </c>
      <c r="H27" s="97">
        <v>37</v>
      </c>
      <c r="I27" s="97">
        <f t="shared" si="1"/>
        <v>13</v>
      </c>
      <c r="J27" s="91">
        <f t="shared" ref="J27:J35" si="5">H27*G27</f>
        <v>419321</v>
      </c>
      <c r="K27" s="94">
        <f t="shared" si="3"/>
        <v>147329</v>
      </c>
      <c r="L27" s="11" t="s">
        <v>276</v>
      </c>
      <c r="M27" s="180" t="e">
        <f>#REF!-G27</f>
        <v>#REF!</v>
      </c>
    </row>
    <row r="28" spans="1:13" s="114" customFormat="1">
      <c r="A28" s="96">
        <v>23</v>
      </c>
      <c r="B28" s="2" t="s">
        <v>140</v>
      </c>
      <c r="C28" s="15">
        <v>200000</v>
      </c>
      <c r="D28" s="15">
        <v>26660</v>
      </c>
      <c r="E28" s="15">
        <f t="shared" si="4"/>
        <v>226660</v>
      </c>
      <c r="F28" s="31">
        <v>40</v>
      </c>
      <c r="G28" s="24">
        <v>5666.5</v>
      </c>
      <c r="H28" s="14">
        <v>33</v>
      </c>
      <c r="I28" s="97">
        <f t="shared" si="1"/>
        <v>7</v>
      </c>
      <c r="J28" s="91">
        <f t="shared" si="5"/>
        <v>186994.5</v>
      </c>
      <c r="K28" s="15">
        <f t="shared" si="3"/>
        <v>39665.5</v>
      </c>
      <c r="L28" s="8"/>
      <c r="M28" s="180" t="e">
        <f>#REF!-G28</f>
        <v>#REF!</v>
      </c>
    </row>
    <row r="29" spans="1:13" s="114" customFormat="1">
      <c r="A29" s="96">
        <v>24</v>
      </c>
      <c r="B29" s="4" t="s">
        <v>107</v>
      </c>
      <c r="C29" s="16">
        <v>330000</v>
      </c>
      <c r="D29" s="16">
        <v>43989</v>
      </c>
      <c r="E29" s="41">
        <f t="shared" si="4"/>
        <v>373989</v>
      </c>
      <c r="F29" s="33">
        <v>50</v>
      </c>
      <c r="G29" s="167">
        <v>7479.78</v>
      </c>
      <c r="H29" s="97">
        <v>48</v>
      </c>
      <c r="I29" s="97">
        <f t="shared" si="1"/>
        <v>2</v>
      </c>
      <c r="J29" s="91">
        <f t="shared" si="5"/>
        <v>359029.44</v>
      </c>
      <c r="K29" s="94">
        <f t="shared" si="3"/>
        <v>14959.559999999998</v>
      </c>
      <c r="L29" s="11"/>
      <c r="M29" s="180" t="e">
        <f>#REF!-G29</f>
        <v>#REF!</v>
      </c>
    </row>
    <row r="30" spans="1:13" s="114" customFormat="1">
      <c r="A30" s="96">
        <v>25</v>
      </c>
      <c r="B30" s="2" t="s">
        <v>374</v>
      </c>
      <c r="C30" s="16">
        <v>330000</v>
      </c>
      <c r="D30" s="16">
        <v>43989</v>
      </c>
      <c r="E30" s="41">
        <f t="shared" si="4"/>
        <v>373989</v>
      </c>
      <c r="F30" s="33">
        <v>50</v>
      </c>
      <c r="G30" s="167">
        <v>7479.78</v>
      </c>
      <c r="H30" s="97">
        <v>48</v>
      </c>
      <c r="I30" s="97">
        <f t="shared" si="1"/>
        <v>2</v>
      </c>
      <c r="J30" s="91">
        <f t="shared" si="5"/>
        <v>359029.44</v>
      </c>
      <c r="K30" s="94">
        <f t="shared" si="3"/>
        <v>14959.559999999998</v>
      </c>
      <c r="L30" s="11"/>
      <c r="M30" s="180" t="e">
        <f>#REF!-G30</f>
        <v>#REF!</v>
      </c>
    </row>
    <row r="31" spans="1:13" s="114" customFormat="1">
      <c r="A31" s="96">
        <v>26</v>
      </c>
      <c r="B31" s="4" t="s">
        <v>314</v>
      </c>
      <c r="C31" s="19">
        <v>500000</v>
      </c>
      <c r="D31" s="19">
        <v>66650</v>
      </c>
      <c r="E31" s="19">
        <v>566650</v>
      </c>
      <c r="F31" s="33">
        <v>50</v>
      </c>
      <c r="G31" s="24">
        <v>11333</v>
      </c>
      <c r="H31" s="97">
        <v>13</v>
      </c>
      <c r="I31" s="97">
        <f t="shared" si="1"/>
        <v>37</v>
      </c>
      <c r="J31" s="91">
        <f t="shared" si="5"/>
        <v>147329</v>
      </c>
      <c r="K31" s="91">
        <f t="shared" si="3"/>
        <v>419321</v>
      </c>
      <c r="L31" s="122"/>
      <c r="M31" s="180" t="e">
        <f>#REF!-G31</f>
        <v>#REF!</v>
      </c>
    </row>
    <row r="32" spans="1:13" s="114" customFormat="1">
      <c r="A32" s="96">
        <v>27</v>
      </c>
      <c r="B32" s="4" t="s">
        <v>414</v>
      </c>
      <c r="C32" s="16">
        <v>180000</v>
      </c>
      <c r="D32" s="16">
        <v>23994</v>
      </c>
      <c r="E32" s="41">
        <f>SUM(C32:D32)</f>
        <v>203994</v>
      </c>
      <c r="F32" s="33">
        <v>40</v>
      </c>
      <c r="G32" s="167">
        <v>5099.8500000000004</v>
      </c>
      <c r="H32" s="97">
        <v>38</v>
      </c>
      <c r="I32" s="97">
        <f t="shared" si="1"/>
        <v>2</v>
      </c>
      <c r="J32" s="91">
        <f t="shared" si="5"/>
        <v>193794.30000000002</v>
      </c>
      <c r="K32" s="94">
        <f t="shared" si="3"/>
        <v>10199.699999999983</v>
      </c>
      <c r="L32" s="11"/>
      <c r="M32" s="180" t="e">
        <f>#REF!-G32</f>
        <v>#REF!</v>
      </c>
    </row>
    <row r="33" spans="1:13" s="114" customFormat="1">
      <c r="A33" s="96">
        <v>28</v>
      </c>
      <c r="B33" s="46" t="s">
        <v>362</v>
      </c>
      <c r="C33" s="12">
        <v>450000</v>
      </c>
      <c r="D33" s="12">
        <v>59985</v>
      </c>
      <c r="E33" s="15">
        <f>SUM(C33:D33)</f>
        <v>509985</v>
      </c>
      <c r="F33" s="31">
        <v>50</v>
      </c>
      <c r="G33" s="212">
        <v>10199.700000000001</v>
      </c>
      <c r="H33" s="14">
        <v>30</v>
      </c>
      <c r="I33" s="97">
        <f t="shared" si="1"/>
        <v>20</v>
      </c>
      <c r="J33" s="91">
        <f t="shared" si="5"/>
        <v>305991</v>
      </c>
      <c r="K33" s="15">
        <f t="shared" si="3"/>
        <v>203994</v>
      </c>
      <c r="L33" s="8"/>
      <c r="M33" s="180" t="e">
        <f>#REF!-G33</f>
        <v>#REF!</v>
      </c>
    </row>
    <row r="34" spans="1:13" s="114" customFormat="1">
      <c r="A34" s="96">
        <v>29</v>
      </c>
      <c r="B34" s="4" t="s">
        <v>315</v>
      </c>
      <c r="C34" s="19">
        <v>500000</v>
      </c>
      <c r="D34" s="19">
        <v>66650</v>
      </c>
      <c r="E34" s="19">
        <v>566650</v>
      </c>
      <c r="F34" s="33">
        <v>50</v>
      </c>
      <c r="G34" s="167">
        <v>11333</v>
      </c>
      <c r="H34" s="97">
        <v>13</v>
      </c>
      <c r="I34" s="97">
        <f t="shared" si="1"/>
        <v>37</v>
      </c>
      <c r="J34" s="91">
        <f t="shared" si="5"/>
        <v>147329</v>
      </c>
      <c r="K34" s="91">
        <f t="shared" si="3"/>
        <v>419321</v>
      </c>
      <c r="L34" s="122"/>
      <c r="M34" s="180" t="e">
        <f>#REF!-G34</f>
        <v>#REF!</v>
      </c>
    </row>
    <row r="35" spans="1:13" s="114" customFormat="1">
      <c r="A35" s="96">
        <v>30</v>
      </c>
      <c r="B35" s="2" t="s">
        <v>284</v>
      </c>
      <c r="C35" s="19">
        <v>500000</v>
      </c>
      <c r="D35" s="19">
        <v>66650</v>
      </c>
      <c r="E35" s="19">
        <v>566650</v>
      </c>
      <c r="F35" s="33">
        <v>50</v>
      </c>
      <c r="G35" s="167">
        <v>11333</v>
      </c>
      <c r="H35" s="97">
        <v>33</v>
      </c>
      <c r="I35" s="97">
        <f t="shared" si="1"/>
        <v>17</v>
      </c>
      <c r="J35" s="91">
        <f t="shared" si="5"/>
        <v>373989</v>
      </c>
      <c r="K35" s="91">
        <f t="shared" si="3"/>
        <v>192661</v>
      </c>
      <c r="L35" s="122"/>
      <c r="M35" s="180" t="e">
        <f>#REF!-G35</f>
        <v>#REF!</v>
      </c>
    </row>
    <row r="36" spans="1:13" s="114" customFormat="1">
      <c r="A36" s="96">
        <v>31</v>
      </c>
      <c r="B36" s="46" t="s">
        <v>216</v>
      </c>
      <c r="C36" s="16">
        <v>60000</v>
      </c>
      <c r="D36" s="16">
        <v>7998</v>
      </c>
      <c r="E36" s="41">
        <f>SUM(C36:D36)</f>
        <v>67998</v>
      </c>
      <c r="F36" s="33">
        <v>40</v>
      </c>
      <c r="G36" s="24">
        <v>1699.95</v>
      </c>
      <c r="H36" s="97">
        <v>2</v>
      </c>
      <c r="I36" s="97">
        <f t="shared" si="1"/>
        <v>38</v>
      </c>
      <c r="J36" s="91"/>
      <c r="K36" s="94">
        <f t="shared" si="3"/>
        <v>67998</v>
      </c>
      <c r="L36" s="11"/>
      <c r="M36" s="180" t="e">
        <f>#REF!-G36</f>
        <v>#REF!</v>
      </c>
    </row>
    <row r="37" spans="1:13" s="114" customFormat="1">
      <c r="A37" s="96">
        <v>32</v>
      </c>
      <c r="B37" s="4" t="s">
        <v>316</v>
      </c>
      <c r="C37" s="16">
        <v>500000</v>
      </c>
      <c r="D37" s="16">
        <v>66650</v>
      </c>
      <c r="E37" s="41">
        <f>SUM(C37:D37)</f>
        <v>566650</v>
      </c>
      <c r="F37" s="33">
        <v>50</v>
      </c>
      <c r="G37" s="167">
        <v>11333</v>
      </c>
      <c r="H37" s="97">
        <v>26</v>
      </c>
      <c r="I37" s="97">
        <f t="shared" si="1"/>
        <v>24</v>
      </c>
      <c r="J37" s="91">
        <f>H37*G37</f>
        <v>294658</v>
      </c>
      <c r="K37" s="94">
        <f t="shared" si="3"/>
        <v>271992</v>
      </c>
      <c r="L37" s="11"/>
      <c r="M37" s="180" t="e">
        <f>#REF!-G37</f>
        <v>#REF!</v>
      </c>
    </row>
    <row r="38" spans="1:13" s="114" customFormat="1">
      <c r="A38" s="96">
        <v>33</v>
      </c>
      <c r="B38" s="4" t="s">
        <v>317</v>
      </c>
      <c r="C38" s="16">
        <v>500000</v>
      </c>
      <c r="D38" s="16">
        <v>66650</v>
      </c>
      <c r="E38" s="41">
        <f>SUM(C38:D38)</f>
        <v>566650</v>
      </c>
      <c r="F38" s="33">
        <v>50</v>
      </c>
      <c r="G38" s="167">
        <v>11333</v>
      </c>
      <c r="H38" s="97">
        <v>36</v>
      </c>
      <c r="I38" s="97">
        <f t="shared" ref="I38:I69" si="6">F38-H38</f>
        <v>14</v>
      </c>
      <c r="J38" s="91">
        <f>H38*G38</f>
        <v>407988</v>
      </c>
      <c r="K38" s="94">
        <f t="shared" ref="K38:K69" si="7">E38-J38</f>
        <v>158662</v>
      </c>
      <c r="L38" s="11"/>
      <c r="M38" s="180" t="e">
        <f>#REF!-G38</f>
        <v>#REF!</v>
      </c>
    </row>
    <row r="39" spans="1:13" s="114" customFormat="1">
      <c r="A39" s="96">
        <v>34</v>
      </c>
      <c r="B39" s="4" t="s">
        <v>318</v>
      </c>
      <c r="C39" s="16">
        <v>500000</v>
      </c>
      <c r="D39" s="16">
        <v>66650</v>
      </c>
      <c r="E39" s="41">
        <f>SUM(C39:D39)</f>
        <v>566650</v>
      </c>
      <c r="F39" s="33">
        <v>50</v>
      </c>
      <c r="G39" s="167">
        <v>11333</v>
      </c>
      <c r="H39" s="97">
        <v>36</v>
      </c>
      <c r="I39" s="97">
        <f t="shared" si="6"/>
        <v>14</v>
      </c>
      <c r="J39" s="91">
        <f>H39*G39</f>
        <v>407988</v>
      </c>
      <c r="K39" s="94">
        <f t="shared" si="7"/>
        <v>158662</v>
      </c>
      <c r="L39" s="11"/>
      <c r="M39" s="180" t="e">
        <f>#REF!-G39</f>
        <v>#REF!</v>
      </c>
    </row>
    <row r="40" spans="1:13" s="114" customFormat="1">
      <c r="A40" s="96">
        <v>35</v>
      </c>
      <c r="B40" s="171" t="s">
        <v>363</v>
      </c>
      <c r="C40" s="16">
        <v>450000</v>
      </c>
      <c r="D40" s="16">
        <v>59985</v>
      </c>
      <c r="E40" s="16">
        <v>509985</v>
      </c>
      <c r="F40" s="33">
        <v>50</v>
      </c>
      <c r="G40" s="167">
        <v>10199.700000000001</v>
      </c>
      <c r="H40" s="97">
        <v>5</v>
      </c>
      <c r="I40" s="97">
        <f t="shared" si="6"/>
        <v>45</v>
      </c>
      <c r="J40" s="91">
        <f>(1*10199.7)</f>
        <v>10199.700000000001</v>
      </c>
      <c r="K40" s="94">
        <f t="shared" si="7"/>
        <v>499785.3</v>
      </c>
      <c r="L40" s="11"/>
      <c r="M40" s="180" t="e">
        <f>#REF!-G40</f>
        <v>#REF!</v>
      </c>
    </row>
    <row r="41" spans="1:13" s="114" customFormat="1">
      <c r="A41" s="96">
        <v>36</v>
      </c>
      <c r="B41" s="171" t="s">
        <v>319</v>
      </c>
      <c r="C41" s="16">
        <v>450000</v>
      </c>
      <c r="D41" s="16">
        <v>59985</v>
      </c>
      <c r="E41" s="41">
        <f t="shared" ref="E41:E51" si="8">SUM(C41:D41)</f>
        <v>509985</v>
      </c>
      <c r="F41" s="33">
        <v>50</v>
      </c>
      <c r="G41" s="167">
        <v>11333</v>
      </c>
      <c r="H41" s="97">
        <v>16</v>
      </c>
      <c r="I41" s="97">
        <f t="shared" si="6"/>
        <v>34</v>
      </c>
      <c r="J41" s="91">
        <f t="shared" ref="J41:J72" si="9">H41*G41</f>
        <v>181328</v>
      </c>
      <c r="K41" s="94">
        <f t="shared" si="7"/>
        <v>328657</v>
      </c>
      <c r="L41" s="11"/>
      <c r="M41" s="180" t="e">
        <f>#REF!-G41</f>
        <v>#REF!</v>
      </c>
    </row>
    <row r="42" spans="1:13" s="114" customFormat="1">
      <c r="A42" s="96">
        <v>37</v>
      </c>
      <c r="B42" s="2" t="s">
        <v>424</v>
      </c>
      <c r="C42" s="12">
        <v>150000</v>
      </c>
      <c r="D42" s="12">
        <v>19995</v>
      </c>
      <c r="E42" s="15">
        <f t="shared" si="8"/>
        <v>169995</v>
      </c>
      <c r="F42" s="31">
        <v>50</v>
      </c>
      <c r="G42" s="172">
        <v>3399.9</v>
      </c>
      <c r="H42" s="14">
        <v>32</v>
      </c>
      <c r="I42" s="97">
        <f t="shared" si="6"/>
        <v>18</v>
      </c>
      <c r="J42" s="91">
        <f t="shared" si="9"/>
        <v>108796.8</v>
      </c>
      <c r="K42" s="15">
        <f t="shared" si="7"/>
        <v>61198.2</v>
      </c>
      <c r="L42" s="8"/>
      <c r="M42" s="180" t="e">
        <f>#REF!-G42</f>
        <v>#REF!</v>
      </c>
    </row>
    <row r="43" spans="1:13" s="114" customFormat="1">
      <c r="A43" s="96">
        <v>38</v>
      </c>
      <c r="B43" s="4" t="s">
        <v>375</v>
      </c>
      <c r="C43" s="16">
        <v>330000</v>
      </c>
      <c r="D43" s="16">
        <v>43989</v>
      </c>
      <c r="E43" s="41">
        <f t="shared" si="8"/>
        <v>373989</v>
      </c>
      <c r="F43" s="33">
        <v>50</v>
      </c>
      <c r="G43" s="167">
        <v>7479.78</v>
      </c>
      <c r="H43" s="97">
        <v>27</v>
      </c>
      <c r="I43" s="97">
        <f t="shared" si="6"/>
        <v>23</v>
      </c>
      <c r="J43" s="91">
        <f t="shared" si="9"/>
        <v>201954.06</v>
      </c>
      <c r="K43" s="94">
        <f t="shared" si="7"/>
        <v>172034.94</v>
      </c>
      <c r="L43" s="11"/>
      <c r="M43" s="180" t="e">
        <f>#REF!-G43</f>
        <v>#REF!</v>
      </c>
    </row>
    <row r="44" spans="1:13" s="114" customFormat="1">
      <c r="A44" s="96">
        <v>39</v>
      </c>
      <c r="B44" s="4" t="s">
        <v>320</v>
      </c>
      <c r="C44" s="16">
        <v>500000</v>
      </c>
      <c r="D44" s="16">
        <v>66650</v>
      </c>
      <c r="E44" s="41">
        <f t="shared" si="8"/>
        <v>566650</v>
      </c>
      <c r="F44" s="33">
        <v>50</v>
      </c>
      <c r="G44" s="24">
        <v>11333</v>
      </c>
      <c r="H44" s="188">
        <v>3</v>
      </c>
      <c r="I44" s="188">
        <f t="shared" si="6"/>
        <v>47</v>
      </c>
      <c r="J44" s="91">
        <f t="shared" si="9"/>
        <v>33999</v>
      </c>
      <c r="K44" s="94">
        <f t="shared" si="7"/>
        <v>532651</v>
      </c>
      <c r="L44" s="122"/>
    </row>
    <row r="45" spans="1:13" s="114" customFormat="1">
      <c r="A45" s="96">
        <v>40</v>
      </c>
      <c r="B45" s="2" t="s">
        <v>112</v>
      </c>
      <c r="C45" s="16">
        <v>330000</v>
      </c>
      <c r="D45" s="16">
        <v>43989</v>
      </c>
      <c r="E45" s="41">
        <f t="shared" si="8"/>
        <v>373989</v>
      </c>
      <c r="F45" s="33">
        <v>50</v>
      </c>
      <c r="G45" s="174">
        <v>7479.78</v>
      </c>
      <c r="H45" s="97">
        <v>27</v>
      </c>
      <c r="I45" s="97">
        <f t="shared" si="6"/>
        <v>23</v>
      </c>
      <c r="J45" s="91">
        <f t="shared" si="9"/>
        <v>201954.06</v>
      </c>
      <c r="K45" s="94">
        <f t="shared" si="7"/>
        <v>172034.94</v>
      </c>
      <c r="L45" s="11"/>
      <c r="M45" s="180" t="e">
        <f>#REF!-G45</f>
        <v>#REF!</v>
      </c>
    </row>
    <row r="46" spans="1:13" s="114" customFormat="1">
      <c r="A46" s="96">
        <v>41</v>
      </c>
      <c r="B46" s="166" t="s">
        <v>285</v>
      </c>
      <c r="C46" s="41">
        <v>200000</v>
      </c>
      <c r="D46" s="41">
        <v>26660</v>
      </c>
      <c r="E46" s="41">
        <f t="shared" si="8"/>
        <v>226660</v>
      </c>
      <c r="F46" s="33">
        <v>40</v>
      </c>
      <c r="G46" s="174">
        <v>7479</v>
      </c>
      <c r="H46" s="97">
        <v>12</v>
      </c>
      <c r="I46" s="97">
        <f t="shared" si="6"/>
        <v>28</v>
      </c>
      <c r="J46" s="91">
        <f t="shared" si="9"/>
        <v>89748</v>
      </c>
      <c r="K46" s="94">
        <f t="shared" si="7"/>
        <v>136912</v>
      </c>
      <c r="L46" s="11"/>
      <c r="M46" s="180" t="e">
        <f>#REF!-G46</f>
        <v>#REF!</v>
      </c>
    </row>
    <row r="47" spans="1:13" s="114" customFormat="1">
      <c r="A47" s="96">
        <v>42</v>
      </c>
      <c r="B47" s="4" t="s">
        <v>321</v>
      </c>
      <c r="C47" s="16">
        <v>500000</v>
      </c>
      <c r="D47" s="16">
        <v>66650</v>
      </c>
      <c r="E47" s="41">
        <f t="shared" si="8"/>
        <v>566650</v>
      </c>
      <c r="F47" s="33">
        <v>50</v>
      </c>
      <c r="G47" s="167">
        <v>11333</v>
      </c>
      <c r="H47" s="97">
        <v>26</v>
      </c>
      <c r="I47" s="97">
        <f t="shared" si="6"/>
        <v>24</v>
      </c>
      <c r="J47" s="91">
        <f t="shared" si="9"/>
        <v>294658</v>
      </c>
      <c r="K47" s="94">
        <f t="shared" si="7"/>
        <v>271992</v>
      </c>
      <c r="L47" s="11"/>
      <c r="M47" s="180" t="e">
        <f>#REF!-G47</f>
        <v>#REF!</v>
      </c>
    </row>
    <row r="48" spans="1:13" s="114" customFormat="1">
      <c r="A48" s="96">
        <v>43</v>
      </c>
      <c r="B48" s="4" t="s">
        <v>322</v>
      </c>
      <c r="C48" s="16">
        <v>500000</v>
      </c>
      <c r="D48" s="16">
        <v>66650</v>
      </c>
      <c r="E48" s="41">
        <f t="shared" si="8"/>
        <v>566650</v>
      </c>
      <c r="F48" s="33">
        <v>50</v>
      </c>
      <c r="G48" s="24">
        <v>11333</v>
      </c>
      <c r="H48" s="97">
        <v>27</v>
      </c>
      <c r="I48" s="97">
        <f t="shared" si="6"/>
        <v>23</v>
      </c>
      <c r="J48" s="91">
        <f t="shared" si="9"/>
        <v>305991</v>
      </c>
      <c r="K48" s="94">
        <f t="shared" si="7"/>
        <v>260659</v>
      </c>
      <c r="L48" s="11"/>
      <c r="M48" s="180" t="e">
        <f>#REF!-G48</f>
        <v>#REF!</v>
      </c>
    </row>
    <row r="49" spans="1:13" s="114" customFormat="1">
      <c r="A49" s="96">
        <v>44</v>
      </c>
      <c r="B49" s="4" t="s">
        <v>323</v>
      </c>
      <c r="C49" s="16">
        <v>500000</v>
      </c>
      <c r="D49" s="16">
        <v>66650</v>
      </c>
      <c r="E49" s="41">
        <f t="shared" si="8"/>
        <v>566650</v>
      </c>
      <c r="F49" s="33">
        <v>50</v>
      </c>
      <c r="G49" s="24">
        <v>11333</v>
      </c>
      <c r="H49" s="97">
        <v>26</v>
      </c>
      <c r="I49" s="97">
        <f t="shared" si="6"/>
        <v>24</v>
      </c>
      <c r="J49" s="91">
        <f t="shared" si="9"/>
        <v>294658</v>
      </c>
      <c r="K49" s="94">
        <f t="shared" si="7"/>
        <v>271992</v>
      </c>
      <c r="L49" s="11"/>
      <c r="M49" s="180" t="e">
        <f>#REF!-G49</f>
        <v>#REF!</v>
      </c>
    </row>
    <row r="50" spans="1:13" s="114" customFormat="1">
      <c r="A50" s="96">
        <v>45</v>
      </c>
      <c r="B50" s="4" t="s">
        <v>324</v>
      </c>
      <c r="C50" s="12">
        <v>500000</v>
      </c>
      <c r="D50" s="12">
        <v>66650</v>
      </c>
      <c r="E50" s="15">
        <f t="shared" si="8"/>
        <v>566650</v>
      </c>
      <c r="F50" s="31">
        <v>50</v>
      </c>
      <c r="G50" s="200">
        <v>11333</v>
      </c>
      <c r="H50" s="14">
        <v>32</v>
      </c>
      <c r="I50" s="97">
        <f t="shared" si="6"/>
        <v>18</v>
      </c>
      <c r="J50" s="91">
        <f t="shared" si="9"/>
        <v>362656</v>
      </c>
      <c r="K50" s="15">
        <f t="shared" si="7"/>
        <v>203994</v>
      </c>
      <c r="L50" s="8"/>
      <c r="M50" s="180" t="e">
        <f>#REF!-G50</f>
        <v>#REF!</v>
      </c>
    </row>
    <row r="51" spans="1:13" s="114" customFormat="1">
      <c r="A51" s="96">
        <v>46</v>
      </c>
      <c r="B51" s="199" t="s">
        <v>376</v>
      </c>
      <c r="C51" s="16">
        <v>330000</v>
      </c>
      <c r="D51" s="16">
        <v>43989</v>
      </c>
      <c r="E51" s="41">
        <f t="shared" si="8"/>
        <v>373989</v>
      </c>
      <c r="F51" s="33">
        <v>50</v>
      </c>
      <c r="G51" s="179">
        <v>7479.78</v>
      </c>
      <c r="H51" s="97">
        <v>48</v>
      </c>
      <c r="I51" s="97">
        <f t="shared" si="6"/>
        <v>2</v>
      </c>
      <c r="J51" s="91">
        <f t="shared" si="9"/>
        <v>359029.44</v>
      </c>
      <c r="K51" s="94">
        <f t="shared" si="7"/>
        <v>14959.559999999998</v>
      </c>
      <c r="L51" s="11"/>
      <c r="M51" s="180" t="e">
        <f>#REF!-G51</f>
        <v>#REF!</v>
      </c>
    </row>
    <row r="52" spans="1:13" s="114" customFormat="1">
      <c r="A52" s="96">
        <v>47</v>
      </c>
      <c r="B52" s="4" t="s">
        <v>485</v>
      </c>
      <c r="C52" s="19">
        <v>450000</v>
      </c>
      <c r="D52" s="19">
        <v>59985</v>
      </c>
      <c r="E52" s="19">
        <v>509985</v>
      </c>
      <c r="F52" s="33">
        <v>50</v>
      </c>
      <c r="G52" s="211">
        <v>10199.700000000001</v>
      </c>
      <c r="H52" s="97">
        <v>38</v>
      </c>
      <c r="I52" s="97">
        <f t="shared" si="6"/>
        <v>12</v>
      </c>
      <c r="J52" s="91">
        <f t="shared" si="9"/>
        <v>387588.60000000003</v>
      </c>
      <c r="K52" s="94">
        <f t="shared" si="7"/>
        <v>122396.39999999997</v>
      </c>
      <c r="L52" s="11"/>
      <c r="M52" s="180"/>
    </row>
    <row r="53" spans="1:13" s="114" customFormat="1">
      <c r="A53" s="96">
        <v>48</v>
      </c>
      <c r="B53" s="4" t="s">
        <v>325</v>
      </c>
      <c r="C53" s="16">
        <v>500000</v>
      </c>
      <c r="D53" s="16">
        <v>66650</v>
      </c>
      <c r="E53" s="41">
        <f>SUM(C53:D53)</f>
        <v>566650</v>
      </c>
      <c r="F53" s="33">
        <v>50</v>
      </c>
      <c r="G53" s="167">
        <v>11333</v>
      </c>
      <c r="H53" s="97">
        <v>48</v>
      </c>
      <c r="I53" s="97">
        <f t="shared" si="6"/>
        <v>2</v>
      </c>
      <c r="J53" s="91">
        <f t="shared" si="9"/>
        <v>543984</v>
      </c>
      <c r="K53" s="94">
        <f t="shared" si="7"/>
        <v>22666</v>
      </c>
      <c r="L53" s="11"/>
      <c r="M53" s="180" t="e">
        <f>#REF!-G53</f>
        <v>#REF!</v>
      </c>
    </row>
    <row r="54" spans="1:13" s="114" customFormat="1">
      <c r="A54" s="96">
        <v>49</v>
      </c>
      <c r="B54" s="4" t="s">
        <v>326</v>
      </c>
      <c r="C54" s="19">
        <v>500000</v>
      </c>
      <c r="D54" s="19">
        <v>66650</v>
      </c>
      <c r="E54" s="19">
        <v>566650</v>
      </c>
      <c r="F54" s="33">
        <v>50</v>
      </c>
      <c r="G54" s="167">
        <v>11333</v>
      </c>
      <c r="H54" s="97">
        <v>12</v>
      </c>
      <c r="I54" s="97">
        <f t="shared" si="6"/>
        <v>38</v>
      </c>
      <c r="J54" s="91">
        <f t="shared" si="9"/>
        <v>135996</v>
      </c>
      <c r="K54" s="91">
        <f t="shared" si="7"/>
        <v>430654</v>
      </c>
      <c r="L54" s="122"/>
      <c r="M54" s="180" t="e">
        <f>#REF!-G54</f>
        <v>#REF!</v>
      </c>
    </row>
    <row r="55" spans="1:13" s="114" customFormat="1">
      <c r="A55" s="96">
        <v>50</v>
      </c>
      <c r="B55" s="4" t="s">
        <v>212</v>
      </c>
      <c r="C55" s="16">
        <v>150000</v>
      </c>
      <c r="D55" s="16">
        <v>19995</v>
      </c>
      <c r="E55" s="41">
        <f>SUM(C55:D55)</f>
        <v>169995</v>
      </c>
      <c r="F55" s="33">
        <v>50</v>
      </c>
      <c r="G55" s="167">
        <v>3399.9</v>
      </c>
      <c r="H55" s="97">
        <v>36</v>
      </c>
      <c r="I55" s="97">
        <f t="shared" si="6"/>
        <v>14</v>
      </c>
      <c r="J55" s="91">
        <f t="shared" si="9"/>
        <v>122396.40000000001</v>
      </c>
      <c r="K55" s="94">
        <f t="shared" si="7"/>
        <v>47598.599999999991</v>
      </c>
      <c r="L55" s="11"/>
      <c r="M55" s="180" t="e">
        <f>#REF!-G55</f>
        <v>#REF!</v>
      </c>
    </row>
    <row r="56" spans="1:13" s="114" customFormat="1">
      <c r="A56" s="96">
        <v>51</v>
      </c>
      <c r="B56" s="4" t="s">
        <v>306</v>
      </c>
      <c r="C56" s="16">
        <v>500000</v>
      </c>
      <c r="D56" s="16">
        <v>53320</v>
      </c>
      <c r="E56" s="41">
        <f>SUM(C56:D56)</f>
        <v>553320</v>
      </c>
      <c r="F56" s="33">
        <v>40</v>
      </c>
      <c r="G56" s="167">
        <v>13833</v>
      </c>
      <c r="H56" s="97">
        <v>48</v>
      </c>
      <c r="I56" s="97">
        <f t="shared" si="6"/>
        <v>-8</v>
      </c>
      <c r="J56" s="91">
        <f t="shared" si="9"/>
        <v>663984</v>
      </c>
      <c r="K56" s="94">
        <f t="shared" si="7"/>
        <v>-110664</v>
      </c>
      <c r="L56" s="11"/>
      <c r="M56" s="180" t="e">
        <f>#REF!-G56</f>
        <v>#REF!</v>
      </c>
    </row>
    <row r="57" spans="1:13" s="114" customFormat="1">
      <c r="A57" s="96">
        <v>52</v>
      </c>
      <c r="B57" s="2" t="s">
        <v>327</v>
      </c>
      <c r="C57" s="16">
        <v>500000</v>
      </c>
      <c r="D57" s="16">
        <v>66650</v>
      </c>
      <c r="E57" s="16">
        <v>566650</v>
      </c>
      <c r="F57" s="33">
        <v>50</v>
      </c>
      <c r="G57" s="24">
        <v>11333</v>
      </c>
      <c r="H57" s="97">
        <v>27</v>
      </c>
      <c r="I57" s="97">
        <f t="shared" si="6"/>
        <v>23</v>
      </c>
      <c r="J57" s="91">
        <f t="shared" si="9"/>
        <v>305991</v>
      </c>
      <c r="K57" s="94">
        <f t="shared" si="7"/>
        <v>260659</v>
      </c>
      <c r="L57" s="11"/>
      <c r="M57" s="180" t="e">
        <f>#REF!-G57</f>
        <v>#REF!</v>
      </c>
    </row>
    <row r="58" spans="1:13" s="114" customFormat="1">
      <c r="A58" s="96">
        <v>53</v>
      </c>
      <c r="B58" s="4" t="s">
        <v>328</v>
      </c>
      <c r="C58" s="16">
        <v>500000</v>
      </c>
      <c r="D58" s="16">
        <v>66650</v>
      </c>
      <c r="E58" s="41">
        <f>SUM(C58:D58)</f>
        <v>566650</v>
      </c>
      <c r="F58" s="33">
        <v>50</v>
      </c>
      <c r="G58" s="193">
        <v>11333</v>
      </c>
      <c r="H58" s="97">
        <v>27</v>
      </c>
      <c r="I58" s="97">
        <f t="shared" si="6"/>
        <v>23</v>
      </c>
      <c r="J58" s="91">
        <f t="shared" si="9"/>
        <v>305991</v>
      </c>
      <c r="K58" s="94">
        <f t="shared" si="7"/>
        <v>260659</v>
      </c>
      <c r="L58" s="11"/>
      <c r="M58" s="180" t="e">
        <f>#REF!-G58</f>
        <v>#REF!</v>
      </c>
    </row>
    <row r="59" spans="1:13" s="114" customFormat="1">
      <c r="A59" s="96">
        <v>54</v>
      </c>
      <c r="B59" s="4" t="s">
        <v>329</v>
      </c>
      <c r="C59" s="16">
        <v>500000</v>
      </c>
      <c r="D59" s="16">
        <v>66650</v>
      </c>
      <c r="E59" s="41">
        <f>SUM(C59:D59)</f>
        <v>566650</v>
      </c>
      <c r="F59" s="33">
        <v>50</v>
      </c>
      <c r="G59" s="167">
        <v>11333</v>
      </c>
      <c r="H59" s="97">
        <v>32</v>
      </c>
      <c r="I59" s="97">
        <f t="shared" si="6"/>
        <v>18</v>
      </c>
      <c r="J59" s="91">
        <f t="shared" si="9"/>
        <v>362656</v>
      </c>
      <c r="K59" s="94">
        <f t="shared" si="7"/>
        <v>203994</v>
      </c>
      <c r="L59" s="11"/>
      <c r="M59" s="180" t="e">
        <f>#REF!-G59</f>
        <v>#REF!</v>
      </c>
    </row>
    <row r="60" spans="1:13" s="114" customFormat="1">
      <c r="A60" s="96">
        <v>55</v>
      </c>
      <c r="B60" s="4" t="s">
        <v>330</v>
      </c>
      <c r="C60" s="16">
        <v>500000</v>
      </c>
      <c r="D60" s="16">
        <v>66650</v>
      </c>
      <c r="E60" s="41">
        <f>SUM(C60:D60)</f>
        <v>566650</v>
      </c>
      <c r="F60" s="33">
        <v>50</v>
      </c>
      <c r="G60" s="167">
        <v>11333</v>
      </c>
      <c r="H60" s="97">
        <v>48</v>
      </c>
      <c r="I60" s="97">
        <f t="shared" si="6"/>
        <v>2</v>
      </c>
      <c r="J60" s="91">
        <f t="shared" si="9"/>
        <v>543984</v>
      </c>
      <c r="K60" s="94">
        <f t="shared" si="7"/>
        <v>22666</v>
      </c>
      <c r="L60" s="11"/>
      <c r="M60" s="180" t="e">
        <f>#REF!-G60</f>
        <v>#REF!</v>
      </c>
    </row>
    <row r="61" spans="1:13" s="114" customFormat="1">
      <c r="A61" s="96">
        <v>56</v>
      </c>
      <c r="B61" s="4" t="s">
        <v>286</v>
      </c>
      <c r="C61" s="16">
        <v>450000</v>
      </c>
      <c r="D61" s="16">
        <v>59985</v>
      </c>
      <c r="E61" s="16">
        <v>509985</v>
      </c>
      <c r="F61" s="33">
        <v>50</v>
      </c>
      <c r="G61" s="167">
        <v>10199.700000000001</v>
      </c>
      <c r="H61" s="97">
        <v>15</v>
      </c>
      <c r="I61" s="97">
        <f t="shared" si="6"/>
        <v>35</v>
      </c>
      <c r="J61" s="91">
        <f t="shared" si="9"/>
        <v>152995.5</v>
      </c>
      <c r="K61" s="94">
        <f t="shared" si="7"/>
        <v>356989.5</v>
      </c>
      <c r="L61" s="11"/>
      <c r="M61" s="180" t="e">
        <f>#REF!-G61</f>
        <v>#REF!</v>
      </c>
    </row>
    <row r="62" spans="1:13" s="114" customFormat="1">
      <c r="A62" s="96">
        <v>57</v>
      </c>
      <c r="B62" s="28" t="s">
        <v>331</v>
      </c>
      <c r="C62" s="16">
        <v>500000</v>
      </c>
      <c r="D62" s="16">
        <v>66650</v>
      </c>
      <c r="E62" s="41">
        <f>SUM(C62:D62)</f>
        <v>566650</v>
      </c>
      <c r="F62" s="33">
        <v>50</v>
      </c>
      <c r="G62" s="167">
        <v>11333</v>
      </c>
      <c r="H62" s="97">
        <v>48</v>
      </c>
      <c r="I62" s="97">
        <f t="shared" si="6"/>
        <v>2</v>
      </c>
      <c r="J62" s="91">
        <f t="shared" si="9"/>
        <v>543984</v>
      </c>
      <c r="K62" s="94">
        <f t="shared" si="7"/>
        <v>22666</v>
      </c>
      <c r="L62" s="11"/>
      <c r="M62" s="180" t="e">
        <f>#REF!-G62</f>
        <v>#REF!</v>
      </c>
    </row>
    <row r="63" spans="1:13" s="114" customFormat="1">
      <c r="A63" s="96">
        <v>58</v>
      </c>
      <c r="B63" s="4" t="s">
        <v>301</v>
      </c>
      <c r="C63" s="16">
        <v>500000</v>
      </c>
      <c r="D63" s="16">
        <v>33325</v>
      </c>
      <c r="E63" s="41">
        <f>SUM(C63:D63)</f>
        <v>533325</v>
      </c>
      <c r="F63" s="33">
        <v>25</v>
      </c>
      <c r="G63" s="167">
        <v>21333</v>
      </c>
      <c r="H63" s="97">
        <v>17</v>
      </c>
      <c r="I63" s="97">
        <f t="shared" si="6"/>
        <v>8</v>
      </c>
      <c r="J63" s="91">
        <f t="shared" si="9"/>
        <v>362661</v>
      </c>
      <c r="K63" s="94">
        <f t="shared" si="7"/>
        <v>170664</v>
      </c>
      <c r="L63" s="11"/>
      <c r="M63" s="180" t="e">
        <f>#REF!-G63</f>
        <v>#REF!</v>
      </c>
    </row>
    <row r="64" spans="1:13" s="114" customFormat="1">
      <c r="A64" s="96">
        <v>59</v>
      </c>
      <c r="B64" s="4" t="s">
        <v>332</v>
      </c>
      <c r="C64" s="19">
        <v>500000</v>
      </c>
      <c r="D64" s="19">
        <v>66650</v>
      </c>
      <c r="E64" s="19">
        <v>566650</v>
      </c>
      <c r="F64" s="33">
        <v>50</v>
      </c>
      <c r="G64" s="167">
        <v>11333</v>
      </c>
      <c r="H64" s="97">
        <v>13</v>
      </c>
      <c r="I64" s="97">
        <f t="shared" si="6"/>
        <v>37</v>
      </c>
      <c r="J64" s="91">
        <f t="shared" si="9"/>
        <v>147329</v>
      </c>
      <c r="K64" s="91">
        <f t="shared" si="7"/>
        <v>419321</v>
      </c>
      <c r="L64" s="11"/>
      <c r="M64" s="180" t="e">
        <f>#REF!-G64</f>
        <v>#REF!</v>
      </c>
    </row>
    <row r="65" spans="1:13" s="114" customFormat="1">
      <c r="A65" s="96">
        <v>60</v>
      </c>
      <c r="B65" s="2" t="s">
        <v>403</v>
      </c>
      <c r="C65" s="41">
        <v>200000</v>
      </c>
      <c r="D65" s="41">
        <v>26660</v>
      </c>
      <c r="E65" s="41">
        <f>SUM(C65:D65)</f>
        <v>226660</v>
      </c>
      <c r="F65" s="33">
        <v>40</v>
      </c>
      <c r="G65" s="24">
        <v>5666.5</v>
      </c>
      <c r="H65" s="97">
        <v>40</v>
      </c>
      <c r="I65" s="97">
        <f t="shared" si="6"/>
        <v>0</v>
      </c>
      <c r="J65" s="91">
        <f t="shared" si="9"/>
        <v>226660</v>
      </c>
      <c r="K65" s="94">
        <f t="shared" si="7"/>
        <v>0</v>
      </c>
      <c r="L65" s="11"/>
      <c r="M65" s="180" t="e">
        <f>#REF!-G65</f>
        <v>#REF!</v>
      </c>
    </row>
    <row r="66" spans="1:13" s="114" customFormat="1">
      <c r="A66" s="96">
        <v>61</v>
      </c>
      <c r="B66" s="4" t="s">
        <v>364</v>
      </c>
      <c r="C66" s="16">
        <v>450000</v>
      </c>
      <c r="D66" s="16">
        <v>59985</v>
      </c>
      <c r="E66" s="16">
        <v>509985</v>
      </c>
      <c r="F66" s="33">
        <v>50</v>
      </c>
      <c r="G66" s="167">
        <v>10199.700000000001</v>
      </c>
      <c r="H66" s="97">
        <v>12</v>
      </c>
      <c r="I66" s="97">
        <f t="shared" si="6"/>
        <v>38</v>
      </c>
      <c r="J66" s="91">
        <f t="shared" si="9"/>
        <v>122396.40000000001</v>
      </c>
      <c r="K66" s="91">
        <f t="shared" si="7"/>
        <v>387588.6</v>
      </c>
      <c r="L66" s="122"/>
      <c r="M66" s="180" t="e">
        <f>#REF!-G66</f>
        <v>#REF!</v>
      </c>
    </row>
    <row r="67" spans="1:13" s="114" customFormat="1">
      <c r="A67" s="96">
        <v>62</v>
      </c>
      <c r="B67" s="4" t="s">
        <v>425</v>
      </c>
      <c r="C67" s="155">
        <v>150000</v>
      </c>
      <c r="D67" s="155">
        <v>19995</v>
      </c>
      <c r="E67" s="155">
        <f t="shared" ref="E67:E72" si="10">SUM(C67:D67)</f>
        <v>169995</v>
      </c>
      <c r="F67" s="33">
        <v>50</v>
      </c>
      <c r="G67" s="167">
        <v>3399.9</v>
      </c>
      <c r="H67" s="97">
        <v>13</v>
      </c>
      <c r="I67" s="97">
        <f t="shared" si="6"/>
        <v>37</v>
      </c>
      <c r="J67" s="91">
        <f t="shared" si="9"/>
        <v>44198.700000000004</v>
      </c>
      <c r="K67" s="91">
        <f t="shared" si="7"/>
        <v>125796.29999999999</v>
      </c>
      <c r="L67" s="122"/>
      <c r="M67" s="180" t="e">
        <f>#REF!-G67</f>
        <v>#REF!</v>
      </c>
    </row>
    <row r="68" spans="1:13" s="114" customFormat="1">
      <c r="A68" s="96">
        <v>63</v>
      </c>
      <c r="B68" s="4" t="s">
        <v>365</v>
      </c>
      <c r="C68" s="12">
        <v>450000</v>
      </c>
      <c r="D68" s="12">
        <v>59985</v>
      </c>
      <c r="E68" s="15">
        <f t="shared" si="10"/>
        <v>509985</v>
      </c>
      <c r="F68" s="31">
        <v>50</v>
      </c>
      <c r="G68" s="213">
        <v>10199.700000000001</v>
      </c>
      <c r="H68" s="14">
        <v>30</v>
      </c>
      <c r="I68" s="97">
        <f t="shared" si="6"/>
        <v>20</v>
      </c>
      <c r="J68" s="91">
        <f t="shared" si="9"/>
        <v>305991</v>
      </c>
      <c r="K68" s="15">
        <f t="shared" si="7"/>
        <v>203994</v>
      </c>
      <c r="L68" s="8"/>
      <c r="M68" s="180" t="e">
        <f>#REF!-G68</f>
        <v>#REF!</v>
      </c>
    </row>
    <row r="69" spans="1:13" s="114" customFormat="1">
      <c r="A69" s="96">
        <v>64</v>
      </c>
      <c r="B69" s="4" t="s">
        <v>422</v>
      </c>
      <c r="C69" s="16">
        <v>132000</v>
      </c>
      <c r="D69" s="16">
        <v>17595.599999999999</v>
      </c>
      <c r="E69" s="41">
        <f t="shared" si="10"/>
        <v>149595.6</v>
      </c>
      <c r="F69" s="33">
        <v>40</v>
      </c>
      <c r="G69" s="167">
        <v>3739.89</v>
      </c>
      <c r="H69" s="97">
        <v>40</v>
      </c>
      <c r="I69" s="97">
        <f t="shared" si="6"/>
        <v>0</v>
      </c>
      <c r="J69" s="91">
        <f t="shared" si="9"/>
        <v>149595.6</v>
      </c>
      <c r="K69" s="94">
        <f t="shared" si="7"/>
        <v>0</v>
      </c>
      <c r="L69" s="11"/>
      <c r="M69" s="180" t="e">
        <f>#REF!-G69</f>
        <v>#REF!</v>
      </c>
    </row>
    <row r="70" spans="1:13" s="114" customFormat="1">
      <c r="A70" s="96">
        <v>65</v>
      </c>
      <c r="B70" s="4" t="s">
        <v>73</v>
      </c>
      <c r="C70" s="16">
        <v>500000</v>
      </c>
      <c r="D70" s="16">
        <v>66650</v>
      </c>
      <c r="E70" s="41">
        <f t="shared" si="10"/>
        <v>566650</v>
      </c>
      <c r="F70" s="33">
        <v>50</v>
      </c>
      <c r="G70" s="167">
        <v>11333</v>
      </c>
      <c r="H70" s="97">
        <v>36</v>
      </c>
      <c r="I70" s="97">
        <f t="shared" ref="I70:I101" si="11">F70-H70</f>
        <v>14</v>
      </c>
      <c r="J70" s="91">
        <f t="shared" si="9"/>
        <v>407988</v>
      </c>
      <c r="K70" s="94">
        <f t="shared" ref="K70:K101" si="12">E70-J70</f>
        <v>158662</v>
      </c>
      <c r="L70" s="11"/>
      <c r="M70" s="180" t="e">
        <f>#REF!-G70</f>
        <v>#REF!</v>
      </c>
    </row>
    <row r="71" spans="1:13" s="114" customFormat="1">
      <c r="A71" s="96">
        <v>66</v>
      </c>
      <c r="B71" s="4" t="s">
        <v>333</v>
      </c>
      <c r="C71" s="16">
        <v>500000</v>
      </c>
      <c r="D71" s="16">
        <v>66650</v>
      </c>
      <c r="E71" s="41">
        <f t="shared" si="10"/>
        <v>566650</v>
      </c>
      <c r="F71" s="33">
        <v>50</v>
      </c>
      <c r="G71" s="167">
        <v>11333</v>
      </c>
      <c r="H71" s="97">
        <v>48</v>
      </c>
      <c r="I71" s="97">
        <f t="shared" si="11"/>
        <v>2</v>
      </c>
      <c r="J71" s="91">
        <f t="shared" si="9"/>
        <v>543984</v>
      </c>
      <c r="K71" s="94">
        <f t="shared" si="12"/>
        <v>22666</v>
      </c>
      <c r="L71" s="11"/>
      <c r="M71" s="180" t="e">
        <f>#REF!-G71</f>
        <v>#REF!</v>
      </c>
    </row>
    <row r="72" spans="1:13" s="114" customFormat="1">
      <c r="A72" s="96">
        <v>67</v>
      </c>
      <c r="B72" s="46" t="s">
        <v>426</v>
      </c>
      <c r="C72" s="16">
        <v>150000</v>
      </c>
      <c r="D72" s="16">
        <v>19995</v>
      </c>
      <c r="E72" s="41">
        <f t="shared" si="10"/>
        <v>169995</v>
      </c>
      <c r="F72" s="33">
        <v>50</v>
      </c>
      <c r="G72" s="24">
        <v>3399.9</v>
      </c>
      <c r="H72" s="97">
        <v>36</v>
      </c>
      <c r="I72" s="97">
        <f t="shared" si="11"/>
        <v>14</v>
      </c>
      <c r="J72" s="91">
        <f t="shared" si="9"/>
        <v>122396.40000000001</v>
      </c>
      <c r="K72" s="94">
        <f t="shared" si="12"/>
        <v>47598.599999999991</v>
      </c>
      <c r="L72" s="11"/>
      <c r="M72" s="180" t="e">
        <f>#REF!-G72</f>
        <v>#REF!</v>
      </c>
    </row>
    <row r="73" spans="1:13" s="114" customFormat="1">
      <c r="A73" s="96">
        <v>68</v>
      </c>
      <c r="B73" s="4" t="s">
        <v>334</v>
      </c>
      <c r="C73" s="19">
        <v>500000</v>
      </c>
      <c r="D73" s="19">
        <v>66650</v>
      </c>
      <c r="E73" s="19">
        <v>566650</v>
      </c>
      <c r="F73" s="33">
        <v>50</v>
      </c>
      <c r="G73" s="167">
        <v>11333</v>
      </c>
      <c r="H73" s="97">
        <v>13</v>
      </c>
      <c r="I73" s="97">
        <f t="shared" si="11"/>
        <v>37</v>
      </c>
      <c r="J73" s="91">
        <f t="shared" ref="J73:J98" si="13">H73*G73</f>
        <v>147329</v>
      </c>
      <c r="K73" s="91">
        <f t="shared" si="12"/>
        <v>419321</v>
      </c>
      <c r="L73" s="122"/>
      <c r="M73" s="180" t="e">
        <f>#REF!-G73</f>
        <v>#REF!</v>
      </c>
    </row>
    <row r="74" spans="1:13" s="114" customFormat="1">
      <c r="A74" s="96">
        <v>69</v>
      </c>
      <c r="B74" s="4" t="s">
        <v>335</v>
      </c>
      <c r="C74" s="16">
        <v>500000</v>
      </c>
      <c r="D74" s="16">
        <v>66650</v>
      </c>
      <c r="E74" s="41">
        <f>SUM(C74:D74)</f>
        <v>566650</v>
      </c>
      <c r="F74" s="33">
        <v>50</v>
      </c>
      <c r="G74" s="24">
        <v>11333</v>
      </c>
      <c r="H74" s="97">
        <v>26</v>
      </c>
      <c r="I74" s="97">
        <f t="shared" si="11"/>
        <v>24</v>
      </c>
      <c r="J74" s="91">
        <f t="shared" si="13"/>
        <v>294658</v>
      </c>
      <c r="K74" s="94">
        <f t="shared" si="12"/>
        <v>271992</v>
      </c>
      <c r="L74" s="11"/>
      <c r="M74" s="180" t="e">
        <f>#REF!-G74</f>
        <v>#REF!</v>
      </c>
    </row>
    <row r="75" spans="1:13" s="114" customFormat="1">
      <c r="A75" s="96">
        <v>70</v>
      </c>
      <c r="B75" s="4" t="s">
        <v>336</v>
      </c>
      <c r="C75" s="16">
        <v>500000</v>
      </c>
      <c r="D75" s="16">
        <v>66650</v>
      </c>
      <c r="E75" s="16">
        <v>566650</v>
      </c>
      <c r="F75" s="33">
        <v>50</v>
      </c>
      <c r="G75" s="167">
        <v>11333</v>
      </c>
      <c r="H75" s="97">
        <v>26</v>
      </c>
      <c r="I75" s="97">
        <f t="shared" si="11"/>
        <v>24</v>
      </c>
      <c r="J75" s="91">
        <f t="shared" si="13"/>
        <v>294658</v>
      </c>
      <c r="K75" s="94">
        <f t="shared" si="12"/>
        <v>271992</v>
      </c>
      <c r="L75" s="11"/>
      <c r="M75" s="180" t="e">
        <f>#REF!-G75</f>
        <v>#REF!</v>
      </c>
    </row>
    <row r="76" spans="1:13" s="114" customFormat="1">
      <c r="A76" s="96">
        <v>71</v>
      </c>
      <c r="B76" s="46" t="s">
        <v>287</v>
      </c>
      <c r="C76" s="16">
        <v>450000</v>
      </c>
      <c r="D76" s="16">
        <v>59985</v>
      </c>
      <c r="E76" s="16">
        <v>509985</v>
      </c>
      <c r="F76" s="33">
        <v>50</v>
      </c>
      <c r="G76" s="167">
        <v>10199.700000000001</v>
      </c>
      <c r="H76" s="97">
        <v>20</v>
      </c>
      <c r="I76" s="97">
        <f t="shared" si="11"/>
        <v>30</v>
      </c>
      <c r="J76" s="91">
        <f t="shared" si="13"/>
        <v>203994</v>
      </c>
      <c r="K76" s="94">
        <f t="shared" si="12"/>
        <v>305991</v>
      </c>
      <c r="L76" s="122"/>
      <c r="M76" s="180" t="e">
        <f>#REF!-G76</f>
        <v>#REF!</v>
      </c>
    </row>
    <row r="77" spans="1:13" s="114" customFormat="1">
      <c r="A77" s="96">
        <v>72</v>
      </c>
      <c r="B77" s="4" t="s">
        <v>366</v>
      </c>
      <c r="C77" s="16">
        <v>450000</v>
      </c>
      <c r="D77" s="16">
        <v>59985</v>
      </c>
      <c r="E77" s="41">
        <f>SUM(C77:D77)</f>
        <v>509985</v>
      </c>
      <c r="F77" s="33">
        <v>50</v>
      </c>
      <c r="G77" s="167">
        <v>10199.700000000001</v>
      </c>
      <c r="H77" s="97">
        <v>32</v>
      </c>
      <c r="I77" s="97">
        <f t="shared" si="11"/>
        <v>18</v>
      </c>
      <c r="J77" s="91">
        <f t="shared" si="13"/>
        <v>326390.40000000002</v>
      </c>
      <c r="K77" s="94">
        <f t="shared" si="12"/>
        <v>183594.59999999998</v>
      </c>
      <c r="L77" s="11"/>
      <c r="M77" s="180" t="e">
        <f>#REF!-G77</f>
        <v>#REF!</v>
      </c>
    </row>
    <row r="78" spans="1:13" s="114" customFormat="1">
      <c r="A78" s="96">
        <v>73</v>
      </c>
      <c r="B78" s="4" t="s">
        <v>337</v>
      </c>
      <c r="C78" s="16">
        <v>500000</v>
      </c>
      <c r="D78" s="16">
        <v>66650</v>
      </c>
      <c r="E78" s="41">
        <f>SUM(C78:D78)</f>
        <v>566650</v>
      </c>
      <c r="F78" s="33">
        <v>50</v>
      </c>
      <c r="G78" s="167">
        <v>11333</v>
      </c>
      <c r="H78" s="97">
        <v>27</v>
      </c>
      <c r="I78" s="97">
        <f t="shared" si="11"/>
        <v>23</v>
      </c>
      <c r="J78" s="91">
        <f t="shared" si="13"/>
        <v>305991</v>
      </c>
      <c r="K78" s="94">
        <f t="shared" si="12"/>
        <v>260659</v>
      </c>
      <c r="L78" s="11"/>
      <c r="M78" s="180" t="e">
        <f>#REF!-G78</f>
        <v>#REF!</v>
      </c>
    </row>
    <row r="79" spans="1:13" s="114" customFormat="1">
      <c r="A79" s="96">
        <v>74</v>
      </c>
      <c r="B79" s="46" t="s">
        <v>288</v>
      </c>
      <c r="C79" s="16">
        <v>500000</v>
      </c>
      <c r="D79" s="16">
        <v>66650</v>
      </c>
      <c r="E79" s="41">
        <f>SUM(C79:D79)</f>
        <v>566650</v>
      </c>
      <c r="F79" s="33">
        <v>50</v>
      </c>
      <c r="G79" s="167">
        <v>11333</v>
      </c>
      <c r="H79" s="97">
        <v>27</v>
      </c>
      <c r="I79" s="97">
        <f t="shared" si="11"/>
        <v>23</v>
      </c>
      <c r="J79" s="91">
        <f t="shared" si="13"/>
        <v>305991</v>
      </c>
      <c r="K79" s="94">
        <f t="shared" si="12"/>
        <v>260659</v>
      </c>
      <c r="L79" s="11"/>
      <c r="M79" s="180" t="e">
        <f>#REF!-G79</f>
        <v>#REF!</v>
      </c>
    </row>
    <row r="80" spans="1:13" s="114" customFormat="1">
      <c r="A80" s="96">
        <v>75</v>
      </c>
      <c r="B80" s="4" t="s">
        <v>338</v>
      </c>
      <c r="C80" s="16">
        <v>500000</v>
      </c>
      <c r="D80" s="16">
        <v>66650</v>
      </c>
      <c r="E80" s="41">
        <f>SUM(C80:D80)</f>
        <v>566650</v>
      </c>
      <c r="F80" s="33">
        <v>50</v>
      </c>
      <c r="G80" s="24">
        <v>11333</v>
      </c>
      <c r="H80" s="97">
        <v>48</v>
      </c>
      <c r="I80" s="97">
        <f t="shared" si="11"/>
        <v>2</v>
      </c>
      <c r="J80" s="91">
        <f t="shared" si="13"/>
        <v>543984</v>
      </c>
      <c r="K80" s="94">
        <f t="shared" si="12"/>
        <v>22666</v>
      </c>
      <c r="L80" s="11"/>
      <c r="M80" s="180" t="e">
        <f>#REF!-G80</f>
        <v>#REF!</v>
      </c>
    </row>
    <row r="81" spans="1:13" s="114" customFormat="1">
      <c r="A81" s="96">
        <v>76</v>
      </c>
      <c r="B81" s="2" t="s">
        <v>339</v>
      </c>
      <c r="C81" s="19">
        <v>500000</v>
      </c>
      <c r="D81" s="19">
        <v>66650</v>
      </c>
      <c r="E81" s="19">
        <v>566650</v>
      </c>
      <c r="F81" s="33">
        <v>50</v>
      </c>
      <c r="G81" s="24">
        <v>11333</v>
      </c>
      <c r="H81" s="97">
        <v>13</v>
      </c>
      <c r="I81" s="97">
        <f t="shared" si="11"/>
        <v>37</v>
      </c>
      <c r="J81" s="91">
        <f t="shared" si="13"/>
        <v>147329</v>
      </c>
      <c r="K81" s="91">
        <f t="shared" si="12"/>
        <v>419321</v>
      </c>
      <c r="L81" s="11"/>
      <c r="M81" s="180" t="e">
        <f>#REF!-G81</f>
        <v>#REF!</v>
      </c>
    </row>
    <row r="82" spans="1:13" s="114" customFormat="1">
      <c r="A82" s="96">
        <v>77</v>
      </c>
      <c r="B82" s="2" t="s">
        <v>340</v>
      </c>
      <c r="C82" s="16">
        <v>500000</v>
      </c>
      <c r="D82" s="16">
        <v>66650</v>
      </c>
      <c r="E82" s="41">
        <f>SUM(C82:D82)</f>
        <v>566650</v>
      </c>
      <c r="F82" s="33">
        <v>50</v>
      </c>
      <c r="G82" s="24">
        <v>11333</v>
      </c>
      <c r="H82" s="97">
        <v>27</v>
      </c>
      <c r="I82" s="97">
        <f t="shared" si="11"/>
        <v>23</v>
      </c>
      <c r="J82" s="91">
        <f t="shared" si="13"/>
        <v>305991</v>
      </c>
      <c r="K82" s="94">
        <f t="shared" si="12"/>
        <v>260659</v>
      </c>
      <c r="L82" s="11"/>
      <c r="M82" s="180" t="e">
        <f>#REF!-G82</f>
        <v>#REF!</v>
      </c>
    </row>
    <row r="83" spans="1:13" s="114" customFormat="1">
      <c r="A83" s="96">
        <v>78</v>
      </c>
      <c r="B83" s="4" t="s">
        <v>341</v>
      </c>
      <c r="C83" s="19">
        <v>500000</v>
      </c>
      <c r="D83" s="19">
        <v>66650</v>
      </c>
      <c r="E83" s="19">
        <v>566650</v>
      </c>
      <c r="F83" s="33">
        <v>50</v>
      </c>
      <c r="G83" s="167">
        <v>11333</v>
      </c>
      <c r="H83" s="97">
        <v>13</v>
      </c>
      <c r="I83" s="97">
        <f t="shared" si="11"/>
        <v>37</v>
      </c>
      <c r="J83" s="91">
        <f t="shared" si="13"/>
        <v>147329</v>
      </c>
      <c r="K83" s="91">
        <f t="shared" si="12"/>
        <v>419321</v>
      </c>
      <c r="L83" s="122"/>
      <c r="M83" s="180" t="e">
        <f>#REF!-G83</f>
        <v>#REF!</v>
      </c>
    </row>
    <row r="84" spans="1:13" s="114" customFormat="1">
      <c r="A84" s="96">
        <v>79</v>
      </c>
      <c r="B84" s="4" t="s">
        <v>367</v>
      </c>
      <c r="C84" s="16">
        <v>450000</v>
      </c>
      <c r="D84" s="16">
        <v>59985</v>
      </c>
      <c r="E84" s="41">
        <f>SUM(C84:D84)</f>
        <v>509985</v>
      </c>
      <c r="F84" s="33">
        <v>50</v>
      </c>
      <c r="G84" s="24">
        <v>10199.700000000001</v>
      </c>
      <c r="H84" s="97">
        <v>27</v>
      </c>
      <c r="I84" s="97">
        <f t="shared" si="11"/>
        <v>23</v>
      </c>
      <c r="J84" s="91">
        <f t="shared" si="13"/>
        <v>275391.90000000002</v>
      </c>
      <c r="K84" s="94">
        <f t="shared" si="12"/>
        <v>234593.09999999998</v>
      </c>
      <c r="L84" s="11"/>
      <c r="M84" s="180" t="e">
        <f>#REF!-G84</f>
        <v>#REF!</v>
      </c>
    </row>
    <row r="85" spans="1:13" s="114" customFormat="1">
      <c r="A85" s="96">
        <v>80</v>
      </c>
      <c r="B85" s="4" t="s">
        <v>342</v>
      </c>
      <c r="C85" s="16">
        <v>500000</v>
      </c>
      <c r="D85" s="16">
        <v>66650</v>
      </c>
      <c r="E85" s="41">
        <f>SUM(C85:D85)</f>
        <v>566650</v>
      </c>
      <c r="F85" s="33">
        <v>50</v>
      </c>
      <c r="G85" s="167">
        <v>11333</v>
      </c>
      <c r="H85" s="97">
        <v>48</v>
      </c>
      <c r="I85" s="97">
        <f t="shared" si="11"/>
        <v>2</v>
      </c>
      <c r="J85" s="91">
        <f t="shared" si="13"/>
        <v>543984</v>
      </c>
      <c r="K85" s="94">
        <f t="shared" si="12"/>
        <v>22666</v>
      </c>
      <c r="L85" s="11"/>
      <c r="M85" s="180" t="e">
        <f>#REF!-G85</f>
        <v>#REF!</v>
      </c>
    </row>
    <row r="86" spans="1:13" s="114" customFormat="1">
      <c r="A86" s="96">
        <v>81</v>
      </c>
      <c r="B86" s="4" t="s">
        <v>407</v>
      </c>
      <c r="C86" s="41">
        <v>200000</v>
      </c>
      <c r="D86" s="41">
        <v>26660</v>
      </c>
      <c r="E86" s="41">
        <v>226660</v>
      </c>
      <c r="F86" s="33">
        <v>40</v>
      </c>
      <c r="G86" s="167">
        <v>5666.5</v>
      </c>
      <c r="H86" s="97">
        <v>40</v>
      </c>
      <c r="I86" s="97">
        <f t="shared" si="11"/>
        <v>0</v>
      </c>
      <c r="J86" s="91">
        <f t="shared" si="13"/>
        <v>226660</v>
      </c>
      <c r="K86" s="94">
        <f t="shared" si="12"/>
        <v>0</v>
      </c>
      <c r="L86" s="11"/>
      <c r="M86" s="180" t="e">
        <f>#REF!-G86</f>
        <v>#REF!</v>
      </c>
    </row>
    <row r="87" spans="1:13" s="114" customFormat="1">
      <c r="A87" s="96">
        <v>82</v>
      </c>
      <c r="B87" s="4" t="s">
        <v>343</v>
      </c>
      <c r="C87" s="12">
        <v>500000</v>
      </c>
      <c r="D87" s="12">
        <v>66650</v>
      </c>
      <c r="E87" s="15">
        <f>SUM(C87:D87)</f>
        <v>566650</v>
      </c>
      <c r="F87" s="31">
        <v>50</v>
      </c>
      <c r="G87" s="207">
        <v>11333</v>
      </c>
      <c r="H87" s="14">
        <v>32</v>
      </c>
      <c r="I87" s="97">
        <f t="shared" si="11"/>
        <v>18</v>
      </c>
      <c r="J87" s="91">
        <f t="shared" si="13"/>
        <v>362656</v>
      </c>
      <c r="K87" s="15">
        <f t="shared" si="12"/>
        <v>203994</v>
      </c>
      <c r="L87" s="8"/>
      <c r="M87" s="180" t="e">
        <f>#REF!-G87</f>
        <v>#REF!</v>
      </c>
    </row>
    <row r="88" spans="1:13" s="114" customFormat="1">
      <c r="A88" s="96">
        <v>83</v>
      </c>
      <c r="B88" s="28" t="s">
        <v>344</v>
      </c>
      <c r="C88" s="16">
        <v>500000</v>
      </c>
      <c r="D88" s="16">
        <v>66650</v>
      </c>
      <c r="E88" s="41">
        <f>SUM(C88:D88)</f>
        <v>566650</v>
      </c>
      <c r="F88" s="33">
        <v>50</v>
      </c>
      <c r="G88" s="167">
        <v>11333</v>
      </c>
      <c r="H88" s="97">
        <v>48</v>
      </c>
      <c r="I88" s="97">
        <f t="shared" si="11"/>
        <v>2</v>
      </c>
      <c r="J88" s="91">
        <f t="shared" si="13"/>
        <v>543984</v>
      </c>
      <c r="K88" s="94">
        <f t="shared" si="12"/>
        <v>22666</v>
      </c>
      <c r="L88" s="11"/>
      <c r="M88" s="180" t="e">
        <f>#REF!-G88</f>
        <v>#REF!</v>
      </c>
    </row>
    <row r="89" spans="1:13" s="114" customFormat="1">
      <c r="A89" s="96">
        <v>84</v>
      </c>
      <c r="B89" s="4" t="s">
        <v>345</v>
      </c>
      <c r="C89" s="19">
        <v>500000</v>
      </c>
      <c r="D89" s="19">
        <v>66650</v>
      </c>
      <c r="E89" s="19">
        <v>566650</v>
      </c>
      <c r="F89" s="33">
        <v>50</v>
      </c>
      <c r="G89" s="167">
        <v>11333</v>
      </c>
      <c r="H89" s="97">
        <v>13</v>
      </c>
      <c r="I89" s="97">
        <f t="shared" si="11"/>
        <v>37</v>
      </c>
      <c r="J89" s="91">
        <f t="shared" si="13"/>
        <v>147329</v>
      </c>
      <c r="K89" s="91">
        <f t="shared" si="12"/>
        <v>419321</v>
      </c>
      <c r="L89" s="122"/>
      <c r="M89" s="180" t="e">
        <f>#REF!-G89</f>
        <v>#REF!</v>
      </c>
    </row>
    <row r="90" spans="1:13" s="114" customFormat="1">
      <c r="A90" s="96">
        <v>85</v>
      </c>
      <c r="B90" s="4" t="s">
        <v>99</v>
      </c>
      <c r="C90" s="16">
        <v>450000</v>
      </c>
      <c r="D90" s="16">
        <v>59985</v>
      </c>
      <c r="E90" s="41">
        <f>SUM(C90:D90)</f>
        <v>509985</v>
      </c>
      <c r="F90" s="33">
        <v>50</v>
      </c>
      <c r="G90" s="167">
        <v>10199.700000000001</v>
      </c>
      <c r="H90" s="159">
        <v>36</v>
      </c>
      <c r="I90" s="97">
        <f t="shared" si="11"/>
        <v>14</v>
      </c>
      <c r="J90" s="91">
        <f t="shared" si="13"/>
        <v>367189.2</v>
      </c>
      <c r="K90" s="94">
        <f t="shared" si="12"/>
        <v>142795.79999999999</v>
      </c>
      <c r="L90" s="11"/>
      <c r="M90" s="180" t="e">
        <f>#REF!-G90</f>
        <v>#REF!</v>
      </c>
    </row>
    <row r="91" spans="1:13" s="114" customFormat="1">
      <c r="A91" s="96">
        <v>86</v>
      </c>
      <c r="B91" s="4" t="s">
        <v>416</v>
      </c>
      <c r="C91" s="12">
        <v>180000</v>
      </c>
      <c r="D91" s="12">
        <v>23994</v>
      </c>
      <c r="E91" s="15">
        <f>SUM(C91:D91)</f>
        <v>203994</v>
      </c>
      <c r="F91" s="30">
        <v>40</v>
      </c>
      <c r="G91" s="167">
        <v>5099.8500000000004</v>
      </c>
      <c r="H91" s="14">
        <v>46</v>
      </c>
      <c r="I91" s="97">
        <f t="shared" si="11"/>
        <v>-6</v>
      </c>
      <c r="J91" s="91">
        <f t="shared" si="13"/>
        <v>234593.1</v>
      </c>
      <c r="K91" s="15">
        <f t="shared" si="12"/>
        <v>-30599.100000000006</v>
      </c>
      <c r="L91" s="10"/>
      <c r="M91" s="180" t="e">
        <f>#REF!-G91</f>
        <v>#REF!</v>
      </c>
    </row>
    <row r="92" spans="1:13" s="114" customFormat="1">
      <c r="A92" s="96">
        <v>87</v>
      </c>
      <c r="B92" s="4" t="s">
        <v>346</v>
      </c>
      <c r="C92" s="19">
        <v>500000</v>
      </c>
      <c r="D92" s="19">
        <v>66650</v>
      </c>
      <c r="E92" s="19">
        <v>566650</v>
      </c>
      <c r="F92" s="33">
        <v>50</v>
      </c>
      <c r="G92" s="167">
        <v>11333</v>
      </c>
      <c r="H92" s="97">
        <v>12</v>
      </c>
      <c r="I92" s="97">
        <f t="shared" si="11"/>
        <v>38</v>
      </c>
      <c r="J92" s="91">
        <f t="shared" si="13"/>
        <v>135996</v>
      </c>
      <c r="K92" s="91">
        <f t="shared" si="12"/>
        <v>430654</v>
      </c>
      <c r="L92" s="11"/>
      <c r="M92" s="180" t="e">
        <f>#REF!-G92</f>
        <v>#REF!</v>
      </c>
    </row>
    <row r="93" spans="1:13" s="114" customFormat="1">
      <c r="A93" s="96">
        <v>88</v>
      </c>
      <c r="B93" s="4" t="s">
        <v>408</v>
      </c>
      <c r="C93" s="41">
        <v>200000</v>
      </c>
      <c r="D93" s="41">
        <v>26660</v>
      </c>
      <c r="E93" s="41">
        <v>226660</v>
      </c>
      <c r="F93" s="33">
        <v>40</v>
      </c>
      <c r="G93" s="167">
        <v>5666.5</v>
      </c>
      <c r="H93" s="97">
        <v>40</v>
      </c>
      <c r="I93" s="97">
        <f t="shared" si="11"/>
        <v>0</v>
      </c>
      <c r="J93" s="91">
        <f t="shared" si="13"/>
        <v>226660</v>
      </c>
      <c r="K93" s="94">
        <f t="shared" si="12"/>
        <v>0</v>
      </c>
      <c r="L93" s="11"/>
      <c r="M93" s="180" t="e">
        <f>#REF!-G93</f>
        <v>#REF!</v>
      </c>
    </row>
    <row r="94" spans="1:13" s="114" customFormat="1">
      <c r="A94" s="96">
        <v>89</v>
      </c>
      <c r="B94" s="4" t="s">
        <v>83</v>
      </c>
      <c r="C94" s="12">
        <v>500000</v>
      </c>
      <c r="D94" s="12">
        <v>66650</v>
      </c>
      <c r="E94" s="15">
        <f>SUM(C94:D94)</f>
        <v>566650</v>
      </c>
      <c r="F94" s="31">
        <v>50</v>
      </c>
      <c r="G94" s="210">
        <v>11333</v>
      </c>
      <c r="H94" s="14">
        <v>30</v>
      </c>
      <c r="I94" s="97">
        <f t="shared" si="11"/>
        <v>20</v>
      </c>
      <c r="J94" s="91">
        <f t="shared" si="13"/>
        <v>339990</v>
      </c>
      <c r="K94" s="15">
        <f t="shared" si="12"/>
        <v>226660</v>
      </c>
      <c r="L94" s="8"/>
      <c r="M94" s="180" t="e">
        <f>#REF!-G94</f>
        <v>#REF!</v>
      </c>
    </row>
    <row r="95" spans="1:13" s="114" customFormat="1">
      <c r="A95" s="96">
        <v>90</v>
      </c>
      <c r="B95" s="4" t="s">
        <v>368</v>
      </c>
      <c r="C95" s="16">
        <v>450000</v>
      </c>
      <c r="D95" s="16">
        <v>59985</v>
      </c>
      <c r="E95" s="16">
        <v>509985</v>
      </c>
      <c r="F95" s="33">
        <v>50</v>
      </c>
      <c r="G95" s="167">
        <v>10199.700000000001</v>
      </c>
      <c r="H95" s="97">
        <v>12</v>
      </c>
      <c r="I95" s="97">
        <f t="shared" si="11"/>
        <v>38</v>
      </c>
      <c r="J95" s="91">
        <f t="shared" si="13"/>
        <v>122396.40000000001</v>
      </c>
      <c r="K95" s="91">
        <f t="shared" si="12"/>
        <v>387588.6</v>
      </c>
      <c r="L95" s="122"/>
      <c r="M95" s="180" t="e">
        <f>#REF!-G95</f>
        <v>#REF!</v>
      </c>
    </row>
    <row r="96" spans="1:13" s="114" customFormat="1">
      <c r="A96" s="96">
        <v>91</v>
      </c>
      <c r="B96" s="4" t="s">
        <v>347</v>
      </c>
      <c r="C96" s="16">
        <v>500000</v>
      </c>
      <c r="D96" s="16">
        <v>66650</v>
      </c>
      <c r="E96" s="41">
        <f>SUM(C96:D96)</f>
        <v>566650</v>
      </c>
      <c r="F96" s="33">
        <v>50</v>
      </c>
      <c r="G96" s="167">
        <v>11333</v>
      </c>
      <c r="H96" s="97">
        <v>27</v>
      </c>
      <c r="I96" s="97">
        <f t="shared" si="11"/>
        <v>23</v>
      </c>
      <c r="J96" s="91">
        <f t="shared" si="13"/>
        <v>305991</v>
      </c>
      <c r="K96" s="94">
        <f t="shared" si="12"/>
        <v>260659</v>
      </c>
      <c r="L96" s="11"/>
      <c r="M96" s="180" t="e">
        <f>#REF!-G96</f>
        <v>#REF!</v>
      </c>
    </row>
    <row r="97" spans="1:13" s="114" customFormat="1">
      <c r="A97" s="96">
        <v>92</v>
      </c>
      <c r="B97" s="4" t="s">
        <v>409</v>
      </c>
      <c r="C97" s="41">
        <v>200000</v>
      </c>
      <c r="D97" s="41">
        <v>26660</v>
      </c>
      <c r="E97" s="41">
        <f>SUM(C97:D97)</f>
        <v>226660</v>
      </c>
      <c r="F97" s="33">
        <v>40</v>
      </c>
      <c r="G97" s="167">
        <v>5666.5</v>
      </c>
      <c r="H97" s="97">
        <v>40</v>
      </c>
      <c r="I97" s="97">
        <f t="shared" si="11"/>
        <v>0</v>
      </c>
      <c r="J97" s="91">
        <f t="shared" si="13"/>
        <v>226660</v>
      </c>
      <c r="K97" s="94">
        <f t="shared" si="12"/>
        <v>0</v>
      </c>
      <c r="L97" s="11"/>
      <c r="M97" s="180" t="e">
        <f>#REF!-G97</f>
        <v>#REF!</v>
      </c>
    </row>
    <row r="98" spans="1:13" s="114" customFormat="1">
      <c r="A98" s="96">
        <v>93</v>
      </c>
      <c r="B98" s="4" t="s">
        <v>348</v>
      </c>
      <c r="C98" s="161">
        <v>500000</v>
      </c>
      <c r="D98" s="161">
        <v>66650</v>
      </c>
      <c r="E98" s="162">
        <f>SUM(C98:D98)</f>
        <v>566650</v>
      </c>
      <c r="F98" s="163">
        <v>50</v>
      </c>
      <c r="G98" s="167">
        <v>11333</v>
      </c>
      <c r="H98" s="97">
        <v>27</v>
      </c>
      <c r="I98" s="97">
        <f t="shared" si="11"/>
        <v>23</v>
      </c>
      <c r="J98" s="146">
        <f t="shared" si="13"/>
        <v>305991</v>
      </c>
      <c r="K98" s="164">
        <f t="shared" si="12"/>
        <v>260659</v>
      </c>
      <c r="L98" s="123"/>
      <c r="M98" s="180" t="e">
        <f>#REF!-G98</f>
        <v>#REF!</v>
      </c>
    </row>
    <row r="99" spans="1:13" s="114" customFormat="1">
      <c r="A99" s="96">
        <v>94</v>
      </c>
      <c r="B99" s="46" t="s">
        <v>289</v>
      </c>
      <c r="C99" s="16">
        <v>180000</v>
      </c>
      <c r="D99" s="16">
        <v>23994</v>
      </c>
      <c r="E99" s="16">
        <v>203994</v>
      </c>
      <c r="F99" s="45">
        <v>40</v>
      </c>
      <c r="G99" s="167">
        <v>5099.8500000000004</v>
      </c>
      <c r="H99" s="97">
        <v>40</v>
      </c>
      <c r="I99" s="97">
        <f t="shared" si="11"/>
        <v>0</v>
      </c>
      <c r="J99" s="156">
        <f>(36*5099.85)</f>
        <v>183594.6</v>
      </c>
      <c r="K99" s="91">
        <f t="shared" si="12"/>
        <v>20399.399999999994</v>
      </c>
      <c r="L99" s="122"/>
      <c r="M99" s="180" t="e">
        <f>#REF!-G99</f>
        <v>#REF!</v>
      </c>
    </row>
    <row r="100" spans="1:13" s="114" customFormat="1">
      <c r="A100" s="96">
        <v>95</v>
      </c>
      <c r="B100" s="4" t="s">
        <v>349</v>
      </c>
      <c r="C100" s="16">
        <v>500000</v>
      </c>
      <c r="D100" s="16">
        <v>66650</v>
      </c>
      <c r="E100" s="41">
        <f t="shared" ref="E100:E113" si="14">SUM(C100:D100)</f>
        <v>566650</v>
      </c>
      <c r="F100" s="33">
        <v>50</v>
      </c>
      <c r="G100" s="167">
        <v>11333</v>
      </c>
      <c r="H100" s="97">
        <v>5</v>
      </c>
      <c r="I100" s="97">
        <f t="shared" si="11"/>
        <v>45</v>
      </c>
      <c r="J100" s="156">
        <f>(1*11333)</f>
        <v>11333</v>
      </c>
      <c r="K100" s="91">
        <f t="shared" si="12"/>
        <v>555317</v>
      </c>
      <c r="L100" s="122"/>
      <c r="M100" s="180" t="e">
        <f>#REF!-G100</f>
        <v>#REF!</v>
      </c>
    </row>
    <row r="101" spans="1:13" s="114" customFormat="1">
      <c r="A101" s="96">
        <v>96</v>
      </c>
      <c r="B101" s="4" t="s">
        <v>482</v>
      </c>
      <c r="C101" s="12">
        <v>60000</v>
      </c>
      <c r="D101" s="12">
        <v>7998</v>
      </c>
      <c r="E101" s="15">
        <f t="shared" si="14"/>
        <v>67998</v>
      </c>
      <c r="F101" s="31">
        <v>40</v>
      </c>
      <c r="G101" s="172">
        <v>1699.95</v>
      </c>
      <c r="H101" s="97">
        <v>41</v>
      </c>
      <c r="I101" s="97">
        <f t="shared" si="11"/>
        <v>-1</v>
      </c>
      <c r="J101" s="91">
        <f>H101*G101</f>
        <v>69697.95</v>
      </c>
      <c r="K101" s="94">
        <f t="shared" si="12"/>
        <v>-1699.9499999999971</v>
      </c>
      <c r="L101" s="122"/>
    </row>
    <row r="102" spans="1:13" s="114" customFormat="1">
      <c r="A102" s="96">
        <v>97</v>
      </c>
      <c r="B102" s="4" t="s">
        <v>369</v>
      </c>
      <c r="C102" s="16">
        <v>450000</v>
      </c>
      <c r="D102" s="16">
        <v>59985</v>
      </c>
      <c r="E102" s="41">
        <f t="shared" si="14"/>
        <v>509985</v>
      </c>
      <c r="F102" s="33">
        <v>50</v>
      </c>
      <c r="G102" s="167">
        <v>10199.700000000001</v>
      </c>
      <c r="H102" s="97">
        <v>26</v>
      </c>
      <c r="I102" s="97">
        <f t="shared" ref="I102:I127" si="15">F102-H102</f>
        <v>24</v>
      </c>
      <c r="J102" s="91">
        <f>H102*G102</f>
        <v>265192.2</v>
      </c>
      <c r="K102" s="94">
        <f t="shared" ref="K102:K127" si="16">E102-J102</f>
        <v>244792.8</v>
      </c>
      <c r="L102" s="11"/>
      <c r="M102" s="180" t="e">
        <f>#REF!-G102</f>
        <v>#REF!</v>
      </c>
    </row>
    <row r="103" spans="1:13" s="114" customFormat="1">
      <c r="A103" s="96">
        <v>98</v>
      </c>
      <c r="B103" s="4" t="s">
        <v>350</v>
      </c>
      <c r="C103" s="16">
        <v>500000</v>
      </c>
      <c r="D103" s="16">
        <v>66650</v>
      </c>
      <c r="E103" s="41">
        <f t="shared" si="14"/>
        <v>566650</v>
      </c>
      <c r="F103" s="33">
        <v>50</v>
      </c>
      <c r="G103" s="167">
        <v>11333</v>
      </c>
      <c r="H103" s="97">
        <v>5</v>
      </c>
      <c r="I103" s="97">
        <f t="shared" si="15"/>
        <v>45</v>
      </c>
      <c r="J103" s="156">
        <f>(1*11333)</f>
        <v>11333</v>
      </c>
      <c r="K103" s="91">
        <f t="shared" si="16"/>
        <v>555317</v>
      </c>
      <c r="L103" s="11"/>
      <c r="M103" s="180" t="e">
        <f>#REF!-G103</f>
        <v>#REF!</v>
      </c>
    </row>
    <row r="104" spans="1:13" s="114" customFormat="1">
      <c r="A104" s="96">
        <v>99</v>
      </c>
      <c r="B104" s="4" t="s">
        <v>35</v>
      </c>
      <c r="C104" s="155">
        <v>150000</v>
      </c>
      <c r="D104" s="155">
        <v>19995</v>
      </c>
      <c r="E104" s="155">
        <f t="shared" si="14"/>
        <v>169995</v>
      </c>
      <c r="F104" s="33">
        <v>50</v>
      </c>
      <c r="G104" s="167">
        <v>3399.9</v>
      </c>
      <c r="H104" s="97">
        <v>12</v>
      </c>
      <c r="I104" s="97">
        <f t="shared" si="15"/>
        <v>38</v>
      </c>
      <c r="J104" s="91">
        <f t="shared" ref="J104:J127" si="17">H104*G104</f>
        <v>40798.800000000003</v>
      </c>
      <c r="K104" s="91">
        <f t="shared" si="16"/>
        <v>129196.2</v>
      </c>
      <c r="L104" s="122"/>
      <c r="M104" s="180" t="e">
        <f>#REF!-G104</f>
        <v>#REF!</v>
      </c>
    </row>
    <row r="105" spans="1:13" s="114" customFormat="1">
      <c r="A105" s="96">
        <v>100</v>
      </c>
      <c r="B105" s="4" t="s">
        <v>378</v>
      </c>
      <c r="C105" s="12">
        <v>330000</v>
      </c>
      <c r="D105" s="12">
        <v>43989</v>
      </c>
      <c r="E105" s="15">
        <f t="shared" si="14"/>
        <v>373989</v>
      </c>
      <c r="F105" s="31">
        <v>50</v>
      </c>
      <c r="G105" s="202">
        <v>7479.78</v>
      </c>
      <c r="H105" s="14">
        <v>32</v>
      </c>
      <c r="I105" s="97">
        <f t="shared" si="15"/>
        <v>18</v>
      </c>
      <c r="J105" s="91">
        <f t="shared" si="17"/>
        <v>239352.95999999999</v>
      </c>
      <c r="K105" s="15">
        <f t="shared" si="16"/>
        <v>134636.04</v>
      </c>
      <c r="L105" s="8"/>
      <c r="M105" s="180" t="e">
        <f>#REF!-G105</f>
        <v>#REF!</v>
      </c>
    </row>
    <row r="106" spans="1:13" s="114" customFormat="1">
      <c r="A106" s="96">
        <v>101</v>
      </c>
      <c r="B106" s="4" t="s">
        <v>351</v>
      </c>
      <c r="C106" s="16">
        <v>500000</v>
      </c>
      <c r="D106" s="16">
        <v>66650</v>
      </c>
      <c r="E106" s="41">
        <f t="shared" si="14"/>
        <v>566650</v>
      </c>
      <c r="F106" s="33">
        <v>50</v>
      </c>
      <c r="G106" s="167">
        <v>11333</v>
      </c>
      <c r="H106" s="97">
        <v>26</v>
      </c>
      <c r="I106" s="97">
        <f t="shared" si="15"/>
        <v>24</v>
      </c>
      <c r="J106" s="91">
        <f t="shared" si="17"/>
        <v>294658</v>
      </c>
      <c r="K106" s="94">
        <f t="shared" si="16"/>
        <v>271992</v>
      </c>
      <c r="L106" s="11"/>
      <c r="M106" s="180" t="e">
        <f>#REF!-G106</f>
        <v>#REF!</v>
      </c>
    </row>
    <row r="107" spans="1:13" s="114" customFormat="1">
      <c r="A107" s="96">
        <v>102</v>
      </c>
      <c r="B107" s="166" t="s">
        <v>300</v>
      </c>
      <c r="C107" s="16">
        <v>500000</v>
      </c>
      <c r="D107" s="16">
        <v>66650</v>
      </c>
      <c r="E107" s="41">
        <f t="shared" si="14"/>
        <v>566650</v>
      </c>
      <c r="F107" s="33">
        <v>50</v>
      </c>
      <c r="G107" s="167">
        <v>11333</v>
      </c>
      <c r="H107" s="97">
        <v>31</v>
      </c>
      <c r="I107" s="97">
        <f t="shared" si="15"/>
        <v>19</v>
      </c>
      <c r="J107" s="91">
        <f t="shared" si="17"/>
        <v>351323</v>
      </c>
      <c r="K107" s="94">
        <f t="shared" si="16"/>
        <v>215327</v>
      </c>
      <c r="L107" s="11"/>
      <c r="M107" s="180" t="e">
        <f>#REF!-G107</f>
        <v>#REF!</v>
      </c>
    </row>
    <row r="108" spans="1:13" s="114" customFormat="1">
      <c r="A108" s="96">
        <v>103</v>
      </c>
      <c r="B108" s="4" t="s">
        <v>379</v>
      </c>
      <c r="C108" s="12">
        <v>330000</v>
      </c>
      <c r="D108" s="12">
        <v>43989</v>
      </c>
      <c r="E108" s="15">
        <f t="shared" si="14"/>
        <v>373989</v>
      </c>
      <c r="F108" s="31">
        <v>50</v>
      </c>
      <c r="G108" s="202">
        <v>7479.78</v>
      </c>
      <c r="H108" s="14">
        <v>32</v>
      </c>
      <c r="I108" s="97">
        <f t="shared" si="15"/>
        <v>18</v>
      </c>
      <c r="J108" s="91">
        <f t="shared" si="17"/>
        <v>239352.95999999999</v>
      </c>
      <c r="K108" s="15">
        <f t="shared" si="16"/>
        <v>134636.04</v>
      </c>
      <c r="L108" s="8"/>
      <c r="M108" s="180" t="e">
        <f>#REF!-G108</f>
        <v>#REF!</v>
      </c>
    </row>
    <row r="109" spans="1:13" s="114" customFormat="1">
      <c r="A109" s="96">
        <v>104</v>
      </c>
      <c r="B109" s="28" t="s">
        <v>302</v>
      </c>
      <c r="C109" s="16">
        <v>500000</v>
      </c>
      <c r="D109" s="16">
        <v>47992</v>
      </c>
      <c r="E109" s="41">
        <f t="shared" si="14"/>
        <v>547992</v>
      </c>
      <c r="F109" s="33">
        <v>36</v>
      </c>
      <c r="G109" s="174">
        <v>15222</v>
      </c>
      <c r="H109" s="97">
        <v>26</v>
      </c>
      <c r="I109" s="97">
        <f t="shared" si="15"/>
        <v>10</v>
      </c>
      <c r="J109" s="91">
        <f t="shared" si="17"/>
        <v>395772</v>
      </c>
      <c r="K109" s="94">
        <f t="shared" si="16"/>
        <v>152220</v>
      </c>
      <c r="L109" s="11"/>
      <c r="M109" s="180" t="e">
        <f>#REF!-G109</f>
        <v>#REF!</v>
      </c>
    </row>
    <row r="110" spans="1:13" s="114" customFormat="1">
      <c r="A110" s="96">
        <v>105</v>
      </c>
      <c r="B110" s="4" t="s">
        <v>87</v>
      </c>
      <c r="C110" s="16">
        <v>500000</v>
      </c>
      <c r="D110" s="16">
        <v>66650</v>
      </c>
      <c r="E110" s="41">
        <f t="shared" si="14"/>
        <v>566650</v>
      </c>
      <c r="F110" s="33">
        <v>50</v>
      </c>
      <c r="G110" s="167">
        <v>11333</v>
      </c>
      <c r="H110" s="97">
        <v>48</v>
      </c>
      <c r="I110" s="97">
        <f t="shared" si="15"/>
        <v>2</v>
      </c>
      <c r="J110" s="91">
        <f t="shared" si="17"/>
        <v>543984</v>
      </c>
      <c r="K110" s="94">
        <f t="shared" si="16"/>
        <v>22666</v>
      </c>
      <c r="L110" s="11"/>
      <c r="M110" s="180" t="e">
        <f>#REF!-G110</f>
        <v>#REF!</v>
      </c>
    </row>
    <row r="111" spans="1:13" s="114" customFormat="1">
      <c r="A111" s="96">
        <v>106</v>
      </c>
      <c r="B111" s="4" t="s">
        <v>370</v>
      </c>
      <c r="C111" s="16">
        <v>450000</v>
      </c>
      <c r="D111" s="16">
        <v>59985</v>
      </c>
      <c r="E111" s="41">
        <f t="shared" si="14"/>
        <v>509985</v>
      </c>
      <c r="F111" s="33">
        <v>50</v>
      </c>
      <c r="G111" s="167">
        <v>10199.700000000001</v>
      </c>
      <c r="H111" s="97">
        <v>27</v>
      </c>
      <c r="I111" s="97">
        <f t="shared" si="15"/>
        <v>23</v>
      </c>
      <c r="J111" s="91">
        <f t="shared" si="17"/>
        <v>275391.90000000002</v>
      </c>
      <c r="K111" s="94">
        <f t="shared" si="16"/>
        <v>234593.09999999998</v>
      </c>
      <c r="L111" s="11"/>
      <c r="M111" s="180" t="e">
        <f>#REF!-G111</f>
        <v>#REF!</v>
      </c>
    </row>
    <row r="112" spans="1:13" s="114" customFormat="1">
      <c r="A112" s="96">
        <v>107</v>
      </c>
      <c r="B112" s="4" t="s">
        <v>352</v>
      </c>
      <c r="C112" s="16">
        <v>500000</v>
      </c>
      <c r="D112" s="16">
        <v>66650</v>
      </c>
      <c r="E112" s="41">
        <f t="shared" si="14"/>
        <v>566650</v>
      </c>
      <c r="F112" s="33">
        <v>50</v>
      </c>
      <c r="G112" s="167">
        <v>11333</v>
      </c>
      <c r="H112" s="97">
        <v>27</v>
      </c>
      <c r="I112" s="97">
        <f t="shared" si="15"/>
        <v>23</v>
      </c>
      <c r="J112" s="91">
        <f t="shared" si="17"/>
        <v>305991</v>
      </c>
      <c r="K112" s="94">
        <f t="shared" si="16"/>
        <v>260659</v>
      </c>
      <c r="L112" s="11"/>
      <c r="M112" s="180" t="e">
        <f>#REF!-G112</f>
        <v>#REF!</v>
      </c>
    </row>
    <row r="113" spans="1:14" s="114" customFormat="1">
      <c r="A113" s="96">
        <v>108</v>
      </c>
      <c r="B113" s="4" t="s">
        <v>371</v>
      </c>
      <c r="C113" s="16">
        <v>450000</v>
      </c>
      <c r="D113" s="16">
        <v>59985</v>
      </c>
      <c r="E113" s="41">
        <f t="shared" si="14"/>
        <v>509985</v>
      </c>
      <c r="F113" s="33">
        <v>50</v>
      </c>
      <c r="G113" s="24">
        <v>10199.700000000001</v>
      </c>
      <c r="H113" s="97">
        <v>27</v>
      </c>
      <c r="I113" s="97">
        <f t="shared" si="15"/>
        <v>23</v>
      </c>
      <c r="J113" s="91">
        <f t="shared" si="17"/>
        <v>275391.90000000002</v>
      </c>
      <c r="K113" s="94">
        <f t="shared" si="16"/>
        <v>234593.09999999998</v>
      </c>
      <c r="L113" s="11"/>
      <c r="M113" s="180" t="e">
        <f>#REF!-G113</f>
        <v>#REF!</v>
      </c>
    </row>
    <row r="114" spans="1:14" s="114" customFormat="1">
      <c r="A114" s="96">
        <v>109</v>
      </c>
      <c r="B114" s="4" t="s">
        <v>353</v>
      </c>
      <c r="C114" s="19">
        <v>500000</v>
      </c>
      <c r="D114" s="19">
        <v>66650</v>
      </c>
      <c r="E114" s="19">
        <v>566650</v>
      </c>
      <c r="F114" s="33">
        <v>50</v>
      </c>
      <c r="G114" s="167">
        <v>11333</v>
      </c>
      <c r="H114" s="97">
        <v>13</v>
      </c>
      <c r="I114" s="97">
        <f t="shared" si="15"/>
        <v>37</v>
      </c>
      <c r="J114" s="91">
        <f t="shared" si="17"/>
        <v>147329</v>
      </c>
      <c r="K114" s="91">
        <f t="shared" si="16"/>
        <v>419321</v>
      </c>
      <c r="L114" s="122"/>
      <c r="M114" s="180" t="e">
        <f>#REF!-G114</f>
        <v>#REF!</v>
      </c>
    </row>
    <row r="115" spans="1:14" s="114" customFormat="1">
      <c r="A115" s="96">
        <v>110</v>
      </c>
      <c r="B115" s="4" t="s">
        <v>354</v>
      </c>
      <c r="C115" s="12">
        <v>500000</v>
      </c>
      <c r="D115" s="12">
        <v>66650</v>
      </c>
      <c r="E115" s="15">
        <f>SUM(C115:D115)</f>
        <v>566650</v>
      </c>
      <c r="F115" s="31">
        <v>50</v>
      </c>
      <c r="G115" s="200">
        <v>11333</v>
      </c>
      <c r="H115" s="14">
        <v>32</v>
      </c>
      <c r="I115" s="97">
        <f t="shared" si="15"/>
        <v>18</v>
      </c>
      <c r="J115" s="91">
        <f t="shared" si="17"/>
        <v>362656</v>
      </c>
      <c r="K115" s="15">
        <f t="shared" si="16"/>
        <v>203994</v>
      </c>
      <c r="L115" s="8"/>
      <c r="M115" s="180" t="e">
        <f>#REF!-G115</f>
        <v>#REF!</v>
      </c>
    </row>
    <row r="116" spans="1:14" s="114" customFormat="1">
      <c r="A116" s="96">
        <v>111</v>
      </c>
      <c r="B116" s="4" t="s">
        <v>380</v>
      </c>
      <c r="C116" s="16">
        <v>330000</v>
      </c>
      <c r="D116" s="16">
        <v>43989</v>
      </c>
      <c r="E116" s="41">
        <f>SUM(C116:D116)</f>
        <v>373989</v>
      </c>
      <c r="F116" s="33">
        <v>50</v>
      </c>
      <c r="G116" s="167">
        <v>7479.78</v>
      </c>
      <c r="H116" s="159">
        <v>35</v>
      </c>
      <c r="I116" s="97">
        <f t="shared" si="15"/>
        <v>15</v>
      </c>
      <c r="J116" s="91">
        <f t="shared" si="17"/>
        <v>261792.3</v>
      </c>
      <c r="K116" s="94">
        <f t="shared" si="16"/>
        <v>112196.70000000001</v>
      </c>
      <c r="L116" s="11"/>
      <c r="M116" s="180" t="e">
        <f>#REF!-G116</f>
        <v>#REF!</v>
      </c>
    </row>
    <row r="117" spans="1:14" s="114" customFormat="1">
      <c r="A117" s="96">
        <v>112</v>
      </c>
      <c r="B117" s="4" t="s">
        <v>381</v>
      </c>
      <c r="C117" s="155">
        <v>330000</v>
      </c>
      <c r="D117" s="155">
        <v>43989</v>
      </c>
      <c r="E117" s="155">
        <f>SUM(C117:D117)</f>
        <v>373989</v>
      </c>
      <c r="F117" s="33">
        <v>50</v>
      </c>
      <c r="G117" s="205">
        <v>7479.78</v>
      </c>
      <c r="H117" s="97">
        <v>13</v>
      </c>
      <c r="I117" s="97">
        <f t="shared" si="15"/>
        <v>37</v>
      </c>
      <c r="J117" s="91">
        <f t="shared" si="17"/>
        <v>97237.14</v>
      </c>
      <c r="K117" s="91">
        <f t="shared" si="16"/>
        <v>276751.86</v>
      </c>
      <c r="L117" s="122"/>
      <c r="M117" s="180" t="e">
        <f>#REF!-G117</f>
        <v>#REF!</v>
      </c>
    </row>
    <row r="118" spans="1:14" s="114" customFormat="1">
      <c r="A118" s="96">
        <v>113</v>
      </c>
      <c r="B118" s="4" t="s">
        <v>29</v>
      </c>
      <c r="C118" s="19">
        <v>450000</v>
      </c>
      <c r="D118" s="19">
        <v>59985</v>
      </c>
      <c r="E118" s="19">
        <v>509985</v>
      </c>
      <c r="F118" s="33">
        <v>50</v>
      </c>
      <c r="G118" s="24">
        <v>10199.700000000001</v>
      </c>
      <c r="H118" s="97">
        <v>13</v>
      </c>
      <c r="I118" s="97">
        <f t="shared" si="15"/>
        <v>37</v>
      </c>
      <c r="J118" s="91">
        <f t="shared" si="17"/>
        <v>132596.1</v>
      </c>
      <c r="K118" s="91">
        <f t="shared" si="16"/>
        <v>377388.9</v>
      </c>
      <c r="L118" s="122"/>
      <c r="M118" s="180" t="e">
        <f>#REF!-G118</f>
        <v>#REF!</v>
      </c>
    </row>
    <row r="119" spans="1:14" s="114" customFormat="1">
      <c r="A119" s="96">
        <v>114</v>
      </c>
      <c r="B119" s="168" t="s">
        <v>382</v>
      </c>
      <c r="C119" s="12">
        <v>330000</v>
      </c>
      <c r="D119" s="12">
        <v>43989</v>
      </c>
      <c r="E119" s="15">
        <f>SUM(C119:D119)</f>
        <v>373989</v>
      </c>
      <c r="F119" s="31">
        <v>50</v>
      </c>
      <c r="G119" s="194">
        <v>7479.78</v>
      </c>
      <c r="H119" s="14">
        <v>31</v>
      </c>
      <c r="I119" s="97">
        <f t="shared" si="15"/>
        <v>19</v>
      </c>
      <c r="J119" s="91">
        <f t="shared" si="17"/>
        <v>231873.18</v>
      </c>
      <c r="K119" s="15">
        <f t="shared" si="16"/>
        <v>142115.82</v>
      </c>
      <c r="L119" s="8"/>
      <c r="M119" s="180" t="e">
        <f>#REF!-G119</f>
        <v>#REF!</v>
      </c>
    </row>
    <row r="120" spans="1:14" s="114" customFormat="1">
      <c r="A120" s="96">
        <v>115</v>
      </c>
      <c r="B120" s="4" t="s">
        <v>355</v>
      </c>
      <c r="C120" s="16">
        <v>500000</v>
      </c>
      <c r="D120" s="16">
        <v>66650</v>
      </c>
      <c r="E120" s="41">
        <f>SUM(C120:D120)</f>
        <v>566650</v>
      </c>
      <c r="F120" s="33">
        <v>50</v>
      </c>
      <c r="G120" s="167">
        <v>11333</v>
      </c>
      <c r="H120" s="97">
        <v>47</v>
      </c>
      <c r="I120" s="97">
        <f t="shared" si="15"/>
        <v>3</v>
      </c>
      <c r="J120" s="91">
        <f t="shared" si="17"/>
        <v>532651</v>
      </c>
      <c r="K120" s="94">
        <f t="shared" si="16"/>
        <v>33999</v>
      </c>
      <c r="L120" s="11"/>
      <c r="M120" s="180" t="e">
        <f>#REF!-G120</f>
        <v>#REF!</v>
      </c>
    </row>
    <row r="121" spans="1:14" s="114" customFormat="1">
      <c r="A121" s="96">
        <v>116</v>
      </c>
      <c r="B121" s="4" t="s">
        <v>356</v>
      </c>
      <c r="C121" s="16">
        <v>500000</v>
      </c>
      <c r="D121" s="16">
        <v>66650</v>
      </c>
      <c r="E121" s="41">
        <f>SUM(C121:D121)</f>
        <v>566650</v>
      </c>
      <c r="F121" s="33">
        <v>50</v>
      </c>
      <c r="G121" s="167">
        <v>11333</v>
      </c>
      <c r="H121" s="97">
        <v>26</v>
      </c>
      <c r="I121" s="97">
        <f t="shared" si="15"/>
        <v>24</v>
      </c>
      <c r="J121" s="91">
        <f t="shared" si="17"/>
        <v>294658</v>
      </c>
      <c r="K121" s="94">
        <f t="shared" si="16"/>
        <v>271992</v>
      </c>
      <c r="L121" s="11"/>
      <c r="M121" s="180" t="e">
        <f>#REF!-G121</f>
        <v>#REF!</v>
      </c>
    </row>
    <row r="122" spans="1:14" s="114" customFormat="1">
      <c r="A122" s="96">
        <v>117</v>
      </c>
      <c r="B122" s="2" t="s">
        <v>357</v>
      </c>
      <c r="C122" s="12">
        <v>500000</v>
      </c>
      <c r="D122" s="12">
        <v>66650</v>
      </c>
      <c r="E122" s="15">
        <f>SUM(C122:D122)</f>
        <v>566650</v>
      </c>
      <c r="F122" s="31">
        <v>50</v>
      </c>
      <c r="G122" s="200">
        <v>11333</v>
      </c>
      <c r="H122" s="14">
        <v>32</v>
      </c>
      <c r="I122" s="97">
        <f t="shared" si="15"/>
        <v>18</v>
      </c>
      <c r="J122" s="91">
        <f t="shared" si="17"/>
        <v>362656</v>
      </c>
      <c r="K122" s="15">
        <f t="shared" si="16"/>
        <v>203994</v>
      </c>
      <c r="L122" s="8"/>
      <c r="M122" s="180" t="e">
        <f>#REF!-G122</f>
        <v>#REF!</v>
      </c>
    </row>
    <row r="123" spans="1:14" s="114" customFormat="1">
      <c r="A123" s="96">
        <v>118</v>
      </c>
      <c r="B123" s="4" t="s">
        <v>358</v>
      </c>
      <c r="C123" s="16">
        <v>500000</v>
      </c>
      <c r="D123" s="16">
        <v>66650</v>
      </c>
      <c r="E123" s="16">
        <v>566650</v>
      </c>
      <c r="F123" s="33">
        <v>50</v>
      </c>
      <c r="G123" s="167">
        <v>11333</v>
      </c>
      <c r="H123" s="97">
        <v>13</v>
      </c>
      <c r="I123" s="97">
        <f t="shared" si="15"/>
        <v>37</v>
      </c>
      <c r="J123" s="91">
        <f t="shared" si="17"/>
        <v>147329</v>
      </c>
      <c r="K123" s="91">
        <f t="shared" si="16"/>
        <v>419321</v>
      </c>
      <c r="L123" s="122"/>
      <c r="M123" s="180" t="e">
        <f>#REF!-G123</f>
        <v>#REF!</v>
      </c>
    </row>
    <row r="124" spans="1:14" s="114" customFormat="1">
      <c r="A124" s="96">
        <v>119</v>
      </c>
      <c r="B124" s="4" t="s">
        <v>303</v>
      </c>
      <c r="C124" s="16">
        <v>500000</v>
      </c>
      <c r="D124" s="16">
        <v>47992</v>
      </c>
      <c r="E124" s="41">
        <f>SUM(C124:D124)</f>
        <v>547992</v>
      </c>
      <c r="F124" s="33">
        <v>36</v>
      </c>
      <c r="G124" s="174">
        <v>15222</v>
      </c>
      <c r="H124" s="97">
        <v>26</v>
      </c>
      <c r="I124" s="97">
        <f t="shared" si="15"/>
        <v>10</v>
      </c>
      <c r="J124" s="91">
        <f t="shared" si="17"/>
        <v>395772</v>
      </c>
      <c r="K124" s="94">
        <f t="shared" si="16"/>
        <v>152220</v>
      </c>
      <c r="L124" s="11"/>
      <c r="M124" s="180" t="e">
        <f>#REF!-G124</f>
        <v>#REF!</v>
      </c>
    </row>
    <row r="125" spans="1:14" s="114" customFormat="1">
      <c r="A125" s="96">
        <v>120</v>
      </c>
      <c r="B125" s="25" t="s">
        <v>290</v>
      </c>
      <c r="C125" s="19">
        <v>150000</v>
      </c>
      <c r="D125" s="19">
        <v>19995</v>
      </c>
      <c r="E125" s="19">
        <f>SUM(C125:D125)</f>
        <v>169995</v>
      </c>
      <c r="F125" s="33">
        <v>50</v>
      </c>
      <c r="G125" s="174">
        <v>3399.9</v>
      </c>
      <c r="H125" s="97">
        <v>26</v>
      </c>
      <c r="I125" s="97">
        <f t="shared" si="15"/>
        <v>24</v>
      </c>
      <c r="J125" s="91">
        <f t="shared" si="17"/>
        <v>88397.400000000009</v>
      </c>
      <c r="K125" s="94">
        <f t="shared" si="16"/>
        <v>81597.599999999991</v>
      </c>
      <c r="L125" s="122"/>
      <c r="M125" s="180" t="e">
        <f>#REF!-G125</f>
        <v>#REF!</v>
      </c>
    </row>
    <row r="126" spans="1:14" s="114" customFormat="1">
      <c r="A126" s="96">
        <v>121</v>
      </c>
      <c r="B126" s="4" t="s">
        <v>429</v>
      </c>
      <c r="C126" s="16">
        <v>60000</v>
      </c>
      <c r="D126" s="16">
        <v>7998</v>
      </c>
      <c r="E126" s="41">
        <f>SUM(C126:D126)</f>
        <v>67998</v>
      </c>
      <c r="F126" s="33">
        <v>40</v>
      </c>
      <c r="G126" s="167">
        <v>1699.95</v>
      </c>
      <c r="H126" s="97">
        <v>40</v>
      </c>
      <c r="I126" s="97">
        <f t="shared" si="15"/>
        <v>0</v>
      </c>
      <c r="J126" s="91">
        <f t="shared" si="17"/>
        <v>67998</v>
      </c>
      <c r="K126" s="94">
        <f t="shared" si="16"/>
        <v>0</v>
      </c>
      <c r="L126" s="11"/>
      <c r="M126" s="180" t="e">
        <f>#REF!-G126</f>
        <v>#REF!</v>
      </c>
    </row>
    <row r="127" spans="1:14" s="114" customFormat="1">
      <c r="A127" s="96">
        <v>122</v>
      </c>
      <c r="B127" s="25" t="s">
        <v>359</v>
      </c>
      <c r="C127" s="16">
        <v>500000</v>
      </c>
      <c r="D127" s="16">
        <v>66650</v>
      </c>
      <c r="E127" s="41">
        <f>SUM(C127:D127)</f>
        <v>566650</v>
      </c>
      <c r="F127" s="33">
        <v>50</v>
      </c>
      <c r="G127" s="24">
        <v>11333</v>
      </c>
      <c r="H127" s="159">
        <v>48</v>
      </c>
      <c r="I127" s="97">
        <f t="shared" si="15"/>
        <v>2</v>
      </c>
      <c r="J127" s="91">
        <f t="shared" si="17"/>
        <v>543984</v>
      </c>
      <c r="K127" s="94">
        <f t="shared" si="16"/>
        <v>22666</v>
      </c>
      <c r="L127" s="214"/>
      <c r="N127" s="120"/>
    </row>
    <row r="128" spans="1:14" s="114" customFormat="1">
      <c r="A128" s="96">
        <v>123</v>
      </c>
      <c r="B128" s="170" t="s">
        <v>297</v>
      </c>
      <c r="C128" s="19">
        <v>450000</v>
      </c>
      <c r="D128" s="19">
        <v>59985</v>
      </c>
      <c r="E128" s="19">
        <v>509985</v>
      </c>
      <c r="F128" s="33">
        <v>50</v>
      </c>
      <c r="G128" s="24">
        <v>10199.700000000001</v>
      </c>
      <c r="H128" s="159">
        <v>1</v>
      </c>
      <c r="I128" s="97">
        <f t="shared" ref="I128:I138" si="18">F128-H128</f>
        <v>49</v>
      </c>
      <c r="J128" s="91">
        <f t="shared" ref="J128:J138" si="19">H128*G128</f>
        <v>10199.700000000001</v>
      </c>
      <c r="K128" s="94">
        <f t="shared" ref="K128:K138" si="20">E128-J128</f>
        <v>499785.3</v>
      </c>
      <c r="L128" s="214"/>
    </row>
    <row r="129" spans="1:14" s="114" customFormat="1">
      <c r="A129" s="96">
        <v>124</v>
      </c>
      <c r="B129" s="2" t="s">
        <v>490</v>
      </c>
      <c r="C129" s="19">
        <v>330000</v>
      </c>
      <c r="D129" s="19">
        <v>43989</v>
      </c>
      <c r="E129" s="19">
        <f>SUM(C129:D129)</f>
        <v>373989</v>
      </c>
      <c r="F129" s="33">
        <v>50</v>
      </c>
      <c r="G129" s="177">
        <v>7479.78</v>
      </c>
      <c r="H129" s="159">
        <v>1</v>
      </c>
      <c r="I129" s="97">
        <f t="shared" si="18"/>
        <v>49</v>
      </c>
      <c r="J129" s="91">
        <f t="shared" si="19"/>
        <v>7479.78</v>
      </c>
      <c r="K129" s="94">
        <f t="shared" si="20"/>
        <v>366509.22</v>
      </c>
      <c r="L129" s="214"/>
    </row>
    <row r="130" spans="1:14" s="114" customFormat="1">
      <c r="A130" s="96">
        <v>125</v>
      </c>
      <c r="B130" s="2" t="s">
        <v>441</v>
      </c>
      <c r="C130" s="16">
        <v>500000</v>
      </c>
      <c r="D130" s="16">
        <v>66650</v>
      </c>
      <c r="E130" s="16">
        <v>566650</v>
      </c>
      <c r="F130" s="33">
        <v>50</v>
      </c>
      <c r="G130" s="216">
        <v>11333</v>
      </c>
      <c r="H130" s="96">
        <v>1</v>
      </c>
      <c r="I130" s="97">
        <f t="shared" si="18"/>
        <v>49</v>
      </c>
      <c r="J130" s="91">
        <f t="shared" si="19"/>
        <v>11333</v>
      </c>
      <c r="K130" s="94">
        <f t="shared" si="20"/>
        <v>555317</v>
      </c>
      <c r="L130" s="215"/>
      <c r="M130" s="120"/>
    </row>
    <row r="131" spans="1:14" s="114" customFormat="1">
      <c r="A131" s="96">
        <v>126</v>
      </c>
      <c r="B131" s="2" t="s">
        <v>457</v>
      </c>
      <c r="C131" s="19">
        <v>150000</v>
      </c>
      <c r="D131" s="19">
        <v>19995</v>
      </c>
      <c r="E131" s="19">
        <f>SUM(C131:D131)</f>
        <v>169995</v>
      </c>
      <c r="F131" s="33">
        <v>50</v>
      </c>
      <c r="G131" s="206">
        <v>3399.9</v>
      </c>
      <c r="H131" s="101">
        <v>1</v>
      </c>
      <c r="I131" s="97">
        <f t="shared" si="18"/>
        <v>49</v>
      </c>
      <c r="J131" s="91">
        <f t="shared" si="19"/>
        <v>3399.9</v>
      </c>
      <c r="K131" s="94">
        <f t="shared" si="20"/>
        <v>166595.1</v>
      </c>
      <c r="L131" s="218"/>
      <c r="M131"/>
    </row>
    <row r="132" spans="1:14" s="114" customFormat="1">
      <c r="A132" s="96">
        <v>127</v>
      </c>
      <c r="B132" s="2" t="s">
        <v>489</v>
      </c>
      <c r="C132" s="19">
        <v>450000</v>
      </c>
      <c r="D132" s="19">
        <v>59985</v>
      </c>
      <c r="E132" s="19">
        <v>509985</v>
      </c>
      <c r="F132" s="33">
        <v>50</v>
      </c>
      <c r="G132" s="24">
        <v>10199.700000000001</v>
      </c>
      <c r="H132" s="101">
        <v>1</v>
      </c>
      <c r="I132" s="97">
        <f t="shared" si="18"/>
        <v>49</v>
      </c>
      <c r="J132" s="91">
        <f t="shared" si="19"/>
        <v>10199.700000000001</v>
      </c>
      <c r="K132" s="94">
        <f t="shared" si="20"/>
        <v>499785.3</v>
      </c>
      <c r="L132" s="218"/>
      <c r="M132"/>
    </row>
    <row r="133" spans="1:14" s="120" customFormat="1">
      <c r="A133" s="96">
        <v>128</v>
      </c>
      <c r="B133" s="25" t="s">
        <v>294</v>
      </c>
      <c r="C133" s="19">
        <v>330000</v>
      </c>
      <c r="D133" s="19">
        <v>43989</v>
      </c>
      <c r="E133" s="19">
        <f>SUM(C133:D133)</f>
        <v>373989</v>
      </c>
      <c r="F133" s="33">
        <v>50</v>
      </c>
      <c r="G133" s="204">
        <v>7479.78</v>
      </c>
      <c r="H133" s="101">
        <v>1</v>
      </c>
      <c r="I133" s="97">
        <f t="shared" si="18"/>
        <v>49</v>
      </c>
      <c r="J133" s="91">
        <f t="shared" si="19"/>
        <v>7479.78</v>
      </c>
      <c r="K133" s="94">
        <f t="shared" si="20"/>
        <v>366509.22</v>
      </c>
      <c r="L133" s="218"/>
      <c r="M133"/>
      <c r="N133" s="114"/>
    </row>
    <row r="134" spans="1:14" s="114" customFormat="1">
      <c r="A134" s="96">
        <v>129</v>
      </c>
      <c r="B134" s="2" t="s">
        <v>444</v>
      </c>
      <c r="C134" s="16">
        <v>500000</v>
      </c>
      <c r="D134" s="16">
        <v>66650</v>
      </c>
      <c r="E134" s="16">
        <v>566650</v>
      </c>
      <c r="F134" s="33">
        <v>50</v>
      </c>
      <c r="G134" s="204">
        <v>11333</v>
      </c>
      <c r="H134" s="101">
        <v>1</v>
      </c>
      <c r="I134" s="97">
        <f t="shared" si="18"/>
        <v>49</v>
      </c>
      <c r="J134" s="91">
        <f t="shared" si="19"/>
        <v>11333</v>
      </c>
      <c r="K134" s="94">
        <f t="shared" si="20"/>
        <v>555317</v>
      </c>
      <c r="L134" s="218"/>
      <c r="M134"/>
    </row>
    <row r="135" spans="1:14" s="114" customFormat="1">
      <c r="A135" s="96">
        <v>130</v>
      </c>
      <c r="B135" s="2" t="s">
        <v>487</v>
      </c>
      <c r="C135" s="16">
        <v>500000</v>
      </c>
      <c r="D135" s="16">
        <v>66650</v>
      </c>
      <c r="E135" s="16">
        <v>566650</v>
      </c>
      <c r="F135" s="33">
        <v>50</v>
      </c>
      <c r="G135" s="24">
        <v>11333</v>
      </c>
      <c r="H135" s="101">
        <v>1</v>
      </c>
      <c r="I135" s="97">
        <f t="shared" si="18"/>
        <v>49</v>
      </c>
      <c r="J135" s="91">
        <f t="shared" si="19"/>
        <v>11333</v>
      </c>
      <c r="K135" s="94">
        <f t="shared" si="20"/>
        <v>555317</v>
      </c>
      <c r="L135" s="218"/>
      <c r="M135"/>
    </row>
    <row r="136" spans="1:14" s="114" customFormat="1">
      <c r="A136" s="96">
        <v>131</v>
      </c>
      <c r="B136" s="23" t="s">
        <v>296</v>
      </c>
      <c r="C136" s="19">
        <v>330000</v>
      </c>
      <c r="D136" s="19">
        <v>43989</v>
      </c>
      <c r="E136" s="19">
        <f>SUM(C136:D136)</f>
        <v>373989</v>
      </c>
      <c r="F136" s="33">
        <v>40</v>
      </c>
      <c r="G136" s="24">
        <v>9129.7800000000007</v>
      </c>
      <c r="H136" s="159">
        <v>1</v>
      </c>
      <c r="I136" s="97">
        <f t="shared" si="18"/>
        <v>39</v>
      </c>
      <c r="J136" s="91">
        <f t="shared" si="19"/>
        <v>9129.7800000000007</v>
      </c>
      <c r="K136" s="94">
        <f t="shared" si="20"/>
        <v>364859.22</v>
      </c>
      <c r="L136" s="214"/>
      <c r="M136"/>
    </row>
    <row r="137" spans="1:14" s="114" customFormat="1">
      <c r="A137" s="96">
        <v>132</v>
      </c>
      <c r="B137" s="2" t="s">
        <v>488</v>
      </c>
      <c r="C137" s="16">
        <v>500000</v>
      </c>
      <c r="D137" s="16">
        <v>66650</v>
      </c>
      <c r="E137" s="16">
        <v>566650</v>
      </c>
      <c r="F137" s="33">
        <v>50</v>
      </c>
      <c r="G137" s="177">
        <v>11333</v>
      </c>
      <c r="H137" s="159">
        <v>1</v>
      </c>
      <c r="I137" s="97">
        <f t="shared" si="18"/>
        <v>49</v>
      </c>
      <c r="J137" s="91">
        <f t="shared" si="19"/>
        <v>11333</v>
      </c>
      <c r="K137" s="94">
        <f t="shared" si="20"/>
        <v>555317</v>
      </c>
      <c r="L137" s="214"/>
      <c r="M137"/>
    </row>
    <row r="138" spans="1:14" s="114" customFormat="1">
      <c r="A138" s="96">
        <v>133</v>
      </c>
      <c r="B138" s="23" t="s">
        <v>491</v>
      </c>
      <c r="C138" s="19">
        <v>330000</v>
      </c>
      <c r="D138" s="19">
        <v>43989</v>
      </c>
      <c r="E138" s="19">
        <f>SUM(C138:D138)</f>
        <v>373989</v>
      </c>
      <c r="F138" s="33">
        <v>50</v>
      </c>
      <c r="G138" s="24">
        <v>7479.78</v>
      </c>
      <c r="H138" s="159">
        <v>1</v>
      </c>
      <c r="I138" s="97">
        <f t="shared" si="18"/>
        <v>49</v>
      </c>
      <c r="J138" s="91">
        <f t="shared" si="19"/>
        <v>7479.78</v>
      </c>
      <c r="K138" s="94">
        <f t="shared" si="20"/>
        <v>366509.22</v>
      </c>
      <c r="L138" s="214"/>
      <c r="M138"/>
    </row>
    <row r="139" spans="1:14" s="114" customFormat="1">
      <c r="A139" s="217"/>
      <c r="B139" s="8"/>
      <c r="C139" s="34">
        <f>SUM(C6:C138)</f>
        <v>53384000</v>
      </c>
      <c r="D139" s="34">
        <f>SUM(D6:D138)</f>
        <v>7005456.2000000002</v>
      </c>
      <c r="E139" s="34">
        <f>SUM(E6:E138)</f>
        <v>60389456.200000003</v>
      </c>
      <c r="F139" s="34"/>
      <c r="G139" s="34">
        <f>SUM(G6:G138)</f>
        <v>1258143.3399999996</v>
      </c>
      <c r="H139" s="34"/>
      <c r="I139" s="34"/>
      <c r="J139" s="34">
        <f>SUM(J6:J138)</f>
        <v>33540601.039999999</v>
      </c>
      <c r="K139" s="34">
        <f>SUM(K6:K138)</f>
        <v>26848855.16</v>
      </c>
      <c r="L139" s="8"/>
      <c r="M139"/>
    </row>
    <row r="140" spans="1:14" s="114" customFormat="1">
      <c r="A140" s="44"/>
      <c r="B140" s="184"/>
      <c r="C140"/>
      <c r="D140"/>
      <c r="E140"/>
      <c r="F140" s="43"/>
      <c r="G140" s="165">
        <v>1258143.3399999989</v>
      </c>
      <c r="H140" s="99"/>
      <c r="I140" s="99"/>
      <c r="J140"/>
      <c r="K140"/>
      <c r="L140"/>
    </row>
    <row r="141" spans="1:14" s="114" customFormat="1">
      <c r="A141" s="44"/>
      <c r="B141" s="184"/>
      <c r="C141"/>
      <c r="D141"/>
      <c r="E141"/>
      <c r="F141" s="43"/>
      <c r="G141"/>
      <c r="H141" s="99"/>
      <c r="I141" s="99"/>
      <c r="J141"/>
      <c r="K141"/>
      <c r="L141"/>
    </row>
    <row r="142" spans="1:14" s="114" customFormat="1">
      <c r="A142" s="44"/>
      <c r="B142" s="184"/>
      <c r="C142"/>
      <c r="D142"/>
      <c r="E142"/>
      <c r="F142" s="43"/>
      <c r="G142" s="39">
        <f>G140-G139</f>
        <v>0</v>
      </c>
      <c r="H142" s="99"/>
      <c r="I142" s="99"/>
      <c r="J142"/>
      <c r="K142"/>
      <c r="L142"/>
    </row>
    <row r="143" spans="1:14" s="114" customFormat="1"/>
    <row r="144" spans="1:14" s="114" customFormat="1"/>
    <row r="145" spans="1:14" s="114" customFormat="1"/>
    <row r="146" spans="1:14" s="114" customFormat="1"/>
    <row r="147" spans="1:14" s="114" customFormat="1"/>
    <row r="148" spans="1:14" s="114" customFormat="1"/>
    <row r="149" spans="1:14" s="114" customFormat="1"/>
    <row r="150" spans="1:14" s="114" customFormat="1"/>
    <row r="151" spans="1:14" s="114" customFormat="1"/>
    <row r="152" spans="1:14" s="114" customFormat="1"/>
    <row r="153" spans="1:14" s="114" customFormat="1"/>
    <row r="154" spans="1:14" s="114" customFormat="1"/>
    <row r="155" spans="1:14" s="114" customFormat="1"/>
    <row r="156" spans="1:14" s="114" customFormat="1">
      <c r="A156" s="44"/>
      <c r="B156" s="184"/>
      <c r="C156"/>
      <c r="D156"/>
      <c r="E156"/>
      <c r="F156" s="43"/>
      <c r="G156"/>
      <c r="H156" s="99"/>
      <c r="I156" s="99"/>
      <c r="J156"/>
      <c r="K156"/>
      <c r="L156"/>
      <c r="M156"/>
      <c r="N156"/>
    </row>
    <row r="157" spans="1:14" s="114" customFormat="1">
      <c r="A157" s="96">
        <v>12</v>
      </c>
      <c r="B157" s="2" t="s">
        <v>373</v>
      </c>
      <c r="C157" s="16">
        <v>330000</v>
      </c>
      <c r="D157" s="16">
        <v>43989</v>
      </c>
      <c r="E157" s="41">
        <f>SUM(C157:D157)</f>
        <v>373989</v>
      </c>
      <c r="F157" s="33">
        <v>50</v>
      </c>
      <c r="G157" s="16">
        <v>7479.78</v>
      </c>
      <c r="H157" s="96">
        <v>26</v>
      </c>
      <c r="I157" s="96">
        <f>F157-H157</f>
        <v>24</v>
      </c>
      <c r="J157" s="16">
        <f>H157*G157</f>
        <v>194474.28</v>
      </c>
      <c r="K157" s="41">
        <f>E157-J157</f>
        <v>179514.72</v>
      </c>
      <c r="L157" s="11"/>
      <c r="M157" s="180" t="e">
        <f>#REF!-G157</f>
        <v>#REF!</v>
      </c>
      <c r="N157"/>
    </row>
    <row r="158" spans="1:14" s="114" customFormat="1">
      <c r="A158" s="96">
        <v>87</v>
      </c>
      <c r="B158" s="2" t="s">
        <v>421</v>
      </c>
      <c r="C158" s="16">
        <v>132000</v>
      </c>
      <c r="D158" s="16">
        <v>17595.599999999999</v>
      </c>
      <c r="E158" s="16">
        <v>149595.6</v>
      </c>
      <c r="F158" s="45">
        <v>40</v>
      </c>
      <c r="G158" s="19">
        <v>3739.89</v>
      </c>
      <c r="H158" s="97">
        <v>46</v>
      </c>
      <c r="I158" s="97">
        <f>F158-H158</f>
        <v>-6</v>
      </c>
      <c r="J158" s="91">
        <f>H158*G158</f>
        <v>172034.94</v>
      </c>
      <c r="K158" s="94">
        <f>E158-J158</f>
        <v>-22439.339999999997</v>
      </c>
      <c r="L158" s="11"/>
      <c r="M158" s="180" t="e">
        <f>#REF!-G158</f>
        <v>#REF!</v>
      </c>
      <c r="N158"/>
    </row>
    <row r="159" spans="1:14" s="114" customFormat="1">
      <c r="A159" s="96">
        <v>116</v>
      </c>
      <c r="B159" s="2" t="s">
        <v>377</v>
      </c>
      <c r="C159" s="155">
        <v>330000</v>
      </c>
      <c r="D159" s="155">
        <v>43989</v>
      </c>
      <c r="E159" s="155">
        <f>SUM(C159:D159)</f>
        <v>373989</v>
      </c>
      <c r="F159" s="33">
        <v>50</v>
      </c>
      <c r="G159" s="154">
        <v>7479.78</v>
      </c>
      <c r="H159" s="97">
        <v>12</v>
      </c>
      <c r="I159" s="97">
        <f>F159-H159</f>
        <v>38</v>
      </c>
      <c r="J159" s="91">
        <f>H159*G159</f>
        <v>89757.36</v>
      </c>
      <c r="K159" s="91">
        <f>E159-J159</f>
        <v>284231.64</v>
      </c>
      <c r="L159" s="122"/>
      <c r="M159" s="180" t="e">
        <f>#REF!-G159</f>
        <v>#REF!</v>
      </c>
      <c r="N159"/>
    </row>
    <row r="160" spans="1:14" s="114" customFormat="1" ht="14.25" customHeight="1">
      <c r="A160" s="44"/>
      <c r="B160" s="184"/>
      <c r="C160"/>
      <c r="D160"/>
      <c r="E160"/>
      <c r="F160" s="43"/>
      <c r="G160"/>
      <c r="H160" s="99"/>
      <c r="I160" s="99"/>
      <c r="J160"/>
      <c r="K160"/>
      <c r="L160"/>
      <c r="M160"/>
      <c r="N160"/>
    </row>
    <row r="161" spans="1:14" s="114" customFormat="1" ht="14.25" customHeight="1">
      <c r="A161" s="96">
        <v>144</v>
      </c>
      <c r="B161" s="2" t="s">
        <v>410</v>
      </c>
      <c r="C161" s="41">
        <v>200000</v>
      </c>
      <c r="D161" s="41">
        <v>26660</v>
      </c>
      <c r="E161" s="41">
        <f>SUM(C161:D161)</f>
        <v>226660</v>
      </c>
      <c r="F161" s="33">
        <v>40</v>
      </c>
      <c r="G161" s="41">
        <v>5666.5</v>
      </c>
      <c r="H161" s="97">
        <v>40</v>
      </c>
      <c r="I161" s="97">
        <f>F161-H161</f>
        <v>0</v>
      </c>
      <c r="J161" s="91">
        <f>H161*G161</f>
        <v>226660</v>
      </c>
      <c r="K161" s="94">
        <f>E161-J161</f>
        <v>0</v>
      </c>
      <c r="L161" s="11"/>
      <c r="M161" s="180" t="e">
        <f>#REF!-G161</f>
        <v>#REF!</v>
      </c>
      <c r="N161"/>
    </row>
    <row r="162" spans="1:14" ht="14.25" customHeight="1">
      <c r="A162" s="96">
        <v>147</v>
      </c>
      <c r="B162" s="2" t="s">
        <v>411</v>
      </c>
      <c r="C162" s="41">
        <v>200000</v>
      </c>
      <c r="D162" s="41">
        <v>26660</v>
      </c>
      <c r="E162" s="41">
        <v>226660</v>
      </c>
      <c r="F162" s="33">
        <v>40</v>
      </c>
      <c r="G162" s="19">
        <v>5666.5</v>
      </c>
      <c r="H162" s="97">
        <v>40</v>
      </c>
      <c r="I162" s="97">
        <f>F162-H162</f>
        <v>0</v>
      </c>
      <c r="J162" s="91">
        <f>H162*G162</f>
        <v>226660</v>
      </c>
      <c r="K162" s="94">
        <f>E162-J162</f>
        <v>0</v>
      </c>
      <c r="L162" s="11"/>
      <c r="M162" s="180" t="e">
        <f>#REF!-G162</f>
        <v>#REF!</v>
      </c>
    </row>
    <row r="163" spans="1:14" ht="14.25" customHeight="1">
      <c r="A163" s="96">
        <v>148</v>
      </c>
      <c r="B163" s="2" t="s">
        <v>412</v>
      </c>
      <c r="C163" s="41">
        <v>200000</v>
      </c>
      <c r="D163" s="41">
        <v>26660</v>
      </c>
      <c r="E163" s="41">
        <f>SUM(C163:D163)</f>
        <v>226660</v>
      </c>
      <c r="F163" s="33">
        <v>40</v>
      </c>
      <c r="G163" s="41">
        <v>5666.5</v>
      </c>
      <c r="H163" s="97">
        <v>40</v>
      </c>
      <c r="I163" s="97">
        <f>F163-H163</f>
        <v>0</v>
      </c>
      <c r="J163" s="91">
        <f>H163*G163</f>
        <v>226660</v>
      </c>
      <c r="K163" s="94">
        <f>E163-J163</f>
        <v>0</v>
      </c>
      <c r="L163" s="11"/>
      <c r="M163" s="180" t="e">
        <f>#REF!-G163</f>
        <v>#REF!</v>
      </c>
    </row>
    <row r="164" spans="1:14" ht="14.25" customHeight="1"/>
    <row r="165" spans="1:14" ht="14.25" customHeight="1">
      <c r="A165" s="96">
        <v>6</v>
      </c>
      <c r="B165" s="2" t="s">
        <v>418</v>
      </c>
      <c r="C165" s="16">
        <v>132000</v>
      </c>
      <c r="D165" s="16">
        <v>17595.599999999999</v>
      </c>
      <c r="E165" s="41">
        <f t="shared" ref="E165:E177" si="21">SUM(C165:D165)</f>
        <v>149595.6</v>
      </c>
      <c r="F165" s="33">
        <v>40</v>
      </c>
      <c r="G165" s="16">
        <v>3739.89</v>
      </c>
      <c r="H165" s="96">
        <v>40</v>
      </c>
      <c r="I165" s="96">
        <f t="shared" ref="I165:I185" si="22">F165-H165</f>
        <v>0</v>
      </c>
      <c r="J165" s="16">
        <f t="shared" ref="J165:J185" si="23">H165*G165</f>
        <v>149595.6</v>
      </c>
      <c r="K165" s="41">
        <f t="shared" ref="K165:K185" si="24">E165-J165</f>
        <v>0</v>
      </c>
      <c r="L165" s="11"/>
      <c r="M165" s="180" t="e">
        <f>#REF!-G165</f>
        <v>#REF!</v>
      </c>
    </row>
    <row r="166" spans="1:14" ht="14.25" customHeight="1">
      <c r="A166" s="96">
        <v>11</v>
      </c>
      <c r="B166" s="2" t="s">
        <v>386</v>
      </c>
      <c r="C166" s="41">
        <v>200000</v>
      </c>
      <c r="D166" s="41">
        <v>26660</v>
      </c>
      <c r="E166" s="41">
        <f t="shared" si="21"/>
        <v>226660</v>
      </c>
      <c r="F166" s="33">
        <v>40</v>
      </c>
      <c r="G166" s="41">
        <v>5666.5</v>
      </c>
      <c r="H166" s="96">
        <v>40</v>
      </c>
      <c r="I166" s="96">
        <f t="shared" si="22"/>
        <v>0</v>
      </c>
      <c r="J166" s="16">
        <f t="shared" si="23"/>
        <v>226660</v>
      </c>
      <c r="K166" s="41">
        <f t="shared" si="24"/>
        <v>0</v>
      </c>
      <c r="L166" s="11"/>
      <c r="M166" s="180" t="e">
        <f>#REF!-G166</f>
        <v>#REF!</v>
      </c>
    </row>
    <row r="167" spans="1:14" ht="14.25" customHeight="1">
      <c r="A167" s="96">
        <v>13</v>
      </c>
      <c r="B167" s="2" t="s">
        <v>387</v>
      </c>
      <c r="C167" s="41">
        <v>200000</v>
      </c>
      <c r="D167" s="41">
        <v>26660</v>
      </c>
      <c r="E167" s="41">
        <f t="shared" si="21"/>
        <v>226660</v>
      </c>
      <c r="F167" s="33">
        <v>40</v>
      </c>
      <c r="G167" s="41">
        <v>5666.5</v>
      </c>
      <c r="H167" s="96">
        <v>40</v>
      </c>
      <c r="I167" s="96">
        <f t="shared" si="22"/>
        <v>0</v>
      </c>
      <c r="J167" s="16">
        <f t="shared" si="23"/>
        <v>226660</v>
      </c>
      <c r="K167" s="41">
        <f t="shared" si="24"/>
        <v>0</v>
      </c>
      <c r="L167" s="11"/>
      <c r="M167" s="180" t="e">
        <f>#REF!-G167</f>
        <v>#REF!</v>
      </c>
    </row>
    <row r="168" spans="1:14" ht="14.25" customHeight="1">
      <c r="A168" s="96">
        <v>20</v>
      </c>
      <c r="B168" s="2" t="s">
        <v>390</v>
      </c>
      <c r="C168" s="41">
        <v>200000</v>
      </c>
      <c r="D168" s="41">
        <v>26660</v>
      </c>
      <c r="E168" s="41">
        <f t="shared" si="21"/>
        <v>226660</v>
      </c>
      <c r="F168" s="33">
        <v>40</v>
      </c>
      <c r="G168" s="41">
        <v>5666.5</v>
      </c>
      <c r="H168" s="96">
        <v>40</v>
      </c>
      <c r="I168" s="96">
        <f t="shared" si="22"/>
        <v>0</v>
      </c>
      <c r="J168" s="16">
        <f t="shared" si="23"/>
        <v>226660</v>
      </c>
      <c r="K168" s="41">
        <f t="shared" si="24"/>
        <v>0</v>
      </c>
      <c r="L168" s="11"/>
      <c r="M168" s="180" t="e">
        <f>#REF!-G168</f>
        <v>#REF!</v>
      </c>
    </row>
    <row r="169" spans="1:14" ht="14.25" customHeight="1">
      <c r="A169" s="96">
        <v>29</v>
      </c>
      <c r="B169" s="2" t="s">
        <v>391</v>
      </c>
      <c r="C169" s="41">
        <v>200000</v>
      </c>
      <c r="D169" s="41">
        <v>26660</v>
      </c>
      <c r="E169" s="41">
        <f t="shared" si="21"/>
        <v>226660</v>
      </c>
      <c r="F169" s="33">
        <v>40</v>
      </c>
      <c r="G169" s="41">
        <v>5666.5</v>
      </c>
      <c r="H169" s="97">
        <v>40</v>
      </c>
      <c r="I169" s="97">
        <f t="shared" si="22"/>
        <v>0</v>
      </c>
      <c r="J169" s="91">
        <f t="shared" si="23"/>
        <v>226660</v>
      </c>
      <c r="K169" s="94">
        <f t="shared" si="24"/>
        <v>0</v>
      </c>
      <c r="L169" s="11"/>
      <c r="M169" s="180" t="e">
        <f>#REF!-G169</f>
        <v>#REF!</v>
      </c>
      <c r="N169" s="121"/>
    </row>
    <row r="170" spans="1:14" ht="14.25" customHeight="1">
      <c r="A170" s="96">
        <v>31</v>
      </c>
      <c r="B170" s="2" t="s">
        <v>392</v>
      </c>
      <c r="C170" s="41">
        <v>200000</v>
      </c>
      <c r="D170" s="41">
        <v>26660</v>
      </c>
      <c r="E170" s="41">
        <f t="shared" si="21"/>
        <v>226660</v>
      </c>
      <c r="F170" s="33">
        <v>40</v>
      </c>
      <c r="G170" s="41">
        <v>5666.5</v>
      </c>
      <c r="H170" s="97">
        <v>40</v>
      </c>
      <c r="I170" s="97">
        <f t="shared" si="22"/>
        <v>0</v>
      </c>
      <c r="J170" s="91">
        <f t="shared" si="23"/>
        <v>226660</v>
      </c>
      <c r="K170" s="94">
        <f t="shared" si="24"/>
        <v>0</v>
      </c>
      <c r="L170" s="11"/>
      <c r="M170" s="180" t="e">
        <f>#REF!-G170</f>
        <v>#REF!</v>
      </c>
    </row>
    <row r="171" spans="1:14">
      <c r="A171" s="96">
        <v>34</v>
      </c>
      <c r="B171" s="2" t="s">
        <v>393</v>
      </c>
      <c r="C171" s="41">
        <v>200000</v>
      </c>
      <c r="D171" s="41">
        <v>26660</v>
      </c>
      <c r="E171" s="41">
        <f t="shared" si="21"/>
        <v>226660</v>
      </c>
      <c r="F171" s="33">
        <v>40</v>
      </c>
      <c r="G171" s="41">
        <v>5666.5</v>
      </c>
      <c r="H171" s="97">
        <v>40</v>
      </c>
      <c r="I171" s="97">
        <f t="shared" si="22"/>
        <v>0</v>
      </c>
      <c r="J171" s="91">
        <f t="shared" si="23"/>
        <v>226660</v>
      </c>
      <c r="K171" s="94">
        <f t="shared" si="24"/>
        <v>0</v>
      </c>
      <c r="L171" s="11"/>
      <c r="M171" s="180" t="e">
        <f>#REF!-G171</f>
        <v>#REF!</v>
      </c>
    </row>
    <row r="172" spans="1:14">
      <c r="A172" s="96">
        <v>41</v>
      </c>
      <c r="B172" s="2" t="s">
        <v>415</v>
      </c>
      <c r="C172" s="16">
        <v>180000</v>
      </c>
      <c r="D172" s="16">
        <v>23994</v>
      </c>
      <c r="E172" s="41">
        <f t="shared" si="21"/>
        <v>203994</v>
      </c>
      <c r="F172" s="33">
        <v>40</v>
      </c>
      <c r="G172" s="16">
        <v>5099.8500000000004</v>
      </c>
      <c r="H172" s="97">
        <v>40</v>
      </c>
      <c r="I172" s="97">
        <f t="shared" si="22"/>
        <v>0</v>
      </c>
      <c r="J172" s="91">
        <f t="shared" si="23"/>
        <v>203994</v>
      </c>
      <c r="K172" s="94">
        <f t="shared" si="24"/>
        <v>0</v>
      </c>
      <c r="L172" s="11"/>
      <c r="M172" s="180" t="e">
        <f>#REF!-G172</f>
        <v>#REF!</v>
      </c>
    </row>
    <row r="173" spans="1:14">
      <c r="A173" s="96">
        <v>45</v>
      </c>
      <c r="B173" s="2" t="s">
        <v>394</v>
      </c>
      <c r="C173" s="41">
        <v>200000</v>
      </c>
      <c r="D173" s="41">
        <v>26660</v>
      </c>
      <c r="E173" s="41">
        <f t="shared" si="21"/>
        <v>226660</v>
      </c>
      <c r="F173" s="33">
        <v>40</v>
      </c>
      <c r="G173" s="41">
        <v>5666.5</v>
      </c>
      <c r="H173" s="97">
        <v>40</v>
      </c>
      <c r="I173" s="97">
        <f t="shared" si="22"/>
        <v>0</v>
      </c>
      <c r="J173" s="91">
        <f t="shared" si="23"/>
        <v>226660</v>
      </c>
      <c r="K173" s="94">
        <f t="shared" si="24"/>
        <v>0</v>
      </c>
      <c r="L173" s="11"/>
      <c r="M173" s="180" t="e">
        <f>#REF!-G173</f>
        <v>#REF!</v>
      </c>
    </row>
    <row r="174" spans="1:14" s="121" customFormat="1">
      <c r="A174" s="96">
        <v>51</v>
      </c>
      <c r="B174" s="2" t="s">
        <v>395</v>
      </c>
      <c r="C174" s="15">
        <v>200000</v>
      </c>
      <c r="D174" s="15">
        <v>26660</v>
      </c>
      <c r="E174" s="15">
        <f t="shared" si="21"/>
        <v>226660</v>
      </c>
      <c r="F174" s="31">
        <v>40</v>
      </c>
      <c r="G174" s="15">
        <v>5666.5</v>
      </c>
      <c r="H174" s="14">
        <v>38</v>
      </c>
      <c r="I174" s="97">
        <f t="shared" si="22"/>
        <v>2</v>
      </c>
      <c r="J174" s="91">
        <f t="shared" si="23"/>
        <v>215327</v>
      </c>
      <c r="K174" s="15">
        <f t="shared" si="24"/>
        <v>11333</v>
      </c>
      <c r="L174" s="8"/>
      <c r="M174" s="180" t="e">
        <f>#REF!-G174</f>
        <v>#REF!</v>
      </c>
      <c r="N174"/>
    </row>
    <row r="175" spans="1:14">
      <c r="A175" s="96">
        <v>59</v>
      </c>
      <c r="B175" s="2" t="s">
        <v>419</v>
      </c>
      <c r="C175" s="16">
        <v>132000</v>
      </c>
      <c r="D175" s="16">
        <v>17595.599999999999</v>
      </c>
      <c r="E175" s="41">
        <f t="shared" si="21"/>
        <v>149595.6</v>
      </c>
      <c r="F175" s="33">
        <v>40</v>
      </c>
      <c r="G175" s="16">
        <v>3739.89</v>
      </c>
      <c r="H175" s="97">
        <v>40</v>
      </c>
      <c r="I175" s="97">
        <f t="shared" si="22"/>
        <v>0</v>
      </c>
      <c r="J175" s="91">
        <f t="shared" si="23"/>
        <v>149595.6</v>
      </c>
      <c r="K175" s="94">
        <f t="shared" si="24"/>
        <v>0</v>
      </c>
      <c r="L175" s="11"/>
      <c r="M175" s="180" t="e">
        <f>#REF!-G175</f>
        <v>#REF!</v>
      </c>
    </row>
    <row r="176" spans="1:14">
      <c r="A176" s="96">
        <v>60</v>
      </c>
      <c r="B176" s="2" t="s">
        <v>396</v>
      </c>
      <c r="C176" s="41">
        <v>200000</v>
      </c>
      <c r="D176" s="41">
        <v>26660</v>
      </c>
      <c r="E176" s="41">
        <f t="shared" si="21"/>
        <v>226660</v>
      </c>
      <c r="F176" s="33">
        <v>40</v>
      </c>
      <c r="G176" s="41">
        <v>5666.5</v>
      </c>
      <c r="H176" s="97">
        <v>40</v>
      </c>
      <c r="I176" s="97">
        <f t="shared" si="22"/>
        <v>0</v>
      </c>
      <c r="J176" s="91">
        <f t="shared" si="23"/>
        <v>226660</v>
      </c>
      <c r="K176" s="94">
        <f t="shared" si="24"/>
        <v>0</v>
      </c>
      <c r="L176" s="11"/>
      <c r="M176" s="180" t="e">
        <f>#REF!-G176</f>
        <v>#REF!</v>
      </c>
    </row>
    <row r="177" spans="1:13">
      <c r="A177" s="96">
        <v>65</v>
      </c>
      <c r="B177" s="2" t="s">
        <v>420</v>
      </c>
      <c r="C177" s="16">
        <v>132000</v>
      </c>
      <c r="D177" s="16">
        <v>17595.599999999999</v>
      </c>
      <c r="E177" s="41">
        <f t="shared" si="21"/>
        <v>149595.6</v>
      </c>
      <c r="F177" s="33">
        <v>40</v>
      </c>
      <c r="G177" s="16">
        <v>3739.89</v>
      </c>
      <c r="H177" s="97">
        <v>40</v>
      </c>
      <c r="I177" s="97">
        <f t="shared" si="22"/>
        <v>0</v>
      </c>
      <c r="J177" s="91">
        <f t="shared" si="23"/>
        <v>149595.6</v>
      </c>
      <c r="K177" s="94">
        <f t="shared" si="24"/>
        <v>0</v>
      </c>
      <c r="L177" s="11"/>
      <c r="M177" s="180" t="e">
        <f>#REF!-G177</f>
        <v>#REF!</v>
      </c>
    </row>
    <row r="178" spans="1:13">
      <c r="A178" s="96">
        <v>67</v>
      </c>
      <c r="B178" s="2" t="s">
        <v>397</v>
      </c>
      <c r="C178" s="41">
        <v>200000</v>
      </c>
      <c r="D178" s="41">
        <v>26660</v>
      </c>
      <c r="E178" s="41">
        <v>226660</v>
      </c>
      <c r="F178" s="33">
        <v>40</v>
      </c>
      <c r="G178" s="19">
        <v>5666.5</v>
      </c>
      <c r="H178" s="97">
        <v>40</v>
      </c>
      <c r="I178" s="97">
        <f t="shared" si="22"/>
        <v>0</v>
      </c>
      <c r="J178" s="91">
        <f t="shared" si="23"/>
        <v>226660</v>
      </c>
      <c r="K178" s="94">
        <f t="shared" si="24"/>
        <v>0</v>
      </c>
      <c r="L178" s="11"/>
      <c r="M178" s="180" t="e">
        <f>#REF!-G178</f>
        <v>#REF!</v>
      </c>
    </row>
    <row r="179" spans="1:13">
      <c r="A179" s="96">
        <v>69</v>
      </c>
      <c r="B179" s="2" t="s">
        <v>398</v>
      </c>
      <c r="C179" s="41">
        <v>200000</v>
      </c>
      <c r="D179" s="41">
        <v>26660</v>
      </c>
      <c r="E179" s="41">
        <f>SUM(C179:D179)</f>
        <v>226660</v>
      </c>
      <c r="F179" s="33">
        <v>40</v>
      </c>
      <c r="G179" s="41">
        <v>5666.5</v>
      </c>
      <c r="H179" s="97">
        <v>40</v>
      </c>
      <c r="I179" s="97">
        <f t="shared" si="22"/>
        <v>0</v>
      </c>
      <c r="J179" s="91">
        <f t="shared" si="23"/>
        <v>226660</v>
      </c>
      <c r="K179" s="94">
        <f t="shared" si="24"/>
        <v>0</v>
      </c>
      <c r="L179" s="11"/>
      <c r="M179" s="180" t="e">
        <f>#REF!-G179</f>
        <v>#REF!</v>
      </c>
    </row>
    <row r="180" spans="1:13">
      <c r="A180" s="96">
        <v>72</v>
      </c>
      <c r="B180" s="2" t="s">
        <v>399</v>
      </c>
      <c r="C180" s="41">
        <v>200000</v>
      </c>
      <c r="D180" s="41">
        <v>26660</v>
      </c>
      <c r="E180" s="41">
        <f>SUM(C180:D180)</f>
        <v>226660</v>
      </c>
      <c r="F180" s="33">
        <v>40</v>
      </c>
      <c r="G180" s="41">
        <v>5666.5</v>
      </c>
      <c r="H180" s="97">
        <v>40</v>
      </c>
      <c r="I180" s="97">
        <f t="shared" si="22"/>
        <v>0</v>
      </c>
      <c r="J180" s="91">
        <f t="shared" si="23"/>
        <v>226660</v>
      </c>
      <c r="K180" s="94">
        <f t="shared" si="24"/>
        <v>0</v>
      </c>
      <c r="L180" s="11"/>
      <c r="M180" s="180" t="e">
        <f>#REF!-G180</f>
        <v>#REF!</v>
      </c>
    </row>
    <row r="181" spans="1:13">
      <c r="A181" s="96">
        <v>73</v>
      </c>
      <c r="B181" s="2" t="s">
        <v>428</v>
      </c>
      <c r="C181" s="16">
        <v>60000</v>
      </c>
      <c r="D181" s="16">
        <v>7998</v>
      </c>
      <c r="E181" s="41">
        <f>SUM(C181:D181)</f>
        <v>67998</v>
      </c>
      <c r="F181" s="33">
        <v>40</v>
      </c>
      <c r="G181" s="16">
        <v>1699.95</v>
      </c>
      <c r="H181" s="97">
        <v>40</v>
      </c>
      <c r="I181" s="97">
        <f t="shared" si="22"/>
        <v>0</v>
      </c>
      <c r="J181" s="91">
        <f t="shared" si="23"/>
        <v>67998</v>
      </c>
      <c r="K181" s="94">
        <f t="shared" si="24"/>
        <v>0</v>
      </c>
      <c r="L181" s="11"/>
      <c r="M181" s="180" t="e">
        <f>#REF!-G181</f>
        <v>#REF!</v>
      </c>
    </row>
    <row r="182" spans="1:13">
      <c r="A182" s="96">
        <v>77</v>
      </c>
      <c r="B182" s="2" t="s">
        <v>401</v>
      </c>
      <c r="C182" s="41">
        <v>200000</v>
      </c>
      <c r="D182" s="41">
        <v>26660</v>
      </c>
      <c r="E182" s="41">
        <f>SUM(C182:D182)</f>
        <v>226660</v>
      </c>
      <c r="F182" s="33">
        <v>40</v>
      </c>
      <c r="G182" s="41">
        <v>5666.5</v>
      </c>
      <c r="H182" s="97">
        <v>40</v>
      </c>
      <c r="I182" s="97">
        <f t="shared" si="22"/>
        <v>0</v>
      </c>
      <c r="J182" s="91">
        <f t="shared" si="23"/>
        <v>226660</v>
      </c>
      <c r="K182" s="94">
        <f t="shared" si="24"/>
        <v>0</v>
      </c>
      <c r="L182" s="11"/>
      <c r="M182" s="180" t="e">
        <f>#REF!-G182</f>
        <v>#REF!</v>
      </c>
    </row>
    <row r="183" spans="1:13">
      <c r="A183" s="96">
        <v>79</v>
      </c>
      <c r="B183" s="2" t="s">
        <v>402</v>
      </c>
      <c r="C183" s="41">
        <v>200000</v>
      </c>
      <c r="D183" s="41">
        <v>26660</v>
      </c>
      <c r="E183" s="41">
        <f>SUM(C183:D183)</f>
        <v>226660</v>
      </c>
      <c r="F183" s="33">
        <v>40</v>
      </c>
      <c r="G183" s="41">
        <v>5666.5</v>
      </c>
      <c r="H183" s="97">
        <v>40</v>
      </c>
      <c r="I183" s="97">
        <f t="shared" si="22"/>
        <v>0</v>
      </c>
      <c r="J183" s="91">
        <f t="shared" si="23"/>
        <v>226660</v>
      </c>
      <c r="K183" s="94">
        <f t="shared" si="24"/>
        <v>0</v>
      </c>
      <c r="L183" s="11"/>
      <c r="M183" s="180" t="e">
        <f>#REF!-G183</f>
        <v>#REF!</v>
      </c>
    </row>
    <row r="184" spans="1:13">
      <c r="A184" s="96">
        <v>82</v>
      </c>
      <c r="B184" s="2" t="s">
        <v>404</v>
      </c>
      <c r="C184" s="41">
        <v>200000</v>
      </c>
      <c r="D184" s="41">
        <v>26660</v>
      </c>
      <c r="E184" s="41">
        <v>226660</v>
      </c>
      <c r="F184" s="33">
        <v>40</v>
      </c>
      <c r="G184" s="19">
        <v>5666.5</v>
      </c>
      <c r="H184" s="97">
        <v>40</v>
      </c>
      <c r="I184" s="97">
        <f t="shared" si="22"/>
        <v>0</v>
      </c>
      <c r="J184" s="91">
        <f t="shared" si="23"/>
        <v>226660</v>
      </c>
      <c r="K184" s="94">
        <f t="shared" si="24"/>
        <v>0</v>
      </c>
      <c r="L184" s="11"/>
      <c r="M184" s="180" t="e">
        <f>#REF!-G184</f>
        <v>#REF!</v>
      </c>
    </row>
    <row r="185" spans="1:13">
      <c r="A185" s="96">
        <v>84</v>
      </c>
      <c r="B185" s="2" t="s">
        <v>405</v>
      </c>
      <c r="C185" s="41">
        <v>200000</v>
      </c>
      <c r="D185" s="41">
        <v>26660</v>
      </c>
      <c r="E185" s="41">
        <f>SUM(C185:D185)</f>
        <v>226660</v>
      </c>
      <c r="F185" s="33">
        <v>40</v>
      </c>
      <c r="G185" s="41">
        <v>5666.5</v>
      </c>
      <c r="H185" s="97">
        <v>40</v>
      </c>
      <c r="I185" s="97">
        <f t="shared" si="22"/>
        <v>0</v>
      </c>
      <c r="J185" s="91">
        <f t="shared" si="23"/>
        <v>226660</v>
      </c>
      <c r="K185" s="94">
        <f t="shared" si="24"/>
        <v>0</v>
      </c>
      <c r="L185" s="11"/>
      <c r="M185" s="180" t="e">
        <f>#REF!-G185</f>
        <v>#REF!</v>
      </c>
    </row>
    <row r="188" spans="1:13">
      <c r="B188" s="127" t="s">
        <v>226</v>
      </c>
      <c r="C188" s="129">
        <v>200000</v>
      </c>
      <c r="D188" s="129">
        <v>26660</v>
      </c>
      <c r="E188" s="129">
        <v>226660</v>
      </c>
      <c r="F188" s="130">
        <v>40</v>
      </c>
      <c r="G188" s="137">
        <v>5666.5</v>
      </c>
      <c r="H188" s="134">
        <v>40</v>
      </c>
      <c r="I188" s="134">
        <f t="shared" ref="I188:I208" si="25">F188-H188</f>
        <v>0</v>
      </c>
      <c r="J188" s="135">
        <f t="shared" ref="J188:J208" si="26">H188*G188</f>
        <v>226660</v>
      </c>
      <c r="K188" s="136">
        <f t="shared" ref="K188:K208" si="27">E188-J188</f>
        <v>0</v>
      </c>
      <c r="L188" s="132"/>
      <c r="M188" s="121"/>
    </row>
    <row r="189" spans="1:13">
      <c r="B189" s="127" t="s">
        <v>181</v>
      </c>
      <c r="C189" s="129">
        <v>200000</v>
      </c>
      <c r="D189" s="129">
        <v>26660</v>
      </c>
      <c r="E189" s="129">
        <f t="shared" ref="E189:E195" si="28">SUM(C189:D189)</f>
        <v>226660</v>
      </c>
      <c r="F189" s="130">
        <v>40</v>
      </c>
      <c r="G189" s="129">
        <v>5666.5</v>
      </c>
      <c r="H189" s="134">
        <v>40</v>
      </c>
      <c r="I189" s="134">
        <f t="shared" si="25"/>
        <v>0</v>
      </c>
      <c r="J189" s="135">
        <f t="shared" si="26"/>
        <v>226660</v>
      </c>
      <c r="K189" s="136">
        <f t="shared" si="27"/>
        <v>0</v>
      </c>
      <c r="L189" s="132"/>
    </row>
    <row r="190" spans="1:13">
      <c r="B190" s="127" t="s">
        <v>249</v>
      </c>
      <c r="C190" s="128">
        <v>180000</v>
      </c>
      <c r="D190" s="128">
        <v>23994</v>
      </c>
      <c r="E190" s="129">
        <f t="shared" si="28"/>
        <v>203994</v>
      </c>
      <c r="F190" s="130">
        <v>40</v>
      </c>
      <c r="G190" s="128">
        <v>5099.8500000000004</v>
      </c>
      <c r="H190" s="134">
        <v>45</v>
      </c>
      <c r="I190" s="134">
        <f t="shared" si="25"/>
        <v>-5</v>
      </c>
      <c r="J190" s="135">
        <f t="shared" si="26"/>
        <v>229493.25000000003</v>
      </c>
      <c r="K190" s="136">
        <f t="shared" si="27"/>
        <v>-25499.250000000029</v>
      </c>
      <c r="L190" s="132"/>
    </row>
    <row r="191" spans="1:13">
      <c r="B191" s="127" t="s">
        <v>188</v>
      </c>
      <c r="C191" s="128">
        <v>180000</v>
      </c>
      <c r="D191" s="128">
        <v>23994</v>
      </c>
      <c r="E191" s="129">
        <f t="shared" si="28"/>
        <v>203994</v>
      </c>
      <c r="F191" s="130">
        <v>40</v>
      </c>
      <c r="G191" s="128">
        <v>5099.8500000000004</v>
      </c>
      <c r="H191" s="131">
        <v>37</v>
      </c>
      <c r="I191" s="131">
        <f t="shared" si="25"/>
        <v>3</v>
      </c>
      <c r="J191" s="128">
        <f t="shared" si="26"/>
        <v>188694.45</v>
      </c>
      <c r="K191" s="129">
        <f t="shared" si="27"/>
        <v>15299.549999999988</v>
      </c>
      <c r="L191" s="132"/>
    </row>
    <row r="192" spans="1:13">
      <c r="B192" s="127" t="s">
        <v>124</v>
      </c>
      <c r="C192" s="129">
        <v>200000</v>
      </c>
      <c r="D192" s="129">
        <v>26660</v>
      </c>
      <c r="E192" s="129">
        <f t="shared" si="28"/>
        <v>226660</v>
      </c>
      <c r="F192" s="130">
        <v>40</v>
      </c>
      <c r="G192" s="129">
        <v>5666.5</v>
      </c>
      <c r="H192" s="131">
        <v>40</v>
      </c>
      <c r="I192" s="131">
        <f t="shared" si="25"/>
        <v>0</v>
      </c>
      <c r="J192" s="128">
        <f t="shared" si="26"/>
        <v>226660</v>
      </c>
      <c r="K192" s="129">
        <f t="shared" si="27"/>
        <v>0</v>
      </c>
      <c r="L192" s="132"/>
    </row>
    <row r="193" spans="1:14">
      <c r="B193" s="127" t="s">
        <v>129</v>
      </c>
      <c r="C193" s="129">
        <v>200000</v>
      </c>
      <c r="D193" s="129">
        <v>26660</v>
      </c>
      <c r="E193" s="129">
        <f t="shared" si="28"/>
        <v>226660</v>
      </c>
      <c r="F193" s="130">
        <v>40</v>
      </c>
      <c r="G193" s="129">
        <v>5666.5</v>
      </c>
      <c r="H193" s="131">
        <v>38</v>
      </c>
      <c r="I193" s="131">
        <f t="shared" si="25"/>
        <v>2</v>
      </c>
      <c r="J193" s="128">
        <f t="shared" si="26"/>
        <v>215327</v>
      </c>
      <c r="K193" s="129">
        <f t="shared" si="27"/>
        <v>11333</v>
      </c>
      <c r="L193" s="132"/>
    </row>
    <row r="194" spans="1:14">
      <c r="B194" s="127" t="s">
        <v>202</v>
      </c>
      <c r="C194" s="128">
        <v>132000</v>
      </c>
      <c r="D194" s="128">
        <v>17595.599999999999</v>
      </c>
      <c r="E194" s="129">
        <f t="shared" si="28"/>
        <v>149595.6</v>
      </c>
      <c r="F194" s="130">
        <v>40</v>
      </c>
      <c r="G194" s="128">
        <v>3739.89</v>
      </c>
      <c r="H194" s="131">
        <v>34</v>
      </c>
      <c r="I194" s="131">
        <f t="shared" si="25"/>
        <v>6</v>
      </c>
      <c r="J194" s="128">
        <f t="shared" si="26"/>
        <v>127156.26</v>
      </c>
      <c r="K194" s="129">
        <f t="shared" si="27"/>
        <v>22439.340000000011</v>
      </c>
      <c r="L194" s="132"/>
    </row>
    <row r="195" spans="1:14">
      <c r="A195" s="101">
        <v>135</v>
      </c>
      <c r="B195" s="125" t="s">
        <v>138</v>
      </c>
      <c r="C195" s="129">
        <v>200000</v>
      </c>
      <c r="D195" s="129">
        <v>26660</v>
      </c>
      <c r="E195" s="129">
        <f t="shared" si="28"/>
        <v>226660</v>
      </c>
      <c r="F195" s="130">
        <v>40</v>
      </c>
      <c r="G195" s="129">
        <v>5666.5</v>
      </c>
      <c r="H195" s="134">
        <v>37</v>
      </c>
      <c r="I195" s="134">
        <f t="shared" si="25"/>
        <v>3</v>
      </c>
      <c r="J195" s="135">
        <f t="shared" si="26"/>
        <v>209660.5</v>
      </c>
      <c r="K195" s="136">
        <f t="shared" si="27"/>
        <v>16999.5</v>
      </c>
      <c r="L195" s="132"/>
    </row>
    <row r="196" spans="1:14">
      <c r="A196" s="101">
        <v>167.333333333333</v>
      </c>
      <c r="B196" s="127" t="s">
        <v>236</v>
      </c>
      <c r="C196" s="128">
        <v>180000</v>
      </c>
      <c r="D196" s="128">
        <v>23994</v>
      </c>
      <c r="E196" s="128">
        <v>203994</v>
      </c>
      <c r="F196" s="139">
        <v>40</v>
      </c>
      <c r="G196" s="137">
        <v>5099.8500000000004</v>
      </c>
      <c r="H196" s="134">
        <v>46</v>
      </c>
      <c r="I196" s="134">
        <f t="shared" si="25"/>
        <v>-6</v>
      </c>
      <c r="J196" s="135">
        <f t="shared" si="26"/>
        <v>234593.1</v>
      </c>
      <c r="K196" s="136">
        <f t="shared" si="27"/>
        <v>-30599.100000000006</v>
      </c>
      <c r="L196" s="140"/>
      <c r="N196" s="114"/>
    </row>
    <row r="197" spans="1:14">
      <c r="A197" s="101">
        <v>144.833333333333</v>
      </c>
      <c r="B197" s="127" t="s">
        <v>234</v>
      </c>
      <c r="C197" s="129">
        <v>200000</v>
      </c>
      <c r="D197" s="129">
        <v>26660</v>
      </c>
      <c r="E197" s="129">
        <v>226660</v>
      </c>
      <c r="F197" s="130">
        <v>40</v>
      </c>
      <c r="G197" s="137">
        <v>5666.5</v>
      </c>
      <c r="H197" s="134">
        <v>40</v>
      </c>
      <c r="I197" s="134">
        <f t="shared" si="25"/>
        <v>0</v>
      </c>
      <c r="J197" s="135">
        <f t="shared" si="26"/>
        <v>226660</v>
      </c>
      <c r="K197" s="136">
        <f t="shared" si="27"/>
        <v>0</v>
      </c>
      <c r="L197" s="132"/>
      <c r="N197" s="114"/>
    </row>
    <row r="198" spans="1:14">
      <c r="A198" s="101">
        <v>146.333333333333</v>
      </c>
      <c r="B198" s="141" t="s">
        <v>187</v>
      </c>
      <c r="C198" s="129">
        <v>150000</v>
      </c>
      <c r="D198" s="129">
        <v>11997</v>
      </c>
      <c r="E198" s="129">
        <f t="shared" ref="E198:E205" si="29">SUM(C198:D198)</f>
        <v>161997</v>
      </c>
      <c r="F198" s="130">
        <v>30</v>
      </c>
      <c r="G198" s="129">
        <v>5399.9</v>
      </c>
      <c r="H198" s="134">
        <v>31</v>
      </c>
      <c r="I198" s="134">
        <f t="shared" si="25"/>
        <v>-1</v>
      </c>
      <c r="J198" s="135">
        <f t="shared" si="26"/>
        <v>167396.9</v>
      </c>
      <c r="K198" s="136">
        <f t="shared" si="27"/>
        <v>-5399.8999999999942</v>
      </c>
      <c r="L198" s="132"/>
      <c r="N198" s="114"/>
    </row>
    <row r="199" spans="1:14">
      <c r="A199" s="101">
        <v>147.833333333333</v>
      </c>
      <c r="B199" s="127" t="s">
        <v>150</v>
      </c>
      <c r="C199" s="129">
        <v>200000</v>
      </c>
      <c r="D199" s="129">
        <v>26660</v>
      </c>
      <c r="E199" s="129">
        <f t="shared" si="29"/>
        <v>226660</v>
      </c>
      <c r="F199" s="130">
        <v>40</v>
      </c>
      <c r="G199" s="129">
        <v>5666.5</v>
      </c>
      <c r="H199" s="134">
        <v>40</v>
      </c>
      <c r="I199" s="134">
        <f t="shared" si="25"/>
        <v>0</v>
      </c>
      <c r="J199" s="135">
        <f t="shared" si="26"/>
        <v>226660</v>
      </c>
      <c r="K199" s="136">
        <f t="shared" si="27"/>
        <v>0</v>
      </c>
      <c r="L199" s="132"/>
    </row>
    <row r="200" spans="1:14">
      <c r="A200" s="101">
        <v>149.333333333333</v>
      </c>
      <c r="B200" s="125" t="s">
        <v>151</v>
      </c>
      <c r="C200" s="129">
        <v>200000</v>
      </c>
      <c r="D200" s="129">
        <v>26660</v>
      </c>
      <c r="E200" s="129">
        <f t="shared" si="29"/>
        <v>226660</v>
      </c>
      <c r="F200" s="130">
        <v>40</v>
      </c>
      <c r="G200" s="129">
        <v>5666.5</v>
      </c>
      <c r="H200" s="134">
        <v>38</v>
      </c>
      <c r="I200" s="134">
        <f t="shared" si="25"/>
        <v>2</v>
      </c>
      <c r="J200" s="135">
        <f t="shared" si="26"/>
        <v>215327</v>
      </c>
      <c r="K200" s="136">
        <f t="shared" si="27"/>
        <v>11333</v>
      </c>
      <c r="L200" s="132"/>
      <c r="N200" s="114"/>
    </row>
    <row r="201" spans="1:14">
      <c r="A201" s="101">
        <v>150.833333333333</v>
      </c>
      <c r="B201" s="186" t="s">
        <v>266</v>
      </c>
      <c r="C201" s="128">
        <v>330000</v>
      </c>
      <c r="D201" s="128">
        <v>43989</v>
      </c>
      <c r="E201" s="129">
        <f t="shared" si="29"/>
        <v>373989</v>
      </c>
      <c r="F201" s="130">
        <v>50</v>
      </c>
      <c r="G201" s="138">
        <v>7479</v>
      </c>
      <c r="H201" s="134">
        <v>8</v>
      </c>
      <c r="I201" s="134">
        <f t="shared" si="25"/>
        <v>42</v>
      </c>
      <c r="J201" s="135">
        <f t="shared" si="26"/>
        <v>59832</v>
      </c>
      <c r="K201" s="136">
        <f t="shared" si="27"/>
        <v>314157</v>
      </c>
      <c r="L201" s="124"/>
      <c r="N201" s="114"/>
    </row>
    <row r="202" spans="1:14">
      <c r="A202" s="101">
        <v>152.333333333333</v>
      </c>
      <c r="B202" s="125" t="s">
        <v>156</v>
      </c>
      <c r="C202" s="129">
        <v>200000</v>
      </c>
      <c r="D202" s="129">
        <v>26660</v>
      </c>
      <c r="E202" s="129">
        <f t="shared" si="29"/>
        <v>226660</v>
      </c>
      <c r="F202" s="130">
        <v>40</v>
      </c>
      <c r="G202" s="133">
        <v>3739.89</v>
      </c>
      <c r="H202" s="134">
        <v>40</v>
      </c>
      <c r="I202" s="134">
        <f t="shared" si="25"/>
        <v>0</v>
      </c>
      <c r="J202" s="135">
        <f t="shared" si="26"/>
        <v>149595.6</v>
      </c>
      <c r="K202" s="136">
        <f t="shared" si="27"/>
        <v>77064.399999999994</v>
      </c>
      <c r="L202" s="132"/>
      <c r="N202" s="114"/>
    </row>
    <row r="203" spans="1:14">
      <c r="A203" s="101">
        <v>153.833333333333</v>
      </c>
      <c r="B203" s="125" t="s">
        <v>157</v>
      </c>
      <c r="C203" s="129">
        <v>200000</v>
      </c>
      <c r="D203" s="129">
        <v>26660</v>
      </c>
      <c r="E203" s="129">
        <f t="shared" si="29"/>
        <v>226660</v>
      </c>
      <c r="F203" s="130">
        <v>40</v>
      </c>
      <c r="G203" s="129">
        <v>5666.5</v>
      </c>
      <c r="H203" s="134">
        <v>40</v>
      </c>
      <c r="I203" s="134">
        <f t="shared" si="25"/>
        <v>0</v>
      </c>
      <c r="J203" s="135">
        <f t="shared" si="26"/>
        <v>226660</v>
      </c>
      <c r="K203" s="136">
        <f t="shared" si="27"/>
        <v>0</v>
      </c>
      <c r="L203" s="132"/>
    </row>
    <row r="204" spans="1:14">
      <c r="A204" s="101">
        <v>155.333333333333</v>
      </c>
      <c r="B204" s="125" t="s">
        <v>158</v>
      </c>
      <c r="C204" s="129">
        <v>200000</v>
      </c>
      <c r="D204" s="129">
        <v>26660</v>
      </c>
      <c r="E204" s="129">
        <f t="shared" si="29"/>
        <v>226660</v>
      </c>
      <c r="F204" s="130">
        <v>40</v>
      </c>
      <c r="G204" s="129">
        <v>5666.5</v>
      </c>
      <c r="H204" s="134">
        <v>40</v>
      </c>
      <c r="I204" s="134">
        <f t="shared" si="25"/>
        <v>0</v>
      </c>
      <c r="J204" s="135">
        <f t="shared" si="26"/>
        <v>226660</v>
      </c>
      <c r="K204" s="136">
        <f t="shared" si="27"/>
        <v>0</v>
      </c>
      <c r="L204" s="132"/>
    </row>
    <row r="205" spans="1:14">
      <c r="A205" s="101">
        <v>156.833333333333</v>
      </c>
      <c r="B205" s="125" t="s">
        <v>159</v>
      </c>
      <c r="C205" s="129">
        <v>200000</v>
      </c>
      <c r="D205" s="129">
        <v>26660</v>
      </c>
      <c r="E205" s="129">
        <f t="shared" si="29"/>
        <v>226660</v>
      </c>
      <c r="F205" s="130">
        <v>40</v>
      </c>
      <c r="G205" s="129">
        <v>5666.5</v>
      </c>
      <c r="H205" s="134">
        <v>31</v>
      </c>
      <c r="I205" s="134">
        <f t="shared" si="25"/>
        <v>9</v>
      </c>
      <c r="J205" s="135">
        <f t="shared" si="26"/>
        <v>175661.5</v>
      </c>
      <c r="K205" s="136">
        <f t="shared" si="27"/>
        <v>50998.5</v>
      </c>
      <c r="L205" s="132"/>
    </row>
    <row r="206" spans="1:14">
      <c r="A206" s="101">
        <v>158.333333333333</v>
      </c>
      <c r="B206" s="127" t="s">
        <v>233</v>
      </c>
      <c r="C206" s="129">
        <v>200000</v>
      </c>
      <c r="D206" s="129">
        <v>26660</v>
      </c>
      <c r="E206" s="129">
        <v>226660</v>
      </c>
      <c r="F206" s="130">
        <v>40</v>
      </c>
      <c r="G206" s="137">
        <v>5666.5</v>
      </c>
      <c r="H206" s="134">
        <v>40</v>
      </c>
      <c r="I206" s="134">
        <f t="shared" si="25"/>
        <v>0</v>
      </c>
      <c r="J206" s="135">
        <f t="shared" si="26"/>
        <v>226660</v>
      </c>
      <c r="K206" s="136">
        <f t="shared" si="27"/>
        <v>0</v>
      </c>
      <c r="L206" s="132"/>
    </row>
    <row r="207" spans="1:14">
      <c r="A207" s="101">
        <v>159.833333333333</v>
      </c>
      <c r="B207" s="127" t="s">
        <v>160</v>
      </c>
      <c r="C207" s="129">
        <v>200000</v>
      </c>
      <c r="D207" s="129">
        <v>26660</v>
      </c>
      <c r="E207" s="129">
        <f>SUM(C207:D207)</f>
        <v>226660</v>
      </c>
      <c r="F207" s="130">
        <v>40</v>
      </c>
      <c r="G207" s="129">
        <v>5666.5</v>
      </c>
      <c r="H207" s="134">
        <v>40</v>
      </c>
      <c r="I207" s="134">
        <f t="shared" si="25"/>
        <v>0</v>
      </c>
      <c r="J207" s="135">
        <f t="shared" si="26"/>
        <v>226660</v>
      </c>
      <c r="K207" s="136">
        <f t="shared" si="27"/>
        <v>0</v>
      </c>
      <c r="L207" s="132"/>
    </row>
    <row r="208" spans="1:14">
      <c r="A208" s="101">
        <v>161.333333333333</v>
      </c>
      <c r="B208" s="127" t="s">
        <v>205</v>
      </c>
      <c r="C208" s="128">
        <v>132000</v>
      </c>
      <c r="D208" s="128">
        <v>17595.599999999999</v>
      </c>
      <c r="E208" s="129">
        <f>SUM(C208:D208)</f>
        <v>149595.6</v>
      </c>
      <c r="F208" s="130">
        <v>40</v>
      </c>
      <c r="G208" s="128">
        <v>3739.89</v>
      </c>
      <c r="H208" s="134">
        <v>40</v>
      </c>
      <c r="I208" s="134">
        <f t="shared" si="25"/>
        <v>0</v>
      </c>
      <c r="J208" s="135">
        <f t="shared" si="26"/>
        <v>149595.6</v>
      </c>
      <c r="K208" s="136">
        <f t="shared" si="27"/>
        <v>0</v>
      </c>
      <c r="L208" s="132"/>
    </row>
    <row r="210" spans="1:13">
      <c r="A210" s="101">
        <v>173.333333333333</v>
      </c>
    </row>
    <row r="211" spans="1:13">
      <c r="A211" s="101">
        <v>174.833333333333</v>
      </c>
    </row>
    <row r="214" spans="1:13">
      <c r="A214" s="160">
        <v>47</v>
      </c>
      <c r="B214" s="181" t="s">
        <v>432</v>
      </c>
      <c r="C214" s="16">
        <v>500000</v>
      </c>
      <c r="D214" s="16">
        <v>66650</v>
      </c>
      <c r="E214" s="41">
        <f>SUM(C214:D214)</f>
        <v>566650</v>
      </c>
      <c r="F214" s="33">
        <v>50</v>
      </c>
      <c r="G214" s="24">
        <v>5666.5</v>
      </c>
      <c r="H214" s="97">
        <v>33</v>
      </c>
      <c r="I214" s="97">
        <f>F214-H214</f>
        <v>17</v>
      </c>
      <c r="J214" s="91">
        <f>H214*G214</f>
        <v>186994.5</v>
      </c>
      <c r="K214" s="94">
        <f>E214-J214</f>
        <v>379655.5</v>
      </c>
      <c r="L214" s="11"/>
      <c r="M214" s="180" t="e">
        <f>#REF!-G214</f>
        <v>#REF!</v>
      </c>
    </row>
    <row r="215" spans="1:13">
      <c r="A215" s="160">
        <v>70</v>
      </c>
      <c r="B215" s="181" t="s">
        <v>433</v>
      </c>
      <c r="C215" s="41">
        <v>200000</v>
      </c>
      <c r="D215" s="41">
        <v>26660</v>
      </c>
      <c r="E215" s="41">
        <f>SUM(C215:D215)</f>
        <v>226660</v>
      </c>
      <c r="F215" s="33">
        <v>40</v>
      </c>
      <c r="G215" s="41">
        <v>5666.5</v>
      </c>
      <c r="H215" s="97">
        <v>40</v>
      </c>
      <c r="I215" s="97">
        <f>F215-H215</f>
        <v>0</v>
      </c>
      <c r="J215" s="91">
        <f>H215*G215</f>
        <v>226660</v>
      </c>
      <c r="K215" s="94">
        <f>E215-J215</f>
        <v>0</v>
      </c>
      <c r="L215" s="11"/>
      <c r="M215" s="180" t="e">
        <f>#REF!-G215</f>
        <v>#REF!</v>
      </c>
    </row>
    <row r="216" spans="1:13">
      <c r="A216" s="160">
        <v>93</v>
      </c>
      <c r="B216" s="181" t="s">
        <v>434</v>
      </c>
      <c r="C216" s="41">
        <v>200000</v>
      </c>
      <c r="D216" s="41">
        <v>26660</v>
      </c>
      <c r="E216" s="41">
        <f>SUM(C216:D216)</f>
        <v>226660</v>
      </c>
      <c r="F216" s="33">
        <v>40</v>
      </c>
      <c r="G216" s="41">
        <v>5666.5</v>
      </c>
      <c r="H216" s="97">
        <v>41</v>
      </c>
      <c r="I216" s="97">
        <f>F216-H216</f>
        <v>-1</v>
      </c>
      <c r="J216" s="91">
        <f>H216*G216</f>
        <v>232326.5</v>
      </c>
      <c r="K216" s="94">
        <f>E216-J216</f>
        <v>-5666.5</v>
      </c>
      <c r="L216" s="11"/>
      <c r="M216" s="180" t="e">
        <f>#REF!-G216</f>
        <v>#REF!</v>
      </c>
    </row>
    <row r="217" spans="1:13">
      <c r="A217" s="160">
        <v>10</v>
      </c>
      <c r="B217" s="181" t="s">
        <v>431</v>
      </c>
      <c r="C217" s="16">
        <v>450000</v>
      </c>
      <c r="D217" s="16">
        <v>28792.799999999999</v>
      </c>
      <c r="E217" s="41">
        <f>SUM(C217:D217)</f>
        <v>478792.8</v>
      </c>
      <c r="F217" s="33">
        <v>24</v>
      </c>
      <c r="G217" s="16">
        <v>19949.7</v>
      </c>
      <c r="H217" s="96">
        <v>24</v>
      </c>
      <c r="I217" s="96">
        <f>F217-H217</f>
        <v>0</v>
      </c>
      <c r="J217" s="16">
        <f>H217*G217</f>
        <v>478792.80000000005</v>
      </c>
      <c r="K217" s="41">
        <f>E217-J217</f>
        <v>0</v>
      </c>
      <c r="L217" s="11"/>
      <c r="M217" s="180" t="e">
        <f>#REF!-G217</f>
        <v>#REF!</v>
      </c>
    </row>
    <row r="218" spans="1:13">
      <c r="A218" s="160">
        <v>6</v>
      </c>
      <c r="B218" s="181" t="s">
        <v>430</v>
      </c>
      <c r="C218" s="16">
        <v>330000</v>
      </c>
      <c r="D218" s="16">
        <v>21114.720000000001</v>
      </c>
      <c r="E218" s="41">
        <f>SUM(C218:D218)</f>
        <v>351114.72</v>
      </c>
      <c r="F218" s="33">
        <v>24</v>
      </c>
      <c r="G218" s="24">
        <v>6649.9</v>
      </c>
      <c r="H218" s="96">
        <v>24</v>
      </c>
      <c r="I218" s="96">
        <f>F218-H218</f>
        <v>0</v>
      </c>
      <c r="J218" s="16">
        <f>H218*G218</f>
        <v>159597.59999999998</v>
      </c>
      <c r="K218" s="41">
        <f>E218-J218</f>
        <v>191517.12</v>
      </c>
      <c r="L218" s="11"/>
      <c r="M218" s="180" t="e">
        <f>#REF!-G218</f>
        <v>#REF!</v>
      </c>
    </row>
    <row r="220" spans="1:13">
      <c r="A220" s="96">
        <v>77</v>
      </c>
      <c r="B220" s="170" t="s">
        <v>400</v>
      </c>
      <c r="C220" s="41">
        <v>200000</v>
      </c>
      <c r="D220" s="41">
        <v>26660</v>
      </c>
      <c r="E220" s="41">
        <f>SUM(C220:D220)</f>
        <v>226660</v>
      </c>
      <c r="F220" s="33">
        <v>40</v>
      </c>
      <c r="G220" s="41">
        <v>5666.5</v>
      </c>
      <c r="H220" s="97">
        <v>36</v>
      </c>
      <c r="I220" s="97">
        <f>F220-H220</f>
        <v>4</v>
      </c>
      <c r="J220" s="91">
        <f>H220*G220</f>
        <v>203994</v>
      </c>
      <c r="K220" s="94">
        <f>E220-J220</f>
        <v>22666</v>
      </c>
      <c r="L220" s="11"/>
      <c r="M220" s="180" t="e">
        <f>#REF!-G220</f>
        <v>#REF!</v>
      </c>
    </row>
    <row r="221" spans="1:13">
      <c r="A221" s="96">
        <v>109</v>
      </c>
      <c r="B221" s="142" t="s">
        <v>406</v>
      </c>
      <c r="C221" s="41">
        <v>200000</v>
      </c>
      <c r="D221" s="41">
        <v>26660</v>
      </c>
      <c r="E221" s="41">
        <f>SUM(C221:D221)</f>
        <v>226660</v>
      </c>
      <c r="F221" s="33">
        <v>40</v>
      </c>
      <c r="G221" s="41">
        <v>5666.5</v>
      </c>
      <c r="H221" s="97">
        <v>39</v>
      </c>
      <c r="I221" s="97">
        <f>F221-H221</f>
        <v>1</v>
      </c>
      <c r="J221" s="91">
        <f>H221*G221</f>
        <v>220993.5</v>
      </c>
      <c r="K221" s="94">
        <f>E221-J221</f>
        <v>5666.5</v>
      </c>
      <c r="L221" s="11"/>
      <c r="M221" s="180" t="e">
        <f>#REF!-G221</f>
        <v>#REF!</v>
      </c>
    </row>
    <row r="222" spans="1:13">
      <c r="A222" s="96">
        <v>127</v>
      </c>
      <c r="B222" s="142" t="s">
        <v>423</v>
      </c>
      <c r="C222" s="16">
        <v>132000</v>
      </c>
      <c r="D222" s="16">
        <v>17595.599999999999</v>
      </c>
      <c r="E222" s="41">
        <f>SUM(C222:D222)</f>
        <v>149595.6</v>
      </c>
      <c r="F222" s="33">
        <v>40</v>
      </c>
      <c r="G222" s="16">
        <v>3739.89</v>
      </c>
      <c r="H222" s="97">
        <v>40</v>
      </c>
      <c r="I222" s="97">
        <f>F222-H222</f>
        <v>0</v>
      </c>
      <c r="J222" s="91">
        <f>H222*G222</f>
        <v>149595.6</v>
      </c>
      <c r="K222" s="94">
        <f>E222-J222</f>
        <v>0</v>
      </c>
      <c r="L222" s="11"/>
      <c r="M222" s="180" t="e">
        <f>#REF!-G222</f>
        <v>#REF!</v>
      </c>
    </row>
    <row r="223" spans="1:13">
      <c r="A223" s="96">
        <v>125</v>
      </c>
      <c r="B223" s="142" t="s">
        <v>427</v>
      </c>
      <c r="C223" s="155">
        <v>150000</v>
      </c>
      <c r="D223" s="155">
        <v>19995</v>
      </c>
      <c r="E223" s="155">
        <f>SUM(C223:D223)</f>
        <v>169995</v>
      </c>
      <c r="F223" s="33">
        <v>50</v>
      </c>
      <c r="G223" s="154">
        <v>3399.9</v>
      </c>
      <c r="H223" s="97">
        <v>9</v>
      </c>
      <c r="I223" s="97">
        <f>F223-H223</f>
        <v>41</v>
      </c>
      <c r="J223" s="91">
        <f>H223*G223</f>
        <v>30599.100000000002</v>
      </c>
      <c r="K223" s="91">
        <f>E223-J223</f>
        <v>139395.9</v>
      </c>
      <c r="L223" s="122"/>
      <c r="M223" s="180" t="e">
        <f>#REF!-G223</f>
        <v>#REF!</v>
      </c>
    </row>
    <row r="224" spans="1:13">
      <c r="A224" s="96">
        <v>5</v>
      </c>
      <c r="B224" s="2" t="s">
        <v>385</v>
      </c>
      <c r="C224" s="41">
        <v>200000</v>
      </c>
      <c r="D224" s="41">
        <v>26660</v>
      </c>
      <c r="E224" s="41">
        <f>SUM(C224:D224)</f>
        <v>226660</v>
      </c>
      <c r="F224" s="33">
        <v>40</v>
      </c>
      <c r="G224" s="41">
        <v>5666.5</v>
      </c>
      <c r="H224" s="96">
        <v>40</v>
      </c>
      <c r="I224" s="96">
        <f>F224-H224</f>
        <v>0</v>
      </c>
      <c r="J224" s="16">
        <f>H224*G224</f>
        <v>226660</v>
      </c>
      <c r="K224" s="41">
        <f>E224-J224</f>
        <v>0</v>
      </c>
      <c r="L224" s="11"/>
      <c r="M224" s="180" t="e">
        <f>#REF!-G224</f>
        <v>#REF!</v>
      </c>
    </row>
  </sheetData>
  <sortState ref="B6:M130">
    <sortCondition ref="B6:B130"/>
  </sortState>
  <mergeCells count="2">
    <mergeCell ref="A3:L3"/>
    <mergeCell ref="A4:L4"/>
  </mergeCells>
  <conditionalFormatting sqref="B218">
    <cfRule type="duplicateValues" dxfId="2195" priority="355" stopIfTrue="1"/>
    <cfRule type="duplicateValues" dxfId="2194" priority="356" stopIfTrue="1"/>
  </conditionalFormatting>
  <conditionalFormatting sqref="B218">
    <cfRule type="duplicateValues" dxfId="2193" priority="354" stopIfTrue="1"/>
  </conditionalFormatting>
  <conditionalFormatting sqref="B165">
    <cfRule type="duplicateValues" dxfId="2192" priority="352" stopIfTrue="1"/>
    <cfRule type="duplicateValues" dxfId="2191" priority="353" stopIfTrue="1"/>
  </conditionalFormatting>
  <conditionalFormatting sqref="B165">
    <cfRule type="duplicateValues" dxfId="2190" priority="351" stopIfTrue="1"/>
  </conditionalFormatting>
  <conditionalFormatting sqref="B10">
    <cfRule type="duplicateValues" dxfId="2189" priority="349" stopIfTrue="1"/>
    <cfRule type="duplicateValues" dxfId="2188" priority="350" stopIfTrue="1"/>
  </conditionalFormatting>
  <conditionalFormatting sqref="B10">
    <cfRule type="duplicateValues" dxfId="2187" priority="348" stopIfTrue="1"/>
  </conditionalFormatting>
  <conditionalFormatting sqref="B11">
    <cfRule type="duplicateValues" dxfId="2186" priority="346" stopIfTrue="1"/>
    <cfRule type="duplicateValues" dxfId="2185" priority="347" stopIfTrue="1"/>
  </conditionalFormatting>
  <conditionalFormatting sqref="B11">
    <cfRule type="duplicateValues" dxfId="2184" priority="345" stopIfTrue="1"/>
  </conditionalFormatting>
  <conditionalFormatting sqref="B217">
    <cfRule type="duplicateValues" dxfId="2183" priority="343" stopIfTrue="1"/>
    <cfRule type="duplicateValues" dxfId="2182" priority="344" stopIfTrue="1"/>
  </conditionalFormatting>
  <conditionalFormatting sqref="B217">
    <cfRule type="duplicateValues" dxfId="2181" priority="342" stopIfTrue="1"/>
  </conditionalFormatting>
  <conditionalFormatting sqref="B13">
    <cfRule type="duplicateValues" dxfId="2180" priority="340" stopIfTrue="1"/>
    <cfRule type="duplicateValues" dxfId="2179" priority="341" stopIfTrue="1"/>
  </conditionalFormatting>
  <conditionalFormatting sqref="B13">
    <cfRule type="duplicateValues" dxfId="2178" priority="339" stopIfTrue="1"/>
  </conditionalFormatting>
  <conditionalFormatting sqref="B167">
    <cfRule type="duplicateValues" dxfId="2177" priority="337" stopIfTrue="1"/>
    <cfRule type="duplicateValues" dxfId="2176" priority="338" stopIfTrue="1"/>
  </conditionalFormatting>
  <conditionalFormatting sqref="B167">
    <cfRule type="duplicateValues" dxfId="2175" priority="336" stopIfTrue="1"/>
  </conditionalFormatting>
  <conditionalFormatting sqref="B15">
    <cfRule type="duplicateValues" dxfId="2174" priority="334" stopIfTrue="1"/>
    <cfRule type="duplicateValues" dxfId="2173" priority="335" stopIfTrue="1"/>
  </conditionalFormatting>
  <conditionalFormatting sqref="B15">
    <cfRule type="duplicateValues" dxfId="2172" priority="333" stopIfTrue="1"/>
  </conditionalFormatting>
  <conditionalFormatting sqref="B18">
    <cfRule type="duplicateValues" dxfId="2171" priority="331" stopIfTrue="1"/>
    <cfRule type="duplicateValues" dxfId="2170" priority="332" stopIfTrue="1"/>
  </conditionalFormatting>
  <conditionalFormatting sqref="B18">
    <cfRule type="duplicateValues" dxfId="2169" priority="330" stopIfTrue="1"/>
  </conditionalFormatting>
  <conditionalFormatting sqref="B19">
    <cfRule type="duplicateValues" dxfId="2168" priority="328" stopIfTrue="1"/>
    <cfRule type="duplicateValues" dxfId="2167" priority="329" stopIfTrue="1"/>
  </conditionalFormatting>
  <conditionalFormatting sqref="B19">
    <cfRule type="duplicateValues" dxfId="2166" priority="327" stopIfTrue="1"/>
  </conditionalFormatting>
  <conditionalFormatting sqref="B168">
    <cfRule type="duplicateValues" dxfId="2165" priority="325" stopIfTrue="1"/>
    <cfRule type="duplicateValues" dxfId="2164" priority="326" stopIfTrue="1"/>
  </conditionalFormatting>
  <conditionalFormatting sqref="B168">
    <cfRule type="duplicateValues" dxfId="2163" priority="324" stopIfTrue="1"/>
  </conditionalFormatting>
  <conditionalFormatting sqref="B25">
    <cfRule type="duplicateValues" dxfId="2162" priority="322" stopIfTrue="1"/>
    <cfRule type="duplicateValues" dxfId="2161" priority="323" stopIfTrue="1"/>
  </conditionalFormatting>
  <conditionalFormatting sqref="B25">
    <cfRule type="duplicateValues" dxfId="2160" priority="321" stopIfTrue="1"/>
  </conditionalFormatting>
  <conditionalFormatting sqref="B26">
    <cfRule type="duplicateValues" dxfId="2159" priority="319" stopIfTrue="1"/>
    <cfRule type="duplicateValues" dxfId="2158" priority="320" stopIfTrue="1"/>
  </conditionalFormatting>
  <conditionalFormatting sqref="B26">
    <cfRule type="duplicateValues" dxfId="2157" priority="318" stopIfTrue="1"/>
  </conditionalFormatting>
  <conditionalFormatting sqref="B27">
    <cfRule type="duplicateValues" dxfId="2156" priority="316" stopIfTrue="1"/>
    <cfRule type="duplicateValues" dxfId="2155" priority="317" stopIfTrue="1"/>
  </conditionalFormatting>
  <conditionalFormatting sqref="B27">
    <cfRule type="duplicateValues" dxfId="2154" priority="315" stopIfTrue="1"/>
  </conditionalFormatting>
  <conditionalFormatting sqref="B170">
    <cfRule type="duplicateValues" dxfId="2153" priority="313" stopIfTrue="1"/>
    <cfRule type="duplicateValues" dxfId="2152" priority="314" stopIfTrue="1"/>
  </conditionalFormatting>
  <conditionalFormatting sqref="B170">
    <cfRule type="duplicateValues" dxfId="2151" priority="312" stopIfTrue="1"/>
  </conditionalFormatting>
  <conditionalFormatting sqref="B29">
    <cfRule type="duplicateValues" dxfId="2150" priority="310" stopIfTrue="1"/>
    <cfRule type="duplicateValues" dxfId="2149" priority="311" stopIfTrue="1"/>
  </conditionalFormatting>
  <conditionalFormatting sqref="B29">
    <cfRule type="duplicateValues" dxfId="2148" priority="309" stopIfTrue="1"/>
  </conditionalFormatting>
  <conditionalFormatting sqref="B30">
    <cfRule type="duplicateValues" dxfId="2147" priority="307" stopIfTrue="1"/>
    <cfRule type="duplicateValues" dxfId="2146" priority="308" stopIfTrue="1"/>
  </conditionalFormatting>
  <conditionalFormatting sqref="B30">
    <cfRule type="duplicateValues" dxfId="2145" priority="306" stopIfTrue="1"/>
  </conditionalFormatting>
  <conditionalFormatting sqref="B171">
    <cfRule type="duplicateValues" dxfId="2144" priority="304" stopIfTrue="1"/>
    <cfRule type="duplicateValues" dxfId="2143" priority="305" stopIfTrue="1"/>
  </conditionalFormatting>
  <conditionalFormatting sqref="B171">
    <cfRule type="duplicateValues" dxfId="2142" priority="303" stopIfTrue="1"/>
  </conditionalFormatting>
  <conditionalFormatting sqref="B31">
    <cfRule type="duplicateValues" dxfId="2141" priority="301" stopIfTrue="1"/>
    <cfRule type="duplicateValues" dxfId="2140" priority="302" stopIfTrue="1"/>
  </conditionalFormatting>
  <conditionalFormatting sqref="B31">
    <cfRule type="duplicateValues" dxfId="2139" priority="300" stopIfTrue="1"/>
  </conditionalFormatting>
  <conditionalFormatting sqref="B33">
    <cfRule type="duplicateValues" dxfId="2138" priority="298" stopIfTrue="1"/>
    <cfRule type="duplicateValues" dxfId="2137" priority="299" stopIfTrue="1"/>
  </conditionalFormatting>
  <conditionalFormatting sqref="B33">
    <cfRule type="duplicateValues" dxfId="2136" priority="297" stopIfTrue="1"/>
  </conditionalFormatting>
  <conditionalFormatting sqref="B34">
    <cfRule type="duplicateValues" dxfId="2135" priority="295" stopIfTrue="1"/>
    <cfRule type="duplicateValues" dxfId="2134" priority="296" stopIfTrue="1"/>
  </conditionalFormatting>
  <conditionalFormatting sqref="B34">
    <cfRule type="duplicateValues" dxfId="2133" priority="294" stopIfTrue="1"/>
  </conditionalFormatting>
  <conditionalFormatting sqref="B37">
    <cfRule type="duplicateValues" dxfId="2132" priority="292" stopIfTrue="1"/>
    <cfRule type="duplicateValues" dxfId="2131" priority="293" stopIfTrue="1"/>
  </conditionalFormatting>
  <conditionalFormatting sqref="B37">
    <cfRule type="duplicateValues" dxfId="2130" priority="291" stopIfTrue="1"/>
  </conditionalFormatting>
  <conditionalFormatting sqref="B38">
    <cfRule type="duplicateValues" dxfId="2129" priority="289" stopIfTrue="1"/>
    <cfRule type="duplicateValues" dxfId="2128" priority="290" stopIfTrue="1"/>
  </conditionalFormatting>
  <conditionalFormatting sqref="B38">
    <cfRule type="duplicateValues" dxfId="2127" priority="288" stopIfTrue="1"/>
  </conditionalFormatting>
  <conditionalFormatting sqref="B214">
    <cfRule type="duplicateValues" dxfId="2126" priority="286" stopIfTrue="1"/>
    <cfRule type="duplicateValues" dxfId="2125" priority="287" stopIfTrue="1"/>
  </conditionalFormatting>
  <conditionalFormatting sqref="B214">
    <cfRule type="duplicateValues" dxfId="2124" priority="285" stopIfTrue="1"/>
  </conditionalFormatting>
  <conditionalFormatting sqref="B173">
    <cfRule type="duplicateValues" dxfId="2123" priority="283" stopIfTrue="1"/>
    <cfRule type="duplicateValues" dxfId="2122" priority="284" stopIfTrue="1"/>
  </conditionalFormatting>
  <conditionalFormatting sqref="B173">
    <cfRule type="duplicateValues" dxfId="2121" priority="282" stopIfTrue="1"/>
  </conditionalFormatting>
  <conditionalFormatting sqref="B40">
    <cfRule type="duplicateValues" dxfId="2120" priority="280" stopIfTrue="1"/>
    <cfRule type="duplicateValues" dxfId="2119" priority="281" stopIfTrue="1"/>
  </conditionalFormatting>
  <conditionalFormatting sqref="B40">
    <cfRule type="duplicateValues" dxfId="2118" priority="279" stopIfTrue="1"/>
  </conditionalFormatting>
  <conditionalFormatting sqref="B41">
    <cfRule type="duplicateValues" dxfId="2117" priority="277" stopIfTrue="1"/>
    <cfRule type="duplicateValues" dxfId="2116" priority="278" stopIfTrue="1"/>
  </conditionalFormatting>
  <conditionalFormatting sqref="B41">
    <cfRule type="duplicateValues" dxfId="2115" priority="276" stopIfTrue="1"/>
  </conditionalFormatting>
  <conditionalFormatting sqref="B42">
    <cfRule type="duplicateValues" dxfId="2114" priority="274" stopIfTrue="1"/>
    <cfRule type="duplicateValues" dxfId="2113" priority="275" stopIfTrue="1"/>
  </conditionalFormatting>
  <conditionalFormatting sqref="B42">
    <cfRule type="duplicateValues" dxfId="2112" priority="273" stopIfTrue="1"/>
  </conditionalFormatting>
  <conditionalFormatting sqref="B43">
    <cfRule type="duplicateValues" dxfId="2111" priority="271" stopIfTrue="1"/>
    <cfRule type="duplicateValues" dxfId="2110" priority="272" stopIfTrue="1"/>
  </conditionalFormatting>
  <conditionalFormatting sqref="B43">
    <cfRule type="duplicateValues" dxfId="2109" priority="270" stopIfTrue="1"/>
  </conditionalFormatting>
  <conditionalFormatting sqref="B174">
    <cfRule type="duplicateValues" dxfId="2108" priority="268" stopIfTrue="1"/>
    <cfRule type="duplicateValues" dxfId="2107" priority="269" stopIfTrue="1"/>
  </conditionalFormatting>
  <conditionalFormatting sqref="B174">
    <cfRule type="duplicateValues" dxfId="2106" priority="267" stopIfTrue="1"/>
  </conditionalFormatting>
  <conditionalFormatting sqref="B45">
    <cfRule type="duplicateValues" dxfId="2105" priority="265" stopIfTrue="1"/>
    <cfRule type="duplicateValues" dxfId="2104" priority="266" stopIfTrue="1"/>
  </conditionalFormatting>
  <conditionalFormatting sqref="B45">
    <cfRule type="duplicateValues" dxfId="2103" priority="264" stopIfTrue="1"/>
  </conditionalFormatting>
  <conditionalFormatting sqref="B46">
    <cfRule type="duplicateValues" dxfId="2102" priority="262" stopIfTrue="1"/>
    <cfRule type="duplicateValues" dxfId="2101" priority="263" stopIfTrue="1"/>
  </conditionalFormatting>
  <conditionalFormatting sqref="B46">
    <cfRule type="duplicateValues" dxfId="2100" priority="261" stopIfTrue="1"/>
  </conditionalFormatting>
  <conditionalFormatting sqref="B47">
    <cfRule type="duplicateValues" dxfId="2099" priority="259" stopIfTrue="1"/>
    <cfRule type="duplicateValues" dxfId="2098" priority="260" stopIfTrue="1"/>
  </conditionalFormatting>
  <conditionalFormatting sqref="B47">
    <cfRule type="duplicateValues" dxfId="2097" priority="258" stopIfTrue="1"/>
  </conditionalFormatting>
  <conditionalFormatting sqref="B49">
    <cfRule type="duplicateValues" dxfId="2096" priority="256" stopIfTrue="1"/>
    <cfRule type="duplicateValues" dxfId="2095" priority="257" stopIfTrue="1"/>
  </conditionalFormatting>
  <conditionalFormatting sqref="B49">
    <cfRule type="duplicateValues" dxfId="2094" priority="255" stopIfTrue="1"/>
  </conditionalFormatting>
  <conditionalFormatting sqref="B50">
    <cfRule type="duplicateValues" dxfId="2093" priority="253" stopIfTrue="1"/>
    <cfRule type="duplicateValues" dxfId="2092" priority="254" stopIfTrue="1"/>
  </conditionalFormatting>
  <conditionalFormatting sqref="B50">
    <cfRule type="duplicateValues" dxfId="2091" priority="252" stopIfTrue="1"/>
  </conditionalFormatting>
  <conditionalFormatting sqref="B175">
    <cfRule type="duplicateValues" dxfId="2090" priority="250" stopIfTrue="1"/>
    <cfRule type="duplicateValues" dxfId="2089" priority="251" stopIfTrue="1"/>
  </conditionalFormatting>
  <conditionalFormatting sqref="B175">
    <cfRule type="duplicateValues" dxfId="2088" priority="249" stopIfTrue="1"/>
  </conditionalFormatting>
  <conditionalFormatting sqref="B52">
    <cfRule type="duplicateValues" dxfId="2087" priority="247" stopIfTrue="1"/>
    <cfRule type="duplicateValues" dxfId="2086" priority="248" stopIfTrue="1"/>
  </conditionalFormatting>
  <conditionalFormatting sqref="B52">
    <cfRule type="duplicateValues" dxfId="2085" priority="246" stopIfTrue="1"/>
  </conditionalFormatting>
  <conditionalFormatting sqref="B190">
    <cfRule type="duplicateValues" dxfId="2084" priority="244" stopIfTrue="1"/>
    <cfRule type="duplicateValues" dxfId="2083" priority="245" stopIfTrue="1"/>
  </conditionalFormatting>
  <conditionalFormatting sqref="B190">
    <cfRule type="duplicateValues" dxfId="2082" priority="243" stopIfTrue="1"/>
  </conditionalFormatting>
  <conditionalFormatting sqref="B53">
    <cfRule type="duplicateValues" dxfId="2081" priority="241" stopIfTrue="1"/>
    <cfRule type="duplicateValues" dxfId="2080" priority="242" stopIfTrue="1"/>
  </conditionalFormatting>
  <conditionalFormatting sqref="B53">
    <cfRule type="duplicateValues" dxfId="2079" priority="240" stopIfTrue="1"/>
  </conditionalFormatting>
  <conditionalFormatting sqref="B54">
    <cfRule type="duplicateValues" dxfId="2078" priority="238" stopIfTrue="1"/>
    <cfRule type="duplicateValues" dxfId="2077" priority="239" stopIfTrue="1"/>
  </conditionalFormatting>
  <conditionalFormatting sqref="B54">
    <cfRule type="duplicateValues" dxfId="2076" priority="237" stopIfTrue="1"/>
  </conditionalFormatting>
  <conditionalFormatting sqref="B55">
    <cfRule type="duplicateValues" dxfId="2075" priority="235" stopIfTrue="1"/>
    <cfRule type="duplicateValues" dxfId="2074" priority="236" stopIfTrue="1"/>
  </conditionalFormatting>
  <conditionalFormatting sqref="B55">
    <cfRule type="duplicateValues" dxfId="2073" priority="234" stopIfTrue="1"/>
  </conditionalFormatting>
  <conditionalFormatting sqref="B177">
    <cfRule type="duplicateValues" dxfId="2072" priority="232" stopIfTrue="1"/>
    <cfRule type="duplicateValues" dxfId="2071" priority="233" stopIfTrue="1"/>
  </conditionalFormatting>
  <conditionalFormatting sqref="B177">
    <cfRule type="duplicateValues" dxfId="2070" priority="231" stopIfTrue="1"/>
  </conditionalFormatting>
  <conditionalFormatting sqref="B56">
    <cfRule type="duplicateValues" dxfId="2069" priority="229" stopIfTrue="1"/>
    <cfRule type="duplicateValues" dxfId="2068" priority="230" stopIfTrue="1"/>
  </conditionalFormatting>
  <conditionalFormatting sqref="B56">
    <cfRule type="duplicateValues" dxfId="2067" priority="228" stopIfTrue="1"/>
  </conditionalFormatting>
  <conditionalFormatting sqref="B215">
    <cfRule type="duplicateValues" dxfId="2066" priority="226" stopIfTrue="1"/>
    <cfRule type="duplicateValues" dxfId="2065" priority="227" stopIfTrue="1"/>
  </conditionalFormatting>
  <conditionalFormatting sqref="B215">
    <cfRule type="duplicateValues" dxfId="2064" priority="225" stopIfTrue="1"/>
  </conditionalFormatting>
  <conditionalFormatting sqref="B178">
    <cfRule type="duplicateValues" dxfId="2063" priority="223" stopIfTrue="1"/>
    <cfRule type="duplicateValues" dxfId="2062" priority="224" stopIfTrue="1"/>
  </conditionalFormatting>
  <conditionalFormatting sqref="B178">
    <cfRule type="duplicateValues" dxfId="2061" priority="222" stopIfTrue="1"/>
  </conditionalFormatting>
  <conditionalFormatting sqref="B57">
    <cfRule type="duplicateValues" dxfId="2060" priority="220" stopIfTrue="1"/>
    <cfRule type="duplicateValues" dxfId="2059" priority="221" stopIfTrue="1"/>
  </conditionalFormatting>
  <conditionalFormatting sqref="B57">
    <cfRule type="duplicateValues" dxfId="2058" priority="219" stopIfTrue="1"/>
  </conditionalFormatting>
  <conditionalFormatting sqref="B179">
    <cfRule type="duplicateValues" dxfId="2057" priority="217" stopIfTrue="1"/>
    <cfRule type="duplicateValues" dxfId="2056" priority="218" stopIfTrue="1"/>
  </conditionalFormatting>
  <conditionalFormatting sqref="B179">
    <cfRule type="duplicateValues" dxfId="2055" priority="216" stopIfTrue="1"/>
  </conditionalFormatting>
  <conditionalFormatting sqref="B58">
    <cfRule type="duplicateValues" dxfId="2054" priority="214" stopIfTrue="1"/>
    <cfRule type="duplicateValues" dxfId="2053" priority="215" stopIfTrue="1"/>
  </conditionalFormatting>
  <conditionalFormatting sqref="B58">
    <cfRule type="duplicateValues" dxfId="2052" priority="213" stopIfTrue="1"/>
  </conditionalFormatting>
  <conditionalFormatting sqref="B59">
    <cfRule type="duplicateValues" dxfId="2051" priority="211" stopIfTrue="1"/>
    <cfRule type="duplicateValues" dxfId="2050" priority="212" stopIfTrue="1"/>
  </conditionalFormatting>
  <conditionalFormatting sqref="B59">
    <cfRule type="duplicateValues" dxfId="2049" priority="210" stopIfTrue="1"/>
  </conditionalFormatting>
  <conditionalFormatting sqref="B220">
    <cfRule type="duplicateValues" dxfId="2048" priority="208" stopIfTrue="1"/>
    <cfRule type="duplicateValues" dxfId="2047" priority="209" stopIfTrue="1"/>
  </conditionalFormatting>
  <conditionalFormatting sqref="B220">
    <cfRule type="duplicateValues" dxfId="2046" priority="207" stopIfTrue="1"/>
  </conditionalFormatting>
  <conditionalFormatting sqref="B60">
    <cfRule type="duplicateValues" dxfId="2045" priority="205" stopIfTrue="1"/>
    <cfRule type="duplicateValues" dxfId="2044" priority="206" stopIfTrue="1"/>
  </conditionalFormatting>
  <conditionalFormatting sqref="B60">
    <cfRule type="duplicateValues" dxfId="2043" priority="204" stopIfTrue="1"/>
  </conditionalFormatting>
  <conditionalFormatting sqref="B61">
    <cfRule type="duplicateValues" dxfId="2042" priority="202" stopIfTrue="1"/>
    <cfRule type="duplicateValues" dxfId="2041" priority="203" stopIfTrue="1"/>
  </conditionalFormatting>
  <conditionalFormatting sqref="B61">
    <cfRule type="duplicateValues" dxfId="2040" priority="201" stopIfTrue="1"/>
  </conditionalFormatting>
  <conditionalFormatting sqref="B182">
    <cfRule type="duplicateValues" dxfId="2039" priority="199" stopIfTrue="1"/>
    <cfRule type="duplicateValues" dxfId="2038" priority="200" stopIfTrue="1"/>
  </conditionalFormatting>
  <conditionalFormatting sqref="B182">
    <cfRule type="duplicateValues" dxfId="2037" priority="198" stopIfTrue="1"/>
  </conditionalFormatting>
  <conditionalFormatting sqref="B63">
    <cfRule type="duplicateValues" dxfId="2036" priority="196" stopIfTrue="1"/>
    <cfRule type="duplicateValues" dxfId="2035" priority="197" stopIfTrue="1"/>
  </conditionalFormatting>
  <conditionalFormatting sqref="B63">
    <cfRule type="duplicateValues" dxfId="2034" priority="195" stopIfTrue="1"/>
  </conditionalFormatting>
  <conditionalFormatting sqref="B64">
    <cfRule type="duplicateValues" dxfId="2033" priority="193" stopIfTrue="1"/>
    <cfRule type="duplicateValues" dxfId="2032" priority="194" stopIfTrue="1"/>
  </conditionalFormatting>
  <conditionalFormatting sqref="B64">
    <cfRule type="duplicateValues" dxfId="2031" priority="192" stopIfTrue="1"/>
  </conditionalFormatting>
  <conditionalFormatting sqref="B66">
    <cfRule type="duplicateValues" dxfId="2030" priority="190" stopIfTrue="1"/>
    <cfRule type="duplicateValues" dxfId="2029" priority="191" stopIfTrue="1"/>
  </conditionalFormatting>
  <conditionalFormatting sqref="B66">
    <cfRule type="duplicateValues" dxfId="2028" priority="189" stopIfTrue="1"/>
  </conditionalFormatting>
  <conditionalFormatting sqref="B185">
    <cfRule type="duplicateValues" dxfId="2027" priority="187" stopIfTrue="1"/>
    <cfRule type="duplicateValues" dxfId="2026" priority="188" stopIfTrue="1"/>
  </conditionalFormatting>
  <conditionalFormatting sqref="B185">
    <cfRule type="duplicateValues" dxfId="2025" priority="186" stopIfTrue="1"/>
  </conditionalFormatting>
  <conditionalFormatting sqref="B67">
    <cfRule type="duplicateValues" dxfId="2024" priority="184" stopIfTrue="1"/>
    <cfRule type="duplicateValues" dxfId="2023" priority="185" stopIfTrue="1"/>
  </conditionalFormatting>
  <conditionalFormatting sqref="B67">
    <cfRule type="duplicateValues" dxfId="2022" priority="183" stopIfTrue="1"/>
  </conditionalFormatting>
  <conditionalFormatting sqref="B68">
    <cfRule type="duplicateValues" dxfId="2021" priority="181" stopIfTrue="1"/>
    <cfRule type="duplicateValues" dxfId="2020" priority="182" stopIfTrue="1"/>
  </conditionalFormatting>
  <conditionalFormatting sqref="B68">
    <cfRule type="duplicateValues" dxfId="2019" priority="180" stopIfTrue="1"/>
  </conditionalFormatting>
  <conditionalFormatting sqref="B158">
    <cfRule type="duplicateValues" dxfId="2018" priority="178" stopIfTrue="1"/>
    <cfRule type="duplicateValues" dxfId="2017" priority="179" stopIfTrue="1"/>
  </conditionalFormatting>
  <conditionalFormatting sqref="B158">
    <cfRule type="duplicateValues" dxfId="2016" priority="177" stopIfTrue="1"/>
  </conditionalFormatting>
  <conditionalFormatting sqref="B216">
    <cfRule type="duplicateValues" dxfId="2015" priority="175" stopIfTrue="1"/>
    <cfRule type="duplicateValues" dxfId="2014" priority="176" stopIfTrue="1"/>
  </conditionalFormatting>
  <conditionalFormatting sqref="B216">
    <cfRule type="duplicateValues" dxfId="2013" priority="174" stopIfTrue="1"/>
  </conditionalFormatting>
  <conditionalFormatting sqref="B208">
    <cfRule type="duplicateValues" dxfId="2012" priority="172" stopIfTrue="1"/>
    <cfRule type="duplicateValues" dxfId="2011" priority="173" stopIfTrue="1"/>
  </conditionalFormatting>
  <conditionalFormatting sqref="B208">
    <cfRule type="duplicateValues" dxfId="2010" priority="171" stopIfTrue="1"/>
  </conditionalFormatting>
  <conditionalFormatting sqref="B113:B114">
    <cfRule type="duplicateValues" dxfId="2009" priority="169" stopIfTrue="1"/>
    <cfRule type="duplicateValues" dxfId="2008" priority="170" stopIfTrue="1"/>
  </conditionalFormatting>
  <conditionalFormatting sqref="B113:B114">
    <cfRule type="duplicateValues" dxfId="2007" priority="168" stopIfTrue="1"/>
  </conditionalFormatting>
  <conditionalFormatting sqref="B180">
    <cfRule type="duplicateValues" dxfId="2006" priority="166" stopIfTrue="1"/>
    <cfRule type="duplicateValues" dxfId="2005" priority="167" stopIfTrue="1"/>
  </conditionalFormatting>
  <conditionalFormatting sqref="B180">
    <cfRule type="duplicateValues" dxfId="2004" priority="165" stopIfTrue="1"/>
  </conditionalFormatting>
  <conditionalFormatting sqref="B115">
    <cfRule type="duplicateValues" dxfId="2003" priority="163" stopIfTrue="1"/>
    <cfRule type="duplicateValues" dxfId="2002" priority="164" stopIfTrue="1"/>
  </conditionalFormatting>
  <conditionalFormatting sqref="B115">
    <cfRule type="duplicateValues" dxfId="2001" priority="162" stopIfTrue="1"/>
  </conditionalFormatting>
  <conditionalFormatting sqref="B69">
    <cfRule type="duplicateValues" dxfId="2000" priority="160" stopIfTrue="1"/>
    <cfRule type="duplicateValues" dxfId="1999" priority="161" stopIfTrue="1"/>
  </conditionalFormatting>
  <conditionalFormatting sqref="B69">
    <cfRule type="duplicateValues" dxfId="1998" priority="159" stopIfTrue="1"/>
  </conditionalFormatting>
  <conditionalFormatting sqref="B73">
    <cfRule type="duplicateValues" dxfId="1997" priority="157" stopIfTrue="1"/>
    <cfRule type="duplicateValues" dxfId="1996" priority="158" stopIfTrue="1"/>
  </conditionalFormatting>
  <conditionalFormatting sqref="B73">
    <cfRule type="duplicateValues" dxfId="1995" priority="156" stopIfTrue="1"/>
  </conditionalFormatting>
  <conditionalFormatting sqref="B72">
    <cfRule type="duplicateValues" dxfId="1994" priority="154" stopIfTrue="1"/>
    <cfRule type="duplicateValues" dxfId="1993" priority="155" stopIfTrue="1"/>
  </conditionalFormatting>
  <conditionalFormatting sqref="B72">
    <cfRule type="duplicateValues" dxfId="1992" priority="153" stopIfTrue="1"/>
  </conditionalFormatting>
  <conditionalFormatting sqref="B104">
    <cfRule type="duplicateValues" dxfId="1991" priority="151" stopIfTrue="1"/>
    <cfRule type="duplicateValues" dxfId="1990" priority="152" stopIfTrue="1"/>
  </conditionalFormatting>
  <conditionalFormatting sqref="B104">
    <cfRule type="duplicateValues" dxfId="1989" priority="150" stopIfTrue="1"/>
  </conditionalFormatting>
  <conditionalFormatting sqref="B195">
    <cfRule type="duplicateValues" dxfId="1988" priority="148" stopIfTrue="1"/>
    <cfRule type="duplicateValues" dxfId="1987" priority="149" stopIfTrue="1"/>
  </conditionalFormatting>
  <conditionalFormatting sqref="B195">
    <cfRule type="duplicateValues" dxfId="1986" priority="147" stopIfTrue="1"/>
  </conditionalFormatting>
  <conditionalFormatting sqref="B105:B107">
    <cfRule type="duplicateValues" dxfId="1985" priority="145" stopIfTrue="1"/>
    <cfRule type="duplicateValues" dxfId="1984" priority="146" stopIfTrue="1"/>
  </conditionalFormatting>
  <conditionalFormatting sqref="B105:B107">
    <cfRule type="duplicateValues" dxfId="1983" priority="144" stopIfTrue="1"/>
  </conditionalFormatting>
  <conditionalFormatting sqref="B111:B112">
    <cfRule type="duplicateValues" dxfId="1982" priority="142" stopIfTrue="1"/>
    <cfRule type="duplicateValues" dxfId="1981" priority="143" stopIfTrue="1"/>
  </conditionalFormatting>
  <conditionalFormatting sqref="B111:B112">
    <cfRule type="duplicateValues" dxfId="1980" priority="141" stopIfTrue="1"/>
  </conditionalFormatting>
  <conditionalFormatting sqref="B197">
    <cfRule type="duplicateValues" dxfId="1979" priority="139" stopIfTrue="1"/>
    <cfRule type="duplicateValues" dxfId="1978" priority="140" stopIfTrue="1"/>
  </conditionalFormatting>
  <conditionalFormatting sqref="B197">
    <cfRule type="duplicateValues" dxfId="1977" priority="138" stopIfTrue="1"/>
  </conditionalFormatting>
  <conditionalFormatting sqref="B199">
    <cfRule type="duplicateValues" dxfId="1976" priority="136" stopIfTrue="1"/>
    <cfRule type="duplicateValues" dxfId="1975" priority="137" stopIfTrue="1"/>
  </conditionalFormatting>
  <conditionalFormatting sqref="B199">
    <cfRule type="duplicateValues" dxfId="1974" priority="135" stopIfTrue="1"/>
  </conditionalFormatting>
  <conditionalFormatting sqref="B200">
    <cfRule type="duplicateValues" dxfId="1973" priority="133" stopIfTrue="1"/>
    <cfRule type="duplicateValues" dxfId="1972" priority="134" stopIfTrue="1"/>
  </conditionalFormatting>
  <conditionalFormatting sqref="B200">
    <cfRule type="duplicateValues" dxfId="1971" priority="132" stopIfTrue="1"/>
  </conditionalFormatting>
  <conditionalFormatting sqref="B201">
    <cfRule type="duplicateValues" dxfId="1970" priority="130" stopIfTrue="1"/>
    <cfRule type="duplicateValues" dxfId="1969" priority="131" stopIfTrue="1"/>
  </conditionalFormatting>
  <conditionalFormatting sqref="B201">
    <cfRule type="duplicateValues" dxfId="1968" priority="129" stopIfTrue="1"/>
  </conditionalFormatting>
  <conditionalFormatting sqref="B202">
    <cfRule type="duplicateValues" dxfId="1967" priority="127" stopIfTrue="1"/>
    <cfRule type="duplicateValues" dxfId="1966" priority="128" stopIfTrue="1"/>
  </conditionalFormatting>
  <conditionalFormatting sqref="B202">
    <cfRule type="duplicateValues" dxfId="1965" priority="126" stopIfTrue="1"/>
  </conditionalFormatting>
  <conditionalFormatting sqref="B81">
    <cfRule type="duplicateValues" dxfId="1964" priority="124" stopIfTrue="1"/>
    <cfRule type="duplicateValues" dxfId="1963" priority="125" stopIfTrue="1"/>
  </conditionalFormatting>
  <conditionalFormatting sqref="B81">
    <cfRule type="duplicateValues" dxfId="1962" priority="123" stopIfTrue="1"/>
  </conditionalFormatting>
  <conditionalFormatting sqref="B203">
    <cfRule type="duplicateValues" dxfId="1961" priority="121" stopIfTrue="1"/>
    <cfRule type="duplicateValues" dxfId="1960" priority="122" stopIfTrue="1"/>
  </conditionalFormatting>
  <conditionalFormatting sqref="B203">
    <cfRule type="duplicateValues" dxfId="1959" priority="120" stopIfTrue="1"/>
  </conditionalFormatting>
  <conditionalFormatting sqref="B204">
    <cfRule type="duplicateValues" dxfId="1958" priority="118" stopIfTrue="1"/>
    <cfRule type="duplicateValues" dxfId="1957" priority="119" stopIfTrue="1"/>
  </conditionalFormatting>
  <conditionalFormatting sqref="B204">
    <cfRule type="duplicateValues" dxfId="1956" priority="117" stopIfTrue="1"/>
  </conditionalFormatting>
  <conditionalFormatting sqref="B3">
    <cfRule type="duplicateValues" dxfId="1955" priority="116"/>
  </conditionalFormatting>
  <conditionalFormatting sqref="B205">
    <cfRule type="duplicateValues" dxfId="1954" priority="114" stopIfTrue="1"/>
    <cfRule type="duplicateValues" dxfId="1953" priority="115" stopIfTrue="1"/>
  </conditionalFormatting>
  <conditionalFormatting sqref="B205">
    <cfRule type="duplicateValues" dxfId="1952" priority="113" stopIfTrue="1"/>
  </conditionalFormatting>
  <conditionalFormatting sqref="B157">
    <cfRule type="duplicateValues" dxfId="1951" priority="111" stopIfTrue="1"/>
    <cfRule type="duplicateValues" dxfId="1950" priority="112" stopIfTrue="1"/>
  </conditionalFormatting>
  <conditionalFormatting sqref="B157">
    <cfRule type="duplicateValues" dxfId="1949" priority="110" stopIfTrue="1"/>
  </conditionalFormatting>
  <conditionalFormatting sqref="B21">
    <cfRule type="duplicateValues" dxfId="1948" priority="109"/>
  </conditionalFormatting>
  <conditionalFormatting sqref="B169">
    <cfRule type="duplicateValues" dxfId="1947" priority="108"/>
  </conditionalFormatting>
  <conditionalFormatting sqref="B36">
    <cfRule type="duplicateValues" dxfId="1946" priority="106" stopIfTrue="1"/>
    <cfRule type="duplicateValues" dxfId="1945" priority="107" stopIfTrue="1"/>
  </conditionalFormatting>
  <conditionalFormatting sqref="B36">
    <cfRule type="duplicateValues" dxfId="1944" priority="105" stopIfTrue="1"/>
  </conditionalFormatting>
  <conditionalFormatting sqref="B48">
    <cfRule type="duplicateValues" dxfId="1943" priority="104"/>
  </conditionalFormatting>
  <conditionalFormatting sqref="B82">
    <cfRule type="duplicateValues" dxfId="1942" priority="103"/>
  </conditionalFormatting>
  <conditionalFormatting sqref="B120">
    <cfRule type="duplicateValues" dxfId="1941" priority="102"/>
  </conditionalFormatting>
  <conditionalFormatting sqref="B199:B204 B188:B189 B101 B81 B104:B107 B111:B112 B195:B197">
    <cfRule type="duplicateValues" dxfId="1940" priority="100" stopIfTrue="1"/>
    <cfRule type="duplicateValues" dxfId="1939" priority="101" stopIfTrue="1"/>
  </conditionalFormatting>
  <conditionalFormatting sqref="B199:B204 B188:B189 B101 B81 B104:B107 B111:B112 B195:B197">
    <cfRule type="duplicateValues" dxfId="1938" priority="99" stopIfTrue="1"/>
  </conditionalFormatting>
  <conditionalFormatting sqref="B99">
    <cfRule type="duplicateValues" dxfId="1937" priority="98"/>
  </conditionalFormatting>
  <conditionalFormatting sqref="B100">
    <cfRule type="duplicateValues" dxfId="1936" priority="97"/>
  </conditionalFormatting>
  <conditionalFormatting sqref="B102">
    <cfRule type="duplicateValues" dxfId="1935" priority="96"/>
  </conditionalFormatting>
  <conditionalFormatting sqref="B106:B107">
    <cfRule type="duplicateValues" dxfId="1934" priority="95"/>
  </conditionalFormatting>
  <conditionalFormatting sqref="B107">
    <cfRule type="duplicateValues" dxfId="1933" priority="94"/>
  </conditionalFormatting>
  <conditionalFormatting sqref="B109:B110">
    <cfRule type="duplicateValues" dxfId="1932" priority="93"/>
  </conditionalFormatting>
  <conditionalFormatting sqref="B110">
    <cfRule type="duplicateValues" dxfId="1931" priority="92"/>
  </conditionalFormatting>
  <conditionalFormatting sqref="B112">
    <cfRule type="duplicateValues" dxfId="1930" priority="91"/>
  </conditionalFormatting>
  <conditionalFormatting sqref="B114">
    <cfRule type="duplicateValues" dxfId="1929" priority="90"/>
  </conditionalFormatting>
  <conditionalFormatting sqref="B117:B119">
    <cfRule type="duplicateValues" dxfId="1928" priority="89"/>
  </conditionalFormatting>
  <conditionalFormatting sqref="B118:B119">
    <cfRule type="duplicateValues" dxfId="1927" priority="88"/>
  </conditionalFormatting>
  <conditionalFormatting sqref="B119">
    <cfRule type="duplicateValues" dxfId="1926" priority="87"/>
  </conditionalFormatting>
  <conditionalFormatting sqref="B210 B334:B1048576 B188:B208 B1:B125 B161 B165:B185 B220:B224 B214:B218 B157:B159">
    <cfRule type="duplicateValues" dxfId="1925" priority="86"/>
  </conditionalFormatting>
  <conditionalFormatting sqref="B214:B218 B6:B125 B161 B165:B185 B220:B224 B157:B159">
    <cfRule type="duplicateValues" dxfId="1924" priority="85"/>
  </conditionalFormatting>
  <conditionalFormatting sqref="B123">
    <cfRule type="duplicateValues" dxfId="1923" priority="82" stopIfTrue="1"/>
    <cfRule type="duplicateValues" dxfId="1922" priority="83" stopIfTrue="1"/>
  </conditionalFormatting>
  <conditionalFormatting sqref="B123">
    <cfRule type="duplicateValues" dxfId="1921" priority="81" stopIfTrue="1"/>
  </conditionalFormatting>
  <conditionalFormatting sqref="B191:B192 B121 B74:B80 B83 B85:B98 B159 B103 B221:B223">
    <cfRule type="duplicateValues" dxfId="1920" priority="76" stopIfTrue="1"/>
    <cfRule type="duplicateValues" dxfId="1919" priority="77" stopIfTrue="1"/>
  </conditionalFormatting>
  <conditionalFormatting sqref="B191:B192 B121 B74:B80 B83 B85:B98 B159 B103 B221:B223">
    <cfRule type="duplicateValues" dxfId="1918" priority="75" stopIfTrue="1"/>
  </conditionalFormatting>
  <conditionalFormatting sqref="B191:B192 B121:B122 B71 B74:B80 B83 B85:B98 B159 B103 B221:B223">
    <cfRule type="duplicateValues" dxfId="1917" priority="73" stopIfTrue="1"/>
    <cfRule type="duplicateValues" dxfId="1916" priority="74" stopIfTrue="1"/>
  </conditionalFormatting>
  <conditionalFormatting sqref="B191:B192 B121:B122 B71 B74:B80 B83 B85:B98 B159 B103 B221:B223">
    <cfRule type="duplicateValues" dxfId="1915" priority="72" stopIfTrue="1"/>
  </conditionalFormatting>
  <conditionalFormatting sqref="B199:B204 B334:B1048576 B206:B208 B24:B27 B1:B2 B111:B119 B4:B11 B220:B224 B22 B29:B34 B165:B168 B36:B43 B195:B197 B121:B122 B83 B49:B81 B170:B183 B214:B218 B85:B98 B101 B188:B192 B185 B13:B20 B45:B47 B103:B107 B157:B159">
    <cfRule type="duplicateValues" dxfId="1914" priority="71"/>
  </conditionalFormatting>
  <conditionalFormatting sqref="B220:B224 B334:B1048576 B24:B27 B1:B11 B22 B29:B34 B165:B168 B36:B43 B195:B197 B121:B122 B83 B49:B81 B170:B183 B214:B218 B85:B98 B101 B188:B192 B111:B119 B199:B208 B185 B13:B20 B45:B47 B103:B107 B157:B159">
    <cfRule type="duplicateValues" dxfId="1913" priority="70"/>
  </conditionalFormatting>
  <conditionalFormatting sqref="B125">
    <cfRule type="duplicateValues" dxfId="1912" priority="68" stopIfTrue="1"/>
    <cfRule type="duplicateValues" dxfId="1911" priority="69" stopIfTrue="1"/>
  </conditionalFormatting>
  <conditionalFormatting sqref="B125">
    <cfRule type="duplicateValues" dxfId="1910" priority="67" stopIfTrue="1"/>
  </conditionalFormatting>
  <conditionalFormatting sqref="B35">
    <cfRule type="duplicateValues" dxfId="1909" priority="65" stopIfTrue="1"/>
    <cfRule type="duplicateValues" dxfId="1908" priority="66" stopIfTrue="1"/>
  </conditionalFormatting>
  <conditionalFormatting sqref="B35">
    <cfRule type="duplicateValues" dxfId="1907" priority="64" stopIfTrue="1"/>
  </conditionalFormatting>
  <conditionalFormatting sqref="B220:B224 B26:B32 B167:B169 B35:B36 B21:B24 B38:B126 B171:B185 B19 B6:B17 B161:B163 B165 B157:B159">
    <cfRule type="duplicateValues" dxfId="1906" priority="1294" stopIfTrue="1"/>
    <cfRule type="duplicateValues" dxfId="1905" priority="1295" stopIfTrue="1"/>
  </conditionalFormatting>
  <conditionalFormatting sqref="B220:B224 B26:B32 B167:B169 B35:B36 B21:B24 B38:B126 B171:B185 B19 B6:B17 B161:B163 B165 B157:B159">
    <cfRule type="duplicateValues" dxfId="1904" priority="1316" stopIfTrue="1"/>
  </conditionalFormatting>
  <conditionalFormatting sqref="B224 B26:B32 B167:B169 B36 B21:B24 B171:B185 B38:B127 B19 B6:B17 B161:B163 B165 B157:B159">
    <cfRule type="duplicateValues" dxfId="1903" priority="1854" stopIfTrue="1"/>
    <cfRule type="duplicateValues" dxfId="1902" priority="1855" stopIfTrue="1"/>
  </conditionalFormatting>
  <conditionalFormatting sqref="B224 B26:B32 B167:B169 B36 B21:B24 B171:B185 B38:B127 B19 B6:B17 B161:B163 B165 B157:B159">
    <cfRule type="duplicateValues" dxfId="1901" priority="1876" stopIfTrue="1"/>
  </conditionalFormatting>
  <conditionalFormatting sqref="B51">
    <cfRule type="duplicateValues" dxfId="1900" priority="20" stopIfTrue="1"/>
    <cfRule type="duplicateValues" dxfId="1899" priority="21" stopIfTrue="1"/>
  </conditionalFormatting>
  <conditionalFormatting sqref="B51">
    <cfRule type="duplicateValues" dxfId="1898" priority="19" stopIfTrue="1"/>
  </conditionalFormatting>
  <conditionalFormatting sqref="B65">
    <cfRule type="duplicateValues" dxfId="1897" priority="14" stopIfTrue="1"/>
    <cfRule type="duplicateValues" dxfId="1896" priority="15" stopIfTrue="1"/>
  </conditionalFormatting>
  <conditionalFormatting sqref="B65">
    <cfRule type="duplicateValues" dxfId="1895" priority="13" stopIfTrue="1"/>
  </conditionalFormatting>
  <conditionalFormatting sqref="B42:B43 B35:B39 B30:B33 B26:B28 B6:B14 B23:B24 B16:B21 B45:B130 B132:B138">
    <cfRule type="duplicateValues" dxfId="1894" priority="5" stopIfTrue="1"/>
    <cfRule type="duplicateValues" dxfId="1893" priority="6" stopIfTrue="1"/>
  </conditionalFormatting>
  <conditionalFormatting sqref="B42:B43 B35:B39 B30:B33 B26:B28 B6:B14 B23:B24 B16:B21 B45:B130 B132:B138">
    <cfRule type="duplicateValues" dxfId="1892" priority="4" stopIfTrue="1"/>
  </conditionalFormatting>
  <conditionalFormatting sqref="B43:B44 B36:B39 B31:B34 B27:B29 B6:B15 B24:B25 B17:B22 B46:B138">
    <cfRule type="duplicateValues" dxfId="1891" priority="2" stopIfTrue="1"/>
    <cfRule type="duplicateValues" dxfId="1890" priority="3" stopIfTrue="1"/>
  </conditionalFormatting>
  <conditionalFormatting sqref="B43:B44 B36:B39 B31:B34 B27:B29 B6:B15 B24:B25 B17:B22 B46:B138">
    <cfRule type="duplicateValues" dxfId="1889" priority="1" stopIfTrue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3:N224"/>
  <sheetViews>
    <sheetView topLeftCell="A119" workbookViewId="0">
      <selection activeCell="B153" sqref="B153"/>
    </sheetView>
  </sheetViews>
  <sheetFormatPr defaultRowHeight="15"/>
  <cols>
    <col min="1" max="1" width="6.85546875" style="44" customWidth="1"/>
    <col min="2" max="2" width="37.14062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493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96">
        <v>1</v>
      </c>
      <c r="B6" s="4" t="s">
        <v>383</v>
      </c>
      <c r="C6" s="41">
        <v>200000</v>
      </c>
      <c r="D6" s="41">
        <v>26660</v>
      </c>
      <c r="E6" s="41">
        <f t="shared" ref="E6:E18" si="0">SUM(C6:D6)</f>
        <v>226660</v>
      </c>
      <c r="F6" s="159">
        <v>40</v>
      </c>
      <c r="G6" s="167">
        <v>5666.5</v>
      </c>
      <c r="H6" s="96">
        <v>41</v>
      </c>
      <c r="I6" s="96">
        <f t="shared" ref="I6:I37" si="1">F6-H6</f>
        <v>-1</v>
      </c>
      <c r="J6" s="16">
        <f t="shared" ref="J6:J20" si="2">H6*G6</f>
        <v>232326.5</v>
      </c>
      <c r="K6" s="41">
        <f t="shared" ref="K6:K37" si="3">E6-J6</f>
        <v>-5666.5</v>
      </c>
      <c r="L6" s="11"/>
      <c r="M6" s="180" t="e">
        <f>#REF!-G6</f>
        <v>#REF!</v>
      </c>
    </row>
    <row r="7" spans="1:13" s="114" customFormat="1">
      <c r="A7" s="96">
        <v>2</v>
      </c>
      <c r="B7" s="4" t="s">
        <v>490</v>
      </c>
      <c r="C7" s="19">
        <v>330000</v>
      </c>
      <c r="D7" s="19">
        <v>43989</v>
      </c>
      <c r="E7" s="19">
        <f t="shared" si="0"/>
        <v>373989</v>
      </c>
      <c r="F7" s="159">
        <v>50</v>
      </c>
      <c r="G7" s="174">
        <v>7479.78</v>
      </c>
      <c r="H7" s="159">
        <v>2</v>
      </c>
      <c r="I7" s="97">
        <f t="shared" si="1"/>
        <v>48</v>
      </c>
      <c r="J7" s="91">
        <f t="shared" si="2"/>
        <v>14959.56</v>
      </c>
      <c r="K7" s="94">
        <f t="shared" si="3"/>
        <v>359029.44</v>
      </c>
      <c r="L7" s="214"/>
      <c r="M7" s="180" t="e">
        <f>#REF!-G7</f>
        <v>#REF!</v>
      </c>
    </row>
    <row r="8" spans="1:13" s="114" customFormat="1">
      <c r="A8" s="96">
        <v>3</v>
      </c>
      <c r="B8" s="4" t="s">
        <v>417</v>
      </c>
      <c r="C8" s="16">
        <v>132000</v>
      </c>
      <c r="D8" s="16">
        <v>17595.599999999999</v>
      </c>
      <c r="E8" s="41">
        <f t="shared" si="0"/>
        <v>149595.6</v>
      </c>
      <c r="F8" s="159">
        <v>40</v>
      </c>
      <c r="G8" s="167">
        <v>3739.89</v>
      </c>
      <c r="H8" s="96">
        <v>34</v>
      </c>
      <c r="I8" s="96">
        <f t="shared" si="1"/>
        <v>6</v>
      </c>
      <c r="J8" s="16">
        <f t="shared" si="2"/>
        <v>127156.26</v>
      </c>
      <c r="K8" s="41">
        <f t="shared" si="3"/>
        <v>22439.340000000011</v>
      </c>
      <c r="L8" s="11"/>
      <c r="M8" s="180" t="e">
        <f>#REF!-G8</f>
        <v>#REF!</v>
      </c>
    </row>
    <row r="9" spans="1:13" s="114" customFormat="1">
      <c r="A9" s="96">
        <v>4</v>
      </c>
      <c r="B9" s="4" t="s">
        <v>384</v>
      </c>
      <c r="C9" s="41">
        <v>200000</v>
      </c>
      <c r="D9" s="41">
        <v>26660</v>
      </c>
      <c r="E9" s="41">
        <f t="shared" si="0"/>
        <v>226660</v>
      </c>
      <c r="F9" s="159">
        <v>40</v>
      </c>
      <c r="G9" s="167">
        <v>5666.5</v>
      </c>
      <c r="H9" s="96">
        <v>32</v>
      </c>
      <c r="I9" s="96">
        <f t="shared" si="1"/>
        <v>8</v>
      </c>
      <c r="J9" s="16">
        <f t="shared" si="2"/>
        <v>181328</v>
      </c>
      <c r="K9" s="41">
        <f t="shared" si="3"/>
        <v>45332</v>
      </c>
      <c r="L9" s="11"/>
      <c r="M9" s="180" t="e">
        <f>#REF!-G9</f>
        <v>#REF!</v>
      </c>
    </row>
    <row r="10" spans="1:13" s="114" customFormat="1">
      <c r="A10" s="96">
        <v>5</v>
      </c>
      <c r="B10" s="2" t="s">
        <v>413</v>
      </c>
      <c r="C10" s="12">
        <v>180000</v>
      </c>
      <c r="D10" s="12">
        <v>23994</v>
      </c>
      <c r="E10" s="15">
        <f t="shared" si="0"/>
        <v>203994</v>
      </c>
      <c r="F10" s="14">
        <v>40</v>
      </c>
      <c r="G10" s="167">
        <v>5099.8500000000004</v>
      </c>
      <c r="H10" s="159">
        <v>37</v>
      </c>
      <c r="I10" s="97">
        <f t="shared" si="1"/>
        <v>3</v>
      </c>
      <c r="J10" s="91">
        <f t="shared" si="2"/>
        <v>188694.45</v>
      </c>
      <c r="K10" s="15">
        <f t="shared" si="3"/>
        <v>15299.549999999988</v>
      </c>
      <c r="L10" s="8"/>
      <c r="M10" s="180" t="e">
        <f>#REF!-G10</f>
        <v>#REF!</v>
      </c>
    </row>
    <row r="11" spans="1:13" s="114" customFormat="1">
      <c r="A11" s="96">
        <v>6</v>
      </c>
      <c r="B11" s="4" t="s">
        <v>307</v>
      </c>
      <c r="C11" s="12">
        <v>500000</v>
      </c>
      <c r="D11" s="12">
        <v>66650</v>
      </c>
      <c r="E11" s="15">
        <f t="shared" si="0"/>
        <v>566650</v>
      </c>
      <c r="F11" s="14">
        <v>50</v>
      </c>
      <c r="G11" s="167">
        <v>11333</v>
      </c>
      <c r="H11" s="14">
        <v>33</v>
      </c>
      <c r="I11" s="97">
        <f t="shared" si="1"/>
        <v>17</v>
      </c>
      <c r="J11" s="91">
        <f t="shared" si="2"/>
        <v>373989</v>
      </c>
      <c r="K11" s="15">
        <f t="shared" si="3"/>
        <v>192661</v>
      </c>
      <c r="L11" s="8"/>
      <c r="M11" s="180" t="e">
        <f>#REF!-G11</f>
        <v>#REF!</v>
      </c>
    </row>
    <row r="12" spans="1:13" s="114" customFormat="1">
      <c r="A12" s="96">
        <v>7</v>
      </c>
      <c r="B12" s="4" t="s">
        <v>304</v>
      </c>
      <c r="C12" s="16">
        <v>500000</v>
      </c>
      <c r="D12" s="16">
        <v>53320</v>
      </c>
      <c r="E12" s="41">
        <f t="shared" si="0"/>
        <v>553320</v>
      </c>
      <c r="F12" s="159">
        <v>40</v>
      </c>
      <c r="G12" s="167">
        <v>13833</v>
      </c>
      <c r="H12" s="96">
        <v>49</v>
      </c>
      <c r="I12" s="96">
        <f t="shared" si="1"/>
        <v>-9</v>
      </c>
      <c r="J12" s="16">
        <f t="shared" si="2"/>
        <v>677817</v>
      </c>
      <c r="K12" s="41">
        <f t="shared" si="3"/>
        <v>-124497</v>
      </c>
      <c r="L12" s="11"/>
      <c r="M12" s="180" t="e">
        <f>#REF!-G12</f>
        <v>#REF!</v>
      </c>
    </row>
    <row r="13" spans="1:13" s="114" customFormat="1">
      <c r="A13" s="96">
        <v>8</v>
      </c>
      <c r="B13" s="178" t="s">
        <v>281</v>
      </c>
      <c r="C13" s="16">
        <v>330000</v>
      </c>
      <c r="D13" s="16">
        <v>43989</v>
      </c>
      <c r="E13" s="41">
        <f t="shared" si="0"/>
        <v>373989</v>
      </c>
      <c r="F13" s="159">
        <v>50</v>
      </c>
      <c r="G13" s="167">
        <v>7478.78</v>
      </c>
      <c r="H13" s="159">
        <v>37</v>
      </c>
      <c r="I13" s="96">
        <f t="shared" si="1"/>
        <v>13</v>
      </c>
      <c r="J13" s="16">
        <f t="shared" si="2"/>
        <v>276714.86</v>
      </c>
      <c r="K13" s="41">
        <f t="shared" si="3"/>
        <v>97274.140000000014</v>
      </c>
      <c r="L13" s="11"/>
      <c r="M13" s="180" t="e">
        <f>#REF!-G13</f>
        <v>#REF!</v>
      </c>
    </row>
    <row r="14" spans="1:13" s="114" customFormat="1">
      <c r="A14" s="96">
        <v>9</v>
      </c>
      <c r="B14" s="46" t="s">
        <v>372</v>
      </c>
      <c r="C14" s="16">
        <v>330000</v>
      </c>
      <c r="D14" s="16">
        <v>43989</v>
      </c>
      <c r="E14" s="41">
        <f t="shared" si="0"/>
        <v>373989</v>
      </c>
      <c r="F14" s="159">
        <v>50</v>
      </c>
      <c r="G14" s="174">
        <v>7479.78</v>
      </c>
      <c r="H14" s="96">
        <v>37</v>
      </c>
      <c r="I14" s="96">
        <f t="shared" si="1"/>
        <v>13</v>
      </c>
      <c r="J14" s="16">
        <f t="shared" si="2"/>
        <v>276751.86</v>
      </c>
      <c r="K14" s="41">
        <f t="shared" si="3"/>
        <v>97237.140000000014</v>
      </c>
      <c r="L14" s="11"/>
      <c r="M14" s="180" t="e">
        <f>#REF!-G14</f>
        <v>#REF!</v>
      </c>
    </row>
    <row r="15" spans="1:13" s="114" customFormat="1">
      <c r="A15" s="96">
        <v>10</v>
      </c>
      <c r="B15" s="4" t="s">
        <v>388</v>
      </c>
      <c r="C15" s="15">
        <v>200000</v>
      </c>
      <c r="D15" s="15">
        <v>26660</v>
      </c>
      <c r="E15" s="15">
        <f t="shared" si="0"/>
        <v>226660</v>
      </c>
      <c r="F15" s="14">
        <v>40</v>
      </c>
      <c r="G15" s="24">
        <v>5666.5</v>
      </c>
      <c r="H15" s="14">
        <v>38</v>
      </c>
      <c r="I15" s="97">
        <f t="shared" si="1"/>
        <v>2</v>
      </c>
      <c r="J15" s="91">
        <f t="shared" si="2"/>
        <v>215327</v>
      </c>
      <c r="K15" s="15">
        <f t="shared" si="3"/>
        <v>11333</v>
      </c>
      <c r="L15" s="8"/>
      <c r="M15" s="180" t="e">
        <f>#REF!-G15</f>
        <v>#REF!</v>
      </c>
    </row>
    <row r="16" spans="1:13" s="114" customFormat="1">
      <c r="A16" s="96">
        <v>11</v>
      </c>
      <c r="B16" s="25" t="s">
        <v>308</v>
      </c>
      <c r="C16" s="16">
        <v>500000</v>
      </c>
      <c r="D16" s="16">
        <v>66650</v>
      </c>
      <c r="E16" s="41">
        <f t="shared" si="0"/>
        <v>566650</v>
      </c>
      <c r="F16" s="159">
        <v>50</v>
      </c>
      <c r="G16" s="167">
        <v>11333</v>
      </c>
      <c r="H16" s="96">
        <v>28</v>
      </c>
      <c r="I16" s="96">
        <f t="shared" si="1"/>
        <v>22</v>
      </c>
      <c r="J16" s="16">
        <f t="shared" si="2"/>
        <v>317324</v>
      </c>
      <c r="K16" s="41">
        <f t="shared" si="3"/>
        <v>249326</v>
      </c>
      <c r="L16" s="11"/>
      <c r="M16" s="180" t="e">
        <f>#REF!-G16</f>
        <v>#REF!</v>
      </c>
    </row>
    <row r="17" spans="1:13" s="114" customFormat="1">
      <c r="A17" s="96">
        <v>12</v>
      </c>
      <c r="B17" s="4" t="s">
        <v>389</v>
      </c>
      <c r="C17" s="41">
        <v>200000</v>
      </c>
      <c r="D17" s="41">
        <v>26660</v>
      </c>
      <c r="E17" s="41">
        <f t="shared" si="0"/>
        <v>226660</v>
      </c>
      <c r="F17" s="220">
        <v>40</v>
      </c>
      <c r="G17" s="167">
        <v>5666.5</v>
      </c>
      <c r="H17" s="96">
        <v>52</v>
      </c>
      <c r="I17" s="96">
        <f t="shared" si="1"/>
        <v>-12</v>
      </c>
      <c r="J17" s="16">
        <f t="shared" si="2"/>
        <v>294658</v>
      </c>
      <c r="K17" s="41">
        <f t="shared" si="3"/>
        <v>-67998</v>
      </c>
      <c r="L17" s="152"/>
      <c r="M17" s="180" t="e">
        <f>#REF!-G17</f>
        <v>#REF!</v>
      </c>
    </row>
    <row r="18" spans="1:13" s="114" customFormat="1">
      <c r="A18" s="96">
        <v>13</v>
      </c>
      <c r="B18" s="4" t="s">
        <v>309</v>
      </c>
      <c r="C18" s="16">
        <v>500000</v>
      </c>
      <c r="D18" s="16">
        <v>66650</v>
      </c>
      <c r="E18" s="41">
        <f t="shared" si="0"/>
        <v>566650</v>
      </c>
      <c r="F18" s="159">
        <v>50</v>
      </c>
      <c r="G18" s="24">
        <v>11333</v>
      </c>
      <c r="H18" s="96">
        <v>37</v>
      </c>
      <c r="I18" s="96">
        <f t="shared" si="1"/>
        <v>13</v>
      </c>
      <c r="J18" s="16">
        <f t="shared" si="2"/>
        <v>419321</v>
      </c>
      <c r="K18" s="41">
        <f t="shared" si="3"/>
        <v>147329</v>
      </c>
      <c r="L18" s="11"/>
      <c r="M18" s="180" t="e">
        <f>#REF!-G18</f>
        <v>#REF!</v>
      </c>
    </row>
    <row r="19" spans="1:13" s="114" customFormat="1">
      <c r="A19" s="96">
        <v>14</v>
      </c>
      <c r="B19" s="2" t="s">
        <v>310</v>
      </c>
      <c r="C19" s="19">
        <v>500000</v>
      </c>
      <c r="D19" s="19">
        <v>66650</v>
      </c>
      <c r="E19" s="19">
        <v>566650</v>
      </c>
      <c r="F19" s="159">
        <v>50</v>
      </c>
      <c r="G19" s="167">
        <v>11333</v>
      </c>
      <c r="H19" s="96">
        <v>14</v>
      </c>
      <c r="I19" s="96">
        <f t="shared" si="1"/>
        <v>36</v>
      </c>
      <c r="J19" s="16">
        <f t="shared" si="2"/>
        <v>158662</v>
      </c>
      <c r="K19" s="16">
        <f t="shared" si="3"/>
        <v>407988</v>
      </c>
      <c r="L19" s="122"/>
      <c r="M19" s="180" t="e">
        <f>#REF!-G19</f>
        <v>#REF!</v>
      </c>
    </row>
    <row r="20" spans="1:13" s="114" customFormat="1">
      <c r="A20" s="96">
        <v>15</v>
      </c>
      <c r="B20" s="4" t="s">
        <v>311</v>
      </c>
      <c r="C20" s="16">
        <v>500000</v>
      </c>
      <c r="D20" s="16">
        <v>66650</v>
      </c>
      <c r="E20" s="41">
        <f>SUM(C20:D20)</f>
        <v>566650</v>
      </c>
      <c r="F20" s="159">
        <v>50</v>
      </c>
      <c r="G20" s="167">
        <v>11333</v>
      </c>
      <c r="H20" s="96">
        <v>49</v>
      </c>
      <c r="I20" s="96">
        <f t="shared" si="1"/>
        <v>1</v>
      </c>
      <c r="J20" s="16">
        <f t="shared" si="2"/>
        <v>555317</v>
      </c>
      <c r="K20" s="41">
        <f t="shared" si="3"/>
        <v>11333</v>
      </c>
      <c r="L20" s="11"/>
      <c r="M20" s="180" t="e">
        <f>#REF!-G20</f>
        <v>#REF!</v>
      </c>
    </row>
    <row r="21" spans="1:13" s="114" customFormat="1">
      <c r="A21" s="96">
        <v>16</v>
      </c>
      <c r="B21" s="46" t="s">
        <v>282</v>
      </c>
      <c r="C21" s="16">
        <v>330000</v>
      </c>
      <c r="D21" s="16">
        <v>43989</v>
      </c>
      <c r="E21" s="41">
        <f>SUM(C21:D21)</f>
        <v>373989</v>
      </c>
      <c r="F21" s="159">
        <v>50</v>
      </c>
      <c r="G21" s="174">
        <v>7479.78</v>
      </c>
      <c r="H21" s="159">
        <v>37</v>
      </c>
      <c r="I21" s="97">
        <f t="shared" si="1"/>
        <v>13</v>
      </c>
      <c r="J21" s="91">
        <f>(32*7479.78)</f>
        <v>239352.95999999999</v>
      </c>
      <c r="K21" s="94">
        <f t="shared" si="3"/>
        <v>134636.04</v>
      </c>
      <c r="L21" s="11"/>
      <c r="M21" s="180" t="e">
        <f>#REF!-G21</f>
        <v>#REF!</v>
      </c>
    </row>
    <row r="22" spans="1:13" s="114" customFormat="1">
      <c r="A22" s="96">
        <v>17</v>
      </c>
      <c r="B22" s="4" t="s">
        <v>312</v>
      </c>
      <c r="C22" s="16">
        <v>500000</v>
      </c>
      <c r="D22" s="16">
        <v>66650</v>
      </c>
      <c r="E22" s="41">
        <f>SUM(C22:D22)</f>
        <v>566650</v>
      </c>
      <c r="F22" s="159">
        <v>50</v>
      </c>
      <c r="G22" s="167">
        <v>11333</v>
      </c>
      <c r="H22" s="97">
        <v>49</v>
      </c>
      <c r="I22" s="97">
        <f t="shared" si="1"/>
        <v>1</v>
      </c>
      <c r="J22" s="91">
        <f>H22*G22</f>
        <v>555317</v>
      </c>
      <c r="K22" s="94">
        <f t="shared" si="3"/>
        <v>11333</v>
      </c>
      <c r="L22" s="11"/>
      <c r="M22" s="180" t="e">
        <f>#REF!-G22</f>
        <v>#REF!</v>
      </c>
    </row>
    <row r="23" spans="1:13" s="114" customFormat="1">
      <c r="A23" s="96">
        <v>18</v>
      </c>
      <c r="B23" s="2" t="s">
        <v>360</v>
      </c>
      <c r="C23" s="16">
        <v>450000</v>
      </c>
      <c r="D23" s="16">
        <v>59985</v>
      </c>
      <c r="E23" s="16">
        <v>509985</v>
      </c>
      <c r="F23" s="159">
        <v>50</v>
      </c>
      <c r="G23" s="24">
        <v>10199.700000000001</v>
      </c>
      <c r="H23" s="97">
        <v>13</v>
      </c>
      <c r="I23" s="97">
        <f t="shared" si="1"/>
        <v>37</v>
      </c>
      <c r="J23" s="91">
        <f>H23*G23</f>
        <v>132596.1</v>
      </c>
      <c r="K23" s="91">
        <f t="shared" si="3"/>
        <v>377388.9</v>
      </c>
      <c r="L23" s="11"/>
      <c r="M23" s="180" t="e">
        <f>#REF!-G23</f>
        <v>#REF!</v>
      </c>
    </row>
    <row r="24" spans="1:13" s="114" customFormat="1">
      <c r="A24" s="96">
        <v>19</v>
      </c>
      <c r="B24" s="2" t="s">
        <v>361</v>
      </c>
      <c r="C24" s="16">
        <v>450000</v>
      </c>
      <c r="D24" s="16">
        <v>59985</v>
      </c>
      <c r="E24" s="16">
        <v>509985</v>
      </c>
      <c r="F24" s="159">
        <v>50</v>
      </c>
      <c r="G24" s="24">
        <v>10199.700000000001</v>
      </c>
      <c r="H24" s="97">
        <v>28</v>
      </c>
      <c r="I24" s="97">
        <f t="shared" si="1"/>
        <v>22</v>
      </c>
      <c r="J24" s="91">
        <f>H24*G24</f>
        <v>285591.60000000003</v>
      </c>
      <c r="K24" s="94">
        <f t="shared" si="3"/>
        <v>224393.39999999997</v>
      </c>
      <c r="L24" s="11"/>
      <c r="M24" s="180" t="e">
        <f>#REF!-G24</f>
        <v>#REF!</v>
      </c>
    </row>
    <row r="25" spans="1:13" s="114" customFormat="1">
      <c r="A25" s="96">
        <v>20</v>
      </c>
      <c r="B25" s="2" t="s">
        <v>305</v>
      </c>
      <c r="C25" s="16">
        <v>500000</v>
      </c>
      <c r="D25" s="16">
        <v>53320</v>
      </c>
      <c r="E25" s="41">
        <f>SUM(C25:D25)</f>
        <v>553320</v>
      </c>
      <c r="F25" s="159">
        <v>40</v>
      </c>
      <c r="G25" s="24">
        <v>13833</v>
      </c>
      <c r="H25" s="97">
        <v>49</v>
      </c>
      <c r="I25" s="97">
        <f t="shared" si="1"/>
        <v>-9</v>
      </c>
      <c r="J25" s="91">
        <f>H25*G25</f>
        <v>677817</v>
      </c>
      <c r="K25" s="94">
        <f t="shared" si="3"/>
        <v>-124497</v>
      </c>
      <c r="L25" s="11"/>
      <c r="M25" s="180" t="e">
        <f>#REF!-G25</f>
        <v>#REF!</v>
      </c>
    </row>
    <row r="26" spans="1:13" s="114" customFormat="1">
      <c r="A26" s="96">
        <v>21</v>
      </c>
      <c r="B26" s="2" t="s">
        <v>313</v>
      </c>
      <c r="C26" s="16">
        <v>500000</v>
      </c>
      <c r="D26" s="16">
        <v>66650</v>
      </c>
      <c r="E26" s="41">
        <f>SUM(C26:D26)</f>
        <v>566650</v>
      </c>
      <c r="F26" s="159">
        <v>50</v>
      </c>
      <c r="G26" s="24">
        <v>11333</v>
      </c>
      <c r="H26" s="97">
        <v>28</v>
      </c>
      <c r="I26" s="97">
        <f t="shared" si="1"/>
        <v>22</v>
      </c>
      <c r="J26" s="91">
        <f>H26*G26</f>
        <v>317324</v>
      </c>
      <c r="K26" s="94">
        <f t="shared" si="3"/>
        <v>249326</v>
      </c>
      <c r="L26" s="11"/>
      <c r="M26" s="180" t="e">
        <f>#REF!-G26</f>
        <v>#REF!</v>
      </c>
    </row>
    <row r="27" spans="1:13" s="114" customFormat="1">
      <c r="A27" s="96">
        <v>22</v>
      </c>
      <c r="B27" s="46" t="s">
        <v>298</v>
      </c>
      <c r="C27" s="16">
        <v>60000</v>
      </c>
      <c r="D27" s="16">
        <v>7998</v>
      </c>
      <c r="E27" s="41">
        <f>SUM(C27:D27)</f>
        <v>67998</v>
      </c>
      <c r="F27" s="159">
        <v>40</v>
      </c>
      <c r="G27" s="167">
        <v>1699.95</v>
      </c>
      <c r="H27" s="97">
        <v>3</v>
      </c>
      <c r="I27" s="97">
        <f t="shared" si="1"/>
        <v>37</v>
      </c>
      <c r="J27" s="91"/>
      <c r="K27" s="94">
        <f t="shared" si="3"/>
        <v>67998</v>
      </c>
      <c r="L27" s="11"/>
      <c r="M27" s="180" t="e">
        <f>#REF!-G27</f>
        <v>#REF!</v>
      </c>
    </row>
    <row r="28" spans="1:13" s="114" customFormat="1">
      <c r="A28" s="96">
        <v>23</v>
      </c>
      <c r="B28" s="25" t="s">
        <v>299</v>
      </c>
      <c r="C28" s="16">
        <v>500000</v>
      </c>
      <c r="D28" s="16">
        <v>66650</v>
      </c>
      <c r="E28" s="41">
        <f>SUM(C28:D28)</f>
        <v>566650</v>
      </c>
      <c r="F28" s="159">
        <v>50</v>
      </c>
      <c r="G28" s="167">
        <v>11333</v>
      </c>
      <c r="H28" s="97">
        <v>38</v>
      </c>
      <c r="I28" s="97">
        <f t="shared" si="1"/>
        <v>12</v>
      </c>
      <c r="J28" s="91">
        <f t="shared" ref="J28:J36" si="4">H28*G28</f>
        <v>430654</v>
      </c>
      <c r="K28" s="94">
        <f t="shared" si="3"/>
        <v>135996</v>
      </c>
      <c r="L28" s="11" t="s">
        <v>276</v>
      </c>
      <c r="M28" s="180" t="e">
        <f>#REF!-G28</f>
        <v>#REF!</v>
      </c>
    </row>
    <row r="29" spans="1:13" s="114" customFormat="1">
      <c r="A29" s="96">
        <v>24</v>
      </c>
      <c r="B29" s="2" t="s">
        <v>441</v>
      </c>
      <c r="C29" s="16">
        <v>500000</v>
      </c>
      <c r="D29" s="16">
        <v>66650</v>
      </c>
      <c r="E29" s="16">
        <v>566650</v>
      </c>
      <c r="F29" s="159">
        <v>50</v>
      </c>
      <c r="G29" s="225">
        <v>11333</v>
      </c>
      <c r="H29" s="96">
        <v>2</v>
      </c>
      <c r="I29" s="97">
        <f t="shared" si="1"/>
        <v>48</v>
      </c>
      <c r="J29" s="91">
        <f t="shared" si="4"/>
        <v>22666</v>
      </c>
      <c r="K29" s="94">
        <f t="shared" si="3"/>
        <v>543984</v>
      </c>
      <c r="L29" s="215"/>
      <c r="M29" s="180" t="e">
        <f>#REF!-G29</f>
        <v>#REF!</v>
      </c>
    </row>
    <row r="30" spans="1:13" s="114" customFormat="1">
      <c r="A30" s="96">
        <v>25</v>
      </c>
      <c r="B30" s="4" t="s">
        <v>140</v>
      </c>
      <c r="C30" s="15">
        <v>200000</v>
      </c>
      <c r="D30" s="15">
        <v>26660</v>
      </c>
      <c r="E30" s="15">
        <f>SUM(C30:D30)</f>
        <v>226660</v>
      </c>
      <c r="F30" s="14">
        <v>40</v>
      </c>
      <c r="G30" s="167">
        <v>5666.5</v>
      </c>
      <c r="H30" s="14">
        <v>34</v>
      </c>
      <c r="I30" s="97">
        <f t="shared" si="1"/>
        <v>6</v>
      </c>
      <c r="J30" s="91">
        <f t="shared" si="4"/>
        <v>192661</v>
      </c>
      <c r="K30" s="15">
        <f t="shared" si="3"/>
        <v>33999</v>
      </c>
      <c r="L30" s="8"/>
      <c r="M30" s="180" t="e">
        <f>#REF!-G30</f>
        <v>#REF!</v>
      </c>
    </row>
    <row r="31" spans="1:13" s="114" customFormat="1">
      <c r="A31" s="96">
        <v>26</v>
      </c>
      <c r="B31" s="2" t="s">
        <v>107</v>
      </c>
      <c r="C31" s="16">
        <v>330000</v>
      </c>
      <c r="D31" s="16">
        <v>43989</v>
      </c>
      <c r="E31" s="41">
        <f>SUM(C31:D31)</f>
        <v>373989</v>
      </c>
      <c r="F31" s="159">
        <v>50</v>
      </c>
      <c r="G31" s="167">
        <v>7479.78</v>
      </c>
      <c r="H31" s="97">
        <v>49</v>
      </c>
      <c r="I31" s="97">
        <f t="shared" si="1"/>
        <v>1</v>
      </c>
      <c r="J31" s="91">
        <f t="shared" si="4"/>
        <v>366509.22</v>
      </c>
      <c r="K31" s="94">
        <f t="shared" si="3"/>
        <v>7479.7800000000279</v>
      </c>
      <c r="L31" s="11"/>
      <c r="M31" s="180" t="e">
        <f>#REF!-G31</f>
        <v>#REF!</v>
      </c>
    </row>
    <row r="32" spans="1:13" s="114" customFormat="1">
      <c r="A32" s="96">
        <v>27</v>
      </c>
      <c r="B32" s="4" t="s">
        <v>374</v>
      </c>
      <c r="C32" s="16">
        <v>330000</v>
      </c>
      <c r="D32" s="16">
        <v>43989</v>
      </c>
      <c r="E32" s="41">
        <f>SUM(C32:D32)</f>
        <v>373989</v>
      </c>
      <c r="F32" s="159">
        <v>50</v>
      </c>
      <c r="G32" s="24">
        <v>7479.78</v>
      </c>
      <c r="H32" s="97">
        <v>49</v>
      </c>
      <c r="I32" s="97">
        <f t="shared" si="1"/>
        <v>1</v>
      </c>
      <c r="J32" s="91">
        <f t="shared" si="4"/>
        <v>366509.22</v>
      </c>
      <c r="K32" s="94">
        <f t="shared" si="3"/>
        <v>7479.7800000000279</v>
      </c>
      <c r="L32" s="11"/>
      <c r="M32" s="180" t="e">
        <f>#REF!-G32</f>
        <v>#REF!</v>
      </c>
    </row>
    <row r="33" spans="1:13" s="114" customFormat="1">
      <c r="A33" s="96">
        <v>28</v>
      </c>
      <c r="B33" s="4" t="s">
        <v>314</v>
      </c>
      <c r="C33" s="19">
        <v>500000</v>
      </c>
      <c r="D33" s="19">
        <v>66650</v>
      </c>
      <c r="E33" s="19">
        <v>566650</v>
      </c>
      <c r="F33" s="159">
        <v>50</v>
      </c>
      <c r="G33" s="167">
        <v>11333</v>
      </c>
      <c r="H33" s="97">
        <v>14</v>
      </c>
      <c r="I33" s="97">
        <f t="shared" si="1"/>
        <v>36</v>
      </c>
      <c r="J33" s="91">
        <f t="shared" si="4"/>
        <v>158662</v>
      </c>
      <c r="K33" s="91">
        <f t="shared" si="3"/>
        <v>407988</v>
      </c>
      <c r="L33" s="122"/>
      <c r="M33" s="180" t="e">
        <f>#REF!-G33</f>
        <v>#REF!</v>
      </c>
    </row>
    <row r="34" spans="1:13" s="114" customFormat="1">
      <c r="A34" s="96">
        <v>29</v>
      </c>
      <c r="B34" s="4" t="s">
        <v>414</v>
      </c>
      <c r="C34" s="16">
        <v>180000</v>
      </c>
      <c r="D34" s="16">
        <v>23994</v>
      </c>
      <c r="E34" s="41">
        <f>SUM(C34:D34)</f>
        <v>203994</v>
      </c>
      <c r="F34" s="159">
        <v>40</v>
      </c>
      <c r="G34" s="167">
        <v>5099.8500000000004</v>
      </c>
      <c r="H34" s="97">
        <v>39</v>
      </c>
      <c r="I34" s="97">
        <f t="shared" si="1"/>
        <v>1</v>
      </c>
      <c r="J34" s="91">
        <f t="shared" si="4"/>
        <v>198894.15000000002</v>
      </c>
      <c r="K34" s="94">
        <f t="shared" si="3"/>
        <v>5099.8499999999767</v>
      </c>
      <c r="L34" s="11"/>
      <c r="M34" s="180" t="e">
        <f>#REF!-G34</f>
        <v>#REF!</v>
      </c>
    </row>
    <row r="35" spans="1:13" s="114" customFormat="1">
      <c r="A35" s="96">
        <v>30</v>
      </c>
      <c r="B35" s="4" t="s">
        <v>315</v>
      </c>
      <c r="C35" s="19">
        <v>500000</v>
      </c>
      <c r="D35" s="19">
        <v>66650</v>
      </c>
      <c r="E35" s="19">
        <v>566650</v>
      </c>
      <c r="F35" s="159">
        <v>50</v>
      </c>
      <c r="G35" s="167">
        <v>11333</v>
      </c>
      <c r="H35" s="97">
        <v>14</v>
      </c>
      <c r="I35" s="97">
        <f t="shared" si="1"/>
        <v>36</v>
      </c>
      <c r="J35" s="91">
        <f t="shared" si="4"/>
        <v>158662</v>
      </c>
      <c r="K35" s="91">
        <f t="shared" si="3"/>
        <v>407988</v>
      </c>
      <c r="L35" s="122"/>
      <c r="M35" s="180" t="e">
        <f>#REF!-G35</f>
        <v>#REF!</v>
      </c>
    </row>
    <row r="36" spans="1:13" s="114" customFormat="1">
      <c r="A36" s="96">
        <v>31</v>
      </c>
      <c r="B36" s="2" t="s">
        <v>284</v>
      </c>
      <c r="C36" s="19">
        <v>500000</v>
      </c>
      <c r="D36" s="19">
        <v>66650</v>
      </c>
      <c r="E36" s="19">
        <v>566650</v>
      </c>
      <c r="F36" s="159">
        <v>50</v>
      </c>
      <c r="G36" s="167">
        <v>11333</v>
      </c>
      <c r="H36" s="97">
        <v>34</v>
      </c>
      <c r="I36" s="97">
        <f t="shared" si="1"/>
        <v>16</v>
      </c>
      <c r="J36" s="91">
        <f t="shared" si="4"/>
        <v>385322</v>
      </c>
      <c r="K36" s="91">
        <f t="shared" si="3"/>
        <v>181328</v>
      </c>
      <c r="L36" s="122"/>
      <c r="M36" s="180" t="e">
        <f>#REF!-G36</f>
        <v>#REF!</v>
      </c>
    </row>
    <row r="37" spans="1:13" s="114" customFormat="1">
      <c r="A37" s="96">
        <v>32</v>
      </c>
      <c r="B37" s="192" t="s">
        <v>216</v>
      </c>
      <c r="C37" s="16">
        <v>60000</v>
      </c>
      <c r="D37" s="16">
        <v>7998</v>
      </c>
      <c r="E37" s="41">
        <f>SUM(C37:D37)</f>
        <v>67998</v>
      </c>
      <c r="F37" s="159">
        <v>40</v>
      </c>
      <c r="G37" s="24">
        <v>1699.95</v>
      </c>
      <c r="H37" s="97">
        <v>3</v>
      </c>
      <c r="I37" s="97">
        <f t="shared" si="1"/>
        <v>37</v>
      </c>
      <c r="J37" s="91"/>
      <c r="K37" s="94">
        <f t="shared" si="3"/>
        <v>67998</v>
      </c>
      <c r="L37" s="11"/>
      <c r="M37" s="180" t="e">
        <f>#REF!-G37</f>
        <v>#REF!</v>
      </c>
    </row>
    <row r="38" spans="1:13" s="114" customFormat="1">
      <c r="A38" s="96">
        <v>33</v>
      </c>
      <c r="B38" s="4" t="s">
        <v>316</v>
      </c>
      <c r="C38" s="16">
        <v>500000</v>
      </c>
      <c r="D38" s="16">
        <v>66650</v>
      </c>
      <c r="E38" s="41">
        <f>SUM(C38:D38)</f>
        <v>566650</v>
      </c>
      <c r="F38" s="159">
        <v>50</v>
      </c>
      <c r="G38" s="167">
        <v>11333</v>
      </c>
      <c r="H38" s="97">
        <v>27</v>
      </c>
      <c r="I38" s="97">
        <f t="shared" ref="I38:I69" si="5">F38-H38</f>
        <v>23</v>
      </c>
      <c r="J38" s="91">
        <f>H38*G38</f>
        <v>305991</v>
      </c>
      <c r="K38" s="94">
        <f t="shared" ref="K38:K69" si="6">E38-J38</f>
        <v>260659</v>
      </c>
      <c r="L38" s="11"/>
      <c r="M38" s="180" t="e">
        <f>#REF!-G38</f>
        <v>#REF!</v>
      </c>
    </row>
    <row r="39" spans="1:13" s="114" customFormat="1">
      <c r="A39" s="96">
        <v>34</v>
      </c>
      <c r="B39" s="4" t="s">
        <v>317</v>
      </c>
      <c r="C39" s="16">
        <v>500000</v>
      </c>
      <c r="D39" s="16">
        <v>66650</v>
      </c>
      <c r="E39" s="41">
        <f>SUM(C39:D39)</f>
        <v>566650</v>
      </c>
      <c r="F39" s="159">
        <v>50</v>
      </c>
      <c r="G39" s="167">
        <v>11333</v>
      </c>
      <c r="H39" s="97">
        <v>37</v>
      </c>
      <c r="I39" s="97">
        <f t="shared" si="5"/>
        <v>13</v>
      </c>
      <c r="J39" s="91">
        <f>H39*G39</f>
        <v>419321</v>
      </c>
      <c r="K39" s="94">
        <f t="shared" si="6"/>
        <v>147329</v>
      </c>
      <c r="L39" s="11"/>
      <c r="M39" s="180" t="e">
        <f>#REF!-G39</f>
        <v>#REF!</v>
      </c>
    </row>
    <row r="40" spans="1:13" s="114" customFormat="1">
      <c r="A40" s="96">
        <v>35</v>
      </c>
      <c r="B40" s="4" t="s">
        <v>318</v>
      </c>
      <c r="C40" s="16">
        <v>500000</v>
      </c>
      <c r="D40" s="16">
        <v>66650</v>
      </c>
      <c r="E40" s="41">
        <f>SUM(C40:D40)</f>
        <v>566650</v>
      </c>
      <c r="F40" s="159">
        <v>50</v>
      </c>
      <c r="G40" s="167">
        <v>11333</v>
      </c>
      <c r="H40" s="97">
        <v>37</v>
      </c>
      <c r="I40" s="97">
        <f t="shared" si="5"/>
        <v>13</v>
      </c>
      <c r="J40" s="91">
        <f>H40*G40</f>
        <v>419321</v>
      </c>
      <c r="K40" s="94">
        <f t="shared" si="6"/>
        <v>147329</v>
      </c>
      <c r="L40" s="11"/>
      <c r="M40" s="180" t="e">
        <f>#REF!-G40</f>
        <v>#REF!</v>
      </c>
    </row>
    <row r="41" spans="1:13" s="114" customFormat="1">
      <c r="A41" s="96">
        <v>36</v>
      </c>
      <c r="B41" s="4" t="s">
        <v>457</v>
      </c>
      <c r="C41" s="19">
        <v>150000</v>
      </c>
      <c r="D41" s="19">
        <v>19995</v>
      </c>
      <c r="E41" s="19">
        <f>SUM(C41:D41)</f>
        <v>169995</v>
      </c>
      <c r="F41" s="159">
        <v>50</v>
      </c>
      <c r="G41" s="228">
        <v>3399.9</v>
      </c>
      <c r="H41" s="101">
        <v>2</v>
      </c>
      <c r="I41" s="97">
        <f t="shared" si="5"/>
        <v>48</v>
      </c>
      <c r="J41" s="91">
        <f>H41*G41</f>
        <v>6799.8</v>
      </c>
      <c r="K41" s="94">
        <f t="shared" si="6"/>
        <v>163195.20000000001</v>
      </c>
      <c r="L41" s="218"/>
      <c r="M41" s="180" t="e">
        <f>#REF!-G41</f>
        <v>#REF!</v>
      </c>
    </row>
    <row r="42" spans="1:13" s="114" customFormat="1">
      <c r="A42" s="96">
        <v>37</v>
      </c>
      <c r="B42" s="171" t="s">
        <v>363</v>
      </c>
      <c r="C42" s="16">
        <v>450000</v>
      </c>
      <c r="D42" s="16">
        <v>59985</v>
      </c>
      <c r="E42" s="16">
        <v>509985</v>
      </c>
      <c r="F42" s="159">
        <v>50</v>
      </c>
      <c r="G42" s="167">
        <v>10199.700000000001</v>
      </c>
      <c r="H42" s="97">
        <v>6</v>
      </c>
      <c r="I42" s="97">
        <f t="shared" si="5"/>
        <v>44</v>
      </c>
      <c r="J42" s="91">
        <f>(1*10199.7)</f>
        <v>10199.700000000001</v>
      </c>
      <c r="K42" s="94">
        <f t="shared" si="6"/>
        <v>499785.3</v>
      </c>
      <c r="L42" s="11"/>
      <c r="M42" s="180" t="e">
        <f>#REF!-G42</f>
        <v>#REF!</v>
      </c>
    </row>
    <row r="43" spans="1:13" s="114" customFormat="1">
      <c r="A43" s="96">
        <v>38</v>
      </c>
      <c r="B43" s="171" t="s">
        <v>319</v>
      </c>
      <c r="C43" s="16">
        <v>450000</v>
      </c>
      <c r="D43" s="16">
        <v>59985</v>
      </c>
      <c r="E43" s="41">
        <f t="shared" ref="E43:E53" si="7">SUM(C43:D43)</f>
        <v>509985</v>
      </c>
      <c r="F43" s="159">
        <v>50</v>
      </c>
      <c r="G43" s="167">
        <v>11333</v>
      </c>
      <c r="H43" s="97">
        <v>17</v>
      </c>
      <c r="I43" s="97">
        <f t="shared" si="5"/>
        <v>33</v>
      </c>
      <c r="J43" s="91">
        <f t="shared" ref="J43:J74" si="8">H43*G43</f>
        <v>192661</v>
      </c>
      <c r="K43" s="94">
        <f t="shared" si="6"/>
        <v>317324</v>
      </c>
      <c r="L43" s="11"/>
    </row>
    <row r="44" spans="1:13" s="114" customFormat="1">
      <c r="A44" s="96">
        <v>39</v>
      </c>
      <c r="B44" s="2" t="s">
        <v>424</v>
      </c>
      <c r="C44" s="12">
        <v>150000</v>
      </c>
      <c r="D44" s="12">
        <v>19995</v>
      </c>
      <c r="E44" s="15">
        <f t="shared" si="7"/>
        <v>169995</v>
      </c>
      <c r="F44" s="14">
        <v>50</v>
      </c>
      <c r="G44" s="167">
        <v>3399.9</v>
      </c>
      <c r="H44" s="14">
        <v>33</v>
      </c>
      <c r="I44" s="97">
        <f t="shared" si="5"/>
        <v>17</v>
      </c>
      <c r="J44" s="91">
        <f t="shared" si="8"/>
        <v>112196.7</v>
      </c>
      <c r="K44" s="15">
        <f t="shared" si="6"/>
        <v>57798.3</v>
      </c>
      <c r="L44" s="8"/>
      <c r="M44" s="180" t="e">
        <f>#REF!-G44</f>
        <v>#REF!</v>
      </c>
    </row>
    <row r="45" spans="1:13" s="114" customFormat="1">
      <c r="A45" s="96">
        <v>40</v>
      </c>
      <c r="B45" s="4" t="s">
        <v>375</v>
      </c>
      <c r="C45" s="16">
        <v>330000</v>
      </c>
      <c r="D45" s="16">
        <v>43989</v>
      </c>
      <c r="E45" s="41">
        <f t="shared" si="7"/>
        <v>373989</v>
      </c>
      <c r="F45" s="159">
        <v>50</v>
      </c>
      <c r="G45" s="167">
        <v>7479.78</v>
      </c>
      <c r="H45" s="97">
        <v>28</v>
      </c>
      <c r="I45" s="97">
        <f t="shared" si="5"/>
        <v>22</v>
      </c>
      <c r="J45" s="91">
        <f t="shared" si="8"/>
        <v>209433.84</v>
      </c>
      <c r="K45" s="94">
        <f t="shared" si="6"/>
        <v>164555.16</v>
      </c>
      <c r="L45" s="11"/>
      <c r="M45" s="180" t="e">
        <f>#REF!-G45</f>
        <v>#REF!</v>
      </c>
    </row>
    <row r="46" spans="1:13" s="114" customFormat="1">
      <c r="A46" s="96">
        <v>41</v>
      </c>
      <c r="B46" s="4" t="s">
        <v>320</v>
      </c>
      <c r="C46" s="16">
        <v>500000</v>
      </c>
      <c r="D46" s="16">
        <v>66650</v>
      </c>
      <c r="E46" s="41">
        <f t="shared" si="7"/>
        <v>566650</v>
      </c>
      <c r="F46" s="159">
        <v>50</v>
      </c>
      <c r="G46" s="24">
        <v>11333</v>
      </c>
      <c r="H46" s="188">
        <v>4</v>
      </c>
      <c r="I46" s="188">
        <f t="shared" si="5"/>
        <v>46</v>
      </c>
      <c r="J46" s="91">
        <f t="shared" si="8"/>
        <v>45332</v>
      </c>
      <c r="K46" s="94">
        <f t="shared" si="6"/>
        <v>521318</v>
      </c>
      <c r="L46" s="122"/>
      <c r="M46" s="180" t="e">
        <f>#REF!-G46</f>
        <v>#REF!</v>
      </c>
    </row>
    <row r="47" spans="1:13" s="114" customFormat="1">
      <c r="A47" s="96">
        <v>42</v>
      </c>
      <c r="B47" s="2" t="s">
        <v>112</v>
      </c>
      <c r="C47" s="16">
        <v>330000</v>
      </c>
      <c r="D47" s="16">
        <v>43989</v>
      </c>
      <c r="E47" s="41">
        <f t="shared" si="7"/>
        <v>373989</v>
      </c>
      <c r="F47" s="159">
        <v>50</v>
      </c>
      <c r="G47" s="174">
        <v>7479.78</v>
      </c>
      <c r="H47" s="97">
        <v>28</v>
      </c>
      <c r="I47" s="97">
        <f t="shared" si="5"/>
        <v>22</v>
      </c>
      <c r="J47" s="91">
        <f t="shared" si="8"/>
        <v>209433.84</v>
      </c>
      <c r="K47" s="94">
        <f t="shared" si="6"/>
        <v>164555.16</v>
      </c>
      <c r="L47" s="11"/>
      <c r="M47" s="180" t="e">
        <f>#REF!-G47</f>
        <v>#REF!</v>
      </c>
    </row>
    <row r="48" spans="1:13" s="114" customFormat="1">
      <c r="A48" s="96">
        <v>43</v>
      </c>
      <c r="B48" s="166" t="s">
        <v>285</v>
      </c>
      <c r="C48" s="41">
        <v>200000</v>
      </c>
      <c r="D48" s="41">
        <v>26660</v>
      </c>
      <c r="E48" s="41">
        <f t="shared" si="7"/>
        <v>226660</v>
      </c>
      <c r="F48" s="159">
        <v>40</v>
      </c>
      <c r="G48" s="174">
        <v>7479</v>
      </c>
      <c r="H48" s="97">
        <v>13</v>
      </c>
      <c r="I48" s="97">
        <f t="shared" si="5"/>
        <v>27</v>
      </c>
      <c r="J48" s="91">
        <f t="shared" si="8"/>
        <v>97227</v>
      </c>
      <c r="K48" s="94">
        <f t="shared" si="6"/>
        <v>129433</v>
      </c>
      <c r="L48" s="11"/>
      <c r="M48" s="180" t="e">
        <f>#REF!-G48</f>
        <v>#REF!</v>
      </c>
    </row>
    <row r="49" spans="1:13" s="114" customFormat="1">
      <c r="A49" s="96">
        <v>44</v>
      </c>
      <c r="B49" s="4" t="s">
        <v>321</v>
      </c>
      <c r="C49" s="16">
        <v>500000</v>
      </c>
      <c r="D49" s="16">
        <v>66650</v>
      </c>
      <c r="E49" s="41">
        <f t="shared" si="7"/>
        <v>566650</v>
      </c>
      <c r="F49" s="159">
        <v>50</v>
      </c>
      <c r="G49" s="167">
        <v>11333</v>
      </c>
      <c r="H49" s="97">
        <v>27</v>
      </c>
      <c r="I49" s="97">
        <f t="shared" si="5"/>
        <v>23</v>
      </c>
      <c r="J49" s="91">
        <f t="shared" si="8"/>
        <v>305991</v>
      </c>
      <c r="K49" s="94">
        <f t="shared" si="6"/>
        <v>260659</v>
      </c>
      <c r="L49" s="11"/>
      <c r="M49" s="180" t="e">
        <f>#REF!-G49</f>
        <v>#REF!</v>
      </c>
    </row>
    <row r="50" spans="1:13" s="114" customFormat="1">
      <c r="A50" s="96">
        <v>45</v>
      </c>
      <c r="B50" s="4" t="s">
        <v>322</v>
      </c>
      <c r="C50" s="16">
        <v>500000</v>
      </c>
      <c r="D50" s="16">
        <v>66650</v>
      </c>
      <c r="E50" s="41">
        <f t="shared" si="7"/>
        <v>566650</v>
      </c>
      <c r="F50" s="159">
        <v>50</v>
      </c>
      <c r="G50" s="24">
        <v>11333</v>
      </c>
      <c r="H50" s="97">
        <v>28</v>
      </c>
      <c r="I50" s="97">
        <f t="shared" si="5"/>
        <v>22</v>
      </c>
      <c r="J50" s="91">
        <f t="shared" si="8"/>
        <v>317324</v>
      </c>
      <c r="K50" s="94">
        <f t="shared" si="6"/>
        <v>249326</v>
      </c>
      <c r="L50" s="11"/>
      <c r="M50" s="180" t="e">
        <f>#REF!-G50</f>
        <v>#REF!</v>
      </c>
    </row>
    <row r="51" spans="1:13" s="114" customFormat="1">
      <c r="A51" s="96">
        <v>46</v>
      </c>
      <c r="B51" s="4" t="s">
        <v>323</v>
      </c>
      <c r="C51" s="16">
        <v>500000</v>
      </c>
      <c r="D51" s="16">
        <v>66650</v>
      </c>
      <c r="E51" s="41">
        <f t="shared" si="7"/>
        <v>566650</v>
      </c>
      <c r="F51" s="159">
        <v>50</v>
      </c>
      <c r="G51" s="24">
        <v>11333</v>
      </c>
      <c r="H51" s="97">
        <v>27</v>
      </c>
      <c r="I51" s="97">
        <f t="shared" si="5"/>
        <v>23</v>
      </c>
      <c r="J51" s="91">
        <f t="shared" si="8"/>
        <v>305991</v>
      </c>
      <c r="K51" s="94">
        <f t="shared" si="6"/>
        <v>260659</v>
      </c>
      <c r="L51" s="11"/>
      <c r="M51" s="180"/>
    </row>
    <row r="52" spans="1:13" s="114" customFormat="1">
      <c r="A52" s="96">
        <v>47</v>
      </c>
      <c r="B52" s="4" t="s">
        <v>324</v>
      </c>
      <c r="C52" s="12">
        <v>500000</v>
      </c>
      <c r="D52" s="12">
        <v>66650</v>
      </c>
      <c r="E52" s="15">
        <f t="shared" si="7"/>
        <v>566650</v>
      </c>
      <c r="F52" s="14">
        <v>50</v>
      </c>
      <c r="G52" s="174">
        <v>11333</v>
      </c>
      <c r="H52" s="14">
        <v>33</v>
      </c>
      <c r="I52" s="97">
        <f t="shared" si="5"/>
        <v>17</v>
      </c>
      <c r="J52" s="91">
        <f t="shared" si="8"/>
        <v>373989</v>
      </c>
      <c r="K52" s="15">
        <f t="shared" si="6"/>
        <v>192661</v>
      </c>
      <c r="L52" s="8"/>
      <c r="M52" s="180" t="e">
        <f>#REF!-G52</f>
        <v>#REF!</v>
      </c>
    </row>
    <row r="53" spans="1:13" s="114" customFormat="1">
      <c r="A53" s="96">
        <v>48</v>
      </c>
      <c r="B53" s="199" t="s">
        <v>376</v>
      </c>
      <c r="C53" s="16">
        <v>330000</v>
      </c>
      <c r="D53" s="16">
        <v>43989</v>
      </c>
      <c r="E53" s="41">
        <f t="shared" si="7"/>
        <v>373989</v>
      </c>
      <c r="F53" s="159">
        <v>50</v>
      </c>
      <c r="G53" s="179">
        <v>7479.78</v>
      </c>
      <c r="H53" s="97">
        <v>49</v>
      </c>
      <c r="I53" s="97">
        <f t="shared" si="5"/>
        <v>1</v>
      </c>
      <c r="J53" s="91">
        <f t="shared" si="8"/>
        <v>366509.22</v>
      </c>
      <c r="K53" s="94">
        <f t="shared" si="6"/>
        <v>7479.7800000000279</v>
      </c>
      <c r="L53" s="11"/>
      <c r="M53" s="180" t="e">
        <f>#REF!-G53</f>
        <v>#REF!</v>
      </c>
    </row>
    <row r="54" spans="1:13" s="114" customFormat="1">
      <c r="A54" s="96">
        <v>49</v>
      </c>
      <c r="B54" s="4" t="s">
        <v>485</v>
      </c>
      <c r="C54" s="19">
        <v>450000</v>
      </c>
      <c r="D54" s="19">
        <v>59985</v>
      </c>
      <c r="E54" s="19">
        <v>509985</v>
      </c>
      <c r="F54" s="159">
        <v>50</v>
      </c>
      <c r="G54" s="211">
        <v>10199.700000000001</v>
      </c>
      <c r="H54" s="97">
        <v>39</v>
      </c>
      <c r="I54" s="97">
        <f t="shared" si="5"/>
        <v>11</v>
      </c>
      <c r="J54" s="91">
        <f t="shared" si="8"/>
        <v>397788.30000000005</v>
      </c>
      <c r="K54" s="94">
        <f t="shared" si="6"/>
        <v>112196.69999999995</v>
      </c>
      <c r="L54" s="11"/>
      <c r="M54" s="180" t="e">
        <f>#REF!-G54</f>
        <v>#REF!</v>
      </c>
    </row>
    <row r="55" spans="1:13" s="114" customFormat="1">
      <c r="A55" s="96">
        <v>50</v>
      </c>
      <c r="B55" s="4" t="s">
        <v>489</v>
      </c>
      <c r="C55" s="19">
        <v>450000</v>
      </c>
      <c r="D55" s="19">
        <v>59985</v>
      </c>
      <c r="E55" s="19">
        <v>509985</v>
      </c>
      <c r="F55" s="159">
        <v>50</v>
      </c>
      <c r="G55" s="167">
        <v>10199.700000000001</v>
      </c>
      <c r="H55" s="101">
        <v>2</v>
      </c>
      <c r="I55" s="97">
        <f t="shared" si="5"/>
        <v>48</v>
      </c>
      <c r="J55" s="91">
        <f t="shared" si="8"/>
        <v>20399.400000000001</v>
      </c>
      <c r="K55" s="94">
        <f t="shared" si="6"/>
        <v>489585.6</v>
      </c>
      <c r="L55" s="218"/>
      <c r="M55" s="180" t="e">
        <f>#REF!-G55</f>
        <v>#REF!</v>
      </c>
    </row>
    <row r="56" spans="1:13" s="114" customFormat="1">
      <c r="A56" s="96">
        <v>51</v>
      </c>
      <c r="B56" s="4" t="s">
        <v>325</v>
      </c>
      <c r="C56" s="16">
        <v>500000</v>
      </c>
      <c r="D56" s="16">
        <v>66650</v>
      </c>
      <c r="E56" s="41">
        <f>SUM(C56:D56)</f>
        <v>566650</v>
      </c>
      <c r="F56" s="159">
        <v>50</v>
      </c>
      <c r="G56" s="167">
        <v>11333</v>
      </c>
      <c r="H56" s="97">
        <v>49</v>
      </c>
      <c r="I56" s="97">
        <f t="shared" si="5"/>
        <v>1</v>
      </c>
      <c r="J56" s="91">
        <f t="shared" si="8"/>
        <v>555317</v>
      </c>
      <c r="K56" s="94">
        <f t="shared" si="6"/>
        <v>11333</v>
      </c>
      <c r="L56" s="11"/>
      <c r="M56" s="180" t="e">
        <f>#REF!-G56</f>
        <v>#REF!</v>
      </c>
    </row>
    <row r="57" spans="1:13" s="114" customFormat="1">
      <c r="A57" s="96">
        <v>52</v>
      </c>
      <c r="B57" s="4" t="s">
        <v>326</v>
      </c>
      <c r="C57" s="19">
        <v>500000</v>
      </c>
      <c r="D57" s="19">
        <v>66650</v>
      </c>
      <c r="E57" s="19">
        <v>566650</v>
      </c>
      <c r="F57" s="159">
        <v>50</v>
      </c>
      <c r="G57" s="167">
        <v>11333</v>
      </c>
      <c r="H57" s="97">
        <v>13</v>
      </c>
      <c r="I57" s="97">
        <f t="shared" si="5"/>
        <v>37</v>
      </c>
      <c r="J57" s="91">
        <f t="shared" si="8"/>
        <v>147329</v>
      </c>
      <c r="K57" s="91">
        <f t="shared" si="6"/>
        <v>419321</v>
      </c>
      <c r="L57" s="122"/>
      <c r="M57" s="180" t="e">
        <f>#REF!-G57</f>
        <v>#REF!</v>
      </c>
    </row>
    <row r="58" spans="1:13" s="114" customFormat="1">
      <c r="A58" s="96">
        <v>53</v>
      </c>
      <c r="B58" s="4" t="s">
        <v>212</v>
      </c>
      <c r="C58" s="16">
        <v>150000</v>
      </c>
      <c r="D58" s="16">
        <v>19995</v>
      </c>
      <c r="E58" s="41">
        <f>SUM(C58:D58)</f>
        <v>169995</v>
      </c>
      <c r="F58" s="159">
        <v>50</v>
      </c>
      <c r="G58" s="167">
        <v>3399.9</v>
      </c>
      <c r="H58" s="97">
        <v>37</v>
      </c>
      <c r="I58" s="97">
        <f t="shared" si="5"/>
        <v>13</v>
      </c>
      <c r="J58" s="91">
        <f t="shared" si="8"/>
        <v>125796.3</v>
      </c>
      <c r="K58" s="94">
        <f t="shared" si="6"/>
        <v>44198.7</v>
      </c>
      <c r="L58" s="11"/>
      <c r="M58" s="180" t="e">
        <f>#REF!-G58</f>
        <v>#REF!</v>
      </c>
    </row>
    <row r="59" spans="1:13" s="114" customFormat="1">
      <c r="A59" s="96">
        <v>54</v>
      </c>
      <c r="B59" s="4" t="s">
        <v>306</v>
      </c>
      <c r="C59" s="16">
        <v>500000</v>
      </c>
      <c r="D59" s="16">
        <v>53320</v>
      </c>
      <c r="E59" s="41">
        <f>SUM(C59:D59)</f>
        <v>553320</v>
      </c>
      <c r="F59" s="159">
        <v>40</v>
      </c>
      <c r="G59" s="167">
        <v>13833</v>
      </c>
      <c r="H59" s="97">
        <v>49</v>
      </c>
      <c r="I59" s="97">
        <f t="shared" si="5"/>
        <v>-9</v>
      </c>
      <c r="J59" s="91">
        <f t="shared" si="8"/>
        <v>677817</v>
      </c>
      <c r="K59" s="94">
        <f t="shared" si="6"/>
        <v>-124497</v>
      </c>
      <c r="L59" s="11"/>
      <c r="M59" s="180" t="e">
        <f>#REF!-G59</f>
        <v>#REF!</v>
      </c>
    </row>
    <row r="60" spans="1:13" s="114" customFormat="1">
      <c r="A60" s="96">
        <v>55</v>
      </c>
      <c r="B60" s="2" t="s">
        <v>327</v>
      </c>
      <c r="C60" s="16">
        <v>500000</v>
      </c>
      <c r="D60" s="16">
        <v>66650</v>
      </c>
      <c r="E60" s="16">
        <v>566650</v>
      </c>
      <c r="F60" s="159">
        <v>50</v>
      </c>
      <c r="G60" s="24">
        <v>11333</v>
      </c>
      <c r="H60" s="97">
        <v>28</v>
      </c>
      <c r="I60" s="97">
        <f t="shared" si="5"/>
        <v>22</v>
      </c>
      <c r="J60" s="91">
        <f t="shared" si="8"/>
        <v>317324</v>
      </c>
      <c r="K60" s="94">
        <f t="shared" si="6"/>
        <v>249326</v>
      </c>
      <c r="L60" s="11"/>
      <c r="M60" s="180" t="e">
        <f>#REF!-G60</f>
        <v>#REF!</v>
      </c>
    </row>
    <row r="61" spans="1:13" s="114" customFormat="1">
      <c r="A61" s="96">
        <v>56</v>
      </c>
      <c r="B61" s="192" t="s">
        <v>294</v>
      </c>
      <c r="C61" s="19">
        <v>330000</v>
      </c>
      <c r="D61" s="19">
        <v>43989</v>
      </c>
      <c r="E61" s="19">
        <f>SUM(C61:D61)</f>
        <v>373989</v>
      </c>
      <c r="F61" s="159">
        <v>50</v>
      </c>
      <c r="G61" s="223">
        <v>7479.78</v>
      </c>
      <c r="H61" s="101">
        <v>2</v>
      </c>
      <c r="I61" s="97">
        <f t="shared" si="5"/>
        <v>48</v>
      </c>
      <c r="J61" s="91">
        <f t="shared" si="8"/>
        <v>14959.56</v>
      </c>
      <c r="K61" s="94">
        <f t="shared" si="6"/>
        <v>359029.44</v>
      </c>
      <c r="L61" s="218"/>
      <c r="M61" s="180" t="e">
        <f>#REF!-G61</f>
        <v>#REF!</v>
      </c>
    </row>
    <row r="62" spans="1:13" s="114" customFormat="1">
      <c r="A62" s="96">
        <v>57</v>
      </c>
      <c r="B62" s="4" t="s">
        <v>328</v>
      </c>
      <c r="C62" s="16">
        <v>500000</v>
      </c>
      <c r="D62" s="16">
        <v>66650</v>
      </c>
      <c r="E62" s="41">
        <f>SUM(C62:D62)</f>
        <v>566650</v>
      </c>
      <c r="F62" s="159">
        <v>50</v>
      </c>
      <c r="G62" s="193">
        <v>11333</v>
      </c>
      <c r="H62" s="97">
        <v>28</v>
      </c>
      <c r="I62" s="97">
        <f t="shared" si="5"/>
        <v>22</v>
      </c>
      <c r="J62" s="91">
        <f t="shared" si="8"/>
        <v>317324</v>
      </c>
      <c r="K62" s="94">
        <f t="shared" si="6"/>
        <v>249326</v>
      </c>
      <c r="L62" s="11"/>
      <c r="M62" s="180" t="e">
        <f>#REF!-G62</f>
        <v>#REF!</v>
      </c>
    </row>
    <row r="63" spans="1:13" s="114" customFormat="1">
      <c r="A63" s="96">
        <v>58</v>
      </c>
      <c r="B63" s="4" t="s">
        <v>329</v>
      </c>
      <c r="C63" s="16">
        <v>500000</v>
      </c>
      <c r="D63" s="16">
        <v>66650</v>
      </c>
      <c r="E63" s="41">
        <f>SUM(C63:D63)</f>
        <v>566650</v>
      </c>
      <c r="F63" s="159">
        <v>50</v>
      </c>
      <c r="G63" s="167">
        <v>11333</v>
      </c>
      <c r="H63" s="97">
        <v>33</v>
      </c>
      <c r="I63" s="97">
        <f t="shared" si="5"/>
        <v>17</v>
      </c>
      <c r="J63" s="91">
        <f t="shared" si="8"/>
        <v>373989</v>
      </c>
      <c r="K63" s="94">
        <f t="shared" si="6"/>
        <v>192661</v>
      </c>
      <c r="L63" s="11"/>
      <c r="M63" s="180" t="e">
        <f>#REF!-G63</f>
        <v>#REF!</v>
      </c>
    </row>
    <row r="64" spans="1:13" s="114" customFormat="1">
      <c r="A64" s="96">
        <v>59</v>
      </c>
      <c r="B64" s="4" t="s">
        <v>330</v>
      </c>
      <c r="C64" s="16">
        <v>500000</v>
      </c>
      <c r="D64" s="16">
        <v>66650</v>
      </c>
      <c r="E64" s="41">
        <f>SUM(C64:D64)</f>
        <v>566650</v>
      </c>
      <c r="F64" s="159">
        <v>50</v>
      </c>
      <c r="G64" s="167">
        <v>11333</v>
      </c>
      <c r="H64" s="97">
        <v>49</v>
      </c>
      <c r="I64" s="97">
        <f t="shared" si="5"/>
        <v>1</v>
      </c>
      <c r="J64" s="91">
        <f t="shared" si="8"/>
        <v>555317</v>
      </c>
      <c r="K64" s="94">
        <f t="shared" si="6"/>
        <v>11333</v>
      </c>
      <c r="L64" s="11"/>
      <c r="M64" s="180" t="e">
        <f>#REF!-G64</f>
        <v>#REF!</v>
      </c>
    </row>
    <row r="65" spans="1:13" s="114" customFormat="1">
      <c r="A65" s="96">
        <v>60</v>
      </c>
      <c r="B65" s="4" t="s">
        <v>286</v>
      </c>
      <c r="C65" s="16">
        <v>450000</v>
      </c>
      <c r="D65" s="16">
        <v>59985</v>
      </c>
      <c r="E65" s="16">
        <v>509985</v>
      </c>
      <c r="F65" s="159">
        <v>50</v>
      </c>
      <c r="G65" s="167">
        <v>10199.700000000001</v>
      </c>
      <c r="H65" s="97">
        <v>16</v>
      </c>
      <c r="I65" s="97">
        <f t="shared" si="5"/>
        <v>34</v>
      </c>
      <c r="J65" s="91">
        <f t="shared" si="8"/>
        <v>163195.20000000001</v>
      </c>
      <c r="K65" s="94">
        <f t="shared" si="6"/>
        <v>346789.8</v>
      </c>
      <c r="L65" s="11"/>
      <c r="M65" s="180" t="e">
        <f>#REF!-G65</f>
        <v>#REF!</v>
      </c>
    </row>
    <row r="66" spans="1:13" s="114" customFormat="1">
      <c r="A66" s="96">
        <v>61</v>
      </c>
      <c r="B66" s="28" t="s">
        <v>331</v>
      </c>
      <c r="C66" s="16">
        <v>500000</v>
      </c>
      <c r="D66" s="16">
        <v>66650</v>
      </c>
      <c r="E66" s="41">
        <f>SUM(C66:D66)</f>
        <v>566650</v>
      </c>
      <c r="F66" s="159">
        <v>50</v>
      </c>
      <c r="G66" s="167">
        <v>11333</v>
      </c>
      <c r="H66" s="97">
        <v>49</v>
      </c>
      <c r="I66" s="97">
        <f t="shared" si="5"/>
        <v>1</v>
      </c>
      <c r="J66" s="91">
        <f t="shared" si="8"/>
        <v>555317</v>
      </c>
      <c r="K66" s="94">
        <f t="shared" si="6"/>
        <v>11333</v>
      </c>
      <c r="L66" s="11"/>
      <c r="M66" s="180" t="e">
        <f>#REF!-G66</f>
        <v>#REF!</v>
      </c>
    </row>
    <row r="67" spans="1:13" s="114" customFormat="1">
      <c r="A67" s="96">
        <v>62</v>
      </c>
      <c r="B67" s="4" t="s">
        <v>301</v>
      </c>
      <c r="C67" s="16">
        <v>500000</v>
      </c>
      <c r="D67" s="16">
        <v>33325</v>
      </c>
      <c r="E67" s="41">
        <f>SUM(C67:D67)</f>
        <v>533325</v>
      </c>
      <c r="F67" s="159">
        <v>25</v>
      </c>
      <c r="G67" s="167">
        <v>21333</v>
      </c>
      <c r="H67" s="97">
        <v>18</v>
      </c>
      <c r="I67" s="97">
        <f t="shared" si="5"/>
        <v>7</v>
      </c>
      <c r="J67" s="91">
        <f t="shared" si="8"/>
        <v>383994</v>
      </c>
      <c r="K67" s="94">
        <f t="shared" si="6"/>
        <v>149331</v>
      </c>
      <c r="L67" s="11"/>
      <c r="M67" s="180" t="e">
        <f>#REF!-G67</f>
        <v>#REF!</v>
      </c>
    </row>
    <row r="68" spans="1:13" s="114" customFormat="1">
      <c r="A68" s="96">
        <v>63</v>
      </c>
      <c r="B68" s="4" t="s">
        <v>332</v>
      </c>
      <c r="C68" s="19">
        <v>500000</v>
      </c>
      <c r="D68" s="19">
        <v>66650</v>
      </c>
      <c r="E68" s="19">
        <v>566650</v>
      </c>
      <c r="F68" s="159">
        <v>50</v>
      </c>
      <c r="G68" s="167">
        <v>11333</v>
      </c>
      <c r="H68" s="97">
        <v>14</v>
      </c>
      <c r="I68" s="97">
        <f t="shared" si="5"/>
        <v>36</v>
      </c>
      <c r="J68" s="91">
        <f t="shared" si="8"/>
        <v>158662</v>
      </c>
      <c r="K68" s="91">
        <f t="shared" si="6"/>
        <v>407988</v>
      </c>
      <c r="L68" s="11"/>
      <c r="M68" s="180" t="e">
        <f>#REF!-G68</f>
        <v>#REF!</v>
      </c>
    </row>
    <row r="69" spans="1:13" s="114" customFormat="1">
      <c r="A69" s="96">
        <v>64</v>
      </c>
      <c r="B69" s="2" t="s">
        <v>403</v>
      </c>
      <c r="C69" s="41">
        <v>200000</v>
      </c>
      <c r="D69" s="41">
        <v>26660</v>
      </c>
      <c r="E69" s="41">
        <f>SUM(C69:D69)</f>
        <v>226660</v>
      </c>
      <c r="F69" s="159">
        <v>40</v>
      </c>
      <c r="G69" s="24">
        <v>5666.5</v>
      </c>
      <c r="H69" s="97">
        <v>41</v>
      </c>
      <c r="I69" s="97">
        <f t="shared" si="5"/>
        <v>-1</v>
      </c>
      <c r="J69" s="91">
        <f t="shared" si="8"/>
        <v>232326.5</v>
      </c>
      <c r="K69" s="94">
        <f t="shared" si="6"/>
        <v>-5666.5</v>
      </c>
      <c r="L69" s="11"/>
      <c r="M69" s="180" t="e">
        <f>#REF!-G69</f>
        <v>#REF!</v>
      </c>
    </row>
    <row r="70" spans="1:13" s="114" customFormat="1">
      <c r="A70" s="96">
        <v>65</v>
      </c>
      <c r="B70" s="4" t="s">
        <v>364</v>
      </c>
      <c r="C70" s="16">
        <v>450000</v>
      </c>
      <c r="D70" s="16">
        <v>59985</v>
      </c>
      <c r="E70" s="16">
        <v>509985</v>
      </c>
      <c r="F70" s="159">
        <v>50</v>
      </c>
      <c r="G70" s="167">
        <v>10199.700000000001</v>
      </c>
      <c r="H70" s="97">
        <v>13</v>
      </c>
      <c r="I70" s="97">
        <f t="shared" ref="I70:I101" si="9">F70-H70</f>
        <v>37</v>
      </c>
      <c r="J70" s="91">
        <f t="shared" si="8"/>
        <v>132596.1</v>
      </c>
      <c r="K70" s="91">
        <f t="shared" ref="K70:K101" si="10">E70-J70</f>
        <v>377388.9</v>
      </c>
      <c r="L70" s="122"/>
      <c r="M70" s="180" t="e">
        <f>#REF!-G70</f>
        <v>#REF!</v>
      </c>
    </row>
    <row r="71" spans="1:13" s="114" customFormat="1">
      <c r="A71" s="96">
        <v>66</v>
      </c>
      <c r="B71" s="2" t="s">
        <v>425</v>
      </c>
      <c r="C71" s="155">
        <v>150000</v>
      </c>
      <c r="D71" s="155">
        <v>19995</v>
      </c>
      <c r="E71" s="155">
        <f t="shared" ref="E71:E76" si="11">SUM(C71:D71)</f>
        <v>169995</v>
      </c>
      <c r="F71" s="159">
        <v>50</v>
      </c>
      <c r="G71" s="24">
        <v>3399.9</v>
      </c>
      <c r="H71" s="97">
        <v>14</v>
      </c>
      <c r="I71" s="97">
        <f t="shared" si="9"/>
        <v>36</v>
      </c>
      <c r="J71" s="91">
        <f t="shared" si="8"/>
        <v>47598.6</v>
      </c>
      <c r="K71" s="91">
        <f t="shared" si="10"/>
        <v>122396.4</v>
      </c>
      <c r="L71" s="122"/>
      <c r="M71" s="180" t="e">
        <f>#REF!-G71</f>
        <v>#REF!</v>
      </c>
    </row>
    <row r="72" spans="1:13" s="114" customFormat="1">
      <c r="A72" s="96">
        <v>67</v>
      </c>
      <c r="B72" s="224" t="s">
        <v>365</v>
      </c>
      <c r="C72" s="12">
        <v>450000</v>
      </c>
      <c r="D72" s="12">
        <v>59985</v>
      </c>
      <c r="E72" s="15">
        <f t="shared" si="11"/>
        <v>509985</v>
      </c>
      <c r="F72" s="14">
        <v>50</v>
      </c>
      <c r="G72" s="226">
        <v>10199.700000000001</v>
      </c>
      <c r="H72" s="14">
        <v>31</v>
      </c>
      <c r="I72" s="97">
        <f t="shared" si="9"/>
        <v>19</v>
      </c>
      <c r="J72" s="91">
        <f t="shared" si="8"/>
        <v>316190.7</v>
      </c>
      <c r="K72" s="15">
        <f t="shared" si="10"/>
        <v>193794.3</v>
      </c>
      <c r="L72" s="8"/>
      <c r="M72" s="180" t="e">
        <f>#REF!-G72</f>
        <v>#REF!</v>
      </c>
    </row>
    <row r="73" spans="1:13" s="114" customFormat="1">
      <c r="A73" s="96">
        <v>68</v>
      </c>
      <c r="B73" s="4" t="s">
        <v>422</v>
      </c>
      <c r="C73" s="16">
        <v>132000</v>
      </c>
      <c r="D73" s="16">
        <v>17595.599999999999</v>
      </c>
      <c r="E73" s="41">
        <f t="shared" si="11"/>
        <v>149595.6</v>
      </c>
      <c r="F73" s="159">
        <v>40</v>
      </c>
      <c r="G73" s="167">
        <v>3739.89</v>
      </c>
      <c r="H73" s="97">
        <v>41</v>
      </c>
      <c r="I73" s="97">
        <f t="shared" si="9"/>
        <v>-1</v>
      </c>
      <c r="J73" s="91">
        <f t="shared" si="8"/>
        <v>153335.49</v>
      </c>
      <c r="K73" s="94">
        <f t="shared" si="10"/>
        <v>-3739.8899999999849</v>
      </c>
      <c r="L73" s="11"/>
      <c r="M73" s="180" t="e">
        <f>#REF!-G73</f>
        <v>#REF!</v>
      </c>
    </row>
    <row r="74" spans="1:13" s="114" customFormat="1">
      <c r="A74" s="96">
        <v>69</v>
      </c>
      <c r="B74" s="4" t="s">
        <v>73</v>
      </c>
      <c r="C74" s="16">
        <v>500000</v>
      </c>
      <c r="D74" s="16">
        <v>66650</v>
      </c>
      <c r="E74" s="41">
        <f t="shared" si="11"/>
        <v>566650</v>
      </c>
      <c r="F74" s="159">
        <v>50</v>
      </c>
      <c r="G74" s="167">
        <v>11333</v>
      </c>
      <c r="H74" s="97">
        <v>37</v>
      </c>
      <c r="I74" s="97">
        <f t="shared" si="9"/>
        <v>13</v>
      </c>
      <c r="J74" s="91">
        <f t="shared" si="8"/>
        <v>419321</v>
      </c>
      <c r="K74" s="94">
        <f t="shared" si="10"/>
        <v>147329</v>
      </c>
      <c r="L74" s="11"/>
      <c r="M74" s="180" t="e">
        <f>#REF!-G74</f>
        <v>#REF!</v>
      </c>
    </row>
    <row r="75" spans="1:13" s="114" customFormat="1">
      <c r="A75" s="96">
        <v>70</v>
      </c>
      <c r="B75" s="4" t="s">
        <v>333</v>
      </c>
      <c r="C75" s="16">
        <v>500000</v>
      </c>
      <c r="D75" s="16">
        <v>66650</v>
      </c>
      <c r="E75" s="41">
        <f t="shared" si="11"/>
        <v>566650</v>
      </c>
      <c r="F75" s="159">
        <v>50</v>
      </c>
      <c r="G75" s="167">
        <v>11333</v>
      </c>
      <c r="H75" s="97">
        <v>49</v>
      </c>
      <c r="I75" s="97">
        <f t="shared" si="9"/>
        <v>1</v>
      </c>
      <c r="J75" s="91">
        <f t="shared" ref="J75:J104" si="12">H75*G75</f>
        <v>555317</v>
      </c>
      <c r="K75" s="94">
        <f t="shared" si="10"/>
        <v>11333</v>
      </c>
      <c r="L75" s="11"/>
      <c r="M75" s="180" t="e">
        <f>#REF!-G75</f>
        <v>#REF!</v>
      </c>
    </row>
    <row r="76" spans="1:13" s="114" customFormat="1">
      <c r="A76" s="96">
        <v>71</v>
      </c>
      <c r="B76" s="192" t="s">
        <v>426</v>
      </c>
      <c r="C76" s="16">
        <v>150000</v>
      </c>
      <c r="D76" s="16">
        <v>19995</v>
      </c>
      <c r="E76" s="41">
        <f t="shared" si="11"/>
        <v>169995</v>
      </c>
      <c r="F76" s="159">
        <v>50</v>
      </c>
      <c r="G76" s="167">
        <v>3399.9</v>
      </c>
      <c r="H76" s="97">
        <v>37</v>
      </c>
      <c r="I76" s="97">
        <f t="shared" si="9"/>
        <v>13</v>
      </c>
      <c r="J76" s="91">
        <f t="shared" si="12"/>
        <v>125796.3</v>
      </c>
      <c r="K76" s="94">
        <f t="shared" si="10"/>
        <v>44198.7</v>
      </c>
      <c r="L76" s="11"/>
      <c r="M76" s="180" t="e">
        <f>#REF!-G76</f>
        <v>#REF!</v>
      </c>
    </row>
    <row r="77" spans="1:13" s="114" customFormat="1">
      <c r="A77" s="96">
        <v>72</v>
      </c>
      <c r="B77" s="4" t="s">
        <v>334</v>
      </c>
      <c r="C77" s="19">
        <v>500000</v>
      </c>
      <c r="D77" s="19">
        <v>66650</v>
      </c>
      <c r="E77" s="19">
        <v>566650</v>
      </c>
      <c r="F77" s="159">
        <v>50</v>
      </c>
      <c r="G77" s="24">
        <v>11333</v>
      </c>
      <c r="H77" s="97">
        <v>14</v>
      </c>
      <c r="I77" s="97">
        <f t="shared" si="9"/>
        <v>36</v>
      </c>
      <c r="J77" s="91">
        <f t="shared" si="12"/>
        <v>158662</v>
      </c>
      <c r="K77" s="91">
        <f t="shared" si="10"/>
        <v>407988</v>
      </c>
      <c r="L77" s="122"/>
      <c r="M77" s="180" t="e">
        <f>#REF!-G77</f>
        <v>#REF!</v>
      </c>
    </row>
    <row r="78" spans="1:13" s="114" customFormat="1">
      <c r="A78" s="96">
        <v>73</v>
      </c>
      <c r="B78" s="4" t="s">
        <v>335</v>
      </c>
      <c r="C78" s="16">
        <v>500000</v>
      </c>
      <c r="D78" s="16">
        <v>66650</v>
      </c>
      <c r="E78" s="41">
        <f>SUM(C78:D78)</f>
        <v>566650</v>
      </c>
      <c r="F78" s="159">
        <v>50</v>
      </c>
      <c r="G78" s="24">
        <v>11333</v>
      </c>
      <c r="H78" s="97">
        <v>27</v>
      </c>
      <c r="I78" s="97">
        <f t="shared" si="9"/>
        <v>23</v>
      </c>
      <c r="J78" s="91">
        <f t="shared" si="12"/>
        <v>305991</v>
      </c>
      <c r="K78" s="94">
        <f t="shared" si="10"/>
        <v>260659</v>
      </c>
      <c r="L78" s="11"/>
      <c r="M78" s="180" t="e">
        <f>#REF!-G78</f>
        <v>#REF!</v>
      </c>
    </row>
    <row r="79" spans="1:13" s="114" customFormat="1">
      <c r="A79" s="96">
        <v>74</v>
      </c>
      <c r="B79" s="4" t="s">
        <v>336</v>
      </c>
      <c r="C79" s="16">
        <v>500000</v>
      </c>
      <c r="D79" s="16">
        <v>66650</v>
      </c>
      <c r="E79" s="16">
        <v>566650</v>
      </c>
      <c r="F79" s="159">
        <v>50</v>
      </c>
      <c r="G79" s="167">
        <v>11333</v>
      </c>
      <c r="H79" s="97">
        <v>27</v>
      </c>
      <c r="I79" s="97">
        <f t="shared" si="9"/>
        <v>23</v>
      </c>
      <c r="J79" s="91">
        <f t="shared" si="12"/>
        <v>305991</v>
      </c>
      <c r="K79" s="94">
        <f t="shared" si="10"/>
        <v>260659</v>
      </c>
      <c r="L79" s="11"/>
      <c r="M79" s="180" t="e">
        <f>#REF!-G79</f>
        <v>#REF!</v>
      </c>
    </row>
    <row r="80" spans="1:13" s="114" customFormat="1">
      <c r="A80" s="96">
        <v>75</v>
      </c>
      <c r="B80" s="46" t="s">
        <v>287</v>
      </c>
      <c r="C80" s="16">
        <v>450000</v>
      </c>
      <c r="D80" s="16">
        <v>59985</v>
      </c>
      <c r="E80" s="16">
        <v>509985</v>
      </c>
      <c r="F80" s="159">
        <v>50</v>
      </c>
      <c r="G80" s="167">
        <v>10199.700000000001</v>
      </c>
      <c r="H80" s="97">
        <v>21</v>
      </c>
      <c r="I80" s="97">
        <f t="shared" si="9"/>
        <v>29</v>
      </c>
      <c r="J80" s="91">
        <f t="shared" si="12"/>
        <v>214193.7</v>
      </c>
      <c r="K80" s="94">
        <f t="shared" si="10"/>
        <v>295791.3</v>
      </c>
      <c r="L80" s="122"/>
      <c r="M80" s="180" t="e">
        <f>#REF!-G80</f>
        <v>#REF!</v>
      </c>
    </row>
    <row r="81" spans="1:13" s="114" customFormat="1">
      <c r="A81" s="96">
        <v>76</v>
      </c>
      <c r="B81" s="4" t="s">
        <v>366</v>
      </c>
      <c r="C81" s="16">
        <v>450000</v>
      </c>
      <c r="D81" s="16">
        <v>59985</v>
      </c>
      <c r="E81" s="41">
        <f>SUM(C81:D81)</f>
        <v>509985</v>
      </c>
      <c r="F81" s="159">
        <v>50</v>
      </c>
      <c r="G81" s="167">
        <v>10199.700000000001</v>
      </c>
      <c r="H81" s="97">
        <v>33</v>
      </c>
      <c r="I81" s="97">
        <f t="shared" si="9"/>
        <v>17</v>
      </c>
      <c r="J81" s="91">
        <f t="shared" si="12"/>
        <v>336590.10000000003</v>
      </c>
      <c r="K81" s="94">
        <f t="shared" si="10"/>
        <v>173394.89999999997</v>
      </c>
      <c r="L81" s="11"/>
      <c r="M81" s="180" t="e">
        <f>#REF!-G81</f>
        <v>#REF!</v>
      </c>
    </row>
    <row r="82" spans="1:13" s="114" customFormat="1">
      <c r="A82" s="96">
        <v>77</v>
      </c>
      <c r="B82" s="4" t="s">
        <v>337</v>
      </c>
      <c r="C82" s="16">
        <v>500000</v>
      </c>
      <c r="D82" s="16">
        <v>66650</v>
      </c>
      <c r="E82" s="41">
        <f>SUM(C82:D82)</f>
        <v>566650</v>
      </c>
      <c r="F82" s="159">
        <v>50</v>
      </c>
      <c r="G82" s="167">
        <v>11333</v>
      </c>
      <c r="H82" s="97">
        <v>28</v>
      </c>
      <c r="I82" s="97">
        <f t="shared" si="9"/>
        <v>22</v>
      </c>
      <c r="J82" s="91">
        <f t="shared" si="12"/>
        <v>317324</v>
      </c>
      <c r="K82" s="94">
        <f t="shared" si="10"/>
        <v>249326</v>
      </c>
      <c r="L82" s="11"/>
      <c r="M82" s="180" t="e">
        <f>#REF!-G82</f>
        <v>#REF!</v>
      </c>
    </row>
    <row r="83" spans="1:13" s="114" customFormat="1">
      <c r="A83" s="96">
        <v>78</v>
      </c>
      <c r="B83" s="46" t="s">
        <v>288</v>
      </c>
      <c r="C83" s="16">
        <v>500000</v>
      </c>
      <c r="D83" s="16">
        <v>66650</v>
      </c>
      <c r="E83" s="41">
        <f>SUM(C83:D83)</f>
        <v>566650</v>
      </c>
      <c r="F83" s="159">
        <v>50</v>
      </c>
      <c r="G83" s="167">
        <v>11333</v>
      </c>
      <c r="H83" s="97">
        <v>28</v>
      </c>
      <c r="I83" s="97">
        <f t="shared" si="9"/>
        <v>22</v>
      </c>
      <c r="J83" s="91">
        <f t="shared" si="12"/>
        <v>317324</v>
      </c>
      <c r="K83" s="94">
        <f t="shared" si="10"/>
        <v>249326</v>
      </c>
      <c r="L83" s="11"/>
      <c r="M83" s="180" t="e">
        <f>#REF!-G83</f>
        <v>#REF!</v>
      </c>
    </row>
    <row r="84" spans="1:13" s="114" customFormat="1">
      <c r="A84" s="96">
        <v>79</v>
      </c>
      <c r="B84" s="4" t="s">
        <v>338</v>
      </c>
      <c r="C84" s="16">
        <v>500000</v>
      </c>
      <c r="D84" s="16">
        <v>66650</v>
      </c>
      <c r="E84" s="41">
        <f>SUM(C84:D84)</f>
        <v>566650</v>
      </c>
      <c r="F84" s="159">
        <v>50</v>
      </c>
      <c r="G84" s="167">
        <v>11333</v>
      </c>
      <c r="H84" s="97">
        <v>49</v>
      </c>
      <c r="I84" s="97">
        <f t="shared" si="9"/>
        <v>1</v>
      </c>
      <c r="J84" s="91">
        <f t="shared" si="12"/>
        <v>555317</v>
      </c>
      <c r="K84" s="94">
        <f t="shared" si="10"/>
        <v>11333</v>
      </c>
      <c r="L84" s="11"/>
      <c r="M84" s="180" t="e">
        <f>#REF!-G84</f>
        <v>#REF!</v>
      </c>
    </row>
    <row r="85" spans="1:13" s="114" customFormat="1">
      <c r="A85" s="96">
        <v>80</v>
      </c>
      <c r="B85" s="4" t="s">
        <v>339</v>
      </c>
      <c r="C85" s="19">
        <v>500000</v>
      </c>
      <c r="D85" s="19">
        <v>66650</v>
      </c>
      <c r="E85" s="19">
        <v>566650</v>
      </c>
      <c r="F85" s="159">
        <v>50</v>
      </c>
      <c r="G85" s="24">
        <v>11333</v>
      </c>
      <c r="H85" s="97">
        <v>14</v>
      </c>
      <c r="I85" s="97">
        <f t="shared" si="9"/>
        <v>36</v>
      </c>
      <c r="J85" s="91">
        <f t="shared" si="12"/>
        <v>158662</v>
      </c>
      <c r="K85" s="91">
        <f t="shared" si="10"/>
        <v>407988</v>
      </c>
      <c r="L85" s="11"/>
      <c r="M85" s="180" t="e">
        <f>#REF!-G85</f>
        <v>#REF!</v>
      </c>
    </row>
    <row r="86" spans="1:13" s="114" customFormat="1">
      <c r="A86" s="96">
        <v>81</v>
      </c>
      <c r="B86" s="2" t="s">
        <v>340</v>
      </c>
      <c r="C86" s="16">
        <v>500000</v>
      </c>
      <c r="D86" s="16">
        <v>66650</v>
      </c>
      <c r="E86" s="41">
        <f>SUM(C86:D86)</f>
        <v>566650</v>
      </c>
      <c r="F86" s="159">
        <v>50</v>
      </c>
      <c r="G86" s="24">
        <v>11333</v>
      </c>
      <c r="H86" s="97">
        <v>28</v>
      </c>
      <c r="I86" s="97">
        <f t="shared" si="9"/>
        <v>22</v>
      </c>
      <c r="J86" s="91">
        <f t="shared" si="12"/>
        <v>317324</v>
      </c>
      <c r="K86" s="94">
        <f t="shared" si="10"/>
        <v>249326</v>
      </c>
      <c r="L86" s="11"/>
      <c r="M86" s="180" t="e">
        <f>#REF!-G86</f>
        <v>#REF!</v>
      </c>
    </row>
    <row r="87" spans="1:13" s="114" customFormat="1">
      <c r="A87" s="96">
        <v>82</v>
      </c>
      <c r="B87" s="2" t="s">
        <v>341</v>
      </c>
      <c r="C87" s="19">
        <v>500000</v>
      </c>
      <c r="D87" s="19">
        <v>66650</v>
      </c>
      <c r="E87" s="19">
        <v>566650</v>
      </c>
      <c r="F87" s="159">
        <v>50</v>
      </c>
      <c r="G87" s="24">
        <v>11333</v>
      </c>
      <c r="H87" s="97">
        <v>14</v>
      </c>
      <c r="I87" s="97">
        <f t="shared" si="9"/>
        <v>36</v>
      </c>
      <c r="J87" s="91">
        <f t="shared" si="12"/>
        <v>158662</v>
      </c>
      <c r="K87" s="91">
        <f t="shared" si="10"/>
        <v>407988</v>
      </c>
      <c r="L87" s="122"/>
      <c r="M87" s="180" t="e">
        <f>#REF!-G87</f>
        <v>#REF!</v>
      </c>
    </row>
    <row r="88" spans="1:13" s="114" customFormat="1">
      <c r="A88" s="96">
        <v>83</v>
      </c>
      <c r="B88" s="4" t="s">
        <v>367</v>
      </c>
      <c r="C88" s="16">
        <v>450000</v>
      </c>
      <c r="D88" s="16">
        <v>59985</v>
      </c>
      <c r="E88" s="41">
        <f>SUM(C88:D88)</f>
        <v>509985</v>
      </c>
      <c r="F88" s="159">
        <v>50</v>
      </c>
      <c r="G88" s="167">
        <v>10199.700000000001</v>
      </c>
      <c r="H88" s="97">
        <v>28</v>
      </c>
      <c r="I88" s="97">
        <f t="shared" si="9"/>
        <v>22</v>
      </c>
      <c r="J88" s="91">
        <f t="shared" si="12"/>
        <v>285591.60000000003</v>
      </c>
      <c r="K88" s="94">
        <f t="shared" si="10"/>
        <v>224393.39999999997</v>
      </c>
      <c r="L88" s="11"/>
      <c r="M88" s="180" t="e">
        <f>#REF!-G88</f>
        <v>#REF!</v>
      </c>
    </row>
    <row r="89" spans="1:13" s="114" customFormat="1">
      <c r="A89" s="96">
        <v>84</v>
      </c>
      <c r="B89" s="4" t="s">
        <v>342</v>
      </c>
      <c r="C89" s="16">
        <v>500000</v>
      </c>
      <c r="D89" s="16">
        <v>66650</v>
      </c>
      <c r="E89" s="41">
        <f>SUM(C89:D89)</f>
        <v>566650</v>
      </c>
      <c r="F89" s="159">
        <v>50</v>
      </c>
      <c r="G89" s="24">
        <v>11333</v>
      </c>
      <c r="H89" s="97">
        <v>49</v>
      </c>
      <c r="I89" s="97">
        <f t="shared" si="9"/>
        <v>1</v>
      </c>
      <c r="J89" s="91">
        <f t="shared" si="12"/>
        <v>555317</v>
      </c>
      <c r="K89" s="94">
        <f t="shared" si="10"/>
        <v>11333</v>
      </c>
      <c r="L89" s="11"/>
      <c r="M89" s="180" t="e">
        <f>#REF!-G89</f>
        <v>#REF!</v>
      </c>
    </row>
    <row r="90" spans="1:13" s="114" customFormat="1">
      <c r="A90" s="96">
        <v>85</v>
      </c>
      <c r="B90" s="4" t="s">
        <v>407</v>
      </c>
      <c r="C90" s="41">
        <v>200000</v>
      </c>
      <c r="D90" s="41">
        <v>26660</v>
      </c>
      <c r="E90" s="41">
        <v>226660</v>
      </c>
      <c r="F90" s="159">
        <v>40</v>
      </c>
      <c r="G90" s="167">
        <v>5666.5</v>
      </c>
      <c r="H90" s="97">
        <v>41</v>
      </c>
      <c r="I90" s="97">
        <f t="shared" si="9"/>
        <v>-1</v>
      </c>
      <c r="J90" s="91">
        <f t="shared" si="12"/>
        <v>232326.5</v>
      </c>
      <c r="K90" s="94">
        <f t="shared" si="10"/>
        <v>-5666.5</v>
      </c>
      <c r="L90" s="11"/>
      <c r="M90" s="180" t="e">
        <f>#REF!-G90</f>
        <v>#REF!</v>
      </c>
    </row>
    <row r="91" spans="1:13" s="114" customFormat="1">
      <c r="A91" s="96">
        <v>86</v>
      </c>
      <c r="B91" s="4" t="s">
        <v>343</v>
      </c>
      <c r="C91" s="12">
        <v>500000</v>
      </c>
      <c r="D91" s="12">
        <v>66650</v>
      </c>
      <c r="E91" s="15">
        <f>SUM(C91:D91)</f>
        <v>566650</v>
      </c>
      <c r="F91" s="14">
        <v>50</v>
      </c>
      <c r="G91" s="227">
        <v>11333</v>
      </c>
      <c r="H91" s="14">
        <v>33</v>
      </c>
      <c r="I91" s="97">
        <f t="shared" si="9"/>
        <v>17</v>
      </c>
      <c r="J91" s="91">
        <f t="shared" si="12"/>
        <v>373989</v>
      </c>
      <c r="K91" s="15">
        <f t="shared" si="10"/>
        <v>192661</v>
      </c>
      <c r="L91" s="8"/>
      <c r="M91" s="180" t="e">
        <f>#REF!-G91</f>
        <v>#REF!</v>
      </c>
    </row>
    <row r="92" spans="1:13" s="114" customFormat="1">
      <c r="A92" s="96">
        <v>87</v>
      </c>
      <c r="B92" s="28" t="s">
        <v>344</v>
      </c>
      <c r="C92" s="16">
        <v>500000</v>
      </c>
      <c r="D92" s="16">
        <v>66650</v>
      </c>
      <c r="E92" s="41">
        <f>SUM(C92:D92)</f>
        <v>566650</v>
      </c>
      <c r="F92" s="159">
        <v>50</v>
      </c>
      <c r="G92" s="24">
        <v>11333</v>
      </c>
      <c r="H92" s="97">
        <v>49</v>
      </c>
      <c r="I92" s="97">
        <f t="shared" si="9"/>
        <v>1</v>
      </c>
      <c r="J92" s="91">
        <f t="shared" si="12"/>
        <v>555317</v>
      </c>
      <c r="K92" s="94">
        <f t="shared" si="10"/>
        <v>11333</v>
      </c>
      <c r="L92" s="11"/>
      <c r="M92" s="180" t="e">
        <f>#REF!-G92</f>
        <v>#REF!</v>
      </c>
    </row>
    <row r="93" spans="1:13" s="114" customFormat="1">
      <c r="A93" s="96">
        <v>88</v>
      </c>
      <c r="B93" s="4" t="s">
        <v>345</v>
      </c>
      <c r="C93" s="19">
        <v>500000</v>
      </c>
      <c r="D93" s="19">
        <v>66650</v>
      </c>
      <c r="E93" s="19">
        <v>566650</v>
      </c>
      <c r="F93" s="159">
        <v>50</v>
      </c>
      <c r="G93" s="167">
        <v>11333</v>
      </c>
      <c r="H93" s="97">
        <v>14</v>
      </c>
      <c r="I93" s="97">
        <f t="shared" si="9"/>
        <v>36</v>
      </c>
      <c r="J93" s="91">
        <f t="shared" si="12"/>
        <v>158662</v>
      </c>
      <c r="K93" s="91">
        <f t="shared" si="10"/>
        <v>407988</v>
      </c>
      <c r="L93" s="122"/>
      <c r="M93" s="180" t="e">
        <f>#REF!-G93</f>
        <v>#REF!</v>
      </c>
    </row>
    <row r="94" spans="1:13" s="114" customFormat="1">
      <c r="A94" s="96">
        <v>89</v>
      </c>
      <c r="B94" s="224" t="s">
        <v>99</v>
      </c>
      <c r="C94" s="16">
        <v>450000</v>
      </c>
      <c r="D94" s="16">
        <v>59985</v>
      </c>
      <c r="E94" s="41">
        <f>SUM(C94:D94)</f>
        <v>509985</v>
      </c>
      <c r="F94" s="159">
        <v>50</v>
      </c>
      <c r="G94" s="167">
        <v>10199.700000000001</v>
      </c>
      <c r="H94" s="159">
        <v>37</v>
      </c>
      <c r="I94" s="97">
        <f t="shared" si="9"/>
        <v>13</v>
      </c>
      <c r="J94" s="91">
        <f t="shared" si="12"/>
        <v>377388.9</v>
      </c>
      <c r="K94" s="94">
        <f t="shared" si="10"/>
        <v>132596.09999999998</v>
      </c>
      <c r="L94" s="11"/>
      <c r="M94" s="180" t="e">
        <f>#REF!-G94</f>
        <v>#REF!</v>
      </c>
    </row>
    <row r="95" spans="1:13" s="114" customFormat="1">
      <c r="A95" s="96">
        <v>90</v>
      </c>
      <c r="B95" s="4" t="s">
        <v>416</v>
      </c>
      <c r="C95" s="12">
        <v>180000</v>
      </c>
      <c r="D95" s="12">
        <v>23994</v>
      </c>
      <c r="E95" s="15">
        <f>SUM(C95:D95)</f>
        <v>203994</v>
      </c>
      <c r="F95" s="21">
        <v>40</v>
      </c>
      <c r="G95" s="167">
        <v>5099.8500000000004</v>
      </c>
      <c r="H95" s="14">
        <v>47</v>
      </c>
      <c r="I95" s="97">
        <f t="shared" si="9"/>
        <v>-7</v>
      </c>
      <c r="J95" s="91">
        <f t="shared" si="12"/>
        <v>239692.95</v>
      </c>
      <c r="K95" s="15">
        <f t="shared" si="10"/>
        <v>-35698.950000000012</v>
      </c>
      <c r="L95" s="10"/>
      <c r="M95" s="180" t="e">
        <f>#REF!-G95</f>
        <v>#REF!</v>
      </c>
    </row>
    <row r="96" spans="1:13" s="114" customFormat="1">
      <c r="A96" s="96">
        <v>91</v>
      </c>
      <c r="B96" s="4" t="s">
        <v>444</v>
      </c>
      <c r="C96" s="16">
        <v>500000</v>
      </c>
      <c r="D96" s="16">
        <v>66650</v>
      </c>
      <c r="E96" s="16">
        <v>566650</v>
      </c>
      <c r="F96" s="159">
        <v>50</v>
      </c>
      <c r="G96" s="223">
        <v>11333</v>
      </c>
      <c r="H96" s="101">
        <v>2</v>
      </c>
      <c r="I96" s="97">
        <f t="shared" si="9"/>
        <v>48</v>
      </c>
      <c r="J96" s="91">
        <f t="shared" si="12"/>
        <v>22666</v>
      </c>
      <c r="K96" s="94">
        <f t="shared" si="10"/>
        <v>543984</v>
      </c>
      <c r="L96" s="218"/>
      <c r="M96" s="180" t="e">
        <f>#REF!-G96</f>
        <v>#REF!</v>
      </c>
    </row>
    <row r="97" spans="1:13" s="114" customFormat="1">
      <c r="A97" s="96">
        <v>92</v>
      </c>
      <c r="B97" s="4" t="s">
        <v>346</v>
      </c>
      <c r="C97" s="19">
        <v>500000</v>
      </c>
      <c r="D97" s="19">
        <v>66650</v>
      </c>
      <c r="E97" s="19">
        <v>566650</v>
      </c>
      <c r="F97" s="159">
        <v>50</v>
      </c>
      <c r="G97" s="167">
        <v>11333</v>
      </c>
      <c r="H97" s="97">
        <v>13</v>
      </c>
      <c r="I97" s="97">
        <f t="shared" si="9"/>
        <v>37</v>
      </c>
      <c r="J97" s="91">
        <f t="shared" si="12"/>
        <v>147329</v>
      </c>
      <c r="K97" s="91">
        <f t="shared" si="10"/>
        <v>419321</v>
      </c>
      <c r="L97" s="11"/>
      <c r="M97" s="180" t="e">
        <f>#REF!-G97</f>
        <v>#REF!</v>
      </c>
    </row>
    <row r="98" spans="1:13" s="114" customFormat="1">
      <c r="A98" s="96">
        <v>93</v>
      </c>
      <c r="B98" s="4" t="s">
        <v>408</v>
      </c>
      <c r="C98" s="41">
        <v>200000</v>
      </c>
      <c r="D98" s="41">
        <v>26660</v>
      </c>
      <c r="E98" s="41">
        <v>226660</v>
      </c>
      <c r="F98" s="159">
        <v>40</v>
      </c>
      <c r="G98" s="167">
        <v>5666.5</v>
      </c>
      <c r="H98" s="97">
        <v>41</v>
      </c>
      <c r="I98" s="97">
        <f t="shared" si="9"/>
        <v>-1</v>
      </c>
      <c r="J98" s="91">
        <f t="shared" si="12"/>
        <v>232326.5</v>
      </c>
      <c r="K98" s="94">
        <f t="shared" si="10"/>
        <v>-5666.5</v>
      </c>
      <c r="L98" s="11"/>
      <c r="M98" s="180" t="e">
        <f>#REF!-G98</f>
        <v>#REF!</v>
      </c>
    </row>
    <row r="99" spans="1:13" s="114" customFormat="1">
      <c r="A99" s="96">
        <v>94</v>
      </c>
      <c r="B99" s="4" t="s">
        <v>83</v>
      </c>
      <c r="C99" s="12">
        <v>500000</v>
      </c>
      <c r="D99" s="12">
        <v>66650</v>
      </c>
      <c r="E99" s="15">
        <f>SUM(C99:D99)</f>
        <v>566650</v>
      </c>
      <c r="F99" s="14">
        <v>50</v>
      </c>
      <c r="G99" s="229">
        <v>11333</v>
      </c>
      <c r="H99" s="14">
        <v>31</v>
      </c>
      <c r="I99" s="97">
        <f t="shared" si="9"/>
        <v>19</v>
      </c>
      <c r="J99" s="91">
        <f t="shared" si="12"/>
        <v>351323</v>
      </c>
      <c r="K99" s="15">
        <f t="shared" si="10"/>
        <v>215327</v>
      </c>
      <c r="L99" s="8"/>
      <c r="M99" s="180" t="e">
        <f>#REF!-G99</f>
        <v>#REF!</v>
      </c>
    </row>
    <row r="100" spans="1:13" s="114" customFormat="1">
      <c r="A100" s="96">
        <v>95</v>
      </c>
      <c r="B100" s="4" t="s">
        <v>487</v>
      </c>
      <c r="C100" s="16">
        <v>500000</v>
      </c>
      <c r="D100" s="16">
        <v>66650</v>
      </c>
      <c r="E100" s="16">
        <v>566650</v>
      </c>
      <c r="F100" s="159">
        <v>50</v>
      </c>
      <c r="G100" s="167">
        <v>11333</v>
      </c>
      <c r="H100" s="101">
        <v>2</v>
      </c>
      <c r="I100" s="97">
        <f t="shared" si="9"/>
        <v>48</v>
      </c>
      <c r="J100" s="91">
        <f t="shared" si="12"/>
        <v>22666</v>
      </c>
      <c r="K100" s="94">
        <f t="shared" si="10"/>
        <v>543984</v>
      </c>
      <c r="L100" s="218"/>
      <c r="M100" s="180" t="e">
        <f>#REF!-G100</f>
        <v>#REF!</v>
      </c>
    </row>
    <row r="101" spans="1:13" s="114" customFormat="1">
      <c r="A101" s="96">
        <v>96</v>
      </c>
      <c r="B101" s="4" t="s">
        <v>368</v>
      </c>
      <c r="C101" s="16">
        <v>450000</v>
      </c>
      <c r="D101" s="16">
        <v>59985</v>
      </c>
      <c r="E101" s="16">
        <v>509985</v>
      </c>
      <c r="F101" s="159">
        <v>50</v>
      </c>
      <c r="G101" s="167">
        <v>10199.700000000001</v>
      </c>
      <c r="H101" s="97">
        <v>13</v>
      </c>
      <c r="I101" s="97">
        <f t="shared" si="9"/>
        <v>37</v>
      </c>
      <c r="J101" s="91">
        <f t="shared" si="12"/>
        <v>132596.1</v>
      </c>
      <c r="K101" s="91">
        <f t="shared" si="10"/>
        <v>377388.9</v>
      </c>
      <c r="L101" s="122"/>
      <c r="M101" s="180" t="e">
        <f>#REF!-G101</f>
        <v>#REF!</v>
      </c>
    </row>
    <row r="102" spans="1:13" s="114" customFormat="1">
      <c r="A102" s="96">
        <v>97</v>
      </c>
      <c r="B102" s="4" t="s">
        <v>347</v>
      </c>
      <c r="C102" s="16">
        <v>500000</v>
      </c>
      <c r="D102" s="16">
        <v>66650</v>
      </c>
      <c r="E102" s="41">
        <f t="shared" ref="E102:E114" si="13">SUM(C102:D102)</f>
        <v>566650</v>
      </c>
      <c r="F102" s="159">
        <v>50</v>
      </c>
      <c r="G102" s="167">
        <v>11333</v>
      </c>
      <c r="H102" s="97">
        <v>28</v>
      </c>
      <c r="I102" s="97">
        <f t="shared" ref="I102:I133" si="14">F102-H102</f>
        <v>22</v>
      </c>
      <c r="J102" s="91">
        <f t="shared" si="12"/>
        <v>317324</v>
      </c>
      <c r="K102" s="94">
        <f t="shared" ref="K102:K133" si="15">E102-J102</f>
        <v>249326</v>
      </c>
      <c r="L102" s="11"/>
      <c r="M102" s="180" t="e">
        <f>#REF!-G102</f>
        <v>#REF!</v>
      </c>
    </row>
    <row r="103" spans="1:13" s="114" customFormat="1">
      <c r="A103" s="96">
        <v>98</v>
      </c>
      <c r="B103" s="4" t="s">
        <v>409</v>
      </c>
      <c r="C103" s="41">
        <v>200000</v>
      </c>
      <c r="D103" s="41">
        <v>26660</v>
      </c>
      <c r="E103" s="41">
        <f t="shared" si="13"/>
        <v>226660</v>
      </c>
      <c r="F103" s="159">
        <v>40</v>
      </c>
      <c r="G103" s="167">
        <v>5666.5</v>
      </c>
      <c r="H103" s="97">
        <v>41</v>
      </c>
      <c r="I103" s="97">
        <f t="shared" si="14"/>
        <v>-1</v>
      </c>
      <c r="J103" s="91">
        <f t="shared" si="12"/>
        <v>232326.5</v>
      </c>
      <c r="K103" s="94">
        <f t="shared" si="15"/>
        <v>-5666.5</v>
      </c>
      <c r="L103" s="11"/>
      <c r="M103" s="180" t="e">
        <f>#REF!-G103</f>
        <v>#REF!</v>
      </c>
    </row>
    <row r="104" spans="1:13" s="114" customFormat="1">
      <c r="A104" s="96">
        <v>99</v>
      </c>
      <c r="B104" s="4" t="s">
        <v>348</v>
      </c>
      <c r="C104" s="161">
        <v>500000</v>
      </c>
      <c r="D104" s="161">
        <v>66650</v>
      </c>
      <c r="E104" s="162">
        <f t="shared" si="13"/>
        <v>566650</v>
      </c>
      <c r="F104" s="96">
        <v>50</v>
      </c>
      <c r="G104" s="167">
        <v>11333</v>
      </c>
      <c r="H104" s="97">
        <v>28</v>
      </c>
      <c r="I104" s="97">
        <f t="shared" si="14"/>
        <v>22</v>
      </c>
      <c r="J104" s="146">
        <f t="shared" si="12"/>
        <v>317324</v>
      </c>
      <c r="K104" s="164">
        <f t="shared" si="15"/>
        <v>249326</v>
      </c>
      <c r="L104" s="123"/>
      <c r="M104" s="180" t="e">
        <f>#REF!-G104</f>
        <v>#REF!</v>
      </c>
    </row>
    <row r="105" spans="1:13" s="114" customFormat="1">
      <c r="A105" s="96">
        <v>100</v>
      </c>
      <c r="B105" s="4" t="s">
        <v>349</v>
      </c>
      <c r="C105" s="16">
        <v>500000</v>
      </c>
      <c r="D105" s="16">
        <v>66650</v>
      </c>
      <c r="E105" s="41">
        <f t="shared" si="13"/>
        <v>566650</v>
      </c>
      <c r="F105" s="159">
        <v>50</v>
      </c>
      <c r="G105" s="167">
        <v>11333</v>
      </c>
      <c r="H105" s="97">
        <v>6</v>
      </c>
      <c r="I105" s="97">
        <f t="shared" si="14"/>
        <v>44</v>
      </c>
      <c r="J105" s="156">
        <f>(1*11333)</f>
        <v>11333</v>
      </c>
      <c r="K105" s="91">
        <f t="shared" si="15"/>
        <v>555317</v>
      </c>
      <c r="L105" s="122"/>
      <c r="M105" s="180" t="e">
        <f>#REF!-G105</f>
        <v>#REF!</v>
      </c>
    </row>
    <row r="106" spans="1:13" s="114" customFormat="1">
      <c r="A106" s="96">
        <v>101</v>
      </c>
      <c r="B106" s="4" t="s">
        <v>369</v>
      </c>
      <c r="C106" s="16">
        <v>450000</v>
      </c>
      <c r="D106" s="16">
        <v>59985</v>
      </c>
      <c r="E106" s="41">
        <f t="shared" si="13"/>
        <v>509985</v>
      </c>
      <c r="F106" s="159">
        <v>50</v>
      </c>
      <c r="G106" s="167">
        <v>10199.700000000001</v>
      </c>
      <c r="H106" s="97">
        <v>27</v>
      </c>
      <c r="I106" s="97">
        <f t="shared" si="14"/>
        <v>23</v>
      </c>
      <c r="J106" s="91">
        <f>H106*G106</f>
        <v>275391.90000000002</v>
      </c>
      <c r="K106" s="94">
        <f t="shared" si="15"/>
        <v>234593.09999999998</v>
      </c>
      <c r="L106" s="11"/>
      <c r="M106" s="180" t="e">
        <f>#REF!-G106</f>
        <v>#REF!</v>
      </c>
    </row>
    <row r="107" spans="1:13" s="114" customFormat="1">
      <c r="A107" s="96">
        <v>102</v>
      </c>
      <c r="B107" s="28" t="s">
        <v>296</v>
      </c>
      <c r="C107" s="19">
        <v>330000</v>
      </c>
      <c r="D107" s="19">
        <v>43989</v>
      </c>
      <c r="E107" s="19">
        <f t="shared" si="13"/>
        <v>373989</v>
      </c>
      <c r="F107" s="159">
        <v>40</v>
      </c>
      <c r="G107" s="167">
        <v>9129.7800000000007</v>
      </c>
      <c r="H107" s="159">
        <v>2</v>
      </c>
      <c r="I107" s="97">
        <f t="shared" si="14"/>
        <v>38</v>
      </c>
      <c r="J107" s="91">
        <f>H107*G107</f>
        <v>18259.560000000001</v>
      </c>
      <c r="K107" s="94">
        <f t="shared" si="15"/>
        <v>355729.44</v>
      </c>
      <c r="L107" s="214"/>
      <c r="M107" s="180" t="e">
        <f>#REF!-G107</f>
        <v>#REF!</v>
      </c>
    </row>
    <row r="108" spans="1:13" s="114" customFormat="1">
      <c r="A108" s="96">
        <v>103</v>
      </c>
      <c r="B108" s="4" t="s">
        <v>350</v>
      </c>
      <c r="C108" s="16">
        <v>500000</v>
      </c>
      <c r="D108" s="16">
        <v>66650</v>
      </c>
      <c r="E108" s="41">
        <f t="shared" si="13"/>
        <v>566650</v>
      </c>
      <c r="F108" s="159">
        <v>50</v>
      </c>
      <c r="G108" s="167">
        <v>11333</v>
      </c>
      <c r="H108" s="97">
        <v>6</v>
      </c>
      <c r="I108" s="97">
        <f t="shared" si="14"/>
        <v>44</v>
      </c>
      <c r="J108" s="156">
        <f>(1*11333)</f>
        <v>11333</v>
      </c>
      <c r="K108" s="91">
        <f t="shared" si="15"/>
        <v>555317</v>
      </c>
      <c r="L108" s="11"/>
      <c r="M108" s="180" t="e">
        <f>#REF!-G108</f>
        <v>#REF!</v>
      </c>
    </row>
    <row r="109" spans="1:13" s="114" customFormat="1">
      <c r="A109" s="96">
        <v>104</v>
      </c>
      <c r="B109" s="4" t="s">
        <v>35</v>
      </c>
      <c r="C109" s="155">
        <v>150000</v>
      </c>
      <c r="D109" s="155">
        <v>19995</v>
      </c>
      <c r="E109" s="155">
        <f t="shared" si="13"/>
        <v>169995</v>
      </c>
      <c r="F109" s="159">
        <v>50</v>
      </c>
      <c r="G109" s="167">
        <v>3399.9</v>
      </c>
      <c r="H109" s="97">
        <v>13</v>
      </c>
      <c r="I109" s="97">
        <f t="shared" si="14"/>
        <v>37</v>
      </c>
      <c r="J109" s="91">
        <f t="shared" ref="J109:J135" si="16">H109*G109</f>
        <v>44198.700000000004</v>
      </c>
      <c r="K109" s="91">
        <f t="shared" si="15"/>
        <v>125796.29999999999</v>
      </c>
      <c r="L109" s="122"/>
      <c r="M109" s="180" t="e">
        <f>#REF!-G109</f>
        <v>#REF!</v>
      </c>
    </row>
    <row r="110" spans="1:13" s="114" customFormat="1">
      <c r="A110" s="96">
        <v>105</v>
      </c>
      <c r="B110" s="2" t="s">
        <v>378</v>
      </c>
      <c r="C110" s="12">
        <v>330000</v>
      </c>
      <c r="D110" s="12">
        <v>43989</v>
      </c>
      <c r="E110" s="15">
        <f t="shared" si="13"/>
        <v>373989</v>
      </c>
      <c r="F110" s="14">
        <v>50</v>
      </c>
      <c r="G110" s="201">
        <v>7479.78</v>
      </c>
      <c r="H110" s="14">
        <v>33</v>
      </c>
      <c r="I110" s="97">
        <f t="shared" si="14"/>
        <v>17</v>
      </c>
      <c r="J110" s="91">
        <f t="shared" si="16"/>
        <v>246832.74</v>
      </c>
      <c r="K110" s="15">
        <f t="shared" si="15"/>
        <v>127156.26000000001</v>
      </c>
      <c r="L110" s="8"/>
      <c r="M110" s="180" t="e">
        <f>#REF!-G110</f>
        <v>#REF!</v>
      </c>
    </row>
    <row r="111" spans="1:13" s="114" customFormat="1">
      <c r="A111" s="96">
        <v>106</v>
      </c>
      <c r="B111" s="4" t="s">
        <v>351</v>
      </c>
      <c r="C111" s="16">
        <v>500000</v>
      </c>
      <c r="D111" s="16">
        <v>66650</v>
      </c>
      <c r="E111" s="41">
        <f t="shared" si="13"/>
        <v>566650</v>
      </c>
      <c r="F111" s="159">
        <v>50</v>
      </c>
      <c r="G111" s="167">
        <v>11333</v>
      </c>
      <c r="H111" s="97">
        <v>27</v>
      </c>
      <c r="I111" s="97">
        <f t="shared" si="14"/>
        <v>23</v>
      </c>
      <c r="J111" s="91">
        <f t="shared" si="16"/>
        <v>305991</v>
      </c>
      <c r="K111" s="94">
        <f t="shared" si="15"/>
        <v>260659</v>
      </c>
      <c r="L111" s="11"/>
      <c r="M111" s="180" t="e">
        <f>#REF!-G111</f>
        <v>#REF!</v>
      </c>
    </row>
    <row r="112" spans="1:13" s="114" customFormat="1">
      <c r="A112" s="96">
        <v>107</v>
      </c>
      <c r="B112" s="189" t="s">
        <v>300</v>
      </c>
      <c r="C112" s="16">
        <v>500000</v>
      </c>
      <c r="D112" s="16">
        <v>66650</v>
      </c>
      <c r="E112" s="41">
        <f t="shared" si="13"/>
        <v>566650</v>
      </c>
      <c r="F112" s="159">
        <v>50</v>
      </c>
      <c r="G112" s="167">
        <v>11333</v>
      </c>
      <c r="H112" s="97">
        <v>32</v>
      </c>
      <c r="I112" s="97">
        <f t="shared" si="14"/>
        <v>18</v>
      </c>
      <c r="J112" s="91">
        <f t="shared" si="16"/>
        <v>362656</v>
      </c>
      <c r="K112" s="94">
        <f t="shared" si="15"/>
        <v>203994</v>
      </c>
      <c r="L112" s="11"/>
      <c r="M112" s="180" t="e">
        <f>#REF!-G112</f>
        <v>#REF!</v>
      </c>
    </row>
    <row r="113" spans="1:14" s="114" customFormat="1">
      <c r="A113" s="96">
        <v>108</v>
      </c>
      <c r="B113" s="4" t="s">
        <v>379</v>
      </c>
      <c r="C113" s="12">
        <v>330000</v>
      </c>
      <c r="D113" s="12">
        <v>43989</v>
      </c>
      <c r="E113" s="15">
        <f t="shared" si="13"/>
        <v>373989</v>
      </c>
      <c r="F113" s="14">
        <v>50</v>
      </c>
      <c r="G113" s="201">
        <v>7479.78</v>
      </c>
      <c r="H113" s="14">
        <v>33</v>
      </c>
      <c r="I113" s="97">
        <f t="shared" si="14"/>
        <v>17</v>
      </c>
      <c r="J113" s="91">
        <f t="shared" si="16"/>
        <v>246832.74</v>
      </c>
      <c r="K113" s="15">
        <f t="shared" si="15"/>
        <v>127156.26000000001</v>
      </c>
      <c r="L113" s="8"/>
      <c r="M113" s="180" t="e">
        <f>#REF!-G113</f>
        <v>#REF!</v>
      </c>
    </row>
    <row r="114" spans="1:14" s="114" customFormat="1">
      <c r="A114" s="96">
        <v>109</v>
      </c>
      <c r="B114" s="28" t="s">
        <v>302</v>
      </c>
      <c r="C114" s="16">
        <v>500000</v>
      </c>
      <c r="D114" s="16">
        <v>47992</v>
      </c>
      <c r="E114" s="41">
        <f t="shared" si="13"/>
        <v>547992</v>
      </c>
      <c r="F114" s="159">
        <v>36</v>
      </c>
      <c r="G114" s="174">
        <v>15222</v>
      </c>
      <c r="H114" s="97">
        <v>27</v>
      </c>
      <c r="I114" s="97">
        <f t="shared" si="14"/>
        <v>9</v>
      </c>
      <c r="J114" s="91">
        <f t="shared" si="16"/>
        <v>410994</v>
      </c>
      <c r="K114" s="94">
        <f t="shared" si="15"/>
        <v>136998</v>
      </c>
      <c r="L114" s="11"/>
      <c r="M114" s="180" t="e">
        <f>#REF!-G114</f>
        <v>#REF!</v>
      </c>
    </row>
    <row r="115" spans="1:14" s="114" customFormat="1">
      <c r="A115" s="96">
        <v>110</v>
      </c>
      <c r="B115" s="4" t="s">
        <v>488</v>
      </c>
      <c r="C115" s="16">
        <v>500000</v>
      </c>
      <c r="D115" s="16">
        <v>66650</v>
      </c>
      <c r="E115" s="16">
        <v>566650</v>
      </c>
      <c r="F115" s="159">
        <v>50</v>
      </c>
      <c r="G115" s="174">
        <v>11333</v>
      </c>
      <c r="H115" s="159">
        <v>2</v>
      </c>
      <c r="I115" s="97">
        <f t="shared" si="14"/>
        <v>48</v>
      </c>
      <c r="J115" s="91">
        <f t="shared" si="16"/>
        <v>22666</v>
      </c>
      <c r="K115" s="94">
        <f t="shared" si="15"/>
        <v>543984</v>
      </c>
      <c r="L115" s="214"/>
      <c r="M115" s="180" t="e">
        <f>#REF!-G115</f>
        <v>#REF!</v>
      </c>
    </row>
    <row r="116" spans="1:14" s="114" customFormat="1">
      <c r="A116" s="96">
        <v>111</v>
      </c>
      <c r="B116" s="4" t="s">
        <v>87</v>
      </c>
      <c r="C116" s="16">
        <v>500000</v>
      </c>
      <c r="D116" s="16">
        <v>66650</v>
      </c>
      <c r="E116" s="41">
        <f>SUM(C116:D116)</f>
        <v>566650</v>
      </c>
      <c r="F116" s="159">
        <v>50</v>
      </c>
      <c r="G116" s="167">
        <v>11333</v>
      </c>
      <c r="H116" s="97">
        <v>49</v>
      </c>
      <c r="I116" s="97">
        <f t="shared" si="14"/>
        <v>1</v>
      </c>
      <c r="J116" s="91">
        <f t="shared" si="16"/>
        <v>555317</v>
      </c>
      <c r="K116" s="94">
        <f t="shared" si="15"/>
        <v>11333</v>
      </c>
      <c r="L116" s="11"/>
      <c r="M116" s="180" t="e">
        <f>#REF!-G116</f>
        <v>#REF!</v>
      </c>
    </row>
    <row r="117" spans="1:14" s="114" customFormat="1">
      <c r="A117" s="96">
        <v>112</v>
      </c>
      <c r="B117" s="4" t="s">
        <v>370</v>
      </c>
      <c r="C117" s="16">
        <v>450000</v>
      </c>
      <c r="D117" s="16">
        <v>59985</v>
      </c>
      <c r="E117" s="41">
        <f>SUM(C117:D117)</f>
        <v>509985</v>
      </c>
      <c r="F117" s="159">
        <v>50</v>
      </c>
      <c r="G117" s="167">
        <v>10199.700000000001</v>
      </c>
      <c r="H117" s="97">
        <v>28</v>
      </c>
      <c r="I117" s="97">
        <f t="shared" si="14"/>
        <v>22</v>
      </c>
      <c r="J117" s="91">
        <f t="shared" si="16"/>
        <v>285591.60000000003</v>
      </c>
      <c r="K117" s="94">
        <f t="shared" si="15"/>
        <v>224393.39999999997</v>
      </c>
      <c r="L117" s="11"/>
      <c r="M117" s="180" t="e">
        <f>#REF!-G117</f>
        <v>#REF!</v>
      </c>
    </row>
    <row r="118" spans="1:14" s="114" customFormat="1">
      <c r="A118" s="96">
        <v>113</v>
      </c>
      <c r="B118" s="4" t="s">
        <v>352</v>
      </c>
      <c r="C118" s="16">
        <v>500000</v>
      </c>
      <c r="D118" s="16">
        <v>66650</v>
      </c>
      <c r="E118" s="41">
        <f>SUM(C118:D118)</f>
        <v>566650</v>
      </c>
      <c r="F118" s="159">
        <v>50</v>
      </c>
      <c r="G118" s="167">
        <v>11333</v>
      </c>
      <c r="H118" s="97">
        <v>28</v>
      </c>
      <c r="I118" s="97">
        <f t="shared" si="14"/>
        <v>22</v>
      </c>
      <c r="J118" s="91">
        <f t="shared" si="16"/>
        <v>317324</v>
      </c>
      <c r="K118" s="94">
        <f t="shared" si="15"/>
        <v>249326</v>
      </c>
      <c r="L118" s="11"/>
      <c r="M118" s="180" t="e">
        <f>#REF!-G118</f>
        <v>#REF!</v>
      </c>
    </row>
    <row r="119" spans="1:14" s="114" customFormat="1">
      <c r="A119" s="96">
        <v>114</v>
      </c>
      <c r="B119" s="4" t="s">
        <v>371</v>
      </c>
      <c r="C119" s="16">
        <v>450000</v>
      </c>
      <c r="D119" s="16">
        <v>59985</v>
      </c>
      <c r="E119" s="41">
        <f>SUM(C119:D119)</f>
        <v>509985</v>
      </c>
      <c r="F119" s="159">
        <v>50</v>
      </c>
      <c r="G119" s="167">
        <v>10199.700000000001</v>
      </c>
      <c r="H119" s="97">
        <v>28</v>
      </c>
      <c r="I119" s="97">
        <f t="shared" si="14"/>
        <v>22</v>
      </c>
      <c r="J119" s="91">
        <f t="shared" si="16"/>
        <v>285591.60000000003</v>
      </c>
      <c r="K119" s="94">
        <f t="shared" si="15"/>
        <v>224393.39999999997</v>
      </c>
      <c r="L119" s="11"/>
      <c r="M119" s="180" t="e">
        <f>#REF!-G119</f>
        <v>#REF!</v>
      </c>
    </row>
    <row r="120" spans="1:14" s="114" customFormat="1">
      <c r="A120" s="96">
        <v>115</v>
      </c>
      <c r="B120" s="4" t="s">
        <v>353</v>
      </c>
      <c r="C120" s="19">
        <v>500000</v>
      </c>
      <c r="D120" s="19">
        <v>66650</v>
      </c>
      <c r="E120" s="19">
        <v>566650</v>
      </c>
      <c r="F120" s="159">
        <v>50</v>
      </c>
      <c r="G120" s="167">
        <v>11333</v>
      </c>
      <c r="H120" s="97">
        <v>14</v>
      </c>
      <c r="I120" s="97">
        <f t="shared" si="14"/>
        <v>36</v>
      </c>
      <c r="J120" s="91">
        <f t="shared" si="16"/>
        <v>158662</v>
      </c>
      <c r="K120" s="91">
        <f t="shared" si="15"/>
        <v>407988</v>
      </c>
      <c r="L120" s="122"/>
      <c r="M120" s="180" t="e">
        <f>#REF!-G120</f>
        <v>#REF!</v>
      </c>
    </row>
    <row r="121" spans="1:14" s="114" customFormat="1">
      <c r="A121" s="96">
        <v>116</v>
      </c>
      <c r="B121" s="4" t="s">
        <v>354</v>
      </c>
      <c r="C121" s="12">
        <v>500000</v>
      </c>
      <c r="D121" s="12">
        <v>66650</v>
      </c>
      <c r="E121" s="15">
        <f>SUM(C121:D121)</f>
        <v>566650</v>
      </c>
      <c r="F121" s="14">
        <v>50</v>
      </c>
      <c r="G121" s="174">
        <v>11333</v>
      </c>
      <c r="H121" s="14">
        <v>33</v>
      </c>
      <c r="I121" s="97">
        <f t="shared" si="14"/>
        <v>17</v>
      </c>
      <c r="J121" s="91">
        <f t="shared" si="16"/>
        <v>373989</v>
      </c>
      <c r="K121" s="15">
        <f t="shared" si="15"/>
        <v>192661</v>
      </c>
      <c r="L121" s="8"/>
      <c r="M121" s="180" t="e">
        <f>#REF!-G121</f>
        <v>#REF!</v>
      </c>
    </row>
    <row r="122" spans="1:14" s="114" customFormat="1">
      <c r="A122" s="96">
        <v>117</v>
      </c>
      <c r="B122" s="4" t="s">
        <v>380</v>
      </c>
      <c r="C122" s="16">
        <v>330000</v>
      </c>
      <c r="D122" s="16">
        <v>43989</v>
      </c>
      <c r="E122" s="41">
        <f>SUM(C122:D122)</f>
        <v>373989</v>
      </c>
      <c r="F122" s="159">
        <v>50</v>
      </c>
      <c r="G122" s="24">
        <v>7479.78</v>
      </c>
      <c r="H122" s="159">
        <v>36</v>
      </c>
      <c r="I122" s="97">
        <f t="shared" si="14"/>
        <v>14</v>
      </c>
      <c r="J122" s="91">
        <f t="shared" si="16"/>
        <v>269272.08</v>
      </c>
      <c r="K122" s="94">
        <f t="shared" si="15"/>
        <v>104716.91999999998</v>
      </c>
      <c r="L122" s="11"/>
      <c r="M122" s="180" t="e">
        <f>#REF!-G122</f>
        <v>#REF!</v>
      </c>
    </row>
    <row r="123" spans="1:14" s="114" customFormat="1">
      <c r="A123" s="96">
        <v>118</v>
      </c>
      <c r="B123" s="4" t="s">
        <v>381</v>
      </c>
      <c r="C123" s="155">
        <v>330000</v>
      </c>
      <c r="D123" s="155">
        <v>43989</v>
      </c>
      <c r="E123" s="155">
        <f>SUM(C123:D123)</f>
        <v>373989</v>
      </c>
      <c r="F123" s="159">
        <v>50</v>
      </c>
      <c r="G123" s="174">
        <v>7479.78</v>
      </c>
      <c r="H123" s="97">
        <v>14</v>
      </c>
      <c r="I123" s="97">
        <f t="shared" si="14"/>
        <v>36</v>
      </c>
      <c r="J123" s="91">
        <f t="shared" si="16"/>
        <v>104716.92</v>
      </c>
      <c r="K123" s="91">
        <f t="shared" si="15"/>
        <v>269272.08</v>
      </c>
      <c r="L123" s="122"/>
    </row>
    <row r="124" spans="1:14" s="114" customFormat="1">
      <c r="A124" s="96">
        <v>119</v>
      </c>
      <c r="B124" s="28" t="s">
        <v>491</v>
      </c>
      <c r="C124" s="19">
        <v>330000</v>
      </c>
      <c r="D124" s="19">
        <v>43989</v>
      </c>
      <c r="E124" s="19">
        <f>SUM(C124:D124)</f>
        <v>373989</v>
      </c>
      <c r="F124" s="159">
        <v>50</v>
      </c>
      <c r="G124" s="167">
        <v>7479.78</v>
      </c>
      <c r="H124" s="159">
        <v>2</v>
      </c>
      <c r="I124" s="97">
        <f t="shared" si="14"/>
        <v>48</v>
      </c>
      <c r="J124" s="91">
        <f t="shared" si="16"/>
        <v>14959.56</v>
      </c>
      <c r="K124" s="94">
        <f t="shared" si="15"/>
        <v>359029.44</v>
      </c>
      <c r="L124" s="214"/>
    </row>
    <row r="125" spans="1:14" s="114" customFormat="1">
      <c r="A125" s="96">
        <v>120</v>
      </c>
      <c r="B125" s="4" t="s">
        <v>29</v>
      </c>
      <c r="C125" s="19">
        <v>450000</v>
      </c>
      <c r="D125" s="19">
        <v>59985</v>
      </c>
      <c r="E125" s="19">
        <v>509985</v>
      </c>
      <c r="F125" s="159">
        <v>50</v>
      </c>
      <c r="G125" s="167">
        <v>10199.700000000001</v>
      </c>
      <c r="H125" s="97">
        <v>14</v>
      </c>
      <c r="I125" s="97">
        <f t="shared" si="14"/>
        <v>36</v>
      </c>
      <c r="J125" s="91">
        <f t="shared" si="16"/>
        <v>142795.80000000002</v>
      </c>
      <c r="K125" s="91">
        <f t="shared" si="15"/>
        <v>367189.19999999995</v>
      </c>
      <c r="L125" s="122"/>
    </row>
    <row r="126" spans="1:14" s="114" customFormat="1">
      <c r="A126" s="96">
        <v>121</v>
      </c>
      <c r="B126" s="168" t="s">
        <v>382</v>
      </c>
      <c r="C126" s="12">
        <v>330000</v>
      </c>
      <c r="D126" s="12">
        <v>43989</v>
      </c>
      <c r="E126" s="15">
        <f>SUM(C126:D126)</f>
        <v>373989</v>
      </c>
      <c r="F126" s="14">
        <v>50</v>
      </c>
      <c r="G126" s="222">
        <v>7479.78</v>
      </c>
      <c r="H126" s="14">
        <v>32</v>
      </c>
      <c r="I126" s="97">
        <f t="shared" si="14"/>
        <v>18</v>
      </c>
      <c r="J126" s="91">
        <f t="shared" si="16"/>
        <v>239352.95999999999</v>
      </c>
      <c r="K126" s="15">
        <f t="shared" si="15"/>
        <v>134636.04</v>
      </c>
      <c r="L126" s="8"/>
      <c r="M126" s="120"/>
    </row>
    <row r="127" spans="1:14" s="114" customFormat="1">
      <c r="A127" s="96">
        <v>122</v>
      </c>
      <c r="B127" s="4" t="s">
        <v>355</v>
      </c>
      <c r="C127" s="16">
        <v>500000</v>
      </c>
      <c r="D127" s="16">
        <v>66650</v>
      </c>
      <c r="E127" s="41">
        <f>SUM(C127:D127)</f>
        <v>566650</v>
      </c>
      <c r="F127" s="159">
        <v>50</v>
      </c>
      <c r="G127" s="24">
        <v>11333</v>
      </c>
      <c r="H127" s="97">
        <v>48</v>
      </c>
      <c r="I127" s="97">
        <f t="shared" si="14"/>
        <v>2</v>
      </c>
      <c r="J127" s="91">
        <f t="shared" si="16"/>
        <v>543984</v>
      </c>
      <c r="K127" s="94">
        <f t="shared" si="15"/>
        <v>22666</v>
      </c>
      <c r="L127" s="11"/>
      <c r="M127"/>
      <c r="N127" s="120"/>
    </row>
    <row r="128" spans="1:14" s="114" customFormat="1">
      <c r="A128" s="96">
        <v>123</v>
      </c>
      <c r="B128" s="4" t="s">
        <v>356</v>
      </c>
      <c r="C128" s="16">
        <v>500000</v>
      </c>
      <c r="D128" s="16">
        <v>66650</v>
      </c>
      <c r="E128" s="41">
        <f>SUM(C128:D128)</f>
        <v>566650</v>
      </c>
      <c r="F128" s="159">
        <v>50</v>
      </c>
      <c r="G128" s="24">
        <v>11333</v>
      </c>
      <c r="H128" s="97">
        <v>27</v>
      </c>
      <c r="I128" s="97">
        <f t="shared" si="14"/>
        <v>23</v>
      </c>
      <c r="J128" s="91">
        <f t="shared" si="16"/>
        <v>305991</v>
      </c>
      <c r="K128" s="94">
        <f t="shared" si="15"/>
        <v>260659</v>
      </c>
      <c r="L128" s="11"/>
      <c r="M128"/>
    </row>
    <row r="129" spans="1:14" s="114" customFormat="1">
      <c r="A129" s="96">
        <v>124</v>
      </c>
      <c r="B129" s="4" t="s">
        <v>357</v>
      </c>
      <c r="C129" s="12">
        <v>500000</v>
      </c>
      <c r="D129" s="12">
        <v>66650</v>
      </c>
      <c r="E129" s="15">
        <f>SUM(C129:D129)</f>
        <v>566650</v>
      </c>
      <c r="F129" s="14">
        <v>50</v>
      </c>
      <c r="G129" s="174">
        <v>11333</v>
      </c>
      <c r="H129" s="14">
        <v>33</v>
      </c>
      <c r="I129" s="97">
        <f t="shared" si="14"/>
        <v>17</v>
      </c>
      <c r="J129" s="91">
        <f t="shared" si="16"/>
        <v>373989</v>
      </c>
      <c r="K129" s="15">
        <f t="shared" si="15"/>
        <v>192661</v>
      </c>
      <c r="L129" s="8"/>
      <c r="M129"/>
    </row>
    <row r="130" spans="1:14" s="114" customFormat="1">
      <c r="A130" s="96">
        <v>125</v>
      </c>
      <c r="B130" s="4" t="s">
        <v>358</v>
      </c>
      <c r="C130" s="16">
        <v>500000</v>
      </c>
      <c r="D130" s="16">
        <v>66650</v>
      </c>
      <c r="E130" s="16">
        <v>566650</v>
      </c>
      <c r="F130" s="159">
        <v>50</v>
      </c>
      <c r="G130" s="167">
        <v>11333</v>
      </c>
      <c r="H130" s="97">
        <v>14</v>
      </c>
      <c r="I130" s="97">
        <f t="shared" si="14"/>
        <v>36</v>
      </c>
      <c r="J130" s="91">
        <f t="shared" si="16"/>
        <v>158662</v>
      </c>
      <c r="K130" s="91">
        <f t="shared" si="15"/>
        <v>407988</v>
      </c>
      <c r="L130" s="122"/>
      <c r="M130"/>
    </row>
    <row r="131" spans="1:14" s="114" customFormat="1">
      <c r="A131" s="96">
        <v>126</v>
      </c>
      <c r="B131" s="4" t="s">
        <v>303</v>
      </c>
      <c r="C131" s="16">
        <v>500000</v>
      </c>
      <c r="D131" s="16">
        <v>47992</v>
      </c>
      <c r="E131" s="41">
        <f>SUM(C131:D131)</f>
        <v>547992</v>
      </c>
      <c r="F131" s="159">
        <v>36</v>
      </c>
      <c r="G131" s="174">
        <v>15222</v>
      </c>
      <c r="H131" s="97">
        <v>27</v>
      </c>
      <c r="I131" s="97">
        <f t="shared" si="14"/>
        <v>9</v>
      </c>
      <c r="J131" s="91">
        <f t="shared" si="16"/>
        <v>410994</v>
      </c>
      <c r="K131" s="94">
        <f t="shared" si="15"/>
        <v>136998</v>
      </c>
      <c r="L131" s="11"/>
      <c r="M131"/>
    </row>
    <row r="132" spans="1:14" s="114" customFormat="1">
      <c r="A132" s="96">
        <v>127</v>
      </c>
      <c r="B132" s="25" t="s">
        <v>290</v>
      </c>
      <c r="C132" s="19">
        <v>150000</v>
      </c>
      <c r="D132" s="19">
        <v>19995</v>
      </c>
      <c r="E132" s="19">
        <f>SUM(C132:D132)</f>
        <v>169995</v>
      </c>
      <c r="F132" s="159">
        <v>50</v>
      </c>
      <c r="G132" s="174">
        <v>3399.9</v>
      </c>
      <c r="H132" s="97">
        <v>27</v>
      </c>
      <c r="I132" s="97">
        <f t="shared" si="14"/>
        <v>23</v>
      </c>
      <c r="J132" s="91">
        <f t="shared" si="16"/>
        <v>91797.3</v>
      </c>
      <c r="K132" s="94">
        <f t="shared" si="15"/>
        <v>78197.7</v>
      </c>
      <c r="L132" s="122"/>
      <c r="M132"/>
    </row>
    <row r="133" spans="1:14" s="120" customFormat="1">
      <c r="A133" s="96">
        <v>128</v>
      </c>
      <c r="B133" s="46" t="s">
        <v>359</v>
      </c>
      <c r="C133" s="16">
        <v>500000</v>
      </c>
      <c r="D133" s="16">
        <v>66650</v>
      </c>
      <c r="E133" s="41">
        <f>SUM(C133:D133)</f>
        <v>566650</v>
      </c>
      <c r="F133" s="159">
        <v>50</v>
      </c>
      <c r="G133" s="167">
        <v>11333</v>
      </c>
      <c r="H133" s="159">
        <v>49</v>
      </c>
      <c r="I133" s="97">
        <f t="shared" si="14"/>
        <v>1</v>
      </c>
      <c r="J133" s="91">
        <f t="shared" si="16"/>
        <v>555317</v>
      </c>
      <c r="K133" s="94">
        <f t="shared" si="15"/>
        <v>11333</v>
      </c>
      <c r="L133" s="214"/>
      <c r="M133"/>
      <c r="N133" s="114"/>
    </row>
    <row r="134" spans="1:14" s="114" customFormat="1">
      <c r="A134" s="96">
        <v>129</v>
      </c>
      <c r="B134" s="25" t="s">
        <v>297</v>
      </c>
      <c r="C134" s="19">
        <v>450000</v>
      </c>
      <c r="D134" s="19">
        <v>59985</v>
      </c>
      <c r="E134" s="19">
        <v>509985</v>
      </c>
      <c r="F134" s="159">
        <v>50</v>
      </c>
      <c r="G134" s="24">
        <v>10199.700000000001</v>
      </c>
      <c r="H134" s="159">
        <v>2</v>
      </c>
      <c r="I134" s="97">
        <f>F134-H134</f>
        <v>48</v>
      </c>
      <c r="J134" s="91">
        <f t="shared" si="16"/>
        <v>20399.400000000001</v>
      </c>
      <c r="K134" s="94">
        <f>E134-J134</f>
        <v>489585.6</v>
      </c>
      <c r="L134" s="214"/>
      <c r="M134"/>
    </row>
    <row r="135" spans="1:14" s="114" customFormat="1">
      <c r="A135" s="96">
        <v>130</v>
      </c>
      <c r="B135" s="173" t="s">
        <v>494</v>
      </c>
      <c r="C135" s="19">
        <v>150000</v>
      </c>
      <c r="D135" s="19">
        <v>19995</v>
      </c>
      <c r="E135" s="19">
        <f>SUM(C135:D135)</f>
        <v>169995</v>
      </c>
      <c r="F135" s="159">
        <v>50</v>
      </c>
      <c r="G135" s="24">
        <v>3339.9</v>
      </c>
      <c r="H135" s="188"/>
      <c r="I135" s="97">
        <f>F135-H135</f>
        <v>50</v>
      </c>
      <c r="J135" s="91">
        <f t="shared" si="16"/>
        <v>0</v>
      </c>
      <c r="K135" s="94">
        <f>E135-J135</f>
        <v>169995</v>
      </c>
      <c r="L135" s="214"/>
      <c r="M135"/>
    </row>
    <row r="136" spans="1:14" s="114" customFormat="1">
      <c r="A136" s="217"/>
      <c r="B136" s="8"/>
      <c r="C136" s="34">
        <f>SUM(C6:C135)</f>
        <v>52784000</v>
      </c>
      <c r="D136" s="34">
        <f>SUM(D6:D135)</f>
        <v>6925476.2000000002</v>
      </c>
      <c r="E136" s="34">
        <f>SUM(E6:E135)</f>
        <v>59709476.200000003</v>
      </c>
      <c r="F136" s="36"/>
      <c r="G136" s="34">
        <f>SUM(G6:G135)</f>
        <v>1242783.7899999996</v>
      </c>
      <c r="H136" s="34"/>
      <c r="I136" s="34"/>
      <c r="J136" s="34">
        <f>SUM(J6:J135)</f>
        <v>34109018</v>
      </c>
      <c r="K136" s="34">
        <f>SUM(K6:K135)</f>
        <v>25600458.200000007</v>
      </c>
      <c r="L136" s="8"/>
    </row>
    <row r="137" spans="1:14" s="114" customFormat="1">
      <c r="A137" s="44"/>
      <c r="B137" s="184"/>
      <c r="C137"/>
      <c r="D137"/>
      <c r="E137"/>
      <c r="F137" s="43"/>
      <c r="G137" s="165">
        <v>1242783.7899999989</v>
      </c>
      <c r="H137" s="99"/>
      <c r="I137" s="99"/>
      <c r="J137"/>
      <c r="K137"/>
      <c r="L137"/>
    </row>
    <row r="138" spans="1:14" s="114" customFormat="1">
      <c r="A138" s="44"/>
      <c r="B138" s="184"/>
      <c r="C138"/>
      <c r="D138"/>
      <c r="E138"/>
      <c r="F138" s="43"/>
      <c r="G138"/>
      <c r="H138" s="99"/>
      <c r="I138" s="99"/>
      <c r="J138"/>
      <c r="K138"/>
      <c r="L138"/>
    </row>
    <row r="139" spans="1:14" s="114" customFormat="1">
      <c r="A139" s="44"/>
      <c r="B139" s="184"/>
      <c r="C139"/>
      <c r="D139"/>
      <c r="E139"/>
      <c r="F139" s="43"/>
      <c r="G139" s="39">
        <f>G137-G136</f>
        <v>0</v>
      </c>
      <c r="H139" s="99"/>
      <c r="I139" s="99"/>
      <c r="J139"/>
      <c r="K139"/>
      <c r="L139"/>
    </row>
    <row r="140" spans="1:14" s="114" customFormat="1"/>
    <row r="141" spans="1:14" s="114" customFormat="1"/>
    <row r="142" spans="1:14" s="114" customFormat="1"/>
    <row r="143" spans="1:14" s="114" customFormat="1"/>
    <row r="144" spans="1:14" s="114" customFormat="1"/>
    <row r="145" spans="1:14" s="114" customFormat="1"/>
    <row r="146" spans="1:14" s="114" customFormat="1"/>
    <row r="147" spans="1:14" s="114" customFormat="1"/>
    <row r="148" spans="1:14" s="114" customFormat="1"/>
    <row r="149" spans="1:14" s="114" customFormat="1"/>
    <row r="150" spans="1:14" s="114" customFormat="1">
      <c r="A150" s="96">
        <v>30</v>
      </c>
      <c r="B150" s="25" t="s">
        <v>362</v>
      </c>
      <c r="C150" s="12">
        <v>450000</v>
      </c>
      <c r="D150" s="12">
        <v>59985</v>
      </c>
      <c r="E150" s="15">
        <f>SUM(C150:D150)</f>
        <v>509985</v>
      </c>
      <c r="F150" s="14">
        <v>50</v>
      </c>
      <c r="G150" s="212">
        <v>10199.700000000001</v>
      </c>
      <c r="H150" s="14">
        <v>30</v>
      </c>
      <c r="I150" s="97">
        <f>F150-H150</f>
        <v>20</v>
      </c>
      <c r="J150" s="91">
        <f>H150*G150</f>
        <v>305991</v>
      </c>
      <c r="K150" s="15">
        <f>E150-J150</f>
        <v>203994</v>
      </c>
      <c r="L150" s="8"/>
      <c r="M150" s="180" t="e">
        <f>#REF!-G150</f>
        <v>#REF!</v>
      </c>
    </row>
    <row r="151" spans="1:14" s="114" customFormat="1">
      <c r="A151" s="96">
        <v>102</v>
      </c>
      <c r="B151" s="46" t="s">
        <v>289</v>
      </c>
      <c r="C151" s="16">
        <v>180000</v>
      </c>
      <c r="D151" s="16">
        <v>23994</v>
      </c>
      <c r="E151" s="16">
        <v>203994</v>
      </c>
      <c r="F151" s="221">
        <v>40</v>
      </c>
      <c r="G151" s="167">
        <v>5099.8500000000004</v>
      </c>
      <c r="H151" s="97">
        <v>40</v>
      </c>
      <c r="I151" s="97">
        <f>F151-H151</f>
        <v>0</v>
      </c>
      <c r="J151" s="156">
        <f>(36*5099.85)</f>
        <v>183594.6</v>
      </c>
      <c r="K151" s="91">
        <f>E151-J151</f>
        <v>20399.399999999994</v>
      </c>
      <c r="L151" s="122"/>
      <c r="M151" s="180" t="e">
        <f>#REF!-G151</f>
        <v>#REF!</v>
      </c>
    </row>
    <row r="152" spans="1:14" s="114" customFormat="1"/>
    <row r="153" spans="1:14" s="114" customFormat="1">
      <c r="A153" s="96">
        <v>96</v>
      </c>
      <c r="B153" s="4" t="s">
        <v>482</v>
      </c>
      <c r="C153" s="12">
        <v>60000</v>
      </c>
      <c r="D153" s="12">
        <v>7998</v>
      </c>
      <c r="E153" s="15">
        <f>SUM(C153:D153)</f>
        <v>67998</v>
      </c>
      <c r="F153" s="14">
        <v>40</v>
      </c>
      <c r="G153" s="172">
        <v>1699.95</v>
      </c>
      <c r="H153" s="97">
        <v>41</v>
      </c>
      <c r="I153" s="97">
        <f>F153-H153</f>
        <v>-1</v>
      </c>
      <c r="J153" s="91">
        <f>H153*G153</f>
        <v>69697.95</v>
      </c>
      <c r="K153" s="94">
        <f>E153-J153</f>
        <v>-1699.9499999999971</v>
      </c>
      <c r="L153" s="122"/>
    </row>
    <row r="154" spans="1:14" s="114" customFormat="1"/>
    <row r="155" spans="1:14" s="114" customFormat="1">
      <c r="A155" s="96">
        <v>121</v>
      </c>
      <c r="B155" s="4" t="s">
        <v>429</v>
      </c>
      <c r="C155" s="16">
        <v>60000</v>
      </c>
      <c r="D155" s="16">
        <v>7998</v>
      </c>
      <c r="E155" s="41">
        <f>SUM(C155:D155)</f>
        <v>67998</v>
      </c>
      <c r="F155" s="159">
        <v>40</v>
      </c>
      <c r="G155" s="167">
        <v>1699.95</v>
      </c>
      <c r="H155" s="97">
        <v>40</v>
      </c>
      <c r="I155" s="97">
        <f>F155-H155</f>
        <v>0</v>
      </c>
      <c r="J155" s="91">
        <f>H155*G155</f>
        <v>67998</v>
      </c>
      <c r="K155" s="94">
        <f>E155-J155</f>
        <v>0</v>
      </c>
      <c r="L155" s="11"/>
      <c r="M155" s="180" t="e">
        <f>#REF!-G155</f>
        <v>#REF!</v>
      </c>
    </row>
    <row r="156" spans="1:14" s="114" customFormat="1">
      <c r="A156" s="44"/>
      <c r="B156" s="184"/>
      <c r="C156"/>
      <c r="D156"/>
      <c r="E156"/>
      <c r="F156" s="43"/>
      <c r="G156"/>
      <c r="H156" s="99"/>
      <c r="I156" s="99"/>
      <c r="J156"/>
      <c r="K156"/>
      <c r="L156"/>
      <c r="M156"/>
      <c r="N156"/>
    </row>
    <row r="157" spans="1:14" s="114" customFormat="1">
      <c r="A157" s="96">
        <v>12</v>
      </c>
      <c r="B157" s="2" t="s">
        <v>373</v>
      </c>
      <c r="C157" s="16">
        <v>330000</v>
      </c>
      <c r="D157" s="16">
        <v>43989</v>
      </c>
      <c r="E157" s="41">
        <f>SUM(C157:D157)</f>
        <v>373989</v>
      </c>
      <c r="F157" s="33">
        <v>50</v>
      </c>
      <c r="G157" s="16">
        <v>7479.78</v>
      </c>
      <c r="H157" s="96">
        <v>26</v>
      </c>
      <c r="I157" s="96">
        <f>F157-H157</f>
        <v>24</v>
      </c>
      <c r="J157" s="16">
        <f>H157*G157</f>
        <v>194474.28</v>
      </c>
      <c r="K157" s="41">
        <f>E157-J157</f>
        <v>179514.72</v>
      </c>
      <c r="L157" s="11"/>
      <c r="M157" s="180" t="e">
        <f>#REF!-G157</f>
        <v>#REF!</v>
      </c>
      <c r="N157"/>
    </row>
    <row r="158" spans="1:14" s="114" customFormat="1">
      <c r="A158" s="96">
        <v>87</v>
      </c>
      <c r="B158" s="2" t="s">
        <v>421</v>
      </c>
      <c r="C158" s="16">
        <v>132000</v>
      </c>
      <c r="D158" s="16">
        <v>17595.599999999999</v>
      </c>
      <c r="E158" s="16">
        <v>149595.6</v>
      </c>
      <c r="F158" s="45">
        <v>40</v>
      </c>
      <c r="G158" s="19">
        <v>3739.89</v>
      </c>
      <c r="H158" s="97">
        <v>46</v>
      </c>
      <c r="I158" s="97">
        <f>F158-H158</f>
        <v>-6</v>
      </c>
      <c r="J158" s="91">
        <f>H158*G158</f>
        <v>172034.94</v>
      </c>
      <c r="K158" s="94">
        <f>E158-J158</f>
        <v>-22439.339999999997</v>
      </c>
      <c r="L158" s="11"/>
      <c r="M158" s="180" t="e">
        <f>#REF!-G158</f>
        <v>#REF!</v>
      </c>
      <c r="N158"/>
    </row>
    <row r="159" spans="1:14" s="114" customFormat="1">
      <c r="A159" s="96">
        <v>116</v>
      </c>
      <c r="B159" s="2" t="s">
        <v>377</v>
      </c>
      <c r="C159" s="155">
        <v>330000</v>
      </c>
      <c r="D159" s="155">
        <v>43989</v>
      </c>
      <c r="E159" s="155">
        <f>SUM(C159:D159)</f>
        <v>373989</v>
      </c>
      <c r="F159" s="33">
        <v>50</v>
      </c>
      <c r="G159" s="154">
        <v>7479.78</v>
      </c>
      <c r="H159" s="97">
        <v>12</v>
      </c>
      <c r="I159" s="97">
        <f>F159-H159</f>
        <v>38</v>
      </c>
      <c r="J159" s="91">
        <f>H159*G159</f>
        <v>89757.36</v>
      </c>
      <c r="K159" s="91">
        <f>E159-J159</f>
        <v>284231.64</v>
      </c>
      <c r="L159" s="122"/>
      <c r="M159" s="180" t="e">
        <f>#REF!-G159</f>
        <v>#REF!</v>
      </c>
      <c r="N159"/>
    </row>
    <row r="160" spans="1:14" s="114" customFormat="1" ht="14.25" customHeight="1">
      <c r="A160" s="44"/>
      <c r="B160" s="184"/>
      <c r="C160"/>
      <c r="D160"/>
      <c r="E160"/>
      <c r="F160" s="43"/>
      <c r="G160"/>
      <c r="H160" s="99"/>
      <c r="I160" s="99"/>
      <c r="J160"/>
      <c r="K160"/>
      <c r="L160"/>
      <c r="M160"/>
      <c r="N160"/>
    </row>
    <row r="161" spans="1:14" s="114" customFormat="1" ht="14.25" customHeight="1">
      <c r="A161" s="96">
        <v>144</v>
      </c>
      <c r="B161" s="2" t="s">
        <v>410</v>
      </c>
      <c r="C161" s="41">
        <v>200000</v>
      </c>
      <c r="D161" s="41">
        <v>26660</v>
      </c>
      <c r="E161" s="41">
        <f>SUM(C161:D161)</f>
        <v>226660</v>
      </c>
      <c r="F161" s="33">
        <v>40</v>
      </c>
      <c r="G161" s="41">
        <v>5666.5</v>
      </c>
      <c r="H161" s="97">
        <v>40</v>
      </c>
      <c r="I161" s="97">
        <f>F161-H161</f>
        <v>0</v>
      </c>
      <c r="J161" s="91">
        <f>H161*G161</f>
        <v>226660</v>
      </c>
      <c r="K161" s="94">
        <f>E161-J161</f>
        <v>0</v>
      </c>
      <c r="L161" s="11"/>
      <c r="M161" s="180" t="e">
        <f>#REF!-G161</f>
        <v>#REF!</v>
      </c>
      <c r="N161"/>
    </row>
    <row r="162" spans="1:14" ht="14.25" customHeight="1">
      <c r="A162" s="96">
        <v>147</v>
      </c>
      <c r="B162" s="2" t="s">
        <v>411</v>
      </c>
      <c r="C162" s="41">
        <v>200000</v>
      </c>
      <c r="D162" s="41">
        <v>26660</v>
      </c>
      <c r="E162" s="41">
        <v>226660</v>
      </c>
      <c r="F162" s="33">
        <v>40</v>
      </c>
      <c r="G162" s="19">
        <v>5666.5</v>
      </c>
      <c r="H162" s="97">
        <v>40</v>
      </c>
      <c r="I162" s="97">
        <f>F162-H162</f>
        <v>0</v>
      </c>
      <c r="J162" s="91">
        <f>H162*G162</f>
        <v>226660</v>
      </c>
      <c r="K162" s="94">
        <f>E162-J162</f>
        <v>0</v>
      </c>
      <c r="L162" s="11"/>
      <c r="M162" s="180" t="e">
        <f>#REF!-G162</f>
        <v>#REF!</v>
      </c>
    </row>
    <row r="163" spans="1:14" ht="14.25" customHeight="1">
      <c r="A163" s="96">
        <v>148</v>
      </c>
      <c r="B163" s="2" t="s">
        <v>412</v>
      </c>
      <c r="C163" s="41">
        <v>200000</v>
      </c>
      <c r="D163" s="41">
        <v>26660</v>
      </c>
      <c r="E163" s="41">
        <f>SUM(C163:D163)</f>
        <v>226660</v>
      </c>
      <c r="F163" s="33">
        <v>40</v>
      </c>
      <c r="G163" s="41">
        <v>5666.5</v>
      </c>
      <c r="H163" s="97">
        <v>40</v>
      </c>
      <c r="I163" s="97">
        <f>F163-H163</f>
        <v>0</v>
      </c>
      <c r="J163" s="91">
        <f>H163*G163</f>
        <v>226660</v>
      </c>
      <c r="K163" s="94">
        <f>E163-J163</f>
        <v>0</v>
      </c>
      <c r="L163" s="11"/>
      <c r="M163" s="180" t="e">
        <f>#REF!-G163</f>
        <v>#REF!</v>
      </c>
    </row>
    <row r="164" spans="1:14" ht="14.25" customHeight="1"/>
    <row r="165" spans="1:14" ht="14.25" customHeight="1">
      <c r="A165" s="96">
        <v>6</v>
      </c>
      <c r="B165" s="2" t="s">
        <v>418</v>
      </c>
      <c r="C165" s="16">
        <v>132000</v>
      </c>
      <c r="D165" s="16">
        <v>17595.599999999999</v>
      </c>
      <c r="E165" s="41">
        <f t="shared" ref="E165:E177" si="17">SUM(C165:D165)</f>
        <v>149595.6</v>
      </c>
      <c r="F165" s="33">
        <v>40</v>
      </c>
      <c r="G165" s="16">
        <v>3739.89</v>
      </c>
      <c r="H165" s="96">
        <v>40</v>
      </c>
      <c r="I165" s="96">
        <f t="shared" ref="I165:I185" si="18">F165-H165</f>
        <v>0</v>
      </c>
      <c r="J165" s="16">
        <f t="shared" ref="J165:J185" si="19">H165*G165</f>
        <v>149595.6</v>
      </c>
      <c r="K165" s="41">
        <f t="shared" ref="K165:K185" si="20">E165-J165</f>
        <v>0</v>
      </c>
      <c r="L165" s="11"/>
      <c r="M165" s="180" t="e">
        <f>#REF!-G165</f>
        <v>#REF!</v>
      </c>
    </row>
    <row r="166" spans="1:14" ht="14.25" customHeight="1">
      <c r="A166" s="96">
        <v>11</v>
      </c>
      <c r="B166" s="2" t="s">
        <v>386</v>
      </c>
      <c r="C166" s="41">
        <v>200000</v>
      </c>
      <c r="D166" s="41">
        <v>26660</v>
      </c>
      <c r="E166" s="41">
        <f t="shared" si="17"/>
        <v>226660</v>
      </c>
      <c r="F166" s="33">
        <v>40</v>
      </c>
      <c r="G166" s="41">
        <v>5666.5</v>
      </c>
      <c r="H166" s="96">
        <v>40</v>
      </c>
      <c r="I166" s="96">
        <f t="shared" si="18"/>
        <v>0</v>
      </c>
      <c r="J166" s="16">
        <f t="shared" si="19"/>
        <v>226660</v>
      </c>
      <c r="K166" s="41">
        <f t="shared" si="20"/>
        <v>0</v>
      </c>
      <c r="L166" s="11"/>
      <c r="M166" s="180" t="e">
        <f>#REF!-G166</f>
        <v>#REF!</v>
      </c>
    </row>
    <row r="167" spans="1:14" ht="14.25" customHeight="1">
      <c r="A167" s="96">
        <v>13</v>
      </c>
      <c r="B167" s="2" t="s">
        <v>387</v>
      </c>
      <c r="C167" s="41">
        <v>200000</v>
      </c>
      <c r="D167" s="41">
        <v>26660</v>
      </c>
      <c r="E167" s="41">
        <f t="shared" si="17"/>
        <v>226660</v>
      </c>
      <c r="F167" s="33">
        <v>40</v>
      </c>
      <c r="G167" s="41">
        <v>5666.5</v>
      </c>
      <c r="H167" s="96">
        <v>40</v>
      </c>
      <c r="I167" s="96">
        <f t="shared" si="18"/>
        <v>0</v>
      </c>
      <c r="J167" s="16">
        <f t="shared" si="19"/>
        <v>226660</v>
      </c>
      <c r="K167" s="41">
        <f t="shared" si="20"/>
        <v>0</v>
      </c>
      <c r="L167" s="11"/>
      <c r="M167" s="180" t="e">
        <f>#REF!-G167</f>
        <v>#REF!</v>
      </c>
    </row>
    <row r="168" spans="1:14" ht="14.25" customHeight="1">
      <c r="A168" s="96">
        <v>20</v>
      </c>
      <c r="B168" s="2" t="s">
        <v>390</v>
      </c>
      <c r="C168" s="41">
        <v>200000</v>
      </c>
      <c r="D168" s="41">
        <v>26660</v>
      </c>
      <c r="E168" s="41">
        <f t="shared" si="17"/>
        <v>226660</v>
      </c>
      <c r="F168" s="33">
        <v>40</v>
      </c>
      <c r="G168" s="41">
        <v>5666.5</v>
      </c>
      <c r="H168" s="96">
        <v>40</v>
      </c>
      <c r="I168" s="96">
        <f t="shared" si="18"/>
        <v>0</v>
      </c>
      <c r="J168" s="16">
        <f t="shared" si="19"/>
        <v>226660</v>
      </c>
      <c r="K168" s="41">
        <f t="shared" si="20"/>
        <v>0</v>
      </c>
      <c r="L168" s="11"/>
      <c r="M168" s="180" t="e">
        <f>#REF!-G168</f>
        <v>#REF!</v>
      </c>
    </row>
    <row r="169" spans="1:14" ht="14.25" customHeight="1">
      <c r="A169" s="96">
        <v>29</v>
      </c>
      <c r="B169" s="2" t="s">
        <v>391</v>
      </c>
      <c r="C169" s="41">
        <v>200000</v>
      </c>
      <c r="D169" s="41">
        <v>26660</v>
      </c>
      <c r="E169" s="41">
        <f t="shared" si="17"/>
        <v>226660</v>
      </c>
      <c r="F169" s="33">
        <v>40</v>
      </c>
      <c r="G169" s="41">
        <v>5666.5</v>
      </c>
      <c r="H169" s="97">
        <v>40</v>
      </c>
      <c r="I169" s="97">
        <f t="shared" si="18"/>
        <v>0</v>
      </c>
      <c r="J169" s="91">
        <f t="shared" si="19"/>
        <v>226660</v>
      </c>
      <c r="K169" s="94">
        <f t="shared" si="20"/>
        <v>0</v>
      </c>
      <c r="L169" s="11"/>
      <c r="M169" s="180" t="e">
        <f>#REF!-G169</f>
        <v>#REF!</v>
      </c>
      <c r="N169" s="121"/>
    </row>
    <row r="170" spans="1:14" ht="14.25" customHeight="1">
      <c r="A170" s="96">
        <v>31</v>
      </c>
      <c r="B170" s="2" t="s">
        <v>392</v>
      </c>
      <c r="C170" s="41">
        <v>200000</v>
      </c>
      <c r="D170" s="41">
        <v>26660</v>
      </c>
      <c r="E170" s="41">
        <f t="shared" si="17"/>
        <v>226660</v>
      </c>
      <c r="F170" s="33">
        <v>40</v>
      </c>
      <c r="G170" s="41">
        <v>5666.5</v>
      </c>
      <c r="H170" s="97">
        <v>40</v>
      </c>
      <c r="I170" s="97">
        <f t="shared" si="18"/>
        <v>0</v>
      </c>
      <c r="J170" s="91">
        <f t="shared" si="19"/>
        <v>226660</v>
      </c>
      <c r="K170" s="94">
        <f t="shared" si="20"/>
        <v>0</v>
      </c>
      <c r="L170" s="11"/>
      <c r="M170" s="180" t="e">
        <f>#REF!-G170</f>
        <v>#REF!</v>
      </c>
    </row>
    <row r="171" spans="1:14">
      <c r="A171" s="96">
        <v>34</v>
      </c>
      <c r="B171" s="2" t="s">
        <v>393</v>
      </c>
      <c r="C171" s="41">
        <v>200000</v>
      </c>
      <c r="D171" s="41">
        <v>26660</v>
      </c>
      <c r="E171" s="41">
        <f t="shared" si="17"/>
        <v>226660</v>
      </c>
      <c r="F171" s="33">
        <v>40</v>
      </c>
      <c r="G171" s="41">
        <v>5666.5</v>
      </c>
      <c r="H171" s="97">
        <v>40</v>
      </c>
      <c r="I171" s="97">
        <f t="shared" si="18"/>
        <v>0</v>
      </c>
      <c r="J171" s="91">
        <f t="shared" si="19"/>
        <v>226660</v>
      </c>
      <c r="K171" s="94">
        <f t="shared" si="20"/>
        <v>0</v>
      </c>
      <c r="L171" s="11"/>
      <c r="M171" s="180" t="e">
        <f>#REF!-G171</f>
        <v>#REF!</v>
      </c>
    </row>
    <row r="172" spans="1:14">
      <c r="A172" s="96">
        <v>41</v>
      </c>
      <c r="B172" s="2" t="s">
        <v>415</v>
      </c>
      <c r="C172" s="16">
        <v>180000</v>
      </c>
      <c r="D172" s="16">
        <v>23994</v>
      </c>
      <c r="E172" s="41">
        <f t="shared" si="17"/>
        <v>203994</v>
      </c>
      <c r="F172" s="33">
        <v>40</v>
      </c>
      <c r="G172" s="16">
        <v>5099.8500000000004</v>
      </c>
      <c r="H172" s="97">
        <v>40</v>
      </c>
      <c r="I172" s="97">
        <f t="shared" si="18"/>
        <v>0</v>
      </c>
      <c r="J172" s="91">
        <f t="shared" si="19"/>
        <v>203994</v>
      </c>
      <c r="K172" s="94">
        <f t="shared" si="20"/>
        <v>0</v>
      </c>
      <c r="L172" s="11"/>
      <c r="M172" s="180" t="e">
        <f>#REF!-G172</f>
        <v>#REF!</v>
      </c>
    </row>
    <row r="173" spans="1:14">
      <c r="A173" s="96">
        <v>45</v>
      </c>
      <c r="B173" s="2" t="s">
        <v>394</v>
      </c>
      <c r="C173" s="41">
        <v>200000</v>
      </c>
      <c r="D173" s="41">
        <v>26660</v>
      </c>
      <c r="E173" s="41">
        <f t="shared" si="17"/>
        <v>226660</v>
      </c>
      <c r="F173" s="33">
        <v>40</v>
      </c>
      <c r="G173" s="41">
        <v>5666.5</v>
      </c>
      <c r="H173" s="97">
        <v>40</v>
      </c>
      <c r="I173" s="97">
        <f t="shared" si="18"/>
        <v>0</v>
      </c>
      <c r="J173" s="91">
        <f t="shared" si="19"/>
        <v>226660</v>
      </c>
      <c r="K173" s="94">
        <f t="shared" si="20"/>
        <v>0</v>
      </c>
      <c r="L173" s="11"/>
      <c r="M173" s="180" t="e">
        <f>#REF!-G173</f>
        <v>#REF!</v>
      </c>
    </row>
    <row r="174" spans="1:14" s="121" customFormat="1">
      <c r="A174" s="96">
        <v>51</v>
      </c>
      <c r="B174" s="2" t="s">
        <v>395</v>
      </c>
      <c r="C174" s="15">
        <v>200000</v>
      </c>
      <c r="D174" s="15">
        <v>26660</v>
      </c>
      <c r="E174" s="15">
        <f t="shared" si="17"/>
        <v>226660</v>
      </c>
      <c r="F174" s="31">
        <v>40</v>
      </c>
      <c r="G174" s="15">
        <v>5666.5</v>
      </c>
      <c r="H174" s="14">
        <v>38</v>
      </c>
      <c r="I174" s="97">
        <f t="shared" si="18"/>
        <v>2</v>
      </c>
      <c r="J174" s="91">
        <f t="shared" si="19"/>
        <v>215327</v>
      </c>
      <c r="K174" s="15">
        <f t="shared" si="20"/>
        <v>11333</v>
      </c>
      <c r="L174" s="8"/>
      <c r="M174" s="180" t="e">
        <f>#REF!-G174</f>
        <v>#REF!</v>
      </c>
      <c r="N174"/>
    </row>
    <row r="175" spans="1:14">
      <c r="A175" s="96">
        <v>59</v>
      </c>
      <c r="B175" s="2" t="s">
        <v>419</v>
      </c>
      <c r="C175" s="16">
        <v>132000</v>
      </c>
      <c r="D175" s="16">
        <v>17595.599999999999</v>
      </c>
      <c r="E175" s="41">
        <f t="shared" si="17"/>
        <v>149595.6</v>
      </c>
      <c r="F175" s="33">
        <v>40</v>
      </c>
      <c r="G175" s="16">
        <v>3739.89</v>
      </c>
      <c r="H175" s="97">
        <v>40</v>
      </c>
      <c r="I175" s="97">
        <f t="shared" si="18"/>
        <v>0</v>
      </c>
      <c r="J175" s="91">
        <f t="shared" si="19"/>
        <v>149595.6</v>
      </c>
      <c r="K175" s="94">
        <f t="shared" si="20"/>
        <v>0</v>
      </c>
      <c r="L175" s="11"/>
      <c r="M175" s="180" t="e">
        <f>#REF!-G175</f>
        <v>#REF!</v>
      </c>
    </row>
    <row r="176" spans="1:14">
      <c r="A176" s="96">
        <v>60</v>
      </c>
      <c r="B176" s="2" t="s">
        <v>396</v>
      </c>
      <c r="C176" s="41">
        <v>200000</v>
      </c>
      <c r="D176" s="41">
        <v>26660</v>
      </c>
      <c r="E176" s="41">
        <f t="shared" si="17"/>
        <v>226660</v>
      </c>
      <c r="F176" s="33">
        <v>40</v>
      </c>
      <c r="G176" s="41">
        <v>5666.5</v>
      </c>
      <c r="H176" s="97">
        <v>40</v>
      </c>
      <c r="I176" s="97">
        <f t="shared" si="18"/>
        <v>0</v>
      </c>
      <c r="J176" s="91">
        <f t="shared" si="19"/>
        <v>226660</v>
      </c>
      <c r="K176" s="94">
        <f t="shared" si="20"/>
        <v>0</v>
      </c>
      <c r="L176" s="11"/>
      <c r="M176" s="180" t="e">
        <f>#REF!-G176</f>
        <v>#REF!</v>
      </c>
    </row>
    <row r="177" spans="1:13">
      <c r="A177" s="96">
        <v>65</v>
      </c>
      <c r="B177" s="2" t="s">
        <v>420</v>
      </c>
      <c r="C177" s="16">
        <v>132000</v>
      </c>
      <c r="D177" s="16">
        <v>17595.599999999999</v>
      </c>
      <c r="E177" s="41">
        <f t="shared" si="17"/>
        <v>149595.6</v>
      </c>
      <c r="F177" s="33">
        <v>40</v>
      </c>
      <c r="G177" s="16">
        <v>3739.89</v>
      </c>
      <c r="H177" s="97">
        <v>40</v>
      </c>
      <c r="I177" s="97">
        <f t="shared" si="18"/>
        <v>0</v>
      </c>
      <c r="J177" s="91">
        <f t="shared" si="19"/>
        <v>149595.6</v>
      </c>
      <c r="K177" s="94">
        <f t="shared" si="20"/>
        <v>0</v>
      </c>
      <c r="L177" s="11"/>
      <c r="M177" s="180" t="e">
        <f>#REF!-G177</f>
        <v>#REF!</v>
      </c>
    </row>
    <row r="178" spans="1:13">
      <c r="A178" s="96">
        <v>67</v>
      </c>
      <c r="B178" s="2" t="s">
        <v>397</v>
      </c>
      <c r="C178" s="41">
        <v>200000</v>
      </c>
      <c r="D178" s="41">
        <v>26660</v>
      </c>
      <c r="E178" s="41">
        <v>226660</v>
      </c>
      <c r="F178" s="33">
        <v>40</v>
      </c>
      <c r="G178" s="19">
        <v>5666.5</v>
      </c>
      <c r="H178" s="97">
        <v>40</v>
      </c>
      <c r="I178" s="97">
        <f t="shared" si="18"/>
        <v>0</v>
      </c>
      <c r="J178" s="91">
        <f t="shared" si="19"/>
        <v>226660</v>
      </c>
      <c r="K178" s="94">
        <f t="shared" si="20"/>
        <v>0</v>
      </c>
      <c r="L178" s="11"/>
      <c r="M178" s="180" t="e">
        <f>#REF!-G178</f>
        <v>#REF!</v>
      </c>
    </row>
    <row r="179" spans="1:13">
      <c r="A179" s="96">
        <v>69</v>
      </c>
      <c r="B179" s="2" t="s">
        <v>398</v>
      </c>
      <c r="C179" s="41">
        <v>200000</v>
      </c>
      <c r="D179" s="41">
        <v>26660</v>
      </c>
      <c r="E179" s="41">
        <f>SUM(C179:D179)</f>
        <v>226660</v>
      </c>
      <c r="F179" s="33">
        <v>40</v>
      </c>
      <c r="G179" s="41">
        <v>5666.5</v>
      </c>
      <c r="H179" s="97">
        <v>40</v>
      </c>
      <c r="I179" s="97">
        <f t="shared" si="18"/>
        <v>0</v>
      </c>
      <c r="J179" s="91">
        <f t="shared" si="19"/>
        <v>226660</v>
      </c>
      <c r="K179" s="94">
        <f t="shared" si="20"/>
        <v>0</v>
      </c>
      <c r="L179" s="11"/>
      <c r="M179" s="180" t="e">
        <f>#REF!-G179</f>
        <v>#REF!</v>
      </c>
    </row>
    <row r="180" spans="1:13">
      <c r="A180" s="96">
        <v>72</v>
      </c>
      <c r="B180" s="2" t="s">
        <v>399</v>
      </c>
      <c r="C180" s="41">
        <v>200000</v>
      </c>
      <c r="D180" s="41">
        <v>26660</v>
      </c>
      <c r="E180" s="41">
        <f>SUM(C180:D180)</f>
        <v>226660</v>
      </c>
      <c r="F180" s="33">
        <v>40</v>
      </c>
      <c r="G180" s="41">
        <v>5666.5</v>
      </c>
      <c r="H180" s="97">
        <v>40</v>
      </c>
      <c r="I180" s="97">
        <f t="shared" si="18"/>
        <v>0</v>
      </c>
      <c r="J180" s="91">
        <f t="shared" si="19"/>
        <v>226660</v>
      </c>
      <c r="K180" s="94">
        <f t="shared" si="20"/>
        <v>0</v>
      </c>
      <c r="L180" s="11"/>
      <c r="M180" s="180" t="e">
        <f>#REF!-G180</f>
        <v>#REF!</v>
      </c>
    </row>
    <row r="181" spans="1:13">
      <c r="A181" s="96">
        <v>73</v>
      </c>
      <c r="B181" s="2" t="s">
        <v>428</v>
      </c>
      <c r="C181" s="16">
        <v>60000</v>
      </c>
      <c r="D181" s="16">
        <v>7998</v>
      </c>
      <c r="E181" s="41">
        <f>SUM(C181:D181)</f>
        <v>67998</v>
      </c>
      <c r="F181" s="33">
        <v>40</v>
      </c>
      <c r="G181" s="16">
        <v>1699.95</v>
      </c>
      <c r="H181" s="97">
        <v>40</v>
      </c>
      <c r="I181" s="97">
        <f t="shared" si="18"/>
        <v>0</v>
      </c>
      <c r="J181" s="91">
        <f t="shared" si="19"/>
        <v>67998</v>
      </c>
      <c r="K181" s="94">
        <f t="shared" si="20"/>
        <v>0</v>
      </c>
      <c r="L181" s="11"/>
      <c r="M181" s="180" t="e">
        <f>#REF!-G181</f>
        <v>#REF!</v>
      </c>
    </row>
    <row r="182" spans="1:13">
      <c r="A182" s="96">
        <v>77</v>
      </c>
      <c r="B182" s="2" t="s">
        <v>401</v>
      </c>
      <c r="C182" s="41">
        <v>200000</v>
      </c>
      <c r="D182" s="41">
        <v>26660</v>
      </c>
      <c r="E182" s="41">
        <f>SUM(C182:D182)</f>
        <v>226660</v>
      </c>
      <c r="F182" s="33">
        <v>40</v>
      </c>
      <c r="G182" s="41">
        <v>5666.5</v>
      </c>
      <c r="H182" s="97">
        <v>40</v>
      </c>
      <c r="I182" s="97">
        <f t="shared" si="18"/>
        <v>0</v>
      </c>
      <c r="J182" s="91">
        <f t="shared" si="19"/>
        <v>226660</v>
      </c>
      <c r="K182" s="94">
        <f t="shared" si="20"/>
        <v>0</v>
      </c>
      <c r="L182" s="11"/>
      <c r="M182" s="180" t="e">
        <f>#REF!-G182</f>
        <v>#REF!</v>
      </c>
    </row>
    <row r="183" spans="1:13">
      <c r="A183" s="96">
        <v>79</v>
      </c>
      <c r="B183" s="2" t="s">
        <v>402</v>
      </c>
      <c r="C183" s="41">
        <v>200000</v>
      </c>
      <c r="D183" s="41">
        <v>26660</v>
      </c>
      <c r="E183" s="41">
        <f>SUM(C183:D183)</f>
        <v>226660</v>
      </c>
      <c r="F183" s="33">
        <v>40</v>
      </c>
      <c r="G183" s="41">
        <v>5666.5</v>
      </c>
      <c r="H183" s="97">
        <v>40</v>
      </c>
      <c r="I183" s="97">
        <f t="shared" si="18"/>
        <v>0</v>
      </c>
      <c r="J183" s="91">
        <f t="shared" si="19"/>
        <v>226660</v>
      </c>
      <c r="K183" s="94">
        <f t="shared" si="20"/>
        <v>0</v>
      </c>
      <c r="L183" s="11"/>
      <c r="M183" s="180" t="e">
        <f>#REF!-G183</f>
        <v>#REF!</v>
      </c>
    </row>
    <row r="184" spans="1:13">
      <c r="A184" s="96">
        <v>82</v>
      </c>
      <c r="B184" s="2" t="s">
        <v>404</v>
      </c>
      <c r="C184" s="41">
        <v>200000</v>
      </c>
      <c r="D184" s="41">
        <v>26660</v>
      </c>
      <c r="E184" s="41">
        <v>226660</v>
      </c>
      <c r="F184" s="33">
        <v>40</v>
      </c>
      <c r="G184" s="19">
        <v>5666.5</v>
      </c>
      <c r="H184" s="97">
        <v>40</v>
      </c>
      <c r="I184" s="97">
        <f t="shared" si="18"/>
        <v>0</v>
      </c>
      <c r="J184" s="91">
        <f t="shared" si="19"/>
        <v>226660</v>
      </c>
      <c r="K184" s="94">
        <f t="shared" si="20"/>
        <v>0</v>
      </c>
      <c r="L184" s="11"/>
      <c r="M184" s="180" t="e">
        <f>#REF!-G184</f>
        <v>#REF!</v>
      </c>
    </row>
    <row r="185" spans="1:13">
      <c r="A185" s="96">
        <v>84</v>
      </c>
      <c r="B185" s="2" t="s">
        <v>405</v>
      </c>
      <c r="C185" s="41">
        <v>200000</v>
      </c>
      <c r="D185" s="41">
        <v>26660</v>
      </c>
      <c r="E185" s="41">
        <f>SUM(C185:D185)</f>
        <v>226660</v>
      </c>
      <c r="F185" s="33">
        <v>40</v>
      </c>
      <c r="G185" s="41">
        <v>5666.5</v>
      </c>
      <c r="H185" s="97">
        <v>40</v>
      </c>
      <c r="I185" s="97">
        <f t="shared" si="18"/>
        <v>0</v>
      </c>
      <c r="J185" s="91">
        <f t="shared" si="19"/>
        <v>226660</v>
      </c>
      <c r="K185" s="94">
        <f t="shared" si="20"/>
        <v>0</v>
      </c>
      <c r="L185" s="11"/>
      <c r="M185" s="180" t="e">
        <f>#REF!-G185</f>
        <v>#REF!</v>
      </c>
    </row>
    <row r="188" spans="1:13">
      <c r="B188" s="127" t="s">
        <v>226</v>
      </c>
      <c r="C188" s="129">
        <v>200000</v>
      </c>
      <c r="D188" s="129">
        <v>26660</v>
      </c>
      <c r="E188" s="129">
        <v>226660</v>
      </c>
      <c r="F188" s="130">
        <v>40</v>
      </c>
      <c r="G188" s="137">
        <v>5666.5</v>
      </c>
      <c r="H188" s="134">
        <v>40</v>
      </c>
      <c r="I188" s="134">
        <f t="shared" ref="I188:I208" si="21">F188-H188</f>
        <v>0</v>
      </c>
      <c r="J188" s="135">
        <f t="shared" ref="J188:J208" si="22">H188*G188</f>
        <v>226660</v>
      </c>
      <c r="K188" s="136">
        <f t="shared" ref="K188:K208" si="23">E188-J188</f>
        <v>0</v>
      </c>
      <c r="L188" s="132"/>
      <c r="M188" s="121"/>
    </row>
    <row r="189" spans="1:13">
      <c r="B189" s="127" t="s">
        <v>181</v>
      </c>
      <c r="C189" s="129">
        <v>200000</v>
      </c>
      <c r="D189" s="129">
        <v>26660</v>
      </c>
      <c r="E189" s="129">
        <f t="shared" ref="E189:E195" si="24">SUM(C189:D189)</f>
        <v>226660</v>
      </c>
      <c r="F189" s="130">
        <v>40</v>
      </c>
      <c r="G189" s="129">
        <v>5666.5</v>
      </c>
      <c r="H189" s="134">
        <v>40</v>
      </c>
      <c r="I189" s="134">
        <f t="shared" si="21"/>
        <v>0</v>
      </c>
      <c r="J189" s="135">
        <f t="shared" si="22"/>
        <v>226660</v>
      </c>
      <c r="K189" s="136">
        <f t="shared" si="23"/>
        <v>0</v>
      </c>
      <c r="L189" s="132"/>
    </row>
    <row r="190" spans="1:13">
      <c r="B190" s="127" t="s">
        <v>249</v>
      </c>
      <c r="C190" s="128">
        <v>180000</v>
      </c>
      <c r="D190" s="128">
        <v>23994</v>
      </c>
      <c r="E190" s="129">
        <f t="shared" si="24"/>
        <v>203994</v>
      </c>
      <c r="F190" s="130">
        <v>40</v>
      </c>
      <c r="G190" s="128">
        <v>5099.8500000000004</v>
      </c>
      <c r="H190" s="134">
        <v>45</v>
      </c>
      <c r="I190" s="134">
        <f t="shared" si="21"/>
        <v>-5</v>
      </c>
      <c r="J190" s="135">
        <f t="shared" si="22"/>
        <v>229493.25000000003</v>
      </c>
      <c r="K190" s="136">
        <f t="shared" si="23"/>
        <v>-25499.250000000029</v>
      </c>
      <c r="L190" s="132"/>
    </row>
    <row r="191" spans="1:13">
      <c r="B191" s="127" t="s">
        <v>188</v>
      </c>
      <c r="C191" s="128">
        <v>180000</v>
      </c>
      <c r="D191" s="128">
        <v>23994</v>
      </c>
      <c r="E191" s="129">
        <f t="shared" si="24"/>
        <v>203994</v>
      </c>
      <c r="F191" s="130">
        <v>40</v>
      </c>
      <c r="G191" s="128">
        <v>5099.8500000000004</v>
      </c>
      <c r="H191" s="131">
        <v>37</v>
      </c>
      <c r="I191" s="131">
        <f t="shared" si="21"/>
        <v>3</v>
      </c>
      <c r="J191" s="128">
        <f t="shared" si="22"/>
        <v>188694.45</v>
      </c>
      <c r="K191" s="129">
        <f t="shared" si="23"/>
        <v>15299.549999999988</v>
      </c>
      <c r="L191" s="132"/>
    </row>
    <row r="192" spans="1:13">
      <c r="B192" s="127" t="s">
        <v>124</v>
      </c>
      <c r="C192" s="129">
        <v>200000</v>
      </c>
      <c r="D192" s="129">
        <v>26660</v>
      </c>
      <c r="E192" s="129">
        <f t="shared" si="24"/>
        <v>226660</v>
      </c>
      <c r="F192" s="130">
        <v>40</v>
      </c>
      <c r="G192" s="129">
        <v>5666.5</v>
      </c>
      <c r="H192" s="131">
        <v>40</v>
      </c>
      <c r="I192" s="131">
        <f t="shared" si="21"/>
        <v>0</v>
      </c>
      <c r="J192" s="128">
        <f t="shared" si="22"/>
        <v>226660</v>
      </c>
      <c r="K192" s="129">
        <f t="shared" si="23"/>
        <v>0</v>
      </c>
      <c r="L192" s="132"/>
    </row>
    <row r="193" spans="1:14">
      <c r="B193" s="127" t="s">
        <v>129</v>
      </c>
      <c r="C193" s="129">
        <v>200000</v>
      </c>
      <c r="D193" s="129">
        <v>26660</v>
      </c>
      <c r="E193" s="129">
        <f t="shared" si="24"/>
        <v>226660</v>
      </c>
      <c r="F193" s="130">
        <v>40</v>
      </c>
      <c r="G193" s="129">
        <v>5666.5</v>
      </c>
      <c r="H193" s="131">
        <v>38</v>
      </c>
      <c r="I193" s="131">
        <f t="shared" si="21"/>
        <v>2</v>
      </c>
      <c r="J193" s="128">
        <f t="shared" si="22"/>
        <v>215327</v>
      </c>
      <c r="K193" s="129">
        <f t="shared" si="23"/>
        <v>11333</v>
      </c>
      <c r="L193" s="132"/>
    </row>
    <row r="194" spans="1:14">
      <c r="B194" s="127" t="s">
        <v>202</v>
      </c>
      <c r="C194" s="128">
        <v>132000</v>
      </c>
      <c r="D194" s="128">
        <v>17595.599999999999</v>
      </c>
      <c r="E194" s="129">
        <f t="shared" si="24"/>
        <v>149595.6</v>
      </c>
      <c r="F194" s="130">
        <v>40</v>
      </c>
      <c r="G194" s="128">
        <v>3739.89</v>
      </c>
      <c r="H194" s="131">
        <v>34</v>
      </c>
      <c r="I194" s="131">
        <f t="shared" si="21"/>
        <v>6</v>
      </c>
      <c r="J194" s="128">
        <f t="shared" si="22"/>
        <v>127156.26</v>
      </c>
      <c r="K194" s="129">
        <f t="shared" si="23"/>
        <v>22439.340000000011</v>
      </c>
      <c r="L194" s="132"/>
    </row>
    <row r="195" spans="1:14">
      <c r="A195" s="101">
        <v>135</v>
      </c>
      <c r="B195" s="125" t="s">
        <v>138</v>
      </c>
      <c r="C195" s="129">
        <v>200000</v>
      </c>
      <c r="D195" s="129">
        <v>26660</v>
      </c>
      <c r="E195" s="129">
        <f t="shared" si="24"/>
        <v>226660</v>
      </c>
      <c r="F195" s="130">
        <v>40</v>
      </c>
      <c r="G195" s="129">
        <v>5666.5</v>
      </c>
      <c r="H195" s="134">
        <v>37</v>
      </c>
      <c r="I195" s="134">
        <f t="shared" si="21"/>
        <v>3</v>
      </c>
      <c r="J195" s="135">
        <f t="shared" si="22"/>
        <v>209660.5</v>
      </c>
      <c r="K195" s="136">
        <f t="shared" si="23"/>
        <v>16999.5</v>
      </c>
      <c r="L195" s="132"/>
    </row>
    <row r="196" spans="1:14">
      <c r="A196" s="101">
        <v>167.333333333333</v>
      </c>
      <c r="B196" s="127" t="s">
        <v>236</v>
      </c>
      <c r="C196" s="128">
        <v>180000</v>
      </c>
      <c r="D196" s="128">
        <v>23994</v>
      </c>
      <c r="E196" s="128">
        <v>203994</v>
      </c>
      <c r="F196" s="139">
        <v>40</v>
      </c>
      <c r="G196" s="137">
        <v>5099.8500000000004</v>
      </c>
      <c r="H196" s="134">
        <v>46</v>
      </c>
      <c r="I196" s="134">
        <f t="shared" si="21"/>
        <v>-6</v>
      </c>
      <c r="J196" s="135">
        <f t="shared" si="22"/>
        <v>234593.1</v>
      </c>
      <c r="K196" s="136">
        <f t="shared" si="23"/>
        <v>-30599.100000000006</v>
      </c>
      <c r="L196" s="140"/>
      <c r="N196" s="114"/>
    </row>
    <row r="197" spans="1:14">
      <c r="A197" s="101">
        <v>144.833333333333</v>
      </c>
      <c r="B197" s="127" t="s">
        <v>234</v>
      </c>
      <c r="C197" s="129">
        <v>200000</v>
      </c>
      <c r="D197" s="129">
        <v>26660</v>
      </c>
      <c r="E197" s="129">
        <v>226660</v>
      </c>
      <c r="F197" s="130">
        <v>40</v>
      </c>
      <c r="G197" s="137">
        <v>5666.5</v>
      </c>
      <c r="H197" s="134">
        <v>40</v>
      </c>
      <c r="I197" s="134">
        <f t="shared" si="21"/>
        <v>0</v>
      </c>
      <c r="J197" s="135">
        <f t="shared" si="22"/>
        <v>226660</v>
      </c>
      <c r="K197" s="136">
        <f t="shared" si="23"/>
        <v>0</v>
      </c>
      <c r="L197" s="132"/>
      <c r="N197" s="114"/>
    </row>
    <row r="198" spans="1:14">
      <c r="A198" s="101">
        <v>146.333333333333</v>
      </c>
      <c r="B198" s="141" t="s">
        <v>187</v>
      </c>
      <c r="C198" s="129">
        <v>150000</v>
      </c>
      <c r="D198" s="129">
        <v>11997</v>
      </c>
      <c r="E198" s="129">
        <f t="shared" ref="E198:E205" si="25">SUM(C198:D198)</f>
        <v>161997</v>
      </c>
      <c r="F198" s="130">
        <v>30</v>
      </c>
      <c r="G198" s="129">
        <v>5399.9</v>
      </c>
      <c r="H198" s="134">
        <v>31</v>
      </c>
      <c r="I198" s="134">
        <f t="shared" si="21"/>
        <v>-1</v>
      </c>
      <c r="J198" s="135">
        <f t="shared" si="22"/>
        <v>167396.9</v>
      </c>
      <c r="K198" s="136">
        <f t="shared" si="23"/>
        <v>-5399.8999999999942</v>
      </c>
      <c r="L198" s="132"/>
      <c r="N198" s="114"/>
    </row>
    <row r="199" spans="1:14">
      <c r="A199" s="101">
        <v>147.833333333333</v>
      </c>
      <c r="B199" s="127" t="s">
        <v>150</v>
      </c>
      <c r="C199" s="129">
        <v>200000</v>
      </c>
      <c r="D199" s="129">
        <v>26660</v>
      </c>
      <c r="E199" s="129">
        <f t="shared" si="25"/>
        <v>226660</v>
      </c>
      <c r="F199" s="130">
        <v>40</v>
      </c>
      <c r="G199" s="129">
        <v>5666.5</v>
      </c>
      <c r="H199" s="134">
        <v>40</v>
      </c>
      <c r="I199" s="134">
        <f t="shared" si="21"/>
        <v>0</v>
      </c>
      <c r="J199" s="135">
        <f t="shared" si="22"/>
        <v>226660</v>
      </c>
      <c r="K199" s="136">
        <f t="shared" si="23"/>
        <v>0</v>
      </c>
      <c r="L199" s="132"/>
    </row>
    <row r="200" spans="1:14">
      <c r="A200" s="101">
        <v>149.333333333333</v>
      </c>
      <c r="B200" s="125" t="s">
        <v>151</v>
      </c>
      <c r="C200" s="129">
        <v>200000</v>
      </c>
      <c r="D200" s="129">
        <v>26660</v>
      </c>
      <c r="E200" s="129">
        <f t="shared" si="25"/>
        <v>226660</v>
      </c>
      <c r="F200" s="130">
        <v>40</v>
      </c>
      <c r="G200" s="129">
        <v>5666.5</v>
      </c>
      <c r="H200" s="134">
        <v>38</v>
      </c>
      <c r="I200" s="134">
        <f t="shared" si="21"/>
        <v>2</v>
      </c>
      <c r="J200" s="135">
        <f t="shared" si="22"/>
        <v>215327</v>
      </c>
      <c r="K200" s="136">
        <f t="shared" si="23"/>
        <v>11333</v>
      </c>
      <c r="L200" s="132"/>
      <c r="N200" s="114"/>
    </row>
    <row r="201" spans="1:14">
      <c r="A201" s="101">
        <v>150.833333333333</v>
      </c>
      <c r="B201" s="186" t="s">
        <v>266</v>
      </c>
      <c r="C201" s="128">
        <v>330000</v>
      </c>
      <c r="D201" s="128">
        <v>43989</v>
      </c>
      <c r="E201" s="129">
        <f t="shared" si="25"/>
        <v>373989</v>
      </c>
      <c r="F201" s="130">
        <v>50</v>
      </c>
      <c r="G201" s="138">
        <v>7479</v>
      </c>
      <c r="H201" s="134">
        <v>8</v>
      </c>
      <c r="I201" s="134">
        <f t="shared" si="21"/>
        <v>42</v>
      </c>
      <c r="J201" s="135">
        <f t="shared" si="22"/>
        <v>59832</v>
      </c>
      <c r="K201" s="136">
        <f t="shared" si="23"/>
        <v>314157</v>
      </c>
      <c r="L201" s="124"/>
      <c r="N201" s="114"/>
    </row>
    <row r="202" spans="1:14">
      <c r="A202" s="101">
        <v>152.333333333333</v>
      </c>
      <c r="B202" s="125" t="s">
        <v>156</v>
      </c>
      <c r="C202" s="129">
        <v>200000</v>
      </c>
      <c r="D202" s="129">
        <v>26660</v>
      </c>
      <c r="E202" s="129">
        <f t="shared" si="25"/>
        <v>226660</v>
      </c>
      <c r="F202" s="130">
        <v>40</v>
      </c>
      <c r="G202" s="133">
        <v>3739.89</v>
      </c>
      <c r="H202" s="134">
        <v>40</v>
      </c>
      <c r="I202" s="134">
        <f t="shared" si="21"/>
        <v>0</v>
      </c>
      <c r="J202" s="135">
        <f t="shared" si="22"/>
        <v>149595.6</v>
      </c>
      <c r="K202" s="136">
        <f t="shared" si="23"/>
        <v>77064.399999999994</v>
      </c>
      <c r="L202" s="132"/>
      <c r="N202" s="114"/>
    </row>
    <row r="203" spans="1:14">
      <c r="A203" s="101">
        <v>153.833333333333</v>
      </c>
      <c r="B203" s="125" t="s">
        <v>157</v>
      </c>
      <c r="C203" s="129">
        <v>200000</v>
      </c>
      <c r="D203" s="129">
        <v>26660</v>
      </c>
      <c r="E203" s="129">
        <f t="shared" si="25"/>
        <v>226660</v>
      </c>
      <c r="F203" s="130">
        <v>40</v>
      </c>
      <c r="G203" s="129">
        <v>5666.5</v>
      </c>
      <c r="H203" s="134">
        <v>40</v>
      </c>
      <c r="I203" s="134">
        <f t="shared" si="21"/>
        <v>0</v>
      </c>
      <c r="J203" s="135">
        <f t="shared" si="22"/>
        <v>226660</v>
      </c>
      <c r="K203" s="136">
        <f t="shared" si="23"/>
        <v>0</v>
      </c>
      <c r="L203" s="132"/>
    </row>
    <row r="204" spans="1:14">
      <c r="A204" s="101">
        <v>155.333333333333</v>
      </c>
      <c r="B204" s="125" t="s">
        <v>158</v>
      </c>
      <c r="C204" s="129">
        <v>200000</v>
      </c>
      <c r="D204" s="129">
        <v>26660</v>
      </c>
      <c r="E204" s="129">
        <f t="shared" si="25"/>
        <v>226660</v>
      </c>
      <c r="F204" s="130">
        <v>40</v>
      </c>
      <c r="G204" s="129">
        <v>5666.5</v>
      </c>
      <c r="H204" s="134">
        <v>40</v>
      </c>
      <c r="I204" s="134">
        <f t="shared" si="21"/>
        <v>0</v>
      </c>
      <c r="J204" s="135">
        <f t="shared" si="22"/>
        <v>226660</v>
      </c>
      <c r="K204" s="136">
        <f t="shared" si="23"/>
        <v>0</v>
      </c>
      <c r="L204" s="132"/>
    </row>
    <row r="205" spans="1:14">
      <c r="A205" s="101">
        <v>156.833333333333</v>
      </c>
      <c r="B205" s="125" t="s">
        <v>159</v>
      </c>
      <c r="C205" s="129">
        <v>200000</v>
      </c>
      <c r="D205" s="129">
        <v>26660</v>
      </c>
      <c r="E205" s="129">
        <f t="shared" si="25"/>
        <v>226660</v>
      </c>
      <c r="F205" s="130">
        <v>40</v>
      </c>
      <c r="G205" s="129">
        <v>5666.5</v>
      </c>
      <c r="H205" s="134">
        <v>31</v>
      </c>
      <c r="I205" s="134">
        <f t="shared" si="21"/>
        <v>9</v>
      </c>
      <c r="J205" s="135">
        <f t="shared" si="22"/>
        <v>175661.5</v>
      </c>
      <c r="K205" s="136">
        <f t="shared" si="23"/>
        <v>50998.5</v>
      </c>
      <c r="L205" s="132"/>
    </row>
    <row r="206" spans="1:14">
      <c r="A206" s="101">
        <v>158.333333333333</v>
      </c>
      <c r="B206" s="127" t="s">
        <v>233</v>
      </c>
      <c r="C206" s="129">
        <v>200000</v>
      </c>
      <c r="D206" s="129">
        <v>26660</v>
      </c>
      <c r="E206" s="129">
        <v>226660</v>
      </c>
      <c r="F206" s="130">
        <v>40</v>
      </c>
      <c r="G206" s="137">
        <v>5666.5</v>
      </c>
      <c r="H206" s="134">
        <v>40</v>
      </c>
      <c r="I206" s="134">
        <f t="shared" si="21"/>
        <v>0</v>
      </c>
      <c r="J206" s="135">
        <f t="shared" si="22"/>
        <v>226660</v>
      </c>
      <c r="K206" s="136">
        <f t="shared" si="23"/>
        <v>0</v>
      </c>
      <c r="L206" s="132"/>
    </row>
    <row r="207" spans="1:14">
      <c r="A207" s="101">
        <v>159.833333333333</v>
      </c>
      <c r="B207" s="127" t="s">
        <v>160</v>
      </c>
      <c r="C207" s="129">
        <v>200000</v>
      </c>
      <c r="D207" s="129">
        <v>26660</v>
      </c>
      <c r="E207" s="129">
        <f>SUM(C207:D207)</f>
        <v>226660</v>
      </c>
      <c r="F207" s="130">
        <v>40</v>
      </c>
      <c r="G207" s="129">
        <v>5666.5</v>
      </c>
      <c r="H207" s="134">
        <v>40</v>
      </c>
      <c r="I207" s="134">
        <f t="shared" si="21"/>
        <v>0</v>
      </c>
      <c r="J207" s="135">
        <f t="shared" si="22"/>
        <v>226660</v>
      </c>
      <c r="K207" s="136">
        <f t="shared" si="23"/>
        <v>0</v>
      </c>
      <c r="L207" s="132"/>
    </row>
    <row r="208" spans="1:14">
      <c r="A208" s="101">
        <v>161.333333333333</v>
      </c>
      <c r="B208" s="127" t="s">
        <v>205</v>
      </c>
      <c r="C208" s="128">
        <v>132000</v>
      </c>
      <c r="D208" s="128">
        <v>17595.599999999999</v>
      </c>
      <c r="E208" s="129">
        <f>SUM(C208:D208)</f>
        <v>149595.6</v>
      </c>
      <c r="F208" s="130">
        <v>40</v>
      </c>
      <c r="G208" s="128">
        <v>3739.89</v>
      </c>
      <c r="H208" s="134">
        <v>40</v>
      </c>
      <c r="I208" s="134">
        <f t="shared" si="21"/>
        <v>0</v>
      </c>
      <c r="J208" s="135">
        <f t="shared" si="22"/>
        <v>149595.6</v>
      </c>
      <c r="K208" s="136">
        <f t="shared" si="23"/>
        <v>0</v>
      </c>
      <c r="L208" s="132"/>
    </row>
    <row r="210" spans="1:13">
      <c r="A210" s="101">
        <v>173.333333333333</v>
      </c>
    </row>
    <row r="211" spans="1:13">
      <c r="A211" s="101">
        <v>174.833333333333</v>
      </c>
    </row>
    <row r="214" spans="1:13">
      <c r="A214" s="160">
        <v>47</v>
      </c>
      <c r="B214" s="181" t="s">
        <v>432</v>
      </c>
      <c r="C214" s="16">
        <v>500000</v>
      </c>
      <c r="D214" s="16">
        <v>66650</v>
      </c>
      <c r="E214" s="41">
        <f>SUM(C214:D214)</f>
        <v>566650</v>
      </c>
      <c r="F214" s="33">
        <v>50</v>
      </c>
      <c r="G214" s="24">
        <v>5666.5</v>
      </c>
      <c r="H214" s="97">
        <v>33</v>
      </c>
      <c r="I214" s="97">
        <f>F214-H214</f>
        <v>17</v>
      </c>
      <c r="J214" s="91">
        <f>H214*G214</f>
        <v>186994.5</v>
      </c>
      <c r="K214" s="94">
        <f>E214-J214</f>
        <v>379655.5</v>
      </c>
      <c r="L214" s="11"/>
      <c r="M214" s="180" t="e">
        <f>#REF!-G214</f>
        <v>#REF!</v>
      </c>
    </row>
    <row r="215" spans="1:13">
      <c r="A215" s="160">
        <v>70</v>
      </c>
      <c r="B215" s="181" t="s">
        <v>433</v>
      </c>
      <c r="C215" s="41">
        <v>200000</v>
      </c>
      <c r="D215" s="41">
        <v>26660</v>
      </c>
      <c r="E215" s="41">
        <f>SUM(C215:D215)</f>
        <v>226660</v>
      </c>
      <c r="F215" s="33">
        <v>40</v>
      </c>
      <c r="G215" s="41">
        <v>5666.5</v>
      </c>
      <c r="H215" s="97">
        <v>40</v>
      </c>
      <c r="I215" s="97">
        <f>F215-H215</f>
        <v>0</v>
      </c>
      <c r="J215" s="91">
        <f>H215*G215</f>
        <v>226660</v>
      </c>
      <c r="K215" s="94">
        <f>E215-J215</f>
        <v>0</v>
      </c>
      <c r="L215" s="11"/>
      <c r="M215" s="180" t="e">
        <f>#REF!-G215</f>
        <v>#REF!</v>
      </c>
    </row>
    <row r="216" spans="1:13">
      <c r="A216" s="160">
        <v>93</v>
      </c>
      <c r="B216" s="181" t="s">
        <v>434</v>
      </c>
      <c r="C216" s="41">
        <v>200000</v>
      </c>
      <c r="D216" s="41">
        <v>26660</v>
      </c>
      <c r="E216" s="41">
        <f>SUM(C216:D216)</f>
        <v>226660</v>
      </c>
      <c r="F216" s="33">
        <v>40</v>
      </c>
      <c r="G216" s="41">
        <v>5666.5</v>
      </c>
      <c r="H216" s="97">
        <v>41</v>
      </c>
      <c r="I216" s="97">
        <f>F216-H216</f>
        <v>-1</v>
      </c>
      <c r="J216" s="91">
        <f>H216*G216</f>
        <v>232326.5</v>
      </c>
      <c r="K216" s="94">
        <f>E216-J216</f>
        <v>-5666.5</v>
      </c>
      <c r="L216" s="11"/>
      <c r="M216" s="180" t="e">
        <f>#REF!-G216</f>
        <v>#REF!</v>
      </c>
    </row>
    <row r="217" spans="1:13">
      <c r="A217" s="160">
        <v>10</v>
      </c>
      <c r="B217" s="181" t="s">
        <v>431</v>
      </c>
      <c r="C217" s="16">
        <v>450000</v>
      </c>
      <c r="D217" s="16">
        <v>28792.799999999999</v>
      </c>
      <c r="E217" s="41">
        <f>SUM(C217:D217)</f>
        <v>478792.8</v>
      </c>
      <c r="F217" s="33">
        <v>24</v>
      </c>
      <c r="G217" s="16">
        <v>19949.7</v>
      </c>
      <c r="H217" s="96">
        <v>24</v>
      </c>
      <c r="I217" s="96">
        <f>F217-H217</f>
        <v>0</v>
      </c>
      <c r="J217" s="16">
        <f>H217*G217</f>
        <v>478792.80000000005</v>
      </c>
      <c r="K217" s="41">
        <f>E217-J217</f>
        <v>0</v>
      </c>
      <c r="L217" s="11"/>
      <c r="M217" s="180" t="e">
        <f>#REF!-G217</f>
        <v>#REF!</v>
      </c>
    </row>
    <row r="218" spans="1:13">
      <c r="A218" s="160">
        <v>6</v>
      </c>
      <c r="B218" s="181" t="s">
        <v>430</v>
      </c>
      <c r="C218" s="16">
        <v>330000</v>
      </c>
      <c r="D218" s="16">
        <v>21114.720000000001</v>
      </c>
      <c r="E218" s="41">
        <f>SUM(C218:D218)</f>
        <v>351114.72</v>
      </c>
      <c r="F218" s="33">
        <v>24</v>
      </c>
      <c r="G218" s="24">
        <v>6649.9</v>
      </c>
      <c r="H218" s="96">
        <v>24</v>
      </c>
      <c r="I218" s="96">
        <f>F218-H218</f>
        <v>0</v>
      </c>
      <c r="J218" s="16">
        <f>H218*G218</f>
        <v>159597.59999999998</v>
      </c>
      <c r="K218" s="41">
        <f>E218-J218</f>
        <v>191517.12</v>
      </c>
      <c r="L218" s="11"/>
      <c r="M218" s="180" t="e">
        <f>#REF!-G218</f>
        <v>#REF!</v>
      </c>
    </row>
    <row r="220" spans="1:13">
      <c r="A220" s="96">
        <v>77</v>
      </c>
      <c r="B220" s="170" t="s">
        <v>400</v>
      </c>
      <c r="C220" s="41">
        <v>200000</v>
      </c>
      <c r="D220" s="41">
        <v>26660</v>
      </c>
      <c r="E220" s="41">
        <f>SUM(C220:D220)</f>
        <v>226660</v>
      </c>
      <c r="F220" s="33">
        <v>40</v>
      </c>
      <c r="G220" s="41">
        <v>5666.5</v>
      </c>
      <c r="H220" s="97">
        <v>36</v>
      </c>
      <c r="I220" s="97">
        <f>F220-H220</f>
        <v>4</v>
      </c>
      <c r="J220" s="91">
        <f>H220*G220</f>
        <v>203994</v>
      </c>
      <c r="K220" s="94">
        <f>E220-J220</f>
        <v>22666</v>
      </c>
      <c r="L220" s="11"/>
      <c r="M220" s="180" t="e">
        <f>#REF!-G220</f>
        <v>#REF!</v>
      </c>
    </row>
    <row r="221" spans="1:13">
      <c r="A221" s="96">
        <v>109</v>
      </c>
      <c r="B221" s="142" t="s">
        <v>406</v>
      </c>
      <c r="C221" s="41">
        <v>200000</v>
      </c>
      <c r="D221" s="41">
        <v>26660</v>
      </c>
      <c r="E221" s="41">
        <f>SUM(C221:D221)</f>
        <v>226660</v>
      </c>
      <c r="F221" s="33">
        <v>40</v>
      </c>
      <c r="G221" s="41">
        <v>5666.5</v>
      </c>
      <c r="H221" s="97">
        <v>39</v>
      </c>
      <c r="I221" s="97">
        <f>F221-H221</f>
        <v>1</v>
      </c>
      <c r="J221" s="91">
        <f>H221*G221</f>
        <v>220993.5</v>
      </c>
      <c r="K221" s="94">
        <f>E221-J221</f>
        <v>5666.5</v>
      </c>
      <c r="L221" s="11"/>
      <c r="M221" s="180" t="e">
        <f>#REF!-G221</f>
        <v>#REF!</v>
      </c>
    </row>
    <row r="222" spans="1:13">
      <c r="A222" s="96">
        <v>127</v>
      </c>
      <c r="B222" s="142" t="s">
        <v>423</v>
      </c>
      <c r="C222" s="16">
        <v>132000</v>
      </c>
      <c r="D222" s="16">
        <v>17595.599999999999</v>
      </c>
      <c r="E222" s="41">
        <f>SUM(C222:D222)</f>
        <v>149595.6</v>
      </c>
      <c r="F222" s="33">
        <v>40</v>
      </c>
      <c r="G222" s="16">
        <v>3739.89</v>
      </c>
      <c r="H222" s="97">
        <v>40</v>
      </c>
      <c r="I222" s="97">
        <f>F222-H222</f>
        <v>0</v>
      </c>
      <c r="J222" s="91">
        <f>H222*G222</f>
        <v>149595.6</v>
      </c>
      <c r="K222" s="94">
        <f>E222-J222</f>
        <v>0</v>
      </c>
      <c r="L222" s="11"/>
      <c r="M222" s="180" t="e">
        <f>#REF!-G222</f>
        <v>#REF!</v>
      </c>
    </row>
    <row r="223" spans="1:13">
      <c r="A223" s="96">
        <v>125</v>
      </c>
      <c r="B223" s="142" t="s">
        <v>427</v>
      </c>
      <c r="C223" s="155">
        <v>150000</v>
      </c>
      <c r="D223" s="155">
        <v>19995</v>
      </c>
      <c r="E223" s="155">
        <f>SUM(C223:D223)</f>
        <v>169995</v>
      </c>
      <c r="F223" s="33">
        <v>50</v>
      </c>
      <c r="G223" s="154">
        <v>3399.9</v>
      </c>
      <c r="H223" s="97">
        <v>9</v>
      </c>
      <c r="I223" s="97">
        <f>F223-H223</f>
        <v>41</v>
      </c>
      <c r="J223" s="91">
        <f>H223*G223</f>
        <v>30599.100000000002</v>
      </c>
      <c r="K223" s="91">
        <f>E223-J223</f>
        <v>139395.9</v>
      </c>
      <c r="L223" s="122"/>
      <c r="M223" s="180" t="e">
        <f>#REF!-G223</f>
        <v>#REF!</v>
      </c>
    </row>
    <row r="224" spans="1:13">
      <c r="A224" s="96">
        <v>5</v>
      </c>
      <c r="B224" s="2" t="s">
        <v>385</v>
      </c>
      <c r="C224" s="41">
        <v>200000</v>
      </c>
      <c r="D224" s="41">
        <v>26660</v>
      </c>
      <c r="E224" s="41">
        <f>SUM(C224:D224)</f>
        <v>226660</v>
      </c>
      <c r="F224" s="33">
        <v>40</v>
      </c>
      <c r="G224" s="41">
        <v>5666.5</v>
      </c>
      <c r="H224" s="96">
        <v>40</v>
      </c>
      <c r="I224" s="96">
        <f>F224-H224</f>
        <v>0</v>
      </c>
      <c r="J224" s="16">
        <f>H224*G224</f>
        <v>226660</v>
      </c>
      <c r="K224" s="41">
        <f>E224-J224</f>
        <v>0</v>
      </c>
      <c r="L224" s="11"/>
      <c r="M224" s="180" t="e">
        <f>#REF!-G224</f>
        <v>#REF!</v>
      </c>
    </row>
  </sheetData>
  <sortState ref="B6:L136">
    <sortCondition ref="B6:B136"/>
  </sortState>
  <mergeCells count="2">
    <mergeCell ref="A3:L3"/>
    <mergeCell ref="A4:L4"/>
  </mergeCells>
  <conditionalFormatting sqref="B218">
    <cfRule type="duplicateValues" dxfId="1888" priority="306" stopIfTrue="1"/>
    <cfRule type="duplicateValues" dxfId="1887" priority="307" stopIfTrue="1"/>
  </conditionalFormatting>
  <conditionalFormatting sqref="B218">
    <cfRule type="duplicateValues" dxfId="1886" priority="305" stopIfTrue="1"/>
  </conditionalFormatting>
  <conditionalFormatting sqref="B165">
    <cfRule type="duplicateValues" dxfId="1885" priority="303" stopIfTrue="1"/>
    <cfRule type="duplicateValues" dxfId="1884" priority="304" stopIfTrue="1"/>
  </conditionalFormatting>
  <conditionalFormatting sqref="B165">
    <cfRule type="duplicateValues" dxfId="1883" priority="302" stopIfTrue="1"/>
  </conditionalFormatting>
  <conditionalFormatting sqref="B217">
    <cfRule type="duplicateValues" dxfId="1882" priority="294" stopIfTrue="1"/>
    <cfRule type="duplicateValues" dxfId="1881" priority="295" stopIfTrue="1"/>
  </conditionalFormatting>
  <conditionalFormatting sqref="B217">
    <cfRule type="duplicateValues" dxfId="1880" priority="293" stopIfTrue="1"/>
  </conditionalFormatting>
  <conditionalFormatting sqref="B167">
    <cfRule type="duplicateValues" dxfId="1879" priority="288" stopIfTrue="1"/>
    <cfRule type="duplicateValues" dxfId="1878" priority="289" stopIfTrue="1"/>
  </conditionalFormatting>
  <conditionalFormatting sqref="B167">
    <cfRule type="duplicateValues" dxfId="1877" priority="287" stopIfTrue="1"/>
  </conditionalFormatting>
  <conditionalFormatting sqref="B168">
    <cfRule type="duplicateValues" dxfId="1876" priority="276" stopIfTrue="1"/>
    <cfRule type="duplicateValues" dxfId="1875" priority="277" stopIfTrue="1"/>
  </conditionalFormatting>
  <conditionalFormatting sqref="B168">
    <cfRule type="duplicateValues" dxfId="1874" priority="275" stopIfTrue="1"/>
  </conditionalFormatting>
  <conditionalFormatting sqref="B170">
    <cfRule type="duplicateValues" dxfId="1873" priority="264" stopIfTrue="1"/>
    <cfRule type="duplicateValues" dxfId="1872" priority="265" stopIfTrue="1"/>
  </conditionalFormatting>
  <conditionalFormatting sqref="B170">
    <cfRule type="duplicateValues" dxfId="1871" priority="263" stopIfTrue="1"/>
  </conditionalFormatting>
  <conditionalFormatting sqref="B171">
    <cfRule type="duplicateValues" dxfId="1870" priority="255" stopIfTrue="1"/>
    <cfRule type="duplicateValues" dxfId="1869" priority="256" stopIfTrue="1"/>
  </conditionalFormatting>
  <conditionalFormatting sqref="B171">
    <cfRule type="duplicateValues" dxfId="1868" priority="254" stopIfTrue="1"/>
  </conditionalFormatting>
  <conditionalFormatting sqref="B214">
    <cfRule type="duplicateValues" dxfId="1867" priority="237" stopIfTrue="1"/>
    <cfRule type="duplicateValues" dxfId="1866" priority="238" stopIfTrue="1"/>
  </conditionalFormatting>
  <conditionalFormatting sqref="B214">
    <cfRule type="duplicateValues" dxfId="1865" priority="236" stopIfTrue="1"/>
  </conditionalFormatting>
  <conditionalFormatting sqref="B173">
    <cfRule type="duplicateValues" dxfId="1864" priority="234" stopIfTrue="1"/>
    <cfRule type="duplicateValues" dxfId="1863" priority="235" stopIfTrue="1"/>
  </conditionalFormatting>
  <conditionalFormatting sqref="B173">
    <cfRule type="duplicateValues" dxfId="1862" priority="233" stopIfTrue="1"/>
  </conditionalFormatting>
  <conditionalFormatting sqref="B174">
    <cfRule type="duplicateValues" dxfId="1861" priority="219" stopIfTrue="1"/>
    <cfRule type="duplicateValues" dxfId="1860" priority="220" stopIfTrue="1"/>
  </conditionalFormatting>
  <conditionalFormatting sqref="B174">
    <cfRule type="duplicateValues" dxfId="1859" priority="218" stopIfTrue="1"/>
  </conditionalFormatting>
  <conditionalFormatting sqref="B175">
    <cfRule type="duplicateValues" dxfId="1858" priority="201" stopIfTrue="1"/>
    <cfRule type="duplicateValues" dxfId="1857" priority="202" stopIfTrue="1"/>
  </conditionalFormatting>
  <conditionalFormatting sqref="B175">
    <cfRule type="duplicateValues" dxfId="1856" priority="200" stopIfTrue="1"/>
  </conditionalFormatting>
  <conditionalFormatting sqref="B190">
    <cfRule type="duplicateValues" dxfId="1855" priority="195" stopIfTrue="1"/>
    <cfRule type="duplicateValues" dxfId="1854" priority="196" stopIfTrue="1"/>
  </conditionalFormatting>
  <conditionalFormatting sqref="B190">
    <cfRule type="duplicateValues" dxfId="1853" priority="194" stopIfTrue="1"/>
  </conditionalFormatting>
  <conditionalFormatting sqref="B177">
    <cfRule type="duplicateValues" dxfId="1852" priority="183" stopIfTrue="1"/>
    <cfRule type="duplicateValues" dxfId="1851" priority="184" stopIfTrue="1"/>
  </conditionalFormatting>
  <conditionalFormatting sqref="B177">
    <cfRule type="duplicateValues" dxfId="1850" priority="182" stopIfTrue="1"/>
  </conditionalFormatting>
  <conditionalFormatting sqref="B215">
    <cfRule type="duplicateValues" dxfId="1849" priority="177" stopIfTrue="1"/>
    <cfRule type="duplicateValues" dxfId="1848" priority="178" stopIfTrue="1"/>
  </conditionalFormatting>
  <conditionalFormatting sqref="B215">
    <cfRule type="duplicateValues" dxfId="1847" priority="176" stopIfTrue="1"/>
  </conditionalFormatting>
  <conditionalFormatting sqref="B178">
    <cfRule type="duplicateValues" dxfId="1846" priority="174" stopIfTrue="1"/>
    <cfRule type="duplicateValues" dxfId="1845" priority="175" stopIfTrue="1"/>
  </conditionalFormatting>
  <conditionalFormatting sqref="B178">
    <cfRule type="duplicateValues" dxfId="1844" priority="173" stopIfTrue="1"/>
  </conditionalFormatting>
  <conditionalFormatting sqref="B179">
    <cfRule type="duplicateValues" dxfId="1843" priority="168" stopIfTrue="1"/>
    <cfRule type="duplicateValues" dxfId="1842" priority="169" stopIfTrue="1"/>
  </conditionalFormatting>
  <conditionalFormatting sqref="B179">
    <cfRule type="duplicateValues" dxfId="1841" priority="167" stopIfTrue="1"/>
  </conditionalFormatting>
  <conditionalFormatting sqref="B220">
    <cfRule type="duplicateValues" dxfId="1840" priority="159" stopIfTrue="1"/>
    <cfRule type="duplicateValues" dxfId="1839" priority="160" stopIfTrue="1"/>
  </conditionalFormatting>
  <conditionalFormatting sqref="B220">
    <cfRule type="duplicateValues" dxfId="1838" priority="158" stopIfTrue="1"/>
  </conditionalFormatting>
  <conditionalFormatting sqref="B182">
    <cfRule type="duplicateValues" dxfId="1837" priority="150" stopIfTrue="1"/>
    <cfRule type="duplicateValues" dxfId="1836" priority="151" stopIfTrue="1"/>
  </conditionalFormatting>
  <conditionalFormatting sqref="B182">
    <cfRule type="duplicateValues" dxfId="1835" priority="149" stopIfTrue="1"/>
  </conditionalFormatting>
  <conditionalFormatting sqref="B185">
    <cfRule type="duplicateValues" dxfId="1834" priority="138" stopIfTrue="1"/>
    <cfRule type="duplicateValues" dxfId="1833" priority="139" stopIfTrue="1"/>
  </conditionalFormatting>
  <conditionalFormatting sqref="B185">
    <cfRule type="duplicateValues" dxfId="1832" priority="137" stopIfTrue="1"/>
  </conditionalFormatting>
  <conditionalFormatting sqref="B158">
    <cfRule type="duplicateValues" dxfId="1831" priority="129" stopIfTrue="1"/>
    <cfRule type="duplicateValues" dxfId="1830" priority="130" stopIfTrue="1"/>
  </conditionalFormatting>
  <conditionalFormatting sqref="B158">
    <cfRule type="duplicateValues" dxfId="1829" priority="128" stopIfTrue="1"/>
  </conditionalFormatting>
  <conditionalFormatting sqref="B216">
    <cfRule type="duplicateValues" dxfId="1828" priority="126" stopIfTrue="1"/>
    <cfRule type="duplicateValues" dxfId="1827" priority="127" stopIfTrue="1"/>
  </conditionalFormatting>
  <conditionalFormatting sqref="B216">
    <cfRule type="duplicateValues" dxfId="1826" priority="125" stopIfTrue="1"/>
  </conditionalFormatting>
  <conditionalFormatting sqref="B208">
    <cfRule type="duplicateValues" dxfId="1825" priority="123" stopIfTrue="1"/>
    <cfRule type="duplicateValues" dxfId="1824" priority="124" stopIfTrue="1"/>
  </conditionalFormatting>
  <conditionalFormatting sqref="B208">
    <cfRule type="duplicateValues" dxfId="1823" priority="122" stopIfTrue="1"/>
  </conditionalFormatting>
  <conditionalFormatting sqref="B180">
    <cfRule type="duplicateValues" dxfId="1822" priority="117" stopIfTrue="1"/>
    <cfRule type="duplicateValues" dxfId="1821" priority="118" stopIfTrue="1"/>
  </conditionalFormatting>
  <conditionalFormatting sqref="B180">
    <cfRule type="duplicateValues" dxfId="1820" priority="116" stopIfTrue="1"/>
  </conditionalFormatting>
  <conditionalFormatting sqref="B195">
    <cfRule type="duplicateValues" dxfId="1819" priority="99" stopIfTrue="1"/>
    <cfRule type="duplicateValues" dxfId="1818" priority="100" stopIfTrue="1"/>
  </conditionalFormatting>
  <conditionalFormatting sqref="B195">
    <cfRule type="duplicateValues" dxfId="1817" priority="98" stopIfTrue="1"/>
  </conditionalFormatting>
  <conditionalFormatting sqref="B197">
    <cfRule type="duplicateValues" dxfId="1816" priority="90" stopIfTrue="1"/>
    <cfRule type="duplicateValues" dxfId="1815" priority="91" stopIfTrue="1"/>
  </conditionalFormatting>
  <conditionalFormatting sqref="B197">
    <cfRule type="duplicateValues" dxfId="1814" priority="89" stopIfTrue="1"/>
  </conditionalFormatting>
  <conditionalFormatting sqref="B199">
    <cfRule type="duplicateValues" dxfId="1813" priority="87" stopIfTrue="1"/>
    <cfRule type="duplicateValues" dxfId="1812" priority="88" stopIfTrue="1"/>
  </conditionalFormatting>
  <conditionalFormatting sqref="B199">
    <cfRule type="duplicateValues" dxfId="1811" priority="86" stopIfTrue="1"/>
  </conditionalFormatting>
  <conditionalFormatting sqref="B200">
    <cfRule type="duplicateValues" dxfId="1810" priority="84" stopIfTrue="1"/>
    <cfRule type="duplicateValues" dxfId="1809" priority="85" stopIfTrue="1"/>
  </conditionalFormatting>
  <conditionalFormatting sqref="B200">
    <cfRule type="duplicateValues" dxfId="1808" priority="83" stopIfTrue="1"/>
  </conditionalFormatting>
  <conditionalFormatting sqref="B201">
    <cfRule type="duplicateValues" dxfId="1807" priority="81" stopIfTrue="1"/>
    <cfRule type="duplicateValues" dxfId="1806" priority="82" stopIfTrue="1"/>
  </conditionalFormatting>
  <conditionalFormatting sqref="B201">
    <cfRule type="duplicateValues" dxfId="1805" priority="80" stopIfTrue="1"/>
  </conditionalFormatting>
  <conditionalFormatting sqref="B202">
    <cfRule type="duplicateValues" dxfId="1804" priority="78" stopIfTrue="1"/>
    <cfRule type="duplicateValues" dxfId="1803" priority="79" stopIfTrue="1"/>
  </conditionalFormatting>
  <conditionalFormatting sqref="B202">
    <cfRule type="duplicateValues" dxfId="1802" priority="77" stopIfTrue="1"/>
  </conditionalFormatting>
  <conditionalFormatting sqref="B203">
    <cfRule type="duplicateValues" dxfId="1801" priority="72" stopIfTrue="1"/>
    <cfRule type="duplicateValues" dxfId="1800" priority="73" stopIfTrue="1"/>
  </conditionalFormatting>
  <conditionalFormatting sqref="B203">
    <cfRule type="duplicateValues" dxfId="1799" priority="71" stopIfTrue="1"/>
  </conditionalFormatting>
  <conditionalFormatting sqref="B204">
    <cfRule type="duplicateValues" dxfId="1798" priority="69" stopIfTrue="1"/>
    <cfRule type="duplicateValues" dxfId="1797" priority="70" stopIfTrue="1"/>
  </conditionalFormatting>
  <conditionalFormatting sqref="B204">
    <cfRule type="duplicateValues" dxfId="1796" priority="68" stopIfTrue="1"/>
  </conditionalFormatting>
  <conditionalFormatting sqref="B3">
    <cfRule type="duplicateValues" dxfId="1795" priority="67"/>
  </conditionalFormatting>
  <conditionalFormatting sqref="B205">
    <cfRule type="duplicateValues" dxfId="1794" priority="65" stopIfTrue="1"/>
    <cfRule type="duplicateValues" dxfId="1793" priority="66" stopIfTrue="1"/>
  </conditionalFormatting>
  <conditionalFormatting sqref="B205">
    <cfRule type="duplicateValues" dxfId="1792" priority="64" stopIfTrue="1"/>
  </conditionalFormatting>
  <conditionalFormatting sqref="B157">
    <cfRule type="duplicateValues" dxfId="1791" priority="62" stopIfTrue="1"/>
    <cfRule type="duplicateValues" dxfId="1790" priority="63" stopIfTrue="1"/>
  </conditionalFormatting>
  <conditionalFormatting sqref="B157">
    <cfRule type="duplicateValues" dxfId="1789" priority="61" stopIfTrue="1"/>
  </conditionalFormatting>
  <conditionalFormatting sqref="B169">
    <cfRule type="duplicateValues" dxfId="1788" priority="59"/>
  </conditionalFormatting>
  <conditionalFormatting sqref="B151">
    <cfRule type="duplicateValues" dxfId="1787" priority="45"/>
  </conditionalFormatting>
  <conditionalFormatting sqref="B210 B334:B1048576 B188:B208 B150:B151 B157:B159 B153 B161 B165:B185 B220:B224 B214:B218 B1:B5">
    <cfRule type="duplicateValues" dxfId="1786" priority="37"/>
  </conditionalFormatting>
  <conditionalFormatting sqref="B214:B218 B150:B151 B157:B159 B153 B161 B165:B185 B220:B224">
    <cfRule type="duplicateValues" dxfId="1785" priority="36"/>
  </conditionalFormatting>
  <conditionalFormatting sqref="B191:B192 B159 B221:B223">
    <cfRule type="duplicateValues" dxfId="1784" priority="31" stopIfTrue="1"/>
    <cfRule type="duplicateValues" dxfId="1783" priority="32" stopIfTrue="1"/>
  </conditionalFormatting>
  <conditionalFormatting sqref="B191:B192 B159 B221:B223">
    <cfRule type="duplicateValues" dxfId="1782" priority="30" stopIfTrue="1"/>
  </conditionalFormatting>
  <conditionalFormatting sqref="B191:B192 B221:B223 B159">
    <cfRule type="duplicateValues" dxfId="1781" priority="28" stopIfTrue="1"/>
    <cfRule type="duplicateValues" dxfId="1780" priority="29" stopIfTrue="1"/>
  </conditionalFormatting>
  <conditionalFormatting sqref="B191:B192 B221:B223 B159">
    <cfRule type="duplicateValues" dxfId="1779" priority="27" stopIfTrue="1"/>
  </conditionalFormatting>
  <conditionalFormatting sqref="B150">
    <cfRule type="duplicateValues" dxfId="1778" priority="20" stopIfTrue="1"/>
    <cfRule type="duplicateValues" dxfId="1777" priority="21" stopIfTrue="1"/>
  </conditionalFormatting>
  <conditionalFormatting sqref="B150">
    <cfRule type="duplicateValues" dxfId="1776" priority="19" stopIfTrue="1"/>
  </conditionalFormatting>
  <conditionalFormatting sqref="B224 B155 B167:B169 B165 B157:B159 B171:B185 B161:B163 B151 B153">
    <cfRule type="duplicateValues" dxfId="1775" priority="14" stopIfTrue="1"/>
    <cfRule type="duplicateValues" dxfId="1774" priority="15" stopIfTrue="1"/>
  </conditionalFormatting>
  <conditionalFormatting sqref="B224 B155 B167:B169 B165 B157:B159 B171:B185 B161:B163 B151 B153">
    <cfRule type="duplicateValues" dxfId="1773" priority="13" stopIfTrue="1"/>
  </conditionalFormatting>
  <conditionalFormatting sqref="B155 B150:B151 B153">
    <cfRule type="duplicateValues" dxfId="1772" priority="5" stopIfTrue="1"/>
    <cfRule type="duplicateValues" dxfId="1771" priority="6" stopIfTrue="1"/>
  </conditionalFormatting>
  <conditionalFormatting sqref="B155 B150:B151 B153">
    <cfRule type="duplicateValues" dxfId="1770" priority="4" stopIfTrue="1"/>
  </conditionalFormatting>
  <conditionalFormatting sqref="B155 B153 B151">
    <cfRule type="duplicateValues" dxfId="1769" priority="2" stopIfTrue="1"/>
    <cfRule type="duplicateValues" dxfId="1768" priority="3" stopIfTrue="1"/>
  </conditionalFormatting>
  <conditionalFormatting sqref="B155 B153 B151">
    <cfRule type="duplicateValues" dxfId="1767" priority="1" stopIfTrue="1"/>
  </conditionalFormatting>
  <conditionalFormatting sqref="B220:B224 B171:B185 B167:B169 B165 B157:B159 B150:B151 B161:B163 B153 B155">
    <cfRule type="duplicateValues" dxfId="1766" priority="721" stopIfTrue="1"/>
    <cfRule type="duplicateValues" dxfId="1765" priority="722" stopIfTrue="1"/>
  </conditionalFormatting>
  <conditionalFormatting sqref="B220:B224 B171:B185 B167:B169 B165 B157:B159 B150:B151 B161:B163 B153 B155">
    <cfRule type="duplicateValues" dxfId="1764" priority="747" stopIfTrue="1"/>
  </conditionalFormatting>
  <conditionalFormatting sqref="B151">
    <cfRule type="duplicateValues" dxfId="1763" priority="958" stopIfTrue="1"/>
    <cfRule type="duplicateValues" dxfId="1762" priority="959" stopIfTrue="1"/>
  </conditionalFormatting>
  <conditionalFormatting sqref="B153 B199:B204 B188:B189 B151 B195:B197">
    <cfRule type="duplicateValues" dxfId="1761" priority="1006" stopIfTrue="1"/>
    <cfRule type="duplicateValues" dxfId="1760" priority="1007" stopIfTrue="1"/>
  </conditionalFormatting>
  <conditionalFormatting sqref="B153 B199:B204 B188:B189 B151 B195:B197">
    <cfRule type="duplicateValues" dxfId="1759" priority="1022" stopIfTrue="1"/>
  </conditionalFormatting>
  <conditionalFormatting sqref="B153 B199:B204 B334:B1048576 B206:B208 B157:B159 B1:B2 B4:B5 B170:B183 B220:B224 B214:B218 B165:B168 B151 B195:B197 B188:B192 B185">
    <cfRule type="duplicateValues" dxfId="1758" priority="1117"/>
  </conditionalFormatting>
  <conditionalFormatting sqref="B153 B220:B224 B334:B1048576 B1:B5 B214:B218 B157:B159 B165:B168 B188:B192 B195:B197 B151 B199:B208 B185 B170:B183">
    <cfRule type="duplicateValues" dxfId="1757" priority="1143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3:N224"/>
  <sheetViews>
    <sheetView topLeftCell="A121" workbookViewId="0">
      <selection activeCell="B121" sqref="B121"/>
    </sheetView>
  </sheetViews>
  <sheetFormatPr defaultRowHeight="15"/>
  <cols>
    <col min="1" max="1" width="6.85546875" style="44" customWidth="1"/>
    <col min="2" max="2" width="37.140625" style="184" customWidth="1"/>
    <col min="3" max="3" width="15" customWidth="1"/>
    <col min="4" max="4" width="14" customWidth="1"/>
    <col min="5" max="5" width="15" customWidth="1"/>
    <col min="6" max="6" width="10.140625" style="43" customWidth="1"/>
    <col min="7" max="7" width="13.5703125" customWidth="1"/>
    <col min="8" max="8" width="10.85546875" style="99" customWidth="1"/>
    <col min="9" max="9" width="11.85546875" style="99" customWidth="1"/>
    <col min="10" max="10" width="14" customWidth="1"/>
    <col min="11" max="11" width="14.5703125" customWidth="1"/>
    <col min="12" max="12" width="9.28515625" customWidth="1"/>
    <col min="13" max="13" width="11.28515625" bestFit="1" customWidth="1"/>
  </cols>
  <sheetData>
    <row r="3" spans="1:13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</row>
    <row r="4" spans="1:13" ht="18">
      <c r="A4" s="418" t="s">
        <v>495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</row>
    <row r="5" spans="1:13" s="44" customFormat="1" ht="38.25">
      <c r="A5" s="5" t="s">
        <v>0</v>
      </c>
      <c r="B5" s="5" t="s">
        <v>1</v>
      </c>
      <c r="C5" s="7" t="s">
        <v>2</v>
      </c>
      <c r="D5" s="7" t="s">
        <v>3</v>
      </c>
      <c r="E5" s="5" t="s">
        <v>4</v>
      </c>
      <c r="F5" s="7" t="s">
        <v>5</v>
      </c>
      <c r="G5" s="6" t="s">
        <v>6</v>
      </c>
      <c r="H5" s="7" t="s">
        <v>7</v>
      </c>
      <c r="I5" s="7" t="s">
        <v>8</v>
      </c>
      <c r="J5" s="7" t="s">
        <v>9</v>
      </c>
      <c r="K5" s="6" t="s">
        <v>10</v>
      </c>
      <c r="L5" s="6" t="s">
        <v>11</v>
      </c>
    </row>
    <row r="6" spans="1:13" s="114" customFormat="1">
      <c r="A6" s="96">
        <v>1</v>
      </c>
      <c r="B6" s="4" t="s">
        <v>383</v>
      </c>
      <c r="C6" s="41">
        <v>200000</v>
      </c>
      <c r="D6" s="41">
        <v>26660</v>
      </c>
      <c r="E6" s="41">
        <f t="shared" ref="E6:E16" si="0">SUM(C6:D6)</f>
        <v>226660</v>
      </c>
      <c r="F6" s="159">
        <v>40</v>
      </c>
      <c r="G6" s="208">
        <v>5666.5</v>
      </c>
      <c r="H6" s="96">
        <v>42</v>
      </c>
      <c r="I6" s="96">
        <f t="shared" ref="I6:I37" si="1">F6-H6</f>
        <v>-2</v>
      </c>
      <c r="J6" s="16">
        <f t="shared" ref="J6:J18" si="2">H6*G6</f>
        <v>237993</v>
      </c>
      <c r="K6" s="41">
        <f t="shared" ref="K6:K37" si="3">E6-J6</f>
        <v>-11333</v>
      </c>
      <c r="L6" s="11"/>
      <c r="M6" s="180" t="e">
        <f>#REF!-G6</f>
        <v>#REF!</v>
      </c>
    </row>
    <row r="7" spans="1:13" s="114" customFormat="1">
      <c r="A7" s="96">
        <v>2</v>
      </c>
      <c r="B7" s="4" t="s">
        <v>490</v>
      </c>
      <c r="C7" s="19">
        <v>330000</v>
      </c>
      <c r="D7" s="19">
        <v>43989</v>
      </c>
      <c r="E7" s="19">
        <f t="shared" si="0"/>
        <v>373989</v>
      </c>
      <c r="F7" s="159">
        <v>50</v>
      </c>
      <c r="G7" s="230">
        <v>7479.78</v>
      </c>
      <c r="H7" s="159">
        <v>3</v>
      </c>
      <c r="I7" s="97">
        <f t="shared" si="1"/>
        <v>47</v>
      </c>
      <c r="J7" s="91">
        <f t="shared" si="2"/>
        <v>22439.34</v>
      </c>
      <c r="K7" s="94">
        <f t="shared" si="3"/>
        <v>351549.66</v>
      </c>
      <c r="L7" s="214"/>
      <c r="M7" s="180" t="e">
        <f>#REF!-G7</f>
        <v>#REF!</v>
      </c>
    </row>
    <row r="8" spans="1:13" s="114" customFormat="1">
      <c r="A8" s="96">
        <v>3</v>
      </c>
      <c r="B8" s="4" t="s">
        <v>417</v>
      </c>
      <c r="C8" s="16">
        <v>132000</v>
      </c>
      <c r="D8" s="16">
        <v>17595.599999999999</v>
      </c>
      <c r="E8" s="41">
        <f t="shared" si="0"/>
        <v>149595.6</v>
      </c>
      <c r="F8" s="159">
        <v>40</v>
      </c>
      <c r="G8" s="208">
        <v>3739.89</v>
      </c>
      <c r="H8" s="96">
        <v>35</v>
      </c>
      <c r="I8" s="96">
        <f t="shared" si="1"/>
        <v>5</v>
      </c>
      <c r="J8" s="16">
        <f t="shared" si="2"/>
        <v>130896.15</v>
      </c>
      <c r="K8" s="41">
        <f t="shared" si="3"/>
        <v>18699.450000000012</v>
      </c>
      <c r="L8" s="11"/>
      <c r="M8" s="180" t="e">
        <f>#REF!-G8</f>
        <v>#REF!</v>
      </c>
    </row>
    <row r="9" spans="1:13" s="114" customFormat="1">
      <c r="A9" s="96">
        <v>4</v>
      </c>
      <c r="B9" s="4" t="s">
        <v>413</v>
      </c>
      <c r="C9" s="12">
        <v>180000</v>
      </c>
      <c r="D9" s="12">
        <v>23994</v>
      </c>
      <c r="E9" s="15">
        <f t="shared" si="0"/>
        <v>203994</v>
      </c>
      <c r="F9" s="14">
        <v>40</v>
      </c>
      <c r="G9" s="208">
        <v>5099.8500000000004</v>
      </c>
      <c r="H9" s="159">
        <v>38</v>
      </c>
      <c r="I9" s="97">
        <f t="shared" si="1"/>
        <v>2</v>
      </c>
      <c r="J9" s="91">
        <f t="shared" si="2"/>
        <v>193794.30000000002</v>
      </c>
      <c r="K9" s="15">
        <f t="shared" si="3"/>
        <v>10199.699999999983</v>
      </c>
      <c r="L9" s="8"/>
      <c r="M9" s="180" t="e">
        <f>#REF!-G9</f>
        <v>#REF!</v>
      </c>
    </row>
    <row r="10" spans="1:13" s="114" customFormat="1">
      <c r="A10" s="96">
        <v>5</v>
      </c>
      <c r="B10" s="2" t="s">
        <v>307</v>
      </c>
      <c r="C10" s="12">
        <v>500000</v>
      </c>
      <c r="D10" s="12">
        <v>66650</v>
      </c>
      <c r="E10" s="15">
        <f t="shared" si="0"/>
        <v>566650</v>
      </c>
      <c r="F10" s="14">
        <v>50</v>
      </c>
      <c r="G10" s="208">
        <v>11333</v>
      </c>
      <c r="H10" s="14">
        <v>34</v>
      </c>
      <c r="I10" s="97">
        <f t="shared" si="1"/>
        <v>16</v>
      </c>
      <c r="J10" s="91">
        <f t="shared" si="2"/>
        <v>385322</v>
      </c>
      <c r="K10" s="15">
        <f t="shared" si="3"/>
        <v>181328</v>
      </c>
      <c r="L10" s="8"/>
      <c r="M10" s="180" t="e">
        <f>#REF!-G10</f>
        <v>#REF!</v>
      </c>
    </row>
    <row r="11" spans="1:13" s="114" customFormat="1">
      <c r="A11" s="96">
        <v>6</v>
      </c>
      <c r="B11" s="4" t="s">
        <v>304</v>
      </c>
      <c r="C11" s="16">
        <v>500000</v>
      </c>
      <c r="D11" s="16">
        <v>53320</v>
      </c>
      <c r="E11" s="41">
        <f t="shared" si="0"/>
        <v>553320</v>
      </c>
      <c r="F11" s="159">
        <v>40</v>
      </c>
      <c r="G11" s="208">
        <v>13833</v>
      </c>
      <c r="H11" s="96">
        <v>50</v>
      </c>
      <c r="I11" s="96">
        <f t="shared" si="1"/>
        <v>-10</v>
      </c>
      <c r="J11" s="16">
        <f t="shared" si="2"/>
        <v>691650</v>
      </c>
      <c r="K11" s="41">
        <f t="shared" si="3"/>
        <v>-138330</v>
      </c>
      <c r="L11" s="11"/>
      <c r="M11" s="180" t="e">
        <f>#REF!-G11</f>
        <v>#REF!</v>
      </c>
    </row>
    <row r="12" spans="1:13" s="114" customFormat="1">
      <c r="A12" s="96">
        <v>7</v>
      </c>
      <c r="B12" s="178" t="s">
        <v>281</v>
      </c>
      <c r="C12" s="16">
        <v>330000</v>
      </c>
      <c r="D12" s="16">
        <v>43989</v>
      </c>
      <c r="E12" s="41">
        <f t="shared" si="0"/>
        <v>373989</v>
      </c>
      <c r="F12" s="159">
        <v>50</v>
      </c>
      <c r="G12" s="208">
        <v>7478.78</v>
      </c>
      <c r="H12" s="159">
        <v>38</v>
      </c>
      <c r="I12" s="96">
        <f t="shared" si="1"/>
        <v>12</v>
      </c>
      <c r="J12" s="16">
        <f t="shared" si="2"/>
        <v>284193.64</v>
      </c>
      <c r="K12" s="41">
        <f t="shared" si="3"/>
        <v>89795.359999999986</v>
      </c>
      <c r="L12" s="11"/>
      <c r="M12" s="180" t="e">
        <f>#REF!-G12</f>
        <v>#REF!</v>
      </c>
    </row>
    <row r="13" spans="1:13" s="114" customFormat="1">
      <c r="A13" s="96">
        <v>8</v>
      </c>
      <c r="B13" s="46" t="s">
        <v>372</v>
      </c>
      <c r="C13" s="16">
        <v>330000</v>
      </c>
      <c r="D13" s="16">
        <v>43989</v>
      </c>
      <c r="E13" s="41">
        <f t="shared" si="0"/>
        <v>373989</v>
      </c>
      <c r="F13" s="159">
        <v>50</v>
      </c>
      <c r="G13" s="230">
        <v>7479.78</v>
      </c>
      <c r="H13" s="96">
        <v>38</v>
      </c>
      <c r="I13" s="96">
        <f t="shared" si="1"/>
        <v>12</v>
      </c>
      <c r="J13" s="16">
        <f t="shared" si="2"/>
        <v>284231.64</v>
      </c>
      <c r="K13" s="41">
        <f t="shared" si="3"/>
        <v>89757.359999999986</v>
      </c>
      <c r="L13" s="11"/>
      <c r="M13" s="180" t="e">
        <f>#REF!-G13</f>
        <v>#REF!</v>
      </c>
    </row>
    <row r="14" spans="1:13" s="114" customFormat="1">
      <c r="A14" s="96">
        <v>9</v>
      </c>
      <c r="B14" s="46" t="s">
        <v>308</v>
      </c>
      <c r="C14" s="16">
        <v>500000</v>
      </c>
      <c r="D14" s="16">
        <v>66650</v>
      </c>
      <c r="E14" s="41">
        <f t="shared" si="0"/>
        <v>566650</v>
      </c>
      <c r="F14" s="159">
        <v>50</v>
      </c>
      <c r="G14" s="209">
        <v>11333</v>
      </c>
      <c r="H14" s="96">
        <v>29</v>
      </c>
      <c r="I14" s="96">
        <f t="shared" si="1"/>
        <v>21</v>
      </c>
      <c r="J14" s="16">
        <f t="shared" si="2"/>
        <v>328657</v>
      </c>
      <c r="K14" s="41">
        <f t="shared" si="3"/>
        <v>237993</v>
      </c>
      <c r="L14" s="11"/>
      <c r="M14" s="180" t="e">
        <f>#REF!-G14</f>
        <v>#REF!</v>
      </c>
    </row>
    <row r="15" spans="1:13" s="114" customFormat="1">
      <c r="A15" s="96">
        <v>10</v>
      </c>
      <c r="B15" s="2" t="s">
        <v>389</v>
      </c>
      <c r="C15" s="41">
        <v>200000</v>
      </c>
      <c r="D15" s="41">
        <v>26660</v>
      </c>
      <c r="E15" s="41">
        <f t="shared" si="0"/>
        <v>226660</v>
      </c>
      <c r="F15" s="220">
        <v>40</v>
      </c>
      <c r="G15" s="208">
        <v>5666.5</v>
      </c>
      <c r="H15" s="96">
        <v>53</v>
      </c>
      <c r="I15" s="96">
        <f t="shared" si="1"/>
        <v>-13</v>
      </c>
      <c r="J15" s="16">
        <f t="shared" si="2"/>
        <v>300324.5</v>
      </c>
      <c r="K15" s="41">
        <f t="shared" si="3"/>
        <v>-73664.5</v>
      </c>
      <c r="L15" s="152"/>
      <c r="M15" s="180" t="e">
        <f>#REF!-G15</f>
        <v>#REF!</v>
      </c>
    </row>
    <row r="16" spans="1:13" s="114" customFormat="1">
      <c r="A16" s="96">
        <v>11</v>
      </c>
      <c r="B16" s="4" t="s">
        <v>309</v>
      </c>
      <c r="C16" s="16">
        <v>500000</v>
      </c>
      <c r="D16" s="16">
        <v>66650</v>
      </c>
      <c r="E16" s="41">
        <f t="shared" si="0"/>
        <v>566650</v>
      </c>
      <c r="F16" s="159">
        <v>50</v>
      </c>
      <c r="G16" s="208">
        <v>11333</v>
      </c>
      <c r="H16" s="96">
        <v>38</v>
      </c>
      <c r="I16" s="96">
        <f t="shared" si="1"/>
        <v>12</v>
      </c>
      <c r="J16" s="16">
        <f t="shared" si="2"/>
        <v>430654</v>
      </c>
      <c r="K16" s="41">
        <f t="shared" si="3"/>
        <v>135996</v>
      </c>
      <c r="L16" s="11"/>
      <c r="M16" s="180" t="e">
        <f>#REF!-G16</f>
        <v>#REF!</v>
      </c>
    </row>
    <row r="17" spans="1:13" s="114" customFormat="1">
      <c r="A17" s="96">
        <v>12</v>
      </c>
      <c r="B17" s="4" t="s">
        <v>310</v>
      </c>
      <c r="C17" s="19">
        <v>500000</v>
      </c>
      <c r="D17" s="19">
        <v>66650</v>
      </c>
      <c r="E17" s="19">
        <v>566650</v>
      </c>
      <c r="F17" s="159">
        <v>50</v>
      </c>
      <c r="G17" s="209">
        <v>11333</v>
      </c>
      <c r="H17" s="96">
        <v>15</v>
      </c>
      <c r="I17" s="96">
        <f t="shared" si="1"/>
        <v>35</v>
      </c>
      <c r="J17" s="16">
        <f t="shared" si="2"/>
        <v>169995</v>
      </c>
      <c r="K17" s="16">
        <f t="shared" si="3"/>
        <v>396655</v>
      </c>
      <c r="L17" s="122"/>
      <c r="M17" s="180" t="e">
        <f>#REF!-G17</f>
        <v>#REF!</v>
      </c>
    </row>
    <row r="18" spans="1:13" s="114" customFormat="1">
      <c r="A18" s="96">
        <v>13</v>
      </c>
      <c r="B18" s="2" t="s">
        <v>311</v>
      </c>
      <c r="C18" s="16">
        <v>500000</v>
      </c>
      <c r="D18" s="16">
        <v>66650</v>
      </c>
      <c r="E18" s="41">
        <f>SUM(C18:D18)</f>
        <v>566650</v>
      </c>
      <c r="F18" s="159">
        <v>50</v>
      </c>
      <c r="G18" s="208">
        <v>11333</v>
      </c>
      <c r="H18" s="96">
        <v>50</v>
      </c>
      <c r="I18" s="96">
        <f t="shared" si="1"/>
        <v>0</v>
      </c>
      <c r="J18" s="16">
        <f t="shared" si="2"/>
        <v>566650</v>
      </c>
      <c r="K18" s="41">
        <f t="shared" si="3"/>
        <v>0</v>
      </c>
      <c r="L18" s="11"/>
      <c r="M18" s="180" t="e">
        <f>#REF!-G18</f>
        <v>#REF!</v>
      </c>
    </row>
    <row r="19" spans="1:13" s="114" customFormat="1">
      <c r="A19" s="96">
        <v>14</v>
      </c>
      <c r="B19" s="46" t="s">
        <v>282</v>
      </c>
      <c r="C19" s="16">
        <v>330000</v>
      </c>
      <c r="D19" s="16">
        <v>43989</v>
      </c>
      <c r="E19" s="41">
        <f>SUM(C19:D19)</f>
        <v>373989</v>
      </c>
      <c r="F19" s="159">
        <v>50</v>
      </c>
      <c r="G19" s="230">
        <v>7479.78</v>
      </c>
      <c r="H19" s="159">
        <v>38</v>
      </c>
      <c r="I19" s="97">
        <f t="shared" si="1"/>
        <v>12</v>
      </c>
      <c r="J19" s="91">
        <f>(32*7479.78)</f>
        <v>239352.95999999999</v>
      </c>
      <c r="K19" s="94">
        <f t="shared" si="3"/>
        <v>134636.04</v>
      </c>
      <c r="L19" s="11"/>
      <c r="M19" s="180" t="e">
        <f>#REF!-G19</f>
        <v>#REF!</v>
      </c>
    </row>
    <row r="20" spans="1:13" s="114" customFormat="1">
      <c r="A20" s="96">
        <v>15</v>
      </c>
      <c r="B20" s="4" t="s">
        <v>312</v>
      </c>
      <c r="C20" s="16">
        <v>500000</v>
      </c>
      <c r="D20" s="16">
        <v>66650</v>
      </c>
      <c r="E20" s="41">
        <f>SUM(C20:D20)</f>
        <v>566650</v>
      </c>
      <c r="F20" s="159">
        <v>50</v>
      </c>
      <c r="G20" s="208">
        <v>11333</v>
      </c>
      <c r="H20" s="97">
        <v>50</v>
      </c>
      <c r="I20" s="97">
        <f t="shared" si="1"/>
        <v>0</v>
      </c>
      <c r="J20" s="91">
        <f>H20*G20</f>
        <v>566650</v>
      </c>
      <c r="K20" s="94">
        <f t="shared" si="3"/>
        <v>0</v>
      </c>
      <c r="L20" s="11"/>
      <c r="M20" s="180" t="e">
        <f>#REF!-G20</f>
        <v>#REF!</v>
      </c>
    </row>
    <row r="21" spans="1:13" s="114" customFormat="1">
      <c r="A21" s="96">
        <v>16</v>
      </c>
      <c r="B21" s="4" t="s">
        <v>360</v>
      </c>
      <c r="C21" s="16">
        <v>450000</v>
      </c>
      <c r="D21" s="16">
        <v>59985</v>
      </c>
      <c r="E21" s="16">
        <v>509985</v>
      </c>
      <c r="F21" s="159">
        <v>50</v>
      </c>
      <c r="G21" s="208">
        <v>10199.700000000001</v>
      </c>
      <c r="H21" s="97">
        <v>14</v>
      </c>
      <c r="I21" s="97">
        <f t="shared" si="1"/>
        <v>36</v>
      </c>
      <c r="J21" s="91">
        <f>H21*G21</f>
        <v>142795.80000000002</v>
      </c>
      <c r="K21" s="91">
        <f t="shared" si="3"/>
        <v>367189.19999999995</v>
      </c>
      <c r="L21" s="11"/>
      <c r="M21" s="180" t="e">
        <f>#REF!-G21</f>
        <v>#REF!</v>
      </c>
    </row>
    <row r="22" spans="1:13" s="114" customFormat="1">
      <c r="A22" s="96">
        <v>17</v>
      </c>
      <c r="B22" s="2" t="s">
        <v>361</v>
      </c>
      <c r="C22" s="16">
        <v>450000</v>
      </c>
      <c r="D22" s="16">
        <v>59985</v>
      </c>
      <c r="E22" s="16">
        <v>509985</v>
      </c>
      <c r="F22" s="159">
        <v>50</v>
      </c>
      <c r="G22" s="209">
        <v>10199.700000000001</v>
      </c>
      <c r="H22" s="97">
        <v>29</v>
      </c>
      <c r="I22" s="97">
        <f t="shared" si="1"/>
        <v>21</v>
      </c>
      <c r="J22" s="91">
        <f>H22*G22</f>
        <v>295791.30000000005</v>
      </c>
      <c r="K22" s="94">
        <f t="shared" si="3"/>
        <v>214193.69999999995</v>
      </c>
      <c r="L22" s="11"/>
      <c r="M22" s="180" t="e">
        <f>#REF!-G22</f>
        <v>#REF!</v>
      </c>
    </row>
    <row r="23" spans="1:13" s="114" customFormat="1">
      <c r="A23" s="96">
        <v>18</v>
      </c>
      <c r="B23" s="2" t="s">
        <v>305</v>
      </c>
      <c r="C23" s="16">
        <v>500000</v>
      </c>
      <c r="D23" s="16">
        <v>53320</v>
      </c>
      <c r="E23" s="41">
        <f>SUM(C23:D23)</f>
        <v>553320</v>
      </c>
      <c r="F23" s="159">
        <v>40</v>
      </c>
      <c r="G23" s="209">
        <v>13833</v>
      </c>
      <c r="H23" s="97">
        <v>50</v>
      </c>
      <c r="I23" s="97">
        <f t="shared" si="1"/>
        <v>-10</v>
      </c>
      <c r="J23" s="91">
        <f>H23*G23</f>
        <v>691650</v>
      </c>
      <c r="K23" s="94">
        <f t="shared" si="3"/>
        <v>-138330</v>
      </c>
      <c r="L23" s="11"/>
      <c r="M23" s="180" t="e">
        <f>#REF!-G23</f>
        <v>#REF!</v>
      </c>
    </row>
    <row r="24" spans="1:13" s="114" customFormat="1">
      <c r="A24" s="96">
        <v>19</v>
      </c>
      <c r="B24" s="2" t="s">
        <v>313</v>
      </c>
      <c r="C24" s="16">
        <v>500000</v>
      </c>
      <c r="D24" s="16">
        <v>66650</v>
      </c>
      <c r="E24" s="41">
        <f>SUM(C24:D24)</f>
        <v>566650</v>
      </c>
      <c r="F24" s="159">
        <v>50</v>
      </c>
      <c r="G24" s="209">
        <v>11333</v>
      </c>
      <c r="H24" s="97">
        <v>29</v>
      </c>
      <c r="I24" s="97">
        <f t="shared" si="1"/>
        <v>21</v>
      </c>
      <c r="J24" s="91">
        <f>H24*G24</f>
        <v>328657</v>
      </c>
      <c r="K24" s="94">
        <f t="shared" si="3"/>
        <v>237993</v>
      </c>
      <c r="L24" s="11"/>
      <c r="M24" s="180" t="e">
        <f>#REF!-G24</f>
        <v>#REF!</v>
      </c>
    </row>
    <row r="25" spans="1:13" s="114" customFormat="1">
      <c r="A25" s="96">
        <v>20</v>
      </c>
      <c r="B25" s="25" t="s">
        <v>298</v>
      </c>
      <c r="C25" s="16">
        <v>60000</v>
      </c>
      <c r="D25" s="16">
        <v>7998</v>
      </c>
      <c r="E25" s="41">
        <f>SUM(C25:D25)</f>
        <v>67998</v>
      </c>
      <c r="F25" s="159">
        <v>40</v>
      </c>
      <c r="G25" s="209">
        <v>1699.95</v>
      </c>
      <c r="H25" s="97">
        <v>4</v>
      </c>
      <c r="I25" s="97">
        <f t="shared" si="1"/>
        <v>36</v>
      </c>
      <c r="J25" s="91"/>
      <c r="K25" s="94">
        <f t="shared" si="3"/>
        <v>67998</v>
      </c>
      <c r="L25" s="11"/>
      <c r="M25" s="180" t="e">
        <f>#REF!-G25</f>
        <v>#REF!</v>
      </c>
    </row>
    <row r="26" spans="1:13" s="114" customFormat="1">
      <c r="A26" s="96">
        <v>21</v>
      </c>
      <c r="B26" s="46" t="s">
        <v>299</v>
      </c>
      <c r="C26" s="16">
        <v>500000</v>
      </c>
      <c r="D26" s="16">
        <v>66650</v>
      </c>
      <c r="E26" s="41">
        <f>SUM(C26:D26)</f>
        <v>566650</v>
      </c>
      <c r="F26" s="159">
        <v>50</v>
      </c>
      <c r="G26" s="208">
        <v>11333</v>
      </c>
      <c r="H26" s="97">
        <v>39</v>
      </c>
      <c r="I26" s="97">
        <f t="shared" si="1"/>
        <v>11</v>
      </c>
      <c r="J26" s="91">
        <f t="shared" ref="J26:J32" si="4">H26*G26</f>
        <v>441987</v>
      </c>
      <c r="K26" s="94">
        <f t="shared" si="3"/>
        <v>124663</v>
      </c>
      <c r="L26" s="11" t="s">
        <v>276</v>
      </c>
      <c r="M26" s="180" t="e">
        <f>#REF!-G26</f>
        <v>#REF!</v>
      </c>
    </row>
    <row r="27" spans="1:13" s="114" customFormat="1">
      <c r="A27" s="96">
        <v>22</v>
      </c>
      <c r="B27" s="2" t="s">
        <v>441</v>
      </c>
      <c r="C27" s="16">
        <v>500000</v>
      </c>
      <c r="D27" s="16">
        <v>66650</v>
      </c>
      <c r="E27" s="16">
        <v>566650</v>
      </c>
      <c r="F27" s="159">
        <v>50</v>
      </c>
      <c r="G27" s="231">
        <v>11333</v>
      </c>
      <c r="H27" s="96">
        <v>3</v>
      </c>
      <c r="I27" s="97">
        <f t="shared" si="1"/>
        <v>47</v>
      </c>
      <c r="J27" s="91">
        <f t="shared" si="4"/>
        <v>33999</v>
      </c>
      <c r="K27" s="94">
        <f t="shared" si="3"/>
        <v>532651</v>
      </c>
      <c r="L27" s="215"/>
      <c r="M27" s="180" t="e">
        <f>#REF!-G27</f>
        <v>#REF!</v>
      </c>
    </row>
    <row r="28" spans="1:13" s="114" customFormat="1">
      <c r="A28" s="96">
        <v>23</v>
      </c>
      <c r="B28" s="2" t="s">
        <v>107</v>
      </c>
      <c r="C28" s="16">
        <v>330000</v>
      </c>
      <c r="D28" s="16">
        <v>43989</v>
      </c>
      <c r="E28" s="41">
        <f>SUM(C28:D28)</f>
        <v>373989</v>
      </c>
      <c r="F28" s="159">
        <v>50</v>
      </c>
      <c r="G28" s="208">
        <v>7479.78</v>
      </c>
      <c r="H28" s="97">
        <v>50</v>
      </c>
      <c r="I28" s="97">
        <f t="shared" si="1"/>
        <v>0</v>
      </c>
      <c r="J28" s="91">
        <f t="shared" si="4"/>
        <v>373989</v>
      </c>
      <c r="K28" s="94">
        <f t="shared" si="3"/>
        <v>0</v>
      </c>
      <c r="L28" s="11"/>
      <c r="M28" s="180" t="e">
        <f>#REF!-G28</f>
        <v>#REF!</v>
      </c>
    </row>
    <row r="29" spans="1:13" s="114" customFormat="1">
      <c r="A29" s="96">
        <v>24</v>
      </c>
      <c r="B29" s="4" t="s">
        <v>374</v>
      </c>
      <c r="C29" s="16">
        <v>330000</v>
      </c>
      <c r="D29" s="16">
        <v>43989</v>
      </c>
      <c r="E29" s="41">
        <f>SUM(C29:D29)</f>
        <v>373989</v>
      </c>
      <c r="F29" s="159">
        <v>50</v>
      </c>
      <c r="G29" s="209">
        <v>7479.78</v>
      </c>
      <c r="H29" s="97">
        <v>50</v>
      </c>
      <c r="I29" s="97">
        <f t="shared" si="1"/>
        <v>0</v>
      </c>
      <c r="J29" s="91">
        <f t="shared" si="4"/>
        <v>373989</v>
      </c>
      <c r="K29" s="94">
        <f t="shared" si="3"/>
        <v>0</v>
      </c>
      <c r="L29" s="11"/>
      <c r="M29" s="180" t="e">
        <f>#REF!-G29</f>
        <v>#REF!</v>
      </c>
    </row>
    <row r="30" spans="1:13" s="114" customFormat="1">
      <c r="A30" s="96">
        <v>25</v>
      </c>
      <c r="B30" s="4" t="s">
        <v>314</v>
      </c>
      <c r="C30" s="19">
        <v>500000</v>
      </c>
      <c r="D30" s="19">
        <v>66650</v>
      </c>
      <c r="E30" s="19">
        <v>566650</v>
      </c>
      <c r="F30" s="159">
        <v>50</v>
      </c>
      <c r="G30" s="208">
        <v>11333</v>
      </c>
      <c r="H30" s="97">
        <v>15</v>
      </c>
      <c r="I30" s="97">
        <f t="shared" si="1"/>
        <v>35</v>
      </c>
      <c r="J30" s="91">
        <f t="shared" si="4"/>
        <v>169995</v>
      </c>
      <c r="K30" s="91">
        <f t="shared" si="3"/>
        <v>396655</v>
      </c>
      <c r="L30" s="122"/>
      <c r="M30" s="180" t="e">
        <f>#REF!-G30</f>
        <v>#REF!</v>
      </c>
    </row>
    <row r="31" spans="1:13" s="114" customFormat="1">
      <c r="A31" s="96">
        <v>26</v>
      </c>
      <c r="B31" s="4" t="s">
        <v>414</v>
      </c>
      <c r="C31" s="16">
        <v>180000</v>
      </c>
      <c r="D31" s="16">
        <v>23994</v>
      </c>
      <c r="E31" s="41">
        <f>SUM(C31:D31)</f>
        <v>203994</v>
      </c>
      <c r="F31" s="159">
        <v>40</v>
      </c>
      <c r="G31" s="208">
        <v>5099.8500000000004</v>
      </c>
      <c r="H31" s="97">
        <v>40</v>
      </c>
      <c r="I31" s="97">
        <f t="shared" si="1"/>
        <v>0</v>
      </c>
      <c r="J31" s="91">
        <f t="shared" si="4"/>
        <v>203994</v>
      </c>
      <c r="K31" s="94">
        <f t="shared" si="3"/>
        <v>0</v>
      </c>
      <c r="L31" s="11"/>
      <c r="M31" s="180" t="e">
        <f>#REF!-G31</f>
        <v>#REF!</v>
      </c>
    </row>
    <row r="32" spans="1:13" s="114" customFormat="1">
      <c r="A32" s="96">
        <v>27</v>
      </c>
      <c r="B32" s="4" t="s">
        <v>315</v>
      </c>
      <c r="C32" s="19">
        <v>500000</v>
      </c>
      <c r="D32" s="19">
        <v>66650</v>
      </c>
      <c r="E32" s="19">
        <v>566650</v>
      </c>
      <c r="F32" s="159">
        <v>50</v>
      </c>
      <c r="G32" s="208">
        <v>11333</v>
      </c>
      <c r="H32" s="97">
        <v>15</v>
      </c>
      <c r="I32" s="97">
        <f t="shared" si="1"/>
        <v>35</v>
      </c>
      <c r="J32" s="91">
        <f t="shared" si="4"/>
        <v>169995</v>
      </c>
      <c r="K32" s="91">
        <f t="shared" si="3"/>
        <v>396655</v>
      </c>
      <c r="L32" s="122"/>
      <c r="M32" s="180" t="e">
        <f>#REF!-G32</f>
        <v>#REF!</v>
      </c>
    </row>
    <row r="33" spans="1:13" s="114" customFormat="1">
      <c r="A33" s="96">
        <v>28</v>
      </c>
      <c r="B33" s="25" t="s">
        <v>216</v>
      </c>
      <c r="C33" s="16">
        <v>60000</v>
      </c>
      <c r="D33" s="16">
        <v>7998</v>
      </c>
      <c r="E33" s="41">
        <f>SUM(C33:D33)</f>
        <v>67998</v>
      </c>
      <c r="F33" s="159">
        <v>40</v>
      </c>
      <c r="G33" s="208">
        <v>1699.95</v>
      </c>
      <c r="H33" s="97">
        <v>4</v>
      </c>
      <c r="I33" s="97">
        <f t="shared" si="1"/>
        <v>36</v>
      </c>
      <c r="J33" s="91"/>
      <c r="K33" s="94">
        <f t="shared" si="3"/>
        <v>67998</v>
      </c>
      <c r="L33" s="11"/>
      <c r="M33" s="180" t="e">
        <f>#REF!-G33</f>
        <v>#REF!</v>
      </c>
    </row>
    <row r="34" spans="1:13" s="114" customFormat="1">
      <c r="A34" s="96">
        <v>29</v>
      </c>
      <c r="B34" s="4" t="s">
        <v>316</v>
      </c>
      <c r="C34" s="16">
        <v>500000</v>
      </c>
      <c r="D34" s="16">
        <v>66650</v>
      </c>
      <c r="E34" s="41">
        <f>SUM(C34:D34)</f>
        <v>566650</v>
      </c>
      <c r="F34" s="159">
        <v>50</v>
      </c>
      <c r="G34" s="208">
        <v>11333</v>
      </c>
      <c r="H34" s="97">
        <v>28</v>
      </c>
      <c r="I34" s="97">
        <f t="shared" si="1"/>
        <v>22</v>
      </c>
      <c r="J34" s="91">
        <f>H34*G34</f>
        <v>317324</v>
      </c>
      <c r="K34" s="94">
        <f t="shared" si="3"/>
        <v>249326</v>
      </c>
      <c r="L34" s="11"/>
      <c r="M34" s="180" t="e">
        <f>#REF!-G34</f>
        <v>#REF!</v>
      </c>
    </row>
    <row r="35" spans="1:13" s="114" customFormat="1">
      <c r="A35" s="96">
        <v>30</v>
      </c>
      <c r="B35" s="4" t="s">
        <v>317</v>
      </c>
      <c r="C35" s="16">
        <v>500000</v>
      </c>
      <c r="D35" s="16">
        <v>66650</v>
      </c>
      <c r="E35" s="41">
        <f>SUM(C35:D35)</f>
        <v>566650</v>
      </c>
      <c r="F35" s="159">
        <v>50</v>
      </c>
      <c r="G35" s="208">
        <v>11333</v>
      </c>
      <c r="H35" s="97">
        <v>38</v>
      </c>
      <c r="I35" s="97">
        <f t="shared" si="1"/>
        <v>12</v>
      </c>
      <c r="J35" s="91">
        <f>H35*G35</f>
        <v>430654</v>
      </c>
      <c r="K35" s="94">
        <f t="shared" si="3"/>
        <v>135996</v>
      </c>
      <c r="L35" s="11"/>
      <c r="M35" s="180" t="e">
        <f>#REF!-G35</f>
        <v>#REF!</v>
      </c>
    </row>
    <row r="36" spans="1:13" s="114" customFormat="1">
      <c r="A36" s="96">
        <v>31</v>
      </c>
      <c r="B36" s="4" t="s">
        <v>318</v>
      </c>
      <c r="C36" s="16">
        <v>500000</v>
      </c>
      <c r="D36" s="16">
        <v>66650</v>
      </c>
      <c r="E36" s="41">
        <f>SUM(C36:D36)</f>
        <v>566650</v>
      </c>
      <c r="F36" s="159">
        <v>50</v>
      </c>
      <c r="G36" s="208">
        <v>11333</v>
      </c>
      <c r="H36" s="97">
        <v>38</v>
      </c>
      <c r="I36" s="97">
        <f t="shared" si="1"/>
        <v>12</v>
      </c>
      <c r="J36" s="91">
        <f>H36*G36</f>
        <v>430654</v>
      </c>
      <c r="K36" s="94">
        <f t="shared" si="3"/>
        <v>135996</v>
      </c>
      <c r="L36" s="11"/>
      <c r="M36" s="180" t="e">
        <f>#REF!-G36</f>
        <v>#REF!</v>
      </c>
    </row>
    <row r="37" spans="1:13" s="114" customFormat="1">
      <c r="A37" s="96">
        <v>32</v>
      </c>
      <c r="B37" s="4" t="s">
        <v>457</v>
      </c>
      <c r="C37" s="19">
        <v>150000</v>
      </c>
      <c r="D37" s="19">
        <v>19995</v>
      </c>
      <c r="E37" s="19">
        <f>SUM(C37:D37)</f>
        <v>169995</v>
      </c>
      <c r="F37" s="159">
        <v>50</v>
      </c>
      <c r="G37" s="235">
        <v>3399.9</v>
      </c>
      <c r="H37" s="101">
        <v>3</v>
      </c>
      <c r="I37" s="97">
        <f t="shared" si="1"/>
        <v>47</v>
      </c>
      <c r="J37" s="91">
        <f>H37*G37</f>
        <v>10199.700000000001</v>
      </c>
      <c r="K37" s="94">
        <f t="shared" si="3"/>
        <v>159795.29999999999</v>
      </c>
      <c r="L37" s="218"/>
      <c r="M37" s="180" t="e">
        <f>#REF!-G37</f>
        <v>#REF!</v>
      </c>
    </row>
    <row r="38" spans="1:13" s="114" customFormat="1">
      <c r="A38" s="96">
        <v>33</v>
      </c>
      <c r="B38" s="171" t="s">
        <v>363</v>
      </c>
      <c r="C38" s="16">
        <v>450000</v>
      </c>
      <c r="D38" s="16">
        <v>59985</v>
      </c>
      <c r="E38" s="16">
        <v>509985</v>
      </c>
      <c r="F38" s="159">
        <v>50</v>
      </c>
      <c r="G38" s="208">
        <v>10199.700000000001</v>
      </c>
      <c r="H38" s="97">
        <v>7</v>
      </c>
      <c r="I38" s="97">
        <f t="shared" ref="I38:I69" si="5">F38-H38</f>
        <v>43</v>
      </c>
      <c r="J38" s="91">
        <f>(1*10199.7)</f>
        <v>10199.700000000001</v>
      </c>
      <c r="K38" s="94">
        <f t="shared" ref="K38:K69" si="6">E38-J38</f>
        <v>499785.3</v>
      </c>
      <c r="L38" s="11"/>
      <c r="M38" s="180" t="e">
        <f>#REF!-G38</f>
        <v>#REF!</v>
      </c>
    </row>
    <row r="39" spans="1:13" s="114" customFormat="1">
      <c r="A39" s="96">
        <v>34</v>
      </c>
      <c r="B39" s="171" t="s">
        <v>319</v>
      </c>
      <c r="C39" s="16">
        <v>450000</v>
      </c>
      <c r="D39" s="16">
        <v>59985</v>
      </c>
      <c r="E39" s="41">
        <f t="shared" ref="E39:E49" si="7">SUM(C39:D39)</f>
        <v>509985</v>
      </c>
      <c r="F39" s="159">
        <v>50</v>
      </c>
      <c r="G39" s="208">
        <v>11333</v>
      </c>
      <c r="H39" s="97">
        <v>18</v>
      </c>
      <c r="I39" s="97">
        <f t="shared" si="5"/>
        <v>32</v>
      </c>
      <c r="J39" s="91">
        <f t="shared" ref="J39:J70" si="8">H39*G39</f>
        <v>203994</v>
      </c>
      <c r="K39" s="94">
        <f t="shared" si="6"/>
        <v>305991</v>
      </c>
      <c r="L39" s="11"/>
    </row>
    <row r="40" spans="1:13" s="114" customFormat="1">
      <c r="A40" s="96">
        <v>35</v>
      </c>
      <c r="B40" s="4" t="s">
        <v>424</v>
      </c>
      <c r="C40" s="12">
        <v>150000</v>
      </c>
      <c r="D40" s="12">
        <v>19995</v>
      </c>
      <c r="E40" s="15">
        <f t="shared" si="7"/>
        <v>169995</v>
      </c>
      <c r="F40" s="14">
        <v>50</v>
      </c>
      <c r="G40" s="208">
        <v>3399.9</v>
      </c>
      <c r="H40" s="14">
        <v>34</v>
      </c>
      <c r="I40" s="97">
        <f t="shared" si="5"/>
        <v>16</v>
      </c>
      <c r="J40" s="91">
        <f t="shared" si="8"/>
        <v>115596.6</v>
      </c>
      <c r="K40" s="15">
        <f t="shared" si="6"/>
        <v>54398.399999999994</v>
      </c>
      <c r="L40" s="8"/>
      <c r="M40" s="180" t="e">
        <f>#REF!-G40</f>
        <v>#REF!</v>
      </c>
    </row>
    <row r="41" spans="1:13" s="114" customFormat="1">
      <c r="A41" s="96">
        <v>36</v>
      </c>
      <c r="B41" s="4" t="s">
        <v>375</v>
      </c>
      <c r="C41" s="16">
        <v>330000</v>
      </c>
      <c r="D41" s="16">
        <v>43989</v>
      </c>
      <c r="E41" s="41">
        <f t="shared" si="7"/>
        <v>373989</v>
      </c>
      <c r="F41" s="159">
        <v>50</v>
      </c>
      <c r="G41" s="209">
        <v>7479.78</v>
      </c>
      <c r="H41" s="97">
        <v>29</v>
      </c>
      <c r="I41" s="97">
        <f t="shared" si="5"/>
        <v>21</v>
      </c>
      <c r="J41" s="91">
        <f t="shared" si="8"/>
        <v>216913.62</v>
      </c>
      <c r="K41" s="94">
        <f t="shared" si="6"/>
        <v>157075.38</v>
      </c>
      <c r="L41" s="11"/>
      <c r="M41" s="180" t="e">
        <f>#REF!-G41</f>
        <v>#REF!</v>
      </c>
    </row>
    <row r="42" spans="1:13" s="114" customFormat="1">
      <c r="A42" s="96">
        <v>37</v>
      </c>
      <c r="B42" s="2" t="s">
        <v>320</v>
      </c>
      <c r="C42" s="16">
        <v>500000</v>
      </c>
      <c r="D42" s="16">
        <v>66650</v>
      </c>
      <c r="E42" s="41">
        <f t="shared" si="7"/>
        <v>566650</v>
      </c>
      <c r="F42" s="159">
        <v>50</v>
      </c>
      <c r="G42" s="208">
        <v>11333</v>
      </c>
      <c r="H42" s="188">
        <v>5</v>
      </c>
      <c r="I42" s="188">
        <f t="shared" si="5"/>
        <v>45</v>
      </c>
      <c r="J42" s="91">
        <f t="shared" si="8"/>
        <v>56665</v>
      </c>
      <c r="K42" s="94">
        <f t="shared" si="6"/>
        <v>509985</v>
      </c>
      <c r="L42" s="122"/>
      <c r="M42" s="180" t="e">
        <f>#REF!-G42</f>
        <v>#REF!</v>
      </c>
    </row>
    <row r="43" spans="1:13" s="114" customFormat="1">
      <c r="A43" s="96">
        <v>38</v>
      </c>
      <c r="B43" s="4" t="s">
        <v>112</v>
      </c>
      <c r="C43" s="16">
        <v>330000</v>
      </c>
      <c r="D43" s="16">
        <v>43989</v>
      </c>
      <c r="E43" s="41">
        <f t="shared" si="7"/>
        <v>373989</v>
      </c>
      <c r="F43" s="159">
        <v>50</v>
      </c>
      <c r="G43" s="230">
        <v>7479.78</v>
      </c>
      <c r="H43" s="97">
        <v>29</v>
      </c>
      <c r="I43" s="97">
        <f t="shared" si="5"/>
        <v>21</v>
      </c>
      <c r="J43" s="91">
        <f t="shared" si="8"/>
        <v>216913.62</v>
      </c>
      <c r="K43" s="94">
        <f t="shared" si="6"/>
        <v>157075.38</v>
      </c>
      <c r="L43" s="11"/>
      <c r="M43" s="180" t="e">
        <f>#REF!-G43</f>
        <v>#REF!</v>
      </c>
    </row>
    <row r="44" spans="1:13" s="114" customFormat="1">
      <c r="A44" s="96">
        <v>39</v>
      </c>
      <c r="B44" s="166" t="s">
        <v>285</v>
      </c>
      <c r="C44" s="41">
        <v>200000</v>
      </c>
      <c r="D44" s="41">
        <v>26660</v>
      </c>
      <c r="E44" s="41">
        <f t="shared" si="7"/>
        <v>226660</v>
      </c>
      <c r="F44" s="159">
        <v>40</v>
      </c>
      <c r="G44" s="230">
        <v>7479</v>
      </c>
      <c r="H44" s="97">
        <v>14</v>
      </c>
      <c r="I44" s="97">
        <f t="shared" si="5"/>
        <v>26</v>
      </c>
      <c r="J44" s="91">
        <f t="shared" si="8"/>
        <v>104706</v>
      </c>
      <c r="K44" s="94">
        <f t="shared" si="6"/>
        <v>121954</v>
      </c>
      <c r="L44" s="11"/>
      <c r="M44" s="180" t="e">
        <f>#REF!-G44</f>
        <v>#REF!</v>
      </c>
    </row>
    <row r="45" spans="1:13" s="114" customFormat="1">
      <c r="A45" s="96">
        <v>40</v>
      </c>
      <c r="B45" s="4" t="s">
        <v>321</v>
      </c>
      <c r="C45" s="16">
        <v>500000</v>
      </c>
      <c r="D45" s="16">
        <v>66650</v>
      </c>
      <c r="E45" s="41">
        <f t="shared" si="7"/>
        <v>566650</v>
      </c>
      <c r="F45" s="159">
        <v>50</v>
      </c>
      <c r="G45" s="209">
        <v>11333</v>
      </c>
      <c r="H45" s="97">
        <v>28</v>
      </c>
      <c r="I45" s="97">
        <f t="shared" si="5"/>
        <v>22</v>
      </c>
      <c r="J45" s="91">
        <f t="shared" si="8"/>
        <v>317324</v>
      </c>
      <c r="K45" s="94">
        <f t="shared" si="6"/>
        <v>249326</v>
      </c>
      <c r="L45" s="11"/>
      <c r="M45" s="180" t="e">
        <f>#REF!-G45</f>
        <v>#REF!</v>
      </c>
    </row>
    <row r="46" spans="1:13" s="114" customFormat="1">
      <c r="A46" s="96">
        <v>41</v>
      </c>
      <c r="B46" s="4" t="s">
        <v>322</v>
      </c>
      <c r="C46" s="16">
        <v>500000</v>
      </c>
      <c r="D46" s="16">
        <v>66650</v>
      </c>
      <c r="E46" s="41">
        <f t="shared" si="7"/>
        <v>566650</v>
      </c>
      <c r="F46" s="159">
        <v>50</v>
      </c>
      <c r="G46" s="208">
        <v>11333</v>
      </c>
      <c r="H46" s="97">
        <v>29</v>
      </c>
      <c r="I46" s="97">
        <f t="shared" si="5"/>
        <v>21</v>
      </c>
      <c r="J46" s="91">
        <f t="shared" si="8"/>
        <v>328657</v>
      </c>
      <c r="K46" s="94">
        <f t="shared" si="6"/>
        <v>237993</v>
      </c>
      <c r="L46" s="11"/>
      <c r="M46" s="180" t="e">
        <f>#REF!-G46</f>
        <v>#REF!</v>
      </c>
    </row>
    <row r="47" spans="1:13" s="114" customFormat="1">
      <c r="A47" s="96">
        <v>42</v>
      </c>
      <c r="B47" s="199" t="s">
        <v>323</v>
      </c>
      <c r="C47" s="16">
        <v>500000</v>
      </c>
      <c r="D47" s="16">
        <v>66650</v>
      </c>
      <c r="E47" s="41">
        <f t="shared" si="7"/>
        <v>566650</v>
      </c>
      <c r="F47" s="159">
        <v>50</v>
      </c>
      <c r="G47" s="233">
        <v>11333</v>
      </c>
      <c r="H47" s="97">
        <v>28</v>
      </c>
      <c r="I47" s="97">
        <f t="shared" si="5"/>
        <v>22</v>
      </c>
      <c r="J47" s="91">
        <f t="shared" si="8"/>
        <v>317324</v>
      </c>
      <c r="K47" s="94">
        <f t="shared" si="6"/>
        <v>249326</v>
      </c>
      <c r="L47" s="11"/>
      <c r="M47" s="180"/>
    </row>
    <row r="48" spans="1:13" s="114" customFormat="1">
      <c r="A48" s="96">
        <v>43</v>
      </c>
      <c r="B48" s="4" t="s">
        <v>324</v>
      </c>
      <c r="C48" s="12">
        <v>500000</v>
      </c>
      <c r="D48" s="12">
        <v>66650</v>
      </c>
      <c r="E48" s="15">
        <f t="shared" si="7"/>
        <v>566650</v>
      </c>
      <c r="F48" s="14">
        <v>50</v>
      </c>
      <c r="G48" s="230">
        <v>11333</v>
      </c>
      <c r="H48" s="14">
        <v>34</v>
      </c>
      <c r="I48" s="97">
        <f t="shared" si="5"/>
        <v>16</v>
      </c>
      <c r="J48" s="91">
        <f t="shared" si="8"/>
        <v>385322</v>
      </c>
      <c r="K48" s="15">
        <f t="shared" si="6"/>
        <v>181328</v>
      </c>
      <c r="L48" s="8"/>
      <c r="M48" s="180" t="e">
        <f>#REF!-G48</f>
        <v>#REF!</v>
      </c>
    </row>
    <row r="49" spans="1:13" s="114" customFormat="1">
      <c r="A49" s="96">
        <v>44</v>
      </c>
      <c r="B49" s="4" t="s">
        <v>376</v>
      </c>
      <c r="C49" s="16">
        <v>330000</v>
      </c>
      <c r="D49" s="16">
        <v>43989</v>
      </c>
      <c r="E49" s="41">
        <f t="shared" si="7"/>
        <v>373989</v>
      </c>
      <c r="F49" s="159">
        <v>50</v>
      </c>
      <c r="G49" s="208">
        <v>7479.78</v>
      </c>
      <c r="H49" s="97">
        <v>50</v>
      </c>
      <c r="I49" s="97">
        <f t="shared" si="5"/>
        <v>0</v>
      </c>
      <c r="J49" s="91">
        <f t="shared" si="8"/>
        <v>373989</v>
      </c>
      <c r="K49" s="94">
        <f t="shared" si="6"/>
        <v>0</v>
      </c>
      <c r="L49" s="11"/>
      <c r="M49" s="180" t="e">
        <f>#REF!-G49</f>
        <v>#REF!</v>
      </c>
    </row>
    <row r="50" spans="1:13" s="114" customFormat="1">
      <c r="A50" s="96">
        <v>45</v>
      </c>
      <c r="B50" s="2" t="s">
        <v>485</v>
      </c>
      <c r="C50" s="19">
        <v>450000</v>
      </c>
      <c r="D50" s="19">
        <v>59985</v>
      </c>
      <c r="E50" s="19">
        <v>509985</v>
      </c>
      <c r="F50" s="159">
        <v>50</v>
      </c>
      <c r="G50" s="236">
        <v>10199.700000000001</v>
      </c>
      <c r="H50" s="97">
        <v>40</v>
      </c>
      <c r="I50" s="97">
        <f t="shared" si="5"/>
        <v>10</v>
      </c>
      <c r="J50" s="91">
        <f t="shared" si="8"/>
        <v>407988</v>
      </c>
      <c r="K50" s="94">
        <f t="shared" si="6"/>
        <v>101997</v>
      </c>
      <c r="L50" s="11"/>
      <c r="M50" s="180" t="e">
        <f>#REF!-G50</f>
        <v>#REF!</v>
      </c>
    </row>
    <row r="51" spans="1:13" s="114" customFormat="1">
      <c r="A51" s="96">
        <v>46</v>
      </c>
      <c r="B51" s="4" t="s">
        <v>489</v>
      </c>
      <c r="C51" s="19">
        <v>450000</v>
      </c>
      <c r="D51" s="19">
        <v>59985</v>
      </c>
      <c r="E51" s="19">
        <v>509985</v>
      </c>
      <c r="F51" s="159">
        <v>50</v>
      </c>
      <c r="G51" s="208">
        <v>10199.700000000001</v>
      </c>
      <c r="H51" s="101">
        <v>3</v>
      </c>
      <c r="I51" s="97">
        <f t="shared" si="5"/>
        <v>47</v>
      </c>
      <c r="J51" s="91">
        <f t="shared" si="8"/>
        <v>30599.100000000002</v>
      </c>
      <c r="K51" s="94">
        <f t="shared" si="6"/>
        <v>479385.9</v>
      </c>
      <c r="L51" s="218"/>
      <c r="M51" s="180" t="e">
        <f>#REF!-G51</f>
        <v>#REF!</v>
      </c>
    </row>
    <row r="52" spans="1:13" s="114" customFormat="1">
      <c r="A52" s="96">
        <v>47</v>
      </c>
      <c r="B52" s="4" t="s">
        <v>325</v>
      </c>
      <c r="C52" s="16">
        <v>500000</v>
      </c>
      <c r="D52" s="16">
        <v>66650</v>
      </c>
      <c r="E52" s="41">
        <f>SUM(C52:D52)</f>
        <v>566650</v>
      </c>
      <c r="F52" s="159">
        <v>50</v>
      </c>
      <c r="G52" s="208">
        <v>11333</v>
      </c>
      <c r="H52" s="97">
        <v>50</v>
      </c>
      <c r="I52" s="97">
        <f t="shared" si="5"/>
        <v>0</v>
      </c>
      <c r="J52" s="91">
        <f t="shared" si="8"/>
        <v>566650</v>
      </c>
      <c r="K52" s="94">
        <f t="shared" si="6"/>
        <v>0</v>
      </c>
      <c r="L52" s="11"/>
      <c r="M52" s="180" t="e">
        <f>#REF!-G52</f>
        <v>#REF!</v>
      </c>
    </row>
    <row r="53" spans="1:13" s="114" customFormat="1">
      <c r="A53" s="96">
        <v>48</v>
      </c>
      <c r="B53" s="4" t="s">
        <v>326</v>
      </c>
      <c r="C53" s="19">
        <v>500000</v>
      </c>
      <c r="D53" s="19">
        <v>66650</v>
      </c>
      <c r="E53" s="19">
        <v>566650</v>
      </c>
      <c r="F53" s="159">
        <v>50</v>
      </c>
      <c r="G53" s="208">
        <v>11333</v>
      </c>
      <c r="H53" s="97">
        <v>14</v>
      </c>
      <c r="I53" s="97">
        <f t="shared" si="5"/>
        <v>36</v>
      </c>
      <c r="J53" s="91">
        <f t="shared" si="8"/>
        <v>158662</v>
      </c>
      <c r="K53" s="91">
        <f t="shared" si="6"/>
        <v>407988</v>
      </c>
      <c r="L53" s="122"/>
      <c r="M53" s="180" t="e">
        <f>#REF!-G53</f>
        <v>#REF!</v>
      </c>
    </row>
    <row r="54" spans="1:13" s="114" customFormat="1">
      <c r="A54" s="96">
        <v>49</v>
      </c>
      <c r="B54" s="4" t="s">
        <v>212</v>
      </c>
      <c r="C54" s="16">
        <v>150000</v>
      </c>
      <c r="D54" s="16">
        <v>19995</v>
      </c>
      <c r="E54" s="41">
        <f>SUM(C54:D54)</f>
        <v>169995</v>
      </c>
      <c r="F54" s="159">
        <v>50</v>
      </c>
      <c r="G54" s="208">
        <v>3399.9</v>
      </c>
      <c r="H54" s="97">
        <v>38</v>
      </c>
      <c r="I54" s="97">
        <f t="shared" si="5"/>
        <v>12</v>
      </c>
      <c r="J54" s="91">
        <f t="shared" si="8"/>
        <v>129196.2</v>
      </c>
      <c r="K54" s="94">
        <f t="shared" si="6"/>
        <v>40798.800000000003</v>
      </c>
      <c r="L54" s="11"/>
      <c r="M54" s="180" t="e">
        <f>#REF!-G54</f>
        <v>#REF!</v>
      </c>
    </row>
    <row r="55" spans="1:13" s="114" customFormat="1">
      <c r="A55" s="96">
        <v>50</v>
      </c>
      <c r="B55" s="2" t="s">
        <v>306</v>
      </c>
      <c r="C55" s="16">
        <v>500000</v>
      </c>
      <c r="D55" s="16">
        <v>53320</v>
      </c>
      <c r="E55" s="41">
        <f>SUM(C55:D55)</f>
        <v>553320</v>
      </c>
      <c r="F55" s="159">
        <v>40</v>
      </c>
      <c r="G55" s="209">
        <v>13833</v>
      </c>
      <c r="H55" s="97">
        <v>50</v>
      </c>
      <c r="I55" s="97">
        <f t="shared" si="5"/>
        <v>-10</v>
      </c>
      <c r="J55" s="91">
        <f t="shared" si="8"/>
        <v>691650</v>
      </c>
      <c r="K55" s="94">
        <f t="shared" si="6"/>
        <v>-138330</v>
      </c>
      <c r="L55" s="11"/>
      <c r="M55" s="180" t="e">
        <f>#REF!-G55</f>
        <v>#REF!</v>
      </c>
    </row>
    <row r="56" spans="1:13" s="114" customFormat="1">
      <c r="A56" s="96">
        <v>51</v>
      </c>
      <c r="B56" s="4" t="s">
        <v>327</v>
      </c>
      <c r="C56" s="16">
        <v>500000</v>
      </c>
      <c r="D56" s="16">
        <v>66650</v>
      </c>
      <c r="E56" s="16">
        <v>566650</v>
      </c>
      <c r="F56" s="159">
        <v>50</v>
      </c>
      <c r="G56" s="208">
        <v>11333</v>
      </c>
      <c r="H56" s="97">
        <v>29</v>
      </c>
      <c r="I56" s="97">
        <f t="shared" si="5"/>
        <v>21</v>
      </c>
      <c r="J56" s="91">
        <f t="shared" si="8"/>
        <v>328657</v>
      </c>
      <c r="K56" s="94">
        <f t="shared" si="6"/>
        <v>237993</v>
      </c>
      <c r="L56" s="11"/>
      <c r="M56" s="180" t="e">
        <f>#REF!-G56</f>
        <v>#REF!</v>
      </c>
    </row>
    <row r="57" spans="1:13" s="114" customFormat="1">
      <c r="A57" s="96">
        <v>52</v>
      </c>
      <c r="B57" s="46" t="s">
        <v>294</v>
      </c>
      <c r="C57" s="19">
        <v>330000</v>
      </c>
      <c r="D57" s="19">
        <v>43989</v>
      </c>
      <c r="E57" s="19">
        <f>SUM(C57:D57)</f>
        <v>373989</v>
      </c>
      <c r="F57" s="159">
        <v>50</v>
      </c>
      <c r="G57" s="234">
        <v>7479.78</v>
      </c>
      <c r="H57" s="101">
        <v>3</v>
      </c>
      <c r="I57" s="97">
        <f t="shared" si="5"/>
        <v>47</v>
      </c>
      <c r="J57" s="91">
        <f t="shared" si="8"/>
        <v>22439.34</v>
      </c>
      <c r="K57" s="94">
        <f t="shared" si="6"/>
        <v>351549.66</v>
      </c>
      <c r="L57" s="218"/>
      <c r="M57" s="180" t="e">
        <f>#REF!-G57</f>
        <v>#REF!</v>
      </c>
    </row>
    <row r="58" spans="1:13" s="114" customFormat="1">
      <c r="A58" s="96">
        <v>53</v>
      </c>
      <c r="B58" s="4" t="s">
        <v>328</v>
      </c>
      <c r="C58" s="16">
        <v>500000</v>
      </c>
      <c r="D58" s="16">
        <v>66650</v>
      </c>
      <c r="E58" s="41">
        <f>SUM(C58:D58)</f>
        <v>566650</v>
      </c>
      <c r="F58" s="159">
        <v>50</v>
      </c>
      <c r="G58" s="232">
        <v>11333</v>
      </c>
      <c r="H58" s="97">
        <v>29</v>
      </c>
      <c r="I58" s="97">
        <f t="shared" si="5"/>
        <v>21</v>
      </c>
      <c r="J58" s="91">
        <f t="shared" si="8"/>
        <v>328657</v>
      </c>
      <c r="K58" s="94">
        <f t="shared" si="6"/>
        <v>237993</v>
      </c>
      <c r="L58" s="11"/>
      <c r="M58" s="180" t="e">
        <f>#REF!-G58</f>
        <v>#REF!</v>
      </c>
    </row>
    <row r="59" spans="1:13" s="114" customFormat="1">
      <c r="A59" s="96">
        <v>54</v>
      </c>
      <c r="B59" s="4" t="s">
        <v>329</v>
      </c>
      <c r="C59" s="16">
        <v>500000</v>
      </c>
      <c r="D59" s="16">
        <v>66650</v>
      </c>
      <c r="E59" s="41">
        <f>SUM(C59:D59)</f>
        <v>566650</v>
      </c>
      <c r="F59" s="159">
        <v>50</v>
      </c>
      <c r="G59" s="208">
        <v>11333</v>
      </c>
      <c r="H59" s="97">
        <v>34</v>
      </c>
      <c r="I59" s="97">
        <f t="shared" si="5"/>
        <v>16</v>
      </c>
      <c r="J59" s="91">
        <f t="shared" si="8"/>
        <v>385322</v>
      </c>
      <c r="K59" s="94">
        <f t="shared" si="6"/>
        <v>181328</v>
      </c>
      <c r="L59" s="11"/>
      <c r="M59" s="180" t="e">
        <f>#REF!-G59</f>
        <v>#REF!</v>
      </c>
    </row>
    <row r="60" spans="1:13" s="114" customFormat="1">
      <c r="A60" s="96">
        <v>55</v>
      </c>
      <c r="B60" s="4" t="s">
        <v>330</v>
      </c>
      <c r="C60" s="16">
        <v>500000</v>
      </c>
      <c r="D60" s="16">
        <v>66650</v>
      </c>
      <c r="E60" s="41">
        <f>SUM(C60:D60)</f>
        <v>566650</v>
      </c>
      <c r="F60" s="159">
        <v>50</v>
      </c>
      <c r="G60" s="208">
        <v>11333</v>
      </c>
      <c r="H60" s="97">
        <v>50</v>
      </c>
      <c r="I60" s="97">
        <f t="shared" si="5"/>
        <v>0</v>
      </c>
      <c r="J60" s="91">
        <f t="shared" si="8"/>
        <v>566650</v>
      </c>
      <c r="K60" s="94">
        <f t="shared" si="6"/>
        <v>0</v>
      </c>
      <c r="L60" s="11"/>
      <c r="M60" s="180" t="e">
        <f>#REF!-G60</f>
        <v>#REF!</v>
      </c>
    </row>
    <row r="61" spans="1:13" s="114" customFormat="1">
      <c r="A61" s="96">
        <v>56</v>
      </c>
      <c r="B61" s="4" t="s">
        <v>286</v>
      </c>
      <c r="C61" s="16">
        <v>450000</v>
      </c>
      <c r="D61" s="16">
        <v>59985</v>
      </c>
      <c r="E61" s="16">
        <v>509985</v>
      </c>
      <c r="F61" s="159">
        <v>50</v>
      </c>
      <c r="G61" s="208">
        <v>10199.700000000001</v>
      </c>
      <c r="H61" s="97">
        <v>17</v>
      </c>
      <c r="I61" s="97">
        <f t="shared" si="5"/>
        <v>33</v>
      </c>
      <c r="J61" s="91">
        <f t="shared" si="8"/>
        <v>173394.90000000002</v>
      </c>
      <c r="K61" s="94">
        <f t="shared" si="6"/>
        <v>336590.1</v>
      </c>
      <c r="L61" s="11"/>
      <c r="M61" s="180" t="e">
        <f>#REF!-G61</f>
        <v>#REF!</v>
      </c>
    </row>
    <row r="62" spans="1:13" s="114" customFormat="1">
      <c r="A62" s="96">
        <v>57</v>
      </c>
      <c r="B62" s="28" t="s">
        <v>331</v>
      </c>
      <c r="C62" s="16">
        <v>500000</v>
      </c>
      <c r="D62" s="16">
        <v>66650</v>
      </c>
      <c r="E62" s="41">
        <f>SUM(C62:D62)</f>
        <v>566650</v>
      </c>
      <c r="F62" s="159">
        <v>50</v>
      </c>
      <c r="G62" s="208">
        <v>11333</v>
      </c>
      <c r="H62" s="97">
        <v>50</v>
      </c>
      <c r="I62" s="97">
        <f t="shared" si="5"/>
        <v>0</v>
      </c>
      <c r="J62" s="91">
        <f t="shared" si="8"/>
        <v>566650</v>
      </c>
      <c r="K62" s="94">
        <f t="shared" si="6"/>
        <v>0</v>
      </c>
      <c r="L62" s="11"/>
      <c r="M62" s="180" t="e">
        <f>#REF!-G62</f>
        <v>#REF!</v>
      </c>
    </row>
    <row r="63" spans="1:13" s="114" customFormat="1">
      <c r="A63" s="96">
        <v>58</v>
      </c>
      <c r="B63" s="4" t="s">
        <v>301</v>
      </c>
      <c r="C63" s="16">
        <v>500000</v>
      </c>
      <c r="D63" s="16">
        <v>33325</v>
      </c>
      <c r="E63" s="41">
        <f>SUM(C63:D63)</f>
        <v>533325</v>
      </c>
      <c r="F63" s="159">
        <v>25</v>
      </c>
      <c r="G63" s="208">
        <v>21333</v>
      </c>
      <c r="H63" s="97">
        <v>19</v>
      </c>
      <c r="I63" s="97">
        <f t="shared" si="5"/>
        <v>6</v>
      </c>
      <c r="J63" s="91">
        <f t="shared" si="8"/>
        <v>405327</v>
      </c>
      <c r="K63" s="94">
        <f t="shared" si="6"/>
        <v>127998</v>
      </c>
      <c r="L63" s="11"/>
      <c r="M63" s="180" t="e">
        <f>#REF!-G63</f>
        <v>#REF!</v>
      </c>
    </row>
    <row r="64" spans="1:13" s="114" customFormat="1">
      <c r="A64" s="96">
        <v>59</v>
      </c>
      <c r="B64" s="2" t="s">
        <v>332</v>
      </c>
      <c r="C64" s="19">
        <v>500000</v>
      </c>
      <c r="D64" s="19">
        <v>66650</v>
      </c>
      <c r="E64" s="19">
        <v>566650</v>
      </c>
      <c r="F64" s="159">
        <v>50</v>
      </c>
      <c r="G64" s="209">
        <v>11333</v>
      </c>
      <c r="H64" s="97">
        <v>15</v>
      </c>
      <c r="I64" s="97">
        <f t="shared" si="5"/>
        <v>35</v>
      </c>
      <c r="J64" s="91">
        <f t="shared" si="8"/>
        <v>169995</v>
      </c>
      <c r="K64" s="91">
        <f t="shared" si="6"/>
        <v>396655</v>
      </c>
      <c r="L64" s="11"/>
      <c r="M64" s="180" t="e">
        <f>#REF!-G64</f>
        <v>#REF!</v>
      </c>
    </row>
    <row r="65" spans="1:13" s="114" customFormat="1">
      <c r="A65" s="96">
        <v>60</v>
      </c>
      <c r="B65" s="4" t="s">
        <v>403</v>
      </c>
      <c r="C65" s="41">
        <v>200000</v>
      </c>
      <c r="D65" s="41">
        <v>26660</v>
      </c>
      <c r="E65" s="41">
        <f>SUM(C65:D65)</f>
        <v>226660</v>
      </c>
      <c r="F65" s="159">
        <v>40</v>
      </c>
      <c r="G65" s="208">
        <v>5666.5</v>
      </c>
      <c r="H65" s="97">
        <v>42</v>
      </c>
      <c r="I65" s="97">
        <f t="shared" si="5"/>
        <v>-2</v>
      </c>
      <c r="J65" s="91">
        <f t="shared" si="8"/>
        <v>237993</v>
      </c>
      <c r="K65" s="94">
        <f t="shared" si="6"/>
        <v>-11333</v>
      </c>
      <c r="L65" s="11"/>
      <c r="M65" s="180" t="e">
        <f>#REF!-G65</f>
        <v>#REF!</v>
      </c>
    </row>
    <row r="66" spans="1:13" s="114" customFormat="1">
      <c r="A66" s="96">
        <v>61</v>
      </c>
      <c r="B66" s="2" t="s">
        <v>364</v>
      </c>
      <c r="C66" s="16">
        <v>450000</v>
      </c>
      <c r="D66" s="16">
        <v>59985</v>
      </c>
      <c r="E66" s="16">
        <v>509985</v>
      </c>
      <c r="F66" s="159">
        <v>50</v>
      </c>
      <c r="G66" s="209">
        <v>10199.700000000001</v>
      </c>
      <c r="H66" s="97">
        <v>14</v>
      </c>
      <c r="I66" s="97">
        <f t="shared" si="5"/>
        <v>36</v>
      </c>
      <c r="J66" s="91">
        <f t="shared" si="8"/>
        <v>142795.80000000002</v>
      </c>
      <c r="K66" s="91">
        <f t="shared" si="6"/>
        <v>367189.19999999995</v>
      </c>
      <c r="L66" s="122"/>
      <c r="M66" s="180" t="e">
        <f>#REF!-G66</f>
        <v>#REF!</v>
      </c>
    </row>
    <row r="67" spans="1:13" s="114" customFormat="1">
      <c r="A67" s="96">
        <v>62</v>
      </c>
      <c r="B67" s="4" t="s">
        <v>425</v>
      </c>
      <c r="C67" s="155">
        <v>150000</v>
      </c>
      <c r="D67" s="155">
        <v>19995</v>
      </c>
      <c r="E67" s="155">
        <f t="shared" ref="E67:E72" si="9">SUM(C67:D67)</f>
        <v>169995</v>
      </c>
      <c r="F67" s="159">
        <v>50</v>
      </c>
      <c r="G67" s="208">
        <v>3399.9</v>
      </c>
      <c r="H67" s="97">
        <v>15</v>
      </c>
      <c r="I67" s="97">
        <f t="shared" si="5"/>
        <v>35</v>
      </c>
      <c r="J67" s="91">
        <f t="shared" si="8"/>
        <v>50998.5</v>
      </c>
      <c r="K67" s="91">
        <f t="shared" si="6"/>
        <v>118996.5</v>
      </c>
      <c r="L67" s="122"/>
      <c r="M67" s="180" t="e">
        <f>#REF!-G67</f>
        <v>#REF!</v>
      </c>
    </row>
    <row r="68" spans="1:13" s="114" customFormat="1">
      <c r="A68" s="96">
        <v>63</v>
      </c>
      <c r="B68" s="4" t="s">
        <v>365</v>
      </c>
      <c r="C68" s="12">
        <v>450000</v>
      </c>
      <c r="D68" s="12">
        <v>59985</v>
      </c>
      <c r="E68" s="15">
        <f t="shared" si="9"/>
        <v>509985</v>
      </c>
      <c r="F68" s="14">
        <v>50</v>
      </c>
      <c r="G68" s="230">
        <v>10199.700000000001</v>
      </c>
      <c r="H68" s="14">
        <v>32</v>
      </c>
      <c r="I68" s="97">
        <f t="shared" si="5"/>
        <v>18</v>
      </c>
      <c r="J68" s="91">
        <f t="shared" si="8"/>
        <v>326390.40000000002</v>
      </c>
      <c r="K68" s="15">
        <f t="shared" si="6"/>
        <v>183594.59999999998</v>
      </c>
      <c r="L68" s="8"/>
      <c r="M68" s="180" t="e">
        <f>#REF!-G68</f>
        <v>#REF!</v>
      </c>
    </row>
    <row r="69" spans="1:13" s="114" customFormat="1">
      <c r="A69" s="96">
        <v>64</v>
      </c>
      <c r="B69" s="4" t="s">
        <v>422</v>
      </c>
      <c r="C69" s="16">
        <v>132000</v>
      </c>
      <c r="D69" s="16">
        <v>17595.599999999999</v>
      </c>
      <c r="E69" s="41">
        <f t="shared" si="9"/>
        <v>149595.6</v>
      </c>
      <c r="F69" s="159">
        <v>40</v>
      </c>
      <c r="G69" s="208">
        <v>3739.89</v>
      </c>
      <c r="H69" s="97">
        <v>42</v>
      </c>
      <c r="I69" s="97">
        <f t="shared" si="5"/>
        <v>-2</v>
      </c>
      <c r="J69" s="91">
        <f t="shared" si="8"/>
        <v>157075.38</v>
      </c>
      <c r="K69" s="94">
        <f t="shared" si="6"/>
        <v>-7479.7799999999988</v>
      </c>
      <c r="L69" s="11"/>
      <c r="M69" s="180" t="e">
        <f>#REF!-G69</f>
        <v>#REF!</v>
      </c>
    </row>
    <row r="70" spans="1:13" s="114" customFormat="1">
      <c r="A70" s="96">
        <v>65</v>
      </c>
      <c r="B70" s="4" t="s">
        <v>73</v>
      </c>
      <c r="C70" s="16">
        <v>500000</v>
      </c>
      <c r="D70" s="16">
        <v>66650</v>
      </c>
      <c r="E70" s="41">
        <f t="shared" si="9"/>
        <v>566650</v>
      </c>
      <c r="F70" s="159">
        <v>50</v>
      </c>
      <c r="G70" s="208">
        <v>11333</v>
      </c>
      <c r="H70" s="97">
        <v>38</v>
      </c>
      <c r="I70" s="97">
        <f t="shared" ref="I70:I101" si="10">F70-H70</f>
        <v>12</v>
      </c>
      <c r="J70" s="91">
        <f t="shared" si="8"/>
        <v>430654</v>
      </c>
      <c r="K70" s="94">
        <f t="shared" ref="K70:K101" si="11">E70-J70</f>
        <v>135996</v>
      </c>
      <c r="L70" s="11"/>
      <c r="M70" s="180" t="e">
        <f>#REF!-G70</f>
        <v>#REF!</v>
      </c>
    </row>
    <row r="71" spans="1:13" s="114" customFormat="1">
      <c r="A71" s="96">
        <v>66</v>
      </c>
      <c r="B71" s="4" t="s">
        <v>333</v>
      </c>
      <c r="C71" s="16">
        <v>500000</v>
      </c>
      <c r="D71" s="16">
        <v>66650</v>
      </c>
      <c r="E71" s="41">
        <f t="shared" si="9"/>
        <v>566650</v>
      </c>
      <c r="F71" s="159">
        <v>50</v>
      </c>
      <c r="G71" s="208">
        <v>11333</v>
      </c>
      <c r="H71" s="97">
        <v>50</v>
      </c>
      <c r="I71" s="97">
        <f t="shared" si="10"/>
        <v>0</v>
      </c>
      <c r="J71" s="91">
        <f t="shared" ref="J71:J100" si="12">H71*G71</f>
        <v>566650</v>
      </c>
      <c r="K71" s="94">
        <f t="shared" si="11"/>
        <v>0</v>
      </c>
      <c r="L71" s="11"/>
      <c r="M71" s="180" t="e">
        <f>#REF!-G71</f>
        <v>#REF!</v>
      </c>
    </row>
    <row r="72" spans="1:13" s="114" customFormat="1">
      <c r="A72" s="96">
        <v>67</v>
      </c>
      <c r="B72" s="46" t="s">
        <v>426</v>
      </c>
      <c r="C72" s="16">
        <v>150000</v>
      </c>
      <c r="D72" s="16">
        <v>19995</v>
      </c>
      <c r="E72" s="41">
        <f t="shared" si="9"/>
        <v>169995</v>
      </c>
      <c r="F72" s="159">
        <v>50</v>
      </c>
      <c r="G72" s="209">
        <v>3399.9</v>
      </c>
      <c r="H72" s="97">
        <v>38</v>
      </c>
      <c r="I72" s="97">
        <f t="shared" si="10"/>
        <v>12</v>
      </c>
      <c r="J72" s="91">
        <f t="shared" si="12"/>
        <v>129196.2</v>
      </c>
      <c r="K72" s="94">
        <f t="shared" si="11"/>
        <v>40798.800000000003</v>
      </c>
      <c r="L72" s="11"/>
      <c r="M72" s="180" t="e">
        <f>#REF!-G72</f>
        <v>#REF!</v>
      </c>
    </row>
    <row r="73" spans="1:13" s="114" customFormat="1">
      <c r="A73" s="96">
        <v>68</v>
      </c>
      <c r="B73" s="4" t="s">
        <v>334</v>
      </c>
      <c r="C73" s="19">
        <v>500000</v>
      </c>
      <c r="D73" s="19">
        <v>66650</v>
      </c>
      <c r="E73" s="19">
        <v>566650</v>
      </c>
      <c r="F73" s="159">
        <v>50</v>
      </c>
      <c r="G73" s="208">
        <v>11333</v>
      </c>
      <c r="H73" s="97">
        <v>15</v>
      </c>
      <c r="I73" s="97">
        <f t="shared" si="10"/>
        <v>35</v>
      </c>
      <c r="J73" s="91">
        <f t="shared" si="12"/>
        <v>169995</v>
      </c>
      <c r="K73" s="91">
        <f t="shared" si="11"/>
        <v>396655</v>
      </c>
      <c r="L73" s="122"/>
      <c r="M73" s="180" t="e">
        <f>#REF!-G73</f>
        <v>#REF!</v>
      </c>
    </row>
    <row r="74" spans="1:13" s="114" customFormat="1">
      <c r="A74" s="96">
        <v>69</v>
      </c>
      <c r="B74" s="166" t="s">
        <v>494</v>
      </c>
      <c r="C74" s="19">
        <v>150000</v>
      </c>
      <c r="D74" s="19">
        <v>19995</v>
      </c>
      <c r="E74" s="19">
        <f>SUM(C74:D74)</f>
        <v>169995</v>
      </c>
      <c r="F74" s="159">
        <v>50</v>
      </c>
      <c r="G74" s="209">
        <v>3339.9</v>
      </c>
      <c r="H74" s="188">
        <v>1</v>
      </c>
      <c r="I74" s="97">
        <f t="shared" si="10"/>
        <v>49</v>
      </c>
      <c r="J74" s="91">
        <f t="shared" si="12"/>
        <v>3339.9</v>
      </c>
      <c r="K74" s="94">
        <f t="shared" si="11"/>
        <v>166655.1</v>
      </c>
      <c r="L74" s="214"/>
      <c r="M74" s="180" t="e">
        <f>#REF!-G74</f>
        <v>#REF!</v>
      </c>
    </row>
    <row r="75" spans="1:13" s="114" customFormat="1">
      <c r="A75" s="96">
        <v>70</v>
      </c>
      <c r="B75" s="4" t="s">
        <v>335</v>
      </c>
      <c r="C75" s="16">
        <v>500000</v>
      </c>
      <c r="D75" s="16">
        <v>66650</v>
      </c>
      <c r="E75" s="41">
        <f>SUM(C75:D75)</f>
        <v>566650</v>
      </c>
      <c r="F75" s="159">
        <v>50</v>
      </c>
      <c r="G75" s="208">
        <v>11333</v>
      </c>
      <c r="H75" s="97">
        <v>28</v>
      </c>
      <c r="I75" s="97">
        <f t="shared" si="10"/>
        <v>22</v>
      </c>
      <c r="J75" s="91">
        <f t="shared" si="12"/>
        <v>317324</v>
      </c>
      <c r="K75" s="94">
        <f t="shared" si="11"/>
        <v>249326</v>
      </c>
      <c r="L75" s="11"/>
      <c r="M75" s="180" t="e">
        <f>#REF!-G75</f>
        <v>#REF!</v>
      </c>
    </row>
    <row r="76" spans="1:13" s="114" customFormat="1">
      <c r="A76" s="96">
        <v>71</v>
      </c>
      <c r="B76" s="4" t="s">
        <v>336</v>
      </c>
      <c r="C76" s="16">
        <v>500000</v>
      </c>
      <c r="D76" s="16">
        <v>66650</v>
      </c>
      <c r="E76" s="16">
        <v>566650</v>
      </c>
      <c r="F76" s="159">
        <v>50</v>
      </c>
      <c r="G76" s="208">
        <v>11333</v>
      </c>
      <c r="H76" s="97">
        <v>28</v>
      </c>
      <c r="I76" s="97">
        <f t="shared" si="10"/>
        <v>22</v>
      </c>
      <c r="J76" s="91">
        <f t="shared" si="12"/>
        <v>317324</v>
      </c>
      <c r="K76" s="94">
        <f t="shared" si="11"/>
        <v>249326</v>
      </c>
      <c r="L76" s="11"/>
      <c r="M76" s="180" t="e">
        <f>#REF!-G76</f>
        <v>#REF!</v>
      </c>
    </row>
    <row r="77" spans="1:13" s="114" customFormat="1">
      <c r="A77" s="96">
        <v>72</v>
      </c>
      <c r="B77" s="46" t="s">
        <v>287</v>
      </c>
      <c r="C77" s="16">
        <v>450000</v>
      </c>
      <c r="D77" s="16">
        <v>59985</v>
      </c>
      <c r="E77" s="16">
        <v>509985</v>
      </c>
      <c r="F77" s="159">
        <v>50</v>
      </c>
      <c r="G77" s="208">
        <v>10199.700000000001</v>
      </c>
      <c r="H77" s="97">
        <v>22</v>
      </c>
      <c r="I77" s="97">
        <f t="shared" si="10"/>
        <v>28</v>
      </c>
      <c r="J77" s="91">
        <f t="shared" si="12"/>
        <v>224393.40000000002</v>
      </c>
      <c r="K77" s="94">
        <f t="shared" si="11"/>
        <v>285591.59999999998</v>
      </c>
      <c r="L77" s="122"/>
      <c r="M77" s="180" t="e">
        <f>#REF!-G77</f>
        <v>#REF!</v>
      </c>
    </row>
    <row r="78" spans="1:13" s="114" customFormat="1">
      <c r="A78" s="96">
        <v>73</v>
      </c>
      <c r="B78" s="4" t="s">
        <v>366</v>
      </c>
      <c r="C78" s="16">
        <v>450000</v>
      </c>
      <c r="D78" s="16">
        <v>59985</v>
      </c>
      <c r="E78" s="41">
        <f>SUM(C78:D78)</f>
        <v>509985</v>
      </c>
      <c r="F78" s="159">
        <v>50</v>
      </c>
      <c r="G78" s="208">
        <v>10199.700000000001</v>
      </c>
      <c r="H78" s="97">
        <v>34</v>
      </c>
      <c r="I78" s="97">
        <f t="shared" si="10"/>
        <v>16</v>
      </c>
      <c r="J78" s="91">
        <f t="shared" si="12"/>
        <v>346789.80000000005</v>
      </c>
      <c r="K78" s="94">
        <f t="shared" si="11"/>
        <v>163195.19999999995</v>
      </c>
      <c r="L78" s="11"/>
      <c r="M78" s="180" t="e">
        <f>#REF!-G78</f>
        <v>#REF!</v>
      </c>
    </row>
    <row r="79" spans="1:13" s="114" customFormat="1">
      <c r="A79" s="96">
        <v>74</v>
      </c>
      <c r="B79" s="4" t="s">
        <v>337</v>
      </c>
      <c r="C79" s="16">
        <v>500000</v>
      </c>
      <c r="D79" s="16">
        <v>66650</v>
      </c>
      <c r="E79" s="41">
        <f>SUM(C79:D79)</f>
        <v>566650</v>
      </c>
      <c r="F79" s="159">
        <v>50</v>
      </c>
      <c r="G79" s="208">
        <v>11333</v>
      </c>
      <c r="H79" s="97">
        <v>29</v>
      </c>
      <c r="I79" s="97">
        <f t="shared" si="10"/>
        <v>21</v>
      </c>
      <c r="J79" s="91">
        <f t="shared" si="12"/>
        <v>328657</v>
      </c>
      <c r="K79" s="94">
        <f t="shared" si="11"/>
        <v>237993</v>
      </c>
      <c r="L79" s="11"/>
      <c r="M79" s="180" t="e">
        <f>#REF!-G79</f>
        <v>#REF!</v>
      </c>
    </row>
    <row r="80" spans="1:13" s="114" customFormat="1">
      <c r="A80" s="96">
        <v>75</v>
      </c>
      <c r="B80" s="46" t="s">
        <v>288</v>
      </c>
      <c r="C80" s="16">
        <v>500000</v>
      </c>
      <c r="D80" s="16">
        <v>66650</v>
      </c>
      <c r="E80" s="41">
        <f>SUM(C80:D80)</f>
        <v>566650</v>
      </c>
      <c r="F80" s="159">
        <v>50</v>
      </c>
      <c r="G80" s="208">
        <v>11333</v>
      </c>
      <c r="H80" s="97">
        <v>29</v>
      </c>
      <c r="I80" s="97">
        <f t="shared" si="10"/>
        <v>21</v>
      </c>
      <c r="J80" s="91">
        <f t="shared" si="12"/>
        <v>328657</v>
      </c>
      <c r="K80" s="94">
        <f t="shared" si="11"/>
        <v>237993</v>
      </c>
      <c r="L80" s="11"/>
      <c r="M80" s="180" t="e">
        <f>#REF!-G80</f>
        <v>#REF!</v>
      </c>
    </row>
    <row r="81" spans="1:13" s="114" customFormat="1">
      <c r="A81" s="96">
        <v>76</v>
      </c>
      <c r="B81" s="4" t="s">
        <v>338</v>
      </c>
      <c r="C81" s="16">
        <v>500000</v>
      </c>
      <c r="D81" s="16">
        <v>66650</v>
      </c>
      <c r="E81" s="41">
        <f>SUM(C81:D81)</f>
        <v>566650</v>
      </c>
      <c r="F81" s="159">
        <v>50</v>
      </c>
      <c r="G81" s="209">
        <v>11333</v>
      </c>
      <c r="H81" s="97">
        <v>50</v>
      </c>
      <c r="I81" s="97">
        <f t="shared" si="10"/>
        <v>0</v>
      </c>
      <c r="J81" s="91">
        <f t="shared" si="12"/>
        <v>566650</v>
      </c>
      <c r="K81" s="94">
        <f t="shared" si="11"/>
        <v>0</v>
      </c>
      <c r="L81" s="11"/>
      <c r="M81" s="180" t="e">
        <f>#REF!-G81</f>
        <v>#REF!</v>
      </c>
    </row>
    <row r="82" spans="1:13" s="114" customFormat="1">
      <c r="A82" s="96">
        <v>77</v>
      </c>
      <c r="B82" s="2" t="s">
        <v>339</v>
      </c>
      <c r="C82" s="19">
        <v>500000</v>
      </c>
      <c r="D82" s="19">
        <v>66650</v>
      </c>
      <c r="E82" s="19">
        <v>566650</v>
      </c>
      <c r="F82" s="159">
        <v>50</v>
      </c>
      <c r="G82" s="209">
        <v>11333</v>
      </c>
      <c r="H82" s="97">
        <v>15</v>
      </c>
      <c r="I82" s="97">
        <f t="shared" si="10"/>
        <v>35</v>
      </c>
      <c r="J82" s="91">
        <f t="shared" si="12"/>
        <v>169995</v>
      </c>
      <c r="K82" s="91">
        <f t="shared" si="11"/>
        <v>396655</v>
      </c>
      <c r="L82" s="11"/>
      <c r="M82" s="180" t="e">
        <f>#REF!-G82</f>
        <v>#REF!</v>
      </c>
    </row>
    <row r="83" spans="1:13" s="114" customFormat="1">
      <c r="A83" s="96">
        <v>78</v>
      </c>
      <c r="B83" s="2" t="s">
        <v>340</v>
      </c>
      <c r="C83" s="16">
        <v>500000</v>
      </c>
      <c r="D83" s="16">
        <v>66650</v>
      </c>
      <c r="E83" s="41">
        <f>SUM(C83:D83)</f>
        <v>566650</v>
      </c>
      <c r="F83" s="159">
        <v>50</v>
      </c>
      <c r="G83" s="209">
        <v>11333</v>
      </c>
      <c r="H83" s="97">
        <v>29</v>
      </c>
      <c r="I83" s="97">
        <f t="shared" si="10"/>
        <v>21</v>
      </c>
      <c r="J83" s="91">
        <f t="shared" si="12"/>
        <v>328657</v>
      </c>
      <c r="K83" s="94">
        <f t="shared" si="11"/>
        <v>237993</v>
      </c>
      <c r="L83" s="11"/>
      <c r="M83" s="180" t="e">
        <f>#REF!-G83</f>
        <v>#REF!</v>
      </c>
    </row>
    <row r="84" spans="1:13" s="114" customFormat="1">
      <c r="A84" s="96">
        <v>79</v>
      </c>
      <c r="B84" s="4" t="s">
        <v>341</v>
      </c>
      <c r="C84" s="19">
        <v>500000</v>
      </c>
      <c r="D84" s="19">
        <v>66650</v>
      </c>
      <c r="E84" s="19">
        <v>566650</v>
      </c>
      <c r="F84" s="159">
        <v>50</v>
      </c>
      <c r="G84" s="208">
        <v>11333</v>
      </c>
      <c r="H84" s="97">
        <v>15</v>
      </c>
      <c r="I84" s="97">
        <f t="shared" si="10"/>
        <v>35</v>
      </c>
      <c r="J84" s="91">
        <f t="shared" si="12"/>
        <v>169995</v>
      </c>
      <c r="K84" s="91">
        <f t="shared" si="11"/>
        <v>396655</v>
      </c>
      <c r="L84" s="122"/>
      <c r="M84" s="180" t="e">
        <f>#REF!-G84</f>
        <v>#REF!</v>
      </c>
    </row>
    <row r="85" spans="1:13" s="114" customFormat="1">
      <c r="A85" s="96">
        <v>80</v>
      </c>
      <c r="B85" s="4" t="s">
        <v>367</v>
      </c>
      <c r="C85" s="16">
        <v>450000</v>
      </c>
      <c r="D85" s="16">
        <v>59985</v>
      </c>
      <c r="E85" s="41">
        <f>SUM(C85:D85)</f>
        <v>509985</v>
      </c>
      <c r="F85" s="159">
        <v>50</v>
      </c>
      <c r="G85" s="209">
        <v>10199.700000000001</v>
      </c>
      <c r="H85" s="97">
        <v>29</v>
      </c>
      <c r="I85" s="97">
        <f t="shared" si="10"/>
        <v>21</v>
      </c>
      <c r="J85" s="91">
        <f t="shared" si="12"/>
        <v>295791.30000000005</v>
      </c>
      <c r="K85" s="94">
        <f t="shared" si="11"/>
        <v>214193.69999999995</v>
      </c>
      <c r="L85" s="11"/>
      <c r="M85" s="180" t="e">
        <f>#REF!-G85</f>
        <v>#REF!</v>
      </c>
    </row>
    <row r="86" spans="1:13" s="114" customFormat="1">
      <c r="A86" s="96">
        <v>81</v>
      </c>
      <c r="B86" s="4" t="s">
        <v>342</v>
      </c>
      <c r="C86" s="16">
        <v>500000</v>
      </c>
      <c r="D86" s="16">
        <v>66650</v>
      </c>
      <c r="E86" s="41">
        <f>SUM(C86:D86)</f>
        <v>566650</v>
      </c>
      <c r="F86" s="159">
        <v>50</v>
      </c>
      <c r="G86" s="208">
        <v>11333</v>
      </c>
      <c r="H86" s="97">
        <v>50</v>
      </c>
      <c r="I86" s="97">
        <f t="shared" si="10"/>
        <v>0</v>
      </c>
      <c r="J86" s="91">
        <f t="shared" si="12"/>
        <v>566650</v>
      </c>
      <c r="K86" s="94">
        <f t="shared" si="11"/>
        <v>0</v>
      </c>
      <c r="L86" s="11"/>
      <c r="M86" s="180" t="e">
        <f>#REF!-G86</f>
        <v>#REF!</v>
      </c>
    </row>
    <row r="87" spans="1:13" s="114" customFormat="1">
      <c r="A87" s="96">
        <v>82</v>
      </c>
      <c r="B87" s="4" t="s">
        <v>407</v>
      </c>
      <c r="C87" s="41">
        <v>200000</v>
      </c>
      <c r="D87" s="41">
        <v>26660</v>
      </c>
      <c r="E87" s="41">
        <v>226660</v>
      </c>
      <c r="F87" s="159">
        <v>40</v>
      </c>
      <c r="G87" s="208">
        <v>5666.5</v>
      </c>
      <c r="H87" s="97">
        <v>42</v>
      </c>
      <c r="I87" s="97">
        <f t="shared" si="10"/>
        <v>-2</v>
      </c>
      <c r="J87" s="91">
        <f t="shared" si="12"/>
        <v>237993</v>
      </c>
      <c r="K87" s="94">
        <f t="shared" si="11"/>
        <v>-11333</v>
      </c>
      <c r="L87" s="11"/>
      <c r="M87" s="180" t="e">
        <f>#REF!-G87</f>
        <v>#REF!</v>
      </c>
    </row>
    <row r="88" spans="1:13" s="114" customFormat="1">
      <c r="A88" s="96">
        <v>83</v>
      </c>
      <c r="B88" s="4" t="s">
        <v>343</v>
      </c>
      <c r="C88" s="12">
        <v>500000</v>
      </c>
      <c r="D88" s="12">
        <v>66650</v>
      </c>
      <c r="E88" s="15">
        <f>SUM(C88:D88)</f>
        <v>566650</v>
      </c>
      <c r="F88" s="14">
        <v>50</v>
      </c>
      <c r="G88" s="237">
        <v>11333</v>
      </c>
      <c r="H88" s="14">
        <v>34</v>
      </c>
      <c r="I88" s="97">
        <f t="shared" si="10"/>
        <v>16</v>
      </c>
      <c r="J88" s="91">
        <f t="shared" si="12"/>
        <v>385322</v>
      </c>
      <c r="K88" s="15">
        <f t="shared" si="11"/>
        <v>181328</v>
      </c>
      <c r="L88" s="8"/>
      <c r="M88" s="180" t="e">
        <f>#REF!-G88</f>
        <v>#REF!</v>
      </c>
    </row>
    <row r="89" spans="1:13" s="114" customFormat="1">
      <c r="A89" s="96">
        <v>84</v>
      </c>
      <c r="B89" s="28" t="s">
        <v>344</v>
      </c>
      <c r="C89" s="16">
        <v>500000</v>
      </c>
      <c r="D89" s="16">
        <v>66650</v>
      </c>
      <c r="E89" s="41">
        <f>SUM(C89:D89)</f>
        <v>566650</v>
      </c>
      <c r="F89" s="159">
        <v>50</v>
      </c>
      <c r="G89" s="208">
        <v>11333</v>
      </c>
      <c r="H89" s="97">
        <v>50</v>
      </c>
      <c r="I89" s="97">
        <f t="shared" si="10"/>
        <v>0</v>
      </c>
      <c r="J89" s="91">
        <f t="shared" si="12"/>
        <v>566650</v>
      </c>
      <c r="K89" s="94">
        <f t="shared" si="11"/>
        <v>0</v>
      </c>
      <c r="L89" s="11"/>
      <c r="M89" s="180" t="e">
        <f>#REF!-G89</f>
        <v>#REF!</v>
      </c>
    </row>
    <row r="90" spans="1:13" s="114" customFormat="1">
      <c r="A90" s="96">
        <v>85</v>
      </c>
      <c r="B90" s="4" t="s">
        <v>345</v>
      </c>
      <c r="C90" s="19">
        <v>500000</v>
      </c>
      <c r="D90" s="19">
        <v>66650</v>
      </c>
      <c r="E90" s="19">
        <v>566650</v>
      </c>
      <c r="F90" s="159">
        <v>50</v>
      </c>
      <c r="G90" s="208">
        <v>11333</v>
      </c>
      <c r="H90" s="97">
        <v>15</v>
      </c>
      <c r="I90" s="97">
        <f t="shared" si="10"/>
        <v>35</v>
      </c>
      <c r="J90" s="91">
        <f t="shared" si="12"/>
        <v>169995</v>
      </c>
      <c r="K90" s="91">
        <f t="shared" si="11"/>
        <v>396655</v>
      </c>
      <c r="L90" s="122"/>
      <c r="M90" s="180" t="e">
        <f>#REF!-G90</f>
        <v>#REF!</v>
      </c>
    </row>
    <row r="91" spans="1:13" s="114" customFormat="1">
      <c r="A91" s="96">
        <v>86</v>
      </c>
      <c r="B91" s="4" t="s">
        <v>99</v>
      </c>
      <c r="C91" s="16">
        <v>450000</v>
      </c>
      <c r="D91" s="16">
        <v>59985</v>
      </c>
      <c r="E91" s="41">
        <f>SUM(C91:D91)</f>
        <v>509985</v>
      </c>
      <c r="F91" s="159">
        <v>50</v>
      </c>
      <c r="G91" s="208">
        <v>10199.700000000001</v>
      </c>
      <c r="H91" s="159">
        <v>38</v>
      </c>
      <c r="I91" s="97">
        <f t="shared" si="10"/>
        <v>12</v>
      </c>
      <c r="J91" s="91">
        <f t="shared" si="12"/>
        <v>387588.60000000003</v>
      </c>
      <c r="K91" s="94">
        <f t="shared" si="11"/>
        <v>122396.39999999997</v>
      </c>
      <c r="L91" s="11"/>
      <c r="M91" s="180" t="e">
        <f>#REF!-G91</f>
        <v>#REF!</v>
      </c>
    </row>
    <row r="92" spans="1:13" s="114" customFormat="1">
      <c r="A92" s="96">
        <v>87</v>
      </c>
      <c r="B92" s="4" t="s">
        <v>444</v>
      </c>
      <c r="C92" s="16">
        <v>500000</v>
      </c>
      <c r="D92" s="16">
        <v>66650</v>
      </c>
      <c r="E92" s="16">
        <v>566650</v>
      </c>
      <c r="F92" s="159">
        <v>50</v>
      </c>
      <c r="G92" s="234">
        <v>11333</v>
      </c>
      <c r="H92" s="101">
        <v>3</v>
      </c>
      <c r="I92" s="97">
        <f t="shared" si="10"/>
        <v>47</v>
      </c>
      <c r="J92" s="91">
        <f t="shared" si="12"/>
        <v>33999</v>
      </c>
      <c r="K92" s="94">
        <f t="shared" si="11"/>
        <v>532651</v>
      </c>
      <c r="L92" s="218"/>
      <c r="M92" s="180" t="e">
        <f>#REF!-G92</f>
        <v>#REF!</v>
      </c>
    </row>
    <row r="93" spans="1:13" s="114" customFormat="1">
      <c r="A93" s="96">
        <v>88</v>
      </c>
      <c r="B93" s="4" t="s">
        <v>346</v>
      </c>
      <c r="C93" s="19">
        <v>500000</v>
      </c>
      <c r="D93" s="19">
        <v>66650</v>
      </c>
      <c r="E93" s="19">
        <v>566650</v>
      </c>
      <c r="F93" s="159">
        <v>50</v>
      </c>
      <c r="G93" s="208">
        <v>11333</v>
      </c>
      <c r="H93" s="97">
        <v>14</v>
      </c>
      <c r="I93" s="97">
        <f t="shared" si="10"/>
        <v>36</v>
      </c>
      <c r="J93" s="91">
        <f t="shared" si="12"/>
        <v>158662</v>
      </c>
      <c r="K93" s="91">
        <f t="shared" si="11"/>
        <v>407988</v>
      </c>
      <c r="L93" s="11"/>
      <c r="M93" s="180" t="e">
        <f>#REF!-G93</f>
        <v>#REF!</v>
      </c>
    </row>
    <row r="94" spans="1:13" s="114" customFormat="1">
      <c r="A94" s="96">
        <v>89</v>
      </c>
      <c r="B94" s="4" t="s">
        <v>408</v>
      </c>
      <c r="C94" s="41">
        <v>200000</v>
      </c>
      <c r="D94" s="41">
        <v>26660</v>
      </c>
      <c r="E94" s="41">
        <v>226660</v>
      </c>
      <c r="F94" s="159">
        <v>40</v>
      </c>
      <c r="G94" s="208">
        <v>5666.5</v>
      </c>
      <c r="H94" s="97">
        <v>42</v>
      </c>
      <c r="I94" s="97">
        <f t="shared" si="10"/>
        <v>-2</v>
      </c>
      <c r="J94" s="91">
        <f t="shared" si="12"/>
        <v>237993</v>
      </c>
      <c r="K94" s="94">
        <f t="shared" si="11"/>
        <v>-11333</v>
      </c>
      <c r="L94" s="11"/>
      <c r="M94" s="180" t="e">
        <f>#REF!-G94</f>
        <v>#REF!</v>
      </c>
    </row>
    <row r="95" spans="1:13" s="114" customFormat="1">
      <c r="A95" s="96">
        <v>90</v>
      </c>
      <c r="B95" s="2" t="s">
        <v>83</v>
      </c>
      <c r="C95" s="12">
        <v>500000</v>
      </c>
      <c r="D95" s="12">
        <v>66650</v>
      </c>
      <c r="E95" s="15">
        <f>SUM(C95:D95)</f>
        <v>566650</v>
      </c>
      <c r="F95" s="14">
        <v>50</v>
      </c>
      <c r="G95" s="143">
        <v>11333</v>
      </c>
      <c r="H95" s="14">
        <v>32</v>
      </c>
      <c r="I95" s="97">
        <f t="shared" si="10"/>
        <v>18</v>
      </c>
      <c r="J95" s="91">
        <f t="shared" si="12"/>
        <v>362656</v>
      </c>
      <c r="K95" s="15">
        <f t="shared" si="11"/>
        <v>203994</v>
      </c>
      <c r="L95" s="8"/>
      <c r="M95" s="180" t="e">
        <f>#REF!-G95</f>
        <v>#REF!</v>
      </c>
    </row>
    <row r="96" spans="1:13" s="114" customFormat="1">
      <c r="A96" s="96">
        <v>91</v>
      </c>
      <c r="B96" s="2" t="s">
        <v>487</v>
      </c>
      <c r="C96" s="16">
        <v>500000</v>
      </c>
      <c r="D96" s="16">
        <v>66650</v>
      </c>
      <c r="E96" s="16">
        <v>566650</v>
      </c>
      <c r="F96" s="159">
        <v>50</v>
      </c>
      <c r="G96" s="209">
        <v>11333</v>
      </c>
      <c r="H96" s="101">
        <v>3</v>
      </c>
      <c r="I96" s="97">
        <f t="shared" si="10"/>
        <v>47</v>
      </c>
      <c r="J96" s="91">
        <f t="shared" si="12"/>
        <v>33999</v>
      </c>
      <c r="K96" s="94">
        <f t="shared" si="11"/>
        <v>532651</v>
      </c>
      <c r="L96" s="218"/>
      <c r="M96" s="180" t="e">
        <f>#REF!-G96</f>
        <v>#REF!</v>
      </c>
    </row>
    <row r="97" spans="1:13" s="114" customFormat="1">
      <c r="A97" s="96">
        <v>92</v>
      </c>
      <c r="B97" s="2" t="s">
        <v>368</v>
      </c>
      <c r="C97" s="16">
        <v>450000</v>
      </c>
      <c r="D97" s="16">
        <v>59985</v>
      </c>
      <c r="E97" s="16">
        <v>509985</v>
      </c>
      <c r="F97" s="159">
        <v>50</v>
      </c>
      <c r="G97" s="209">
        <v>10199.700000000001</v>
      </c>
      <c r="H97" s="97">
        <v>14</v>
      </c>
      <c r="I97" s="97">
        <f t="shared" si="10"/>
        <v>36</v>
      </c>
      <c r="J97" s="91">
        <f t="shared" si="12"/>
        <v>142795.80000000002</v>
      </c>
      <c r="K97" s="91">
        <f t="shared" si="11"/>
        <v>367189.19999999995</v>
      </c>
      <c r="L97" s="122"/>
      <c r="M97" s="180" t="e">
        <f>#REF!-G97</f>
        <v>#REF!</v>
      </c>
    </row>
    <row r="98" spans="1:13" s="114" customFormat="1">
      <c r="A98" s="96">
        <v>93</v>
      </c>
      <c r="B98" s="2" t="s">
        <v>347</v>
      </c>
      <c r="C98" s="16">
        <v>500000</v>
      </c>
      <c r="D98" s="16">
        <v>66650</v>
      </c>
      <c r="E98" s="41">
        <f t="shared" ref="E98:E110" si="13">SUM(C98:D98)</f>
        <v>566650</v>
      </c>
      <c r="F98" s="159">
        <v>50</v>
      </c>
      <c r="G98" s="209">
        <v>11333</v>
      </c>
      <c r="H98" s="97">
        <v>29</v>
      </c>
      <c r="I98" s="97">
        <f t="shared" si="10"/>
        <v>21</v>
      </c>
      <c r="J98" s="91">
        <f t="shared" si="12"/>
        <v>328657</v>
      </c>
      <c r="K98" s="94">
        <f t="shared" si="11"/>
        <v>237993</v>
      </c>
      <c r="L98" s="11"/>
      <c r="M98" s="180" t="e">
        <f>#REF!-G98</f>
        <v>#REF!</v>
      </c>
    </row>
    <row r="99" spans="1:13" s="114" customFormat="1">
      <c r="A99" s="96">
        <v>94</v>
      </c>
      <c r="B99" s="2" t="s">
        <v>409</v>
      </c>
      <c r="C99" s="41">
        <v>200000</v>
      </c>
      <c r="D99" s="41">
        <v>26660</v>
      </c>
      <c r="E99" s="41">
        <f t="shared" si="13"/>
        <v>226660</v>
      </c>
      <c r="F99" s="159">
        <v>40</v>
      </c>
      <c r="G99" s="209">
        <v>5666.5</v>
      </c>
      <c r="H99" s="97">
        <v>42</v>
      </c>
      <c r="I99" s="97">
        <f t="shared" si="10"/>
        <v>-2</v>
      </c>
      <c r="J99" s="91">
        <f t="shared" si="12"/>
        <v>237993</v>
      </c>
      <c r="K99" s="94">
        <f t="shared" si="11"/>
        <v>-11333</v>
      </c>
      <c r="L99" s="11"/>
      <c r="M99" s="180" t="e">
        <f>#REF!-G99</f>
        <v>#REF!</v>
      </c>
    </row>
    <row r="100" spans="1:13" s="114" customFormat="1">
      <c r="A100" s="96">
        <v>95</v>
      </c>
      <c r="B100" s="2" t="s">
        <v>348</v>
      </c>
      <c r="C100" s="161">
        <v>500000</v>
      </c>
      <c r="D100" s="161">
        <v>66650</v>
      </c>
      <c r="E100" s="162">
        <f t="shared" si="13"/>
        <v>566650</v>
      </c>
      <c r="F100" s="96">
        <v>50</v>
      </c>
      <c r="G100" s="209">
        <v>11333</v>
      </c>
      <c r="H100" s="97">
        <v>29</v>
      </c>
      <c r="I100" s="97">
        <f t="shared" si="10"/>
        <v>21</v>
      </c>
      <c r="J100" s="146">
        <f t="shared" si="12"/>
        <v>328657</v>
      </c>
      <c r="K100" s="164">
        <f t="shared" si="11"/>
        <v>237993</v>
      </c>
      <c r="L100" s="123"/>
      <c r="M100" s="180" t="e">
        <f>#REF!-G100</f>
        <v>#REF!</v>
      </c>
    </row>
    <row r="101" spans="1:13" s="114" customFormat="1">
      <c r="A101" s="96">
        <v>96</v>
      </c>
      <c r="B101" s="2" t="s">
        <v>349</v>
      </c>
      <c r="C101" s="16">
        <v>500000</v>
      </c>
      <c r="D101" s="16">
        <v>66650</v>
      </c>
      <c r="E101" s="41">
        <f t="shared" si="13"/>
        <v>566650</v>
      </c>
      <c r="F101" s="159">
        <v>50</v>
      </c>
      <c r="G101" s="209">
        <v>11333</v>
      </c>
      <c r="H101" s="97">
        <v>7</v>
      </c>
      <c r="I101" s="97">
        <f t="shared" si="10"/>
        <v>43</v>
      </c>
      <c r="J101" s="156">
        <f>(1*11333)</f>
        <v>11333</v>
      </c>
      <c r="K101" s="91">
        <f t="shared" si="11"/>
        <v>555317</v>
      </c>
      <c r="L101" s="122"/>
      <c r="M101" s="180" t="e">
        <f>#REF!-G101</f>
        <v>#REF!</v>
      </c>
    </row>
    <row r="102" spans="1:13" s="114" customFormat="1">
      <c r="A102" s="96">
        <v>97</v>
      </c>
      <c r="B102" s="2" t="s">
        <v>369</v>
      </c>
      <c r="C102" s="16">
        <v>450000</v>
      </c>
      <c r="D102" s="16">
        <v>59985</v>
      </c>
      <c r="E102" s="41">
        <f t="shared" si="13"/>
        <v>509985</v>
      </c>
      <c r="F102" s="159">
        <v>50</v>
      </c>
      <c r="G102" s="209">
        <v>10199.700000000001</v>
      </c>
      <c r="H102" s="97">
        <v>28</v>
      </c>
      <c r="I102" s="97">
        <f t="shared" ref="I102:I129" si="14">F102-H102</f>
        <v>22</v>
      </c>
      <c r="J102" s="91">
        <f>H102*G102</f>
        <v>285591.60000000003</v>
      </c>
      <c r="K102" s="94">
        <f t="shared" ref="K102:K129" si="15">E102-J102</f>
        <v>224393.39999999997</v>
      </c>
      <c r="L102" s="11"/>
      <c r="M102" s="180" t="e">
        <f>#REF!-G102</f>
        <v>#REF!</v>
      </c>
    </row>
    <row r="103" spans="1:13" s="114" customFormat="1">
      <c r="A103" s="96">
        <v>98</v>
      </c>
      <c r="B103" s="23" t="s">
        <v>296</v>
      </c>
      <c r="C103" s="19">
        <v>330000</v>
      </c>
      <c r="D103" s="19">
        <v>43989</v>
      </c>
      <c r="E103" s="19">
        <f t="shared" si="13"/>
        <v>373989</v>
      </c>
      <c r="F103" s="159">
        <v>40</v>
      </c>
      <c r="G103" s="209">
        <v>9129.7800000000007</v>
      </c>
      <c r="H103" s="159">
        <v>3</v>
      </c>
      <c r="I103" s="97">
        <f t="shared" si="14"/>
        <v>37</v>
      </c>
      <c r="J103" s="91">
        <f>H103*G103</f>
        <v>27389.340000000004</v>
      </c>
      <c r="K103" s="94">
        <f t="shared" si="15"/>
        <v>346599.66</v>
      </c>
      <c r="L103" s="214"/>
      <c r="M103" s="180" t="e">
        <f>#REF!-G103</f>
        <v>#REF!</v>
      </c>
    </row>
    <row r="104" spans="1:13" s="114" customFormat="1">
      <c r="A104" s="96">
        <v>99</v>
      </c>
      <c r="B104" s="4" t="s">
        <v>350</v>
      </c>
      <c r="C104" s="16">
        <v>500000</v>
      </c>
      <c r="D104" s="16">
        <v>66650</v>
      </c>
      <c r="E104" s="41">
        <f t="shared" si="13"/>
        <v>566650</v>
      </c>
      <c r="F104" s="159">
        <v>50</v>
      </c>
      <c r="G104" s="208">
        <v>11333</v>
      </c>
      <c r="H104" s="97">
        <v>7</v>
      </c>
      <c r="I104" s="97">
        <f t="shared" si="14"/>
        <v>43</v>
      </c>
      <c r="J104" s="156">
        <f>(1*11333)</f>
        <v>11333</v>
      </c>
      <c r="K104" s="91">
        <f t="shared" si="15"/>
        <v>555317</v>
      </c>
      <c r="L104" s="11"/>
      <c r="M104" s="180" t="e">
        <f>#REF!-G104</f>
        <v>#REF!</v>
      </c>
    </row>
    <row r="105" spans="1:13" s="114" customFormat="1">
      <c r="A105" s="96">
        <v>100</v>
      </c>
      <c r="B105" s="4" t="s">
        <v>35</v>
      </c>
      <c r="C105" s="155">
        <v>150000</v>
      </c>
      <c r="D105" s="155">
        <v>19995</v>
      </c>
      <c r="E105" s="155">
        <f t="shared" si="13"/>
        <v>169995</v>
      </c>
      <c r="F105" s="159">
        <v>50</v>
      </c>
      <c r="G105" s="208">
        <v>3399.9</v>
      </c>
      <c r="H105" s="97">
        <v>14</v>
      </c>
      <c r="I105" s="97">
        <f t="shared" si="14"/>
        <v>36</v>
      </c>
      <c r="J105" s="91">
        <f t="shared" ref="J105:J129" si="16">H105*G105</f>
        <v>47598.6</v>
      </c>
      <c r="K105" s="91">
        <f t="shared" si="15"/>
        <v>122396.4</v>
      </c>
      <c r="L105" s="122"/>
      <c r="M105" s="180" t="e">
        <f>#REF!-G105</f>
        <v>#REF!</v>
      </c>
    </row>
    <row r="106" spans="1:13" s="114" customFormat="1">
      <c r="A106" s="96">
        <v>101</v>
      </c>
      <c r="B106" s="2" t="s">
        <v>378</v>
      </c>
      <c r="C106" s="12">
        <v>330000</v>
      </c>
      <c r="D106" s="12">
        <v>43989</v>
      </c>
      <c r="E106" s="15">
        <f t="shared" si="13"/>
        <v>373989</v>
      </c>
      <c r="F106" s="14">
        <v>50</v>
      </c>
      <c r="G106" s="231">
        <v>7479.78</v>
      </c>
      <c r="H106" s="14">
        <v>34</v>
      </c>
      <c r="I106" s="97">
        <f t="shared" si="14"/>
        <v>16</v>
      </c>
      <c r="J106" s="91">
        <f t="shared" si="16"/>
        <v>254312.52</v>
      </c>
      <c r="K106" s="15">
        <f t="shared" si="15"/>
        <v>119676.48000000001</v>
      </c>
      <c r="L106" s="8"/>
      <c r="M106" s="180" t="e">
        <f>#REF!-G106</f>
        <v>#REF!</v>
      </c>
    </row>
    <row r="107" spans="1:13" s="114" customFormat="1">
      <c r="A107" s="96">
        <v>102</v>
      </c>
      <c r="B107" s="4" t="s">
        <v>351</v>
      </c>
      <c r="C107" s="16">
        <v>500000</v>
      </c>
      <c r="D107" s="16">
        <v>66650</v>
      </c>
      <c r="E107" s="41">
        <f t="shared" si="13"/>
        <v>566650</v>
      </c>
      <c r="F107" s="159">
        <v>50</v>
      </c>
      <c r="G107" s="208">
        <v>11333</v>
      </c>
      <c r="H107" s="97">
        <v>28</v>
      </c>
      <c r="I107" s="97">
        <f t="shared" si="14"/>
        <v>22</v>
      </c>
      <c r="J107" s="91">
        <f t="shared" si="16"/>
        <v>317324</v>
      </c>
      <c r="K107" s="94">
        <f t="shared" si="15"/>
        <v>249326</v>
      </c>
      <c r="L107" s="11"/>
      <c r="M107" s="180" t="e">
        <f>#REF!-G107</f>
        <v>#REF!</v>
      </c>
    </row>
    <row r="108" spans="1:13" s="114" customFormat="1">
      <c r="A108" s="96">
        <v>103</v>
      </c>
      <c r="B108" s="166" t="s">
        <v>300</v>
      </c>
      <c r="C108" s="16">
        <v>500000</v>
      </c>
      <c r="D108" s="16">
        <v>66650</v>
      </c>
      <c r="E108" s="41">
        <f t="shared" si="13"/>
        <v>566650</v>
      </c>
      <c r="F108" s="159">
        <v>50</v>
      </c>
      <c r="G108" s="208">
        <v>11333</v>
      </c>
      <c r="H108" s="97">
        <v>33</v>
      </c>
      <c r="I108" s="97">
        <f t="shared" si="14"/>
        <v>17</v>
      </c>
      <c r="J108" s="91">
        <f t="shared" si="16"/>
        <v>373989</v>
      </c>
      <c r="K108" s="94">
        <f t="shared" si="15"/>
        <v>192661</v>
      </c>
      <c r="L108" s="11"/>
      <c r="M108" s="180" t="e">
        <f>#REF!-G108</f>
        <v>#REF!</v>
      </c>
    </row>
    <row r="109" spans="1:13" s="114" customFormat="1">
      <c r="A109" s="96">
        <v>104</v>
      </c>
      <c r="B109" s="4" t="s">
        <v>379</v>
      </c>
      <c r="C109" s="12">
        <v>330000</v>
      </c>
      <c r="D109" s="12">
        <v>43989</v>
      </c>
      <c r="E109" s="15">
        <f t="shared" si="13"/>
        <v>373989</v>
      </c>
      <c r="F109" s="14">
        <v>50</v>
      </c>
      <c r="G109" s="231">
        <v>7479.78</v>
      </c>
      <c r="H109" s="14">
        <v>34</v>
      </c>
      <c r="I109" s="97">
        <f t="shared" si="14"/>
        <v>16</v>
      </c>
      <c r="J109" s="91">
        <f t="shared" si="16"/>
        <v>254312.52</v>
      </c>
      <c r="K109" s="15">
        <f t="shared" si="15"/>
        <v>119676.48000000001</v>
      </c>
      <c r="L109" s="8"/>
      <c r="M109" s="180" t="e">
        <f>#REF!-G109</f>
        <v>#REF!</v>
      </c>
    </row>
    <row r="110" spans="1:13" s="114" customFormat="1">
      <c r="A110" s="96">
        <v>105</v>
      </c>
      <c r="B110" s="28" t="s">
        <v>302</v>
      </c>
      <c r="C110" s="16">
        <v>500000</v>
      </c>
      <c r="D110" s="16">
        <v>47992</v>
      </c>
      <c r="E110" s="41">
        <f t="shared" si="13"/>
        <v>547992</v>
      </c>
      <c r="F110" s="159">
        <v>36</v>
      </c>
      <c r="G110" s="230">
        <v>15222</v>
      </c>
      <c r="H110" s="97">
        <v>28</v>
      </c>
      <c r="I110" s="97">
        <f t="shared" si="14"/>
        <v>8</v>
      </c>
      <c r="J110" s="91">
        <f t="shared" si="16"/>
        <v>426216</v>
      </c>
      <c r="K110" s="94">
        <f t="shared" si="15"/>
        <v>121776</v>
      </c>
      <c r="L110" s="11"/>
      <c r="M110" s="180" t="e">
        <f>#REF!-G110</f>
        <v>#REF!</v>
      </c>
    </row>
    <row r="111" spans="1:13" s="114" customFormat="1">
      <c r="A111" s="96">
        <v>106</v>
      </c>
      <c r="B111" s="4" t="s">
        <v>488</v>
      </c>
      <c r="C111" s="16">
        <v>500000</v>
      </c>
      <c r="D111" s="16">
        <v>66650</v>
      </c>
      <c r="E111" s="16">
        <v>566650</v>
      </c>
      <c r="F111" s="159">
        <v>50</v>
      </c>
      <c r="G111" s="230">
        <v>11333</v>
      </c>
      <c r="H111" s="159">
        <v>3</v>
      </c>
      <c r="I111" s="97">
        <f t="shared" si="14"/>
        <v>47</v>
      </c>
      <c r="J111" s="91">
        <f t="shared" si="16"/>
        <v>33999</v>
      </c>
      <c r="K111" s="94">
        <f t="shared" si="15"/>
        <v>532651</v>
      </c>
      <c r="L111" s="214"/>
      <c r="M111" s="180" t="e">
        <f>#REF!-G111</f>
        <v>#REF!</v>
      </c>
    </row>
    <row r="112" spans="1:13" s="114" customFormat="1">
      <c r="A112" s="96">
        <v>107</v>
      </c>
      <c r="B112" s="4" t="s">
        <v>87</v>
      </c>
      <c r="C112" s="16">
        <v>500000</v>
      </c>
      <c r="D112" s="16">
        <v>66650</v>
      </c>
      <c r="E112" s="41">
        <f>SUM(C112:D112)</f>
        <v>566650</v>
      </c>
      <c r="F112" s="159">
        <v>50</v>
      </c>
      <c r="G112" s="208">
        <v>11333</v>
      </c>
      <c r="H112" s="97">
        <v>50</v>
      </c>
      <c r="I112" s="97">
        <f t="shared" si="14"/>
        <v>0</v>
      </c>
      <c r="J112" s="91">
        <f t="shared" si="16"/>
        <v>566650</v>
      </c>
      <c r="K112" s="94">
        <f t="shared" si="15"/>
        <v>0</v>
      </c>
      <c r="L112" s="11"/>
      <c r="M112" s="180" t="e">
        <f>#REF!-G112</f>
        <v>#REF!</v>
      </c>
    </row>
    <row r="113" spans="1:14" s="114" customFormat="1">
      <c r="A113" s="96">
        <v>108</v>
      </c>
      <c r="B113" s="4" t="s">
        <v>370</v>
      </c>
      <c r="C113" s="16">
        <v>450000</v>
      </c>
      <c r="D113" s="16">
        <v>59985</v>
      </c>
      <c r="E113" s="41">
        <f>SUM(C113:D113)</f>
        <v>509985</v>
      </c>
      <c r="F113" s="159">
        <v>50</v>
      </c>
      <c r="G113" s="208">
        <v>10199.700000000001</v>
      </c>
      <c r="H113" s="97">
        <v>29</v>
      </c>
      <c r="I113" s="97">
        <f t="shared" si="14"/>
        <v>21</v>
      </c>
      <c r="J113" s="91">
        <f t="shared" si="16"/>
        <v>295791.30000000005</v>
      </c>
      <c r="K113" s="94">
        <f t="shared" si="15"/>
        <v>214193.69999999995</v>
      </c>
      <c r="L113" s="11"/>
      <c r="M113" s="180" t="e">
        <f>#REF!-G113</f>
        <v>#REF!</v>
      </c>
    </row>
    <row r="114" spans="1:14" s="114" customFormat="1">
      <c r="A114" s="96">
        <v>109</v>
      </c>
      <c r="B114" s="4" t="s">
        <v>352</v>
      </c>
      <c r="C114" s="16">
        <v>500000</v>
      </c>
      <c r="D114" s="16">
        <v>66650</v>
      </c>
      <c r="E114" s="41">
        <f>SUM(C114:D114)</f>
        <v>566650</v>
      </c>
      <c r="F114" s="159">
        <v>50</v>
      </c>
      <c r="G114" s="208">
        <v>11333</v>
      </c>
      <c r="H114" s="97">
        <v>29</v>
      </c>
      <c r="I114" s="97">
        <f t="shared" si="14"/>
        <v>21</v>
      </c>
      <c r="J114" s="91">
        <f t="shared" si="16"/>
        <v>328657</v>
      </c>
      <c r="K114" s="94">
        <f t="shared" si="15"/>
        <v>237993</v>
      </c>
      <c r="L114" s="11"/>
      <c r="M114" s="180" t="e">
        <f>#REF!-G114</f>
        <v>#REF!</v>
      </c>
    </row>
    <row r="115" spans="1:14" s="114" customFormat="1">
      <c r="A115" s="96">
        <v>110</v>
      </c>
      <c r="B115" s="4" t="s">
        <v>371</v>
      </c>
      <c r="C115" s="16">
        <v>450000</v>
      </c>
      <c r="D115" s="16">
        <v>59985</v>
      </c>
      <c r="E115" s="41">
        <f>SUM(C115:D115)</f>
        <v>509985</v>
      </c>
      <c r="F115" s="159">
        <v>50</v>
      </c>
      <c r="G115" s="208">
        <v>10199.700000000001</v>
      </c>
      <c r="H115" s="97">
        <v>29</v>
      </c>
      <c r="I115" s="97">
        <f t="shared" si="14"/>
        <v>21</v>
      </c>
      <c r="J115" s="91">
        <f t="shared" si="16"/>
        <v>295791.30000000005</v>
      </c>
      <c r="K115" s="94">
        <f t="shared" si="15"/>
        <v>214193.69999999995</v>
      </c>
      <c r="L115" s="11"/>
      <c r="M115" s="180" t="e">
        <f>#REF!-G115</f>
        <v>#REF!</v>
      </c>
    </row>
    <row r="116" spans="1:14" s="114" customFormat="1">
      <c r="A116" s="96">
        <v>111</v>
      </c>
      <c r="B116" s="4" t="s">
        <v>353</v>
      </c>
      <c r="C116" s="19">
        <v>500000</v>
      </c>
      <c r="D116" s="19">
        <v>66650</v>
      </c>
      <c r="E116" s="19">
        <v>566650</v>
      </c>
      <c r="F116" s="159">
        <v>50</v>
      </c>
      <c r="G116" s="208">
        <v>11333</v>
      </c>
      <c r="H116" s="97">
        <v>15</v>
      </c>
      <c r="I116" s="97">
        <f t="shared" si="14"/>
        <v>35</v>
      </c>
      <c r="J116" s="91">
        <f t="shared" si="16"/>
        <v>169995</v>
      </c>
      <c r="K116" s="91">
        <f t="shared" si="15"/>
        <v>396655</v>
      </c>
      <c r="L116" s="122"/>
      <c r="M116" s="180" t="e">
        <f>#REF!-G116</f>
        <v>#REF!</v>
      </c>
    </row>
    <row r="117" spans="1:14" s="114" customFormat="1">
      <c r="A117" s="96">
        <v>112</v>
      </c>
      <c r="B117" s="4" t="s">
        <v>354</v>
      </c>
      <c r="C117" s="12">
        <v>500000</v>
      </c>
      <c r="D117" s="12">
        <v>66650</v>
      </c>
      <c r="E117" s="15">
        <f>SUM(C117:D117)</f>
        <v>566650</v>
      </c>
      <c r="F117" s="14">
        <v>50</v>
      </c>
      <c r="G117" s="230">
        <v>11333</v>
      </c>
      <c r="H117" s="14">
        <v>34</v>
      </c>
      <c r="I117" s="97">
        <f t="shared" si="14"/>
        <v>16</v>
      </c>
      <c r="J117" s="91">
        <f t="shared" si="16"/>
        <v>385322</v>
      </c>
      <c r="K117" s="15">
        <f t="shared" si="15"/>
        <v>181328</v>
      </c>
      <c r="L117" s="8"/>
      <c r="M117" s="180" t="e">
        <f>#REF!-G117</f>
        <v>#REF!</v>
      </c>
    </row>
    <row r="118" spans="1:14" s="114" customFormat="1">
      <c r="A118" s="96">
        <v>113</v>
      </c>
      <c r="B118" s="4" t="s">
        <v>380</v>
      </c>
      <c r="C118" s="16">
        <v>330000</v>
      </c>
      <c r="D118" s="16">
        <v>43989</v>
      </c>
      <c r="E118" s="41">
        <f>SUM(C118:D118)</f>
        <v>373989</v>
      </c>
      <c r="F118" s="159">
        <v>50</v>
      </c>
      <c r="G118" s="208">
        <v>7479.78</v>
      </c>
      <c r="H118" s="159">
        <v>37</v>
      </c>
      <c r="I118" s="97">
        <f t="shared" si="14"/>
        <v>13</v>
      </c>
      <c r="J118" s="91">
        <f t="shared" si="16"/>
        <v>276751.86</v>
      </c>
      <c r="K118" s="94">
        <f t="shared" si="15"/>
        <v>97237.140000000014</v>
      </c>
      <c r="L118" s="11"/>
    </row>
    <row r="119" spans="1:14" s="114" customFormat="1">
      <c r="A119" s="96">
        <v>114</v>
      </c>
      <c r="B119" s="4" t="s">
        <v>381</v>
      </c>
      <c r="C119" s="155">
        <v>330000</v>
      </c>
      <c r="D119" s="155">
        <v>43989</v>
      </c>
      <c r="E119" s="155">
        <f>SUM(C119:D119)</f>
        <v>373989</v>
      </c>
      <c r="F119" s="159">
        <v>50</v>
      </c>
      <c r="G119" s="230">
        <v>7479.78</v>
      </c>
      <c r="H119" s="97">
        <v>15</v>
      </c>
      <c r="I119" s="97">
        <f t="shared" si="14"/>
        <v>35</v>
      </c>
      <c r="J119" s="91">
        <f t="shared" si="16"/>
        <v>112196.7</v>
      </c>
      <c r="K119" s="91">
        <f t="shared" si="15"/>
        <v>261792.3</v>
      </c>
      <c r="L119" s="122"/>
    </row>
    <row r="120" spans="1:14" s="114" customFormat="1">
      <c r="A120" s="96">
        <v>115</v>
      </c>
      <c r="B120" s="28" t="s">
        <v>491</v>
      </c>
      <c r="C120" s="19">
        <v>330000</v>
      </c>
      <c r="D120" s="19">
        <v>43989</v>
      </c>
      <c r="E120" s="19">
        <f>SUM(C120:D120)</f>
        <v>373989</v>
      </c>
      <c r="F120" s="159">
        <v>50</v>
      </c>
      <c r="G120" s="208">
        <v>7479.78</v>
      </c>
      <c r="H120" s="159">
        <v>3</v>
      </c>
      <c r="I120" s="97">
        <f t="shared" si="14"/>
        <v>47</v>
      </c>
      <c r="J120" s="91">
        <f t="shared" si="16"/>
        <v>22439.34</v>
      </c>
      <c r="K120" s="94">
        <f t="shared" si="15"/>
        <v>351549.66</v>
      </c>
      <c r="L120" s="214"/>
    </row>
    <row r="121" spans="1:14" s="114" customFormat="1">
      <c r="A121" s="96">
        <v>116</v>
      </c>
      <c r="B121" s="4" t="s">
        <v>29</v>
      </c>
      <c r="C121" s="19">
        <v>450000</v>
      </c>
      <c r="D121" s="19">
        <v>59985</v>
      </c>
      <c r="E121" s="19">
        <v>509985</v>
      </c>
      <c r="F121" s="159">
        <v>50</v>
      </c>
      <c r="G121" s="209">
        <v>10199.700000000001</v>
      </c>
      <c r="H121" s="97">
        <v>15</v>
      </c>
      <c r="I121" s="97">
        <f t="shared" si="14"/>
        <v>35</v>
      </c>
      <c r="J121" s="91">
        <f t="shared" si="16"/>
        <v>152995.5</v>
      </c>
      <c r="K121" s="91">
        <f t="shared" si="15"/>
        <v>356989.5</v>
      </c>
      <c r="L121" s="122"/>
      <c r="M121" s="120"/>
    </row>
    <row r="122" spans="1:14" s="114" customFormat="1">
      <c r="A122" s="96">
        <v>117</v>
      </c>
      <c r="B122" s="4" t="s">
        <v>355</v>
      </c>
      <c r="C122" s="16">
        <v>500000</v>
      </c>
      <c r="D122" s="16">
        <v>66650</v>
      </c>
      <c r="E122" s="41">
        <f>SUM(C122:D122)</f>
        <v>566650</v>
      </c>
      <c r="F122" s="159">
        <v>50</v>
      </c>
      <c r="G122" s="209">
        <v>11333</v>
      </c>
      <c r="H122" s="97">
        <v>49</v>
      </c>
      <c r="I122" s="97">
        <f t="shared" si="14"/>
        <v>1</v>
      </c>
      <c r="J122" s="91">
        <f t="shared" si="16"/>
        <v>555317</v>
      </c>
      <c r="K122" s="94">
        <f t="shared" si="15"/>
        <v>11333</v>
      </c>
      <c r="L122" s="11"/>
      <c r="M122"/>
    </row>
    <row r="123" spans="1:14" s="114" customFormat="1">
      <c r="A123" s="96">
        <v>118</v>
      </c>
      <c r="B123" s="4" t="s">
        <v>356</v>
      </c>
      <c r="C123" s="16">
        <v>500000</v>
      </c>
      <c r="D123" s="16">
        <v>66650</v>
      </c>
      <c r="E123" s="41">
        <f>SUM(C123:D123)</f>
        <v>566650</v>
      </c>
      <c r="F123" s="159">
        <v>50</v>
      </c>
      <c r="G123" s="209">
        <v>11333</v>
      </c>
      <c r="H123" s="97">
        <v>28</v>
      </c>
      <c r="I123" s="97">
        <f t="shared" si="14"/>
        <v>22</v>
      </c>
      <c r="J123" s="91">
        <f t="shared" si="16"/>
        <v>317324</v>
      </c>
      <c r="K123" s="94">
        <f t="shared" si="15"/>
        <v>249326</v>
      </c>
      <c r="L123" s="11"/>
      <c r="M123"/>
    </row>
    <row r="124" spans="1:14" s="114" customFormat="1">
      <c r="A124" s="96">
        <v>119</v>
      </c>
      <c r="B124" s="4" t="s">
        <v>357</v>
      </c>
      <c r="C124" s="12">
        <v>500000</v>
      </c>
      <c r="D124" s="12">
        <v>66650</v>
      </c>
      <c r="E124" s="15">
        <f>SUM(C124:D124)</f>
        <v>566650</v>
      </c>
      <c r="F124" s="14">
        <v>50</v>
      </c>
      <c r="G124" s="230">
        <v>11333</v>
      </c>
      <c r="H124" s="14">
        <v>34</v>
      </c>
      <c r="I124" s="97">
        <f t="shared" si="14"/>
        <v>16</v>
      </c>
      <c r="J124" s="91">
        <f t="shared" si="16"/>
        <v>385322</v>
      </c>
      <c r="K124" s="15">
        <f t="shared" si="15"/>
        <v>181328</v>
      </c>
      <c r="L124" s="8"/>
      <c r="M124"/>
    </row>
    <row r="125" spans="1:14" s="114" customFormat="1">
      <c r="A125" s="96">
        <v>120</v>
      </c>
      <c r="B125" s="4" t="s">
        <v>358</v>
      </c>
      <c r="C125" s="16">
        <v>500000</v>
      </c>
      <c r="D125" s="16">
        <v>66650</v>
      </c>
      <c r="E125" s="16">
        <v>566650</v>
      </c>
      <c r="F125" s="159">
        <v>50</v>
      </c>
      <c r="G125" s="208">
        <v>11333</v>
      </c>
      <c r="H125" s="97">
        <v>15</v>
      </c>
      <c r="I125" s="97">
        <f t="shared" si="14"/>
        <v>35</v>
      </c>
      <c r="J125" s="91">
        <f t="shared" si="16"/>
        <v>169995</v>
      </c>
      <c r="K125" s="91">
        <f t="shared" si="15"/>
        <v>396655</v>
      </c>
      <c r="L125" s="122"/>
      <c r="M125"/>
    </row>
    <row r="126" spans="1:14" s="114" customFormat="1">
      <c r="A126" s="96">
        <v>121</v>
      </c>
      <c r="B126" s="4" t="s">
        <v>303</v>
      </c>
      <c r="C126" s="16">
        <v>500000</v>
      </c>
      <c r="D126" s="16">
        <v>47992</v>
      </c>
      <c r="E126" s="41">
        <f>SUM(C126:D126)</f>
        <v>547992</v>
      </c>
      <c r="F126" s="159">
        <v>36</v>
      </c>
      <c r="G126" s="230">
        <v>15222</v>
      </c>
      <c r="H126" s="97">
        <v>28</v>
      </c>
      <c r="I126" s="97">
        <f t="shared" si="14"/>
        <v>8</v>
      </c>
      <c r="J126" s="91">
        <f t="shared" si="16"/>
        <v>426216</v>
      </c>
      <c r="K126" s="94">
        <f t="shared" si="15"/>
        <v>121776</v>
      </c>
      <c r="L126" s="11"/>
      <c r="M126"/>
    </row>
    <row r="127" spans="1:14" s="114" customFormat="1">
      <c r="A127" s="96">
        <v>122</v>
      </c>
      <c r="B127" s="25" t="s">
        <v>290</v>
      </c>
      <c r="C127" s="19">
        <v>150000</v>
      </c>
      <c r="D127" s="19">
        <v>19995</v>
      </c>
      <c r="E127" s="19">
        <f>SUM(C127:D127)</f>
        <v>169995</v>
      </c>
      <c r="F127" s="159">
        <v>50</v>
      </c>
      <c r="G127" s="230">
        <v>3399.9</v>
      </c>
      <c r="H127" s="97">
        <v>28</v>
      </c>
      <c r="I127" s="97">
        <f t="shared" si="14"/>
        <v>22</v>
      </c>
      <c r="J127" s="91">
        <f t="shared" si="16"/>
        <v>95197.2</v>
      </c>
      <c r="K127" s="94">
        <f t="shared" si="15"/>
        <v>74797.8</v>
      </c>
      <c r="L127" s="122"/>
      <c r="M127"/>
      <c r="N127" s="120"/>
    </row>
    <row r="128" spans="1:14" s="114" customFormat="1">
      <c r="A128" s="96">
        <v>123</v>
      </c>
      <c r="B128" s="46" t="s">
        <v>359</v>
      </c>
      <c r="C128" s="16">
        <v>500000</v>
      </c>
      <c r="D128" s="16">
        <v>66650</v>
      </c>
      <c r="E128" s="41">
        <f>SUM(C128:D128)</f>
        <v>566650</v>
      </c>
      <c r="F128" s="159">
        <v>50</v>
      </c>
      <c r="G128" s="208">
        <v>11333</v>
      </c>
      <c r="H128" s="159">
        <v>50</v>
      </c>
      <c r="I128" s="97">
        <f t="shared" si="14"/>
        <v>0</v>
      </c>
      <c r="J128" s="91">
        <f t="shared" si="16"/>
        <v>566650</v>
      </c>
      <c r="K128" s="94">
        <f t="shared" si="15"/>
        <v>0</v>
      </c>
      <c r="L128" s="214"/>
      <c r="M128"/>
    </row>
    <row r="129" spans="1:14" s="114" customFormat="1">
      <c r="A129" s="96">
        <v>124</v>
      </c>
      <c r="B129" s="170" t="s">
        <v>297</v>
      </c>
      <c r="C129" s="19">
        <v>450000</v>
      </c>
      <c r="D129" s="19">
        <v>59985</v>
      </c>
      <c r="E129" s="19">
        <v>509985</v>
      </c>
      <c r="F129" s="159">
        <v>50</v>
      </c>
      <c r="G129" s="209">
        <v>10199.700000000001</v>
      </c>
      <c r="H129" s="159">
        <v>3</v>
      </c>
      <c r="I129" s="97">
        <f t="shared" si="14"/>
        <v>47</v>
      </c>
      <c r="J129" s="91">
        <f t="shared" si="16"/>
        <v>30599.100000000002</v>
      </c>
      <c r="K129" s="94">
        <f t="shared" si="15"/>
        <v>479385.9</v>
      </c>
      <c r="L129" s="214"/>
      <c r="M129"/>
    </row>
    <row r="130" spans="1:14" s="114" customFormat="1">
      <c r="A130" s="96">
        <v>125</v>
      </c>
      <c r="B130" s="25" t="s">
        <v>496</v>
      </c>
      <c r="C130" s="16">
        <v>500000</v>
      </c>
      <c r="D130" s="16">
        <v>66650</v>
      </c>
      <c r="E130" s="41">
        <f>SUM(C130:D130)</f>
        <v>566650</v>
      </c>
      <c r="F130" s="159">
        <v>50</v>
      </c>
      <c r="G130" s="209">
        <v>11333</v>
      </c>
      <c r="H130" s="188">
        <v>1</v>
      </c>
      <c r="I130" s="97">
        <f>F130-H130</f>
        <v>49</v>
      </c>
      <c r="J130" s="91">
        <f>H130*G130</f>
        <v>11333</v>
      </c>
      <c r="K130" s="94">
        <f>E130-J130</f>
        <v>555317</v>
      </c>
      <c r="L130" s="214"/>
    </row>
    <row r="131" spans="1:14" s="114" customFormat="1">
      <c r="A131" s="96">
        <v>126</v>
      </c>
      <c r="B131" s="25" t="s">
        <v>497</v>
      </c>
      <c r="C131" s="16">
        <v>500000</v>
      </c>
      <c r="D131" s="16">
        <v>66650</v>
      </c>
      <c r="E131" s="41">
        <f>SUM(C131:D131)</f>
        <v>566650</v>
      </c>
      <c r="F131" s="159">
        <v>50</v>
      </c>
      <c r="G131" s="203">
        <v>11333</v>
      </c>
      <c r="H131" s="188">
        <v>1</v>
      </c>
      <c r="I131" s="97">
        <f>F131-H131</f>
        <v>49</v>
      </c>
      <c r="J131" s="91">
        <f>H131*G131</f>
        <v>11333</v>
      </c>
      <c r="K131" s="94">
        <f>E131-J131</f>
        <v>555317</v>
      </c>
      <c r="L131" s="214"/>
    </row>
    <row r="132" spans="1:14" s="114" customFormat="1">
      <c r="A132" s="217"/>
      <c r="B132" s="8"/>
      <c r="C132" s="34">
        <f>SUM(C6:C131)</f>
        <v>52174000</v>
      </c>
      <c r="D132" s="34">
        <f>SUM(D6:D131)</f>
        <v>6844163.2000000002</v>
      </c>
      <c r="E132" s="34">
        <f>SUM(E6:E131)</f>
        <v>59018163.200000003</v>
      </c>
      <c r="F132" s="36"/>
      <c r="G132" s="34">
        <f>SUM(G6:G131)</f>
        <v>1224537.6599999999</v>
      </c>
      <c r="H132" s="34"/>
      <c r="I132" s="34"/>
      <c r="J132" s="34">
        <f>SUM(J6:J131)</f>
        <v>33836126.369999997</v>
      </c>
      <c r="K132" s="34">
        <f>SUM(K6:K131)</f>
        <v>25182036.829999994</v>
      </c>
      <c r="L132" s="8"/>
    </row>
    <row r="133" spans="1:14" s="120" customFormat="1">
      <c r="A133" s="44"/>
      <c r="B133" s="184"/>
      <c r="C133"/>
      <c r="D133"/>
      <c r="E133"/>
      <c r="F133" s="43"/>
      <c r="G133" s="165">
        <v>1224537.6599999988</v>
      </c>
      <c r="H133" s="99"/>
      <c r="I133" s="99"/>
      <c r="J133"/>
      <c r="K133"/>
      <c r="L133"/>
      <c r="M133" s="114"/>
      <c r="N133" s="114"/>
    </row>
    <row r="134" spans="1:14" s="114" customFormat="1">
      <c r="A134" s="44"/>
      <c r="B134" s="184"/>
      <c r="C134"/>
      <c r="D134"/>
      <c r="E134"/>
      <c r="F134" s="43"/>
      <c r="G134"/>
      <c r="H134" s="99"/>
      <c r="I134" s="99"/>
      <c r="J134"/>
      <c r="K134"/>
      <c r="L134"/>
    </row>
    <row r="135" spans="1:14" s="114" customFormat="1">
      <c r="A135" s="44"/>
      <c r="B135" s="184"/>
      <c r="C135"/>
      <c r="D135"/>
      <c r="E135"/>
      <c r="F135" s="43"/>
      <c r="G135" s="39">
        <f>G133-G132</f>
        <v>0</v>
      </c>
      <c r="H135" s="99"/>
      <c r="I135" s="99"/>
      <c r="J135"/>
      <c r="K135"/>
      <c r="L135"/>
    </row>
    <row r="136" spans="1:14" s="114" customFormat="1"/>
    <row r="137" spans="1:14" s="114" customFormat="1"/>
    <row r="138" spans="1:14" s="114" customFormat="1"/>
    <row r="139" spans="1:14" s="114" customFormat="1"/>
    <row r="140" spans="1:14" s="114" customFormat="1"/>
    <row r="141" spans="1:14" s="114" customFormat="1"/>
    <row r="142" spans="1:14" s="114" customFormat="1"/>
    <row r="143" spans="1:14" s="114" customFormat="1"/>
    <row r="144" spans="1:14" s="114" customFormat="1">
      <c r="A144" s="96">
        <v>30</v>
      </c>
      <c r="B144" s="25" t="s">
        <v>362</v>
      </c>
      <c r="C144" s="12">
        <v>450000</v>
      </c>
      <c r="D144" s="12">
        <v>59985</v>
      </c>
      <c r="E144" s="15">
        <f>SUM(C144:D144)</f>
        <v>509985</v>
      </c>
      <c r="F144" s="14">
        <v>50</v>
      </c>
      <c r="G144" s="212">
        <v>10199.700000000001</v>
      </c>
      <c r="H144" s="14">
        <v>30</v>
      </c>
      <c r="I144" s="97">
        <f t="shared" ref="I144:I151" si="17">F144-H144</f>
        <v>20</v>
      </c>
      <c r="J144" s="91">
        <f>H144*G144</f>
        <v>305991</v>
      </c>
      <c r="K144" s="15">
        <f t="shared" ref="K144:K151" si="18">E144-J144</f>
        <v>203994</v>
      </c>
      <c r="L144" s="8"/>
      <c r="M144" s="180" t="e">
        <f>#REF!-G144</f>
        <v>#REF!</v>
      </c>
    </row>
    <row r="145" spans="1:14" s="114" customFormat="1">
      <c r="A145" s="96">
        <v>102</v>
      </c>
      <c r="B145" s="46" t="s">
        <v>289</v>
      </c>
      <c r="C145" s="16">
        <v>180000</v>
      </c>
      <c r="D145" s="16">
        <v>23994</v>
      </c>
      <c r="E145" s="16">
        <v>203994</v>
      </c>
      <c r="F145" s="221">
        <v>40</v>
      </c>
      <c r="G145" s="167">
        <v>5099.8500000000004</v>
      </c>
      <c r="H145" s="97">
        <v>40</v>
      </c>
      <c r="I145" s="97">
        <f t="shared" si="17"/>
        <v>0</v>
      </c>
      <c r="J145" s="156">
        <f>(36*5099.85)</f>
        <v>183594.6</v>
      </c>
      <c r="K145" s="91">
        <f t="shared" si="18"/>
        <v>20399.399999999994</v>
      </c>
      <c r="L145" s="122"/>
      <c r="M145" s="180" t="e">
        <f>#REF!-G145</f>
        <v>#REF!</v>
      </c>
    </row>
    <row r="146" spans="1:14" s="114" customFormat="1">
      <c r="A146" s="96">
        <v>90</v>
      </c>
      <c r="B146" s="4" t="s">
        <v>416</v>
      </c>
      <c r="C146" s="12">
        <v>180000</v>
      </c>
      <c r="D146" s="12">
        <v>23994</v>
      </c>
      <c r="E146" s="15">
        <f>SUM(C146:D146)</f>
        <v>203994</v>
      </c>
      <c r="F146" s="21">
        <v>40</v>
      </c>
      <c r="G146" s="167">
        <v>5099.8500000000004</v>
      </c>
      <c r="H146" s="14">
        <v>47</v>
      </c>
      <c r="I146" s="97">
        <f t="shared" si="17"/>
        <v>-7</v>
      </c>
      <c r="J146" s="91">
        <f t="shared" ref="J146:J151" si="19">H146*G146</f>
        <v>239692.95</v>
      </c>
      <c r="K146" s="15">
        <f t="shared" si="18"/>
        <v>-35698.950000000012</v>
      </c>
      <c r="L146" s="10"/>
      <c r="M146" s="180" t="e">
        <f>#REF!-G146</f>
        <v>#REF!</v>
      </c>
    </row>
    <row r="147" spans="1:14" s="114" customFormat="1">
      <c r="A147" s="96">
        <v>4</v>
      </c>
      <c r="B147" s="4" t="s">
        <v>384</v>
      </c>
      <c r="C147" s="41">
        <v>200000</v>
      </c>
      <c r="D147" s="41">
        <v>26660</v>
      </c>
      <c r="E147" s="41">
        <f>SUM(C147:D147)</f>
        <v>226660</v>
      </c>
      <c r="F147" s="159">
        <v>40</v>
      </c>
      <c r="G147" s="167">
        <v>5666.5</v>
      </c>
      <c r="H147" s="96">
        <v>32</v>
      </c>
      <c r="I147" s="96">
        <f t="shared" si="17"/>
        <v>8</v>
      </c>
      <c r="J147" s="16">
        <f t="shared" si="19"/>
        <v>181328</v>
      </c>
      <c r="K147" s="41">
        <f t="shared" si="18"/>
        <v>45332</v>
      </c>
      <c r="L147" s="11"/>
      <c r="M147" s="180" t="e">
        <f>#REF!-G147</f>
        <v>#REF!</v>
      </c>
    </row>
    <row r="148" spans="1:14" s="114" customFormat="1">
      <c r="A148" s="96">
        <v>10</v>
      </c>
      <c r="B148" s="4" t="s">
        <v>388</v>
      </c>
      <c r="C148" s="15">
        <v>200000</v>
      </c>
      <c r="D148" s="15">
        <v>26660</v>
      </c>
      <c r="E148" s="15">
        <f>SUM(C148:D148)</f>
        <v>226660</v>
      </c>
      <c r="F148" s="14">
        <v>40</v>
      </c>
      <c r="G148" s="24">
        <v>5666.5</v>
      </c>
      <c r="H148" s="14">
        <v>38</v>
      </c>
      <c r="I148" s="97">
        <f t="shared" si="17"/>
        <v>2</v>
      </c>
      <c r="J148" s="91">
        <f t="shared" si="19"/>
        <v>215327</v>
      </c>
      <c r="K148" s="15">
        <f t="shared" si="18"/>
        <v>11333</v>
      </c>
      <c r="L148" s="8"/>
      <c r="M148" s="180" t="e">
        <f>#REF!-G148</f>
        <v>#REF!</v>
      </c>
    </row>
    <row r="149" spans="1:14" s="114" customFormat="1">
      <c r="A149" s="96">
        <v>25</v>
      </c>
      <c r="B149" s="4" t="s">
        <v>140</v>
      </c>
      <c r="C149" s="15">
        <v>200000</v>
      </c>
      <c r="D149" s="15">
        <v>26660</v>
      </c>
      <c r="E149" s="15">
        <f>SUM(C149:D149)</f>
        <v>226660</v>
      </c>
      <c r="F149" s="14">
        <v>40</v>
      </c>
      <c r="G149" s="167">
        <v>5666.5</v>
      </c>
      <c r="H149" s="14">
        <v>34</v>
      </c>
      <c r="I149" s="97">
        <f t="shared" si="17"/>
        <v>6</v>
      </c>
      <c r="J149" s="91">
        <f t="shared" si="19"/>
        <v>192661</v>
      </c>
      <c r="K149" s="15">
        <f t="shared" si="18"/>
        <v>33999</v>
      </c>
      <c r="L149" s="8"/>
      <c r="M149" s="180" t="e">
        <f>#REF!-G149</f>
        <v>#REF!</v>
      </c>
    </row>
    <row r="150" spans="1:14" s="114" customFormat="1">
      <c r="A150" s="96">
        <v>31</v>
      </c>
      <c r="B150" s="2" t="s">
        <v>284</v>
      </c>
      <c r="C150" s="19">
        <v>500000</v>
      </c>
      <c r="D150" s="19">
        <v>66650</v>
      </c>
      <c r="E150" s="19">
        <v>566650</v>
      </c>
      <c r="F150" s="159">
        <v>50</v>
      </c>
      <c r="G150" s="167">
        <v>11333</v>
      </c>
      <c r="H150" s="97">
        <v>34</v>
      </c>
      <c r="I150" s="97">
        <f t="shared" si="17"/>
        <v>16</v>
      </c>
      <c r="J150" s="91">
        <f t="shared" si="19"/>
        <v>385322</v>
      </c>
      <c r="K150" s="91">
        <f t="shared" si="18"/>
        <v>181328</v>
      </c>
      <c r="L150" s="122"/>
      <c r="M150" s="180" t="e">
        <f>#REF!-G150</f>
        <v>#REF!</v>
      </c>
    </row>
    <row r="151" spans="1:14" s="114" customFormat="1">
      <c r="A151" s="96">
        <v>122</v>
      </c>
      <c r="B151" s="168" t="s">
        <v>382</v>
      </c>
      <c r="C151" s="12">
        <v>330000</v>
      </c>
      <c r="D151" s="12">
        <v>43989</v>
      </c>
      <c r="E151" s="15">
        <f>SUM(C151:D151)</f>
        <v>373989</v>
      </c>
      <c r="F151" s="14">
        <v>50</v>
      </c>
      <c r="G151" s="222">
        <v>7479.78</v>
      </c>
      <c r="H151" s="14">
        <v>32</v>
      </c>
      <c r="I151" s="97">
        <f t="shared" si="17"/>
        <v>18</v>
      </c>
      <c r="J151" s="91">
        <f t="shared" si="19"/>
        <v>239352.95999999999</v>
      </c>
      <c r="K151" s="15">
        <f t="shared" si="18"/>
        <v>134636.04</v>
      </c>
      <c r="L151" s="8"/>
      <c r="M151"/>
    </row>
    <row r="152" spans="1:14" s="114" customFormat="1"/>
    <row r="153" spans="1:14" s="114" customFormat="1">
      <c r="A153" s="96">
        <v>96</v>
      </c>
      <c r="B153" s="4" t="s">
        <v>482</v>
      </c>
      <c r="C153" s="12">
        <v>60000</v>
      </c>
      <c r="D153" s="12">
        <v>7998</v>
      </c>
      <c r="E153" s="15">
        <f>SUM(C153:D153)</f>
        <v>67998</v>
      </c>
      <c r="F153" s="14">
        <v>40</v>
      </c>
      <c r="G153" s="172">
        <v>1699.95</v>
      </c>
      <c r="H153" s="97">
        <v>41</v>
      </c>
      <c r="I153" s="97">
        <f>F153-H153</f>
        <v>-1</v>
      </c>
      <c r="J153" s="91">
        <f>H153*G153</f>
        <v>69697.95</v>
      </c>
      <c r="K153" s="94">
        <f>E153-J153</f>
        <v>-1699.9499999999971</v>
      </c>
      <c r="L153" s="122"/>
    </row>
    <row r="154" spans="1:14" s="114" customFormat="1"/>
    <row r="155" spans="1:14" s="114" customFormat="1">
      <c r="A155" s="96">
        <v>121</v>
      </c>
      <c r="B155" s="4" t="s">
        <v>429</v>
      </c>
      <c r="C155" s="16">
        <v>60000</v>
      </c>
      <c r="D155" s="16">
        <v>7998</v>
      </c>
      <c r="E155" s="41">
        <f>SUM(C155:D155)</f>
        <v>67998</v>
      </c>
      <c r="F155" s="159">
        <v>40</v>
      </c>
      <c r="G155" s="167">
        <v>1699.95</v>
      </c>
      <c r="H155" s="97">
        <v>40</v>
      </c>
      <c r="I155" s="97">
        <f>F155-H155</f>
        <v>0</v>
      </c>
      <c r="J155" s="91">
        <f>H155*G155</f>
        <v>67998</v>
      </c>
      <c r="K155" s="94">
        <f>E155-J155</f>
        <v>0</v>
      </c>
      <c r="L155" s="11"/>
      <c r="M155" s="180" t="e">
        <f>#REF!-G155</f>
        <v>#REF!</v>
      </c>
    </row>
    <row r="156" spans="1:14" s="114" customFormat="1">
      <c r="A156" s="44"/>
      <c r="B156" s="184"/>
      <c r="C156"/>
      <c r="D156"/>
      <c r="E156"/>
      <c r="F156" s="43"/>
      <c r="G156"/>
      <c r="H156" s="99"/>
      <c r="I156" s="99"/>
      <c r="J156"/>
      <c r="K156"/>
      <c r="L156"/>
      <c r="M156"/>
      <c r="N156"/>
    </row>
    <row r="157" spans="1:14" s="114" customFormat="1">
      <c r="A157" s="96">
        <v>12</v>
      </c>
      <c r="B157" s="2" t="s">
        <v>373</v>
      </c>
      <c r="C157" s="16">
        <v>330000</v>
      </c>
      <c r="D157" s="16">
        <v>43989</v>
      </c>
      <c r="E157" s="41">
        <f>SUM(C157:D157)</f>
        <v>373989</v>
      </c>
      <c r="F157" s="33">
        <v>50</v>
      </c>
      <c r="G157" s="16">
        <v>7479.78</v>
      </c>
      <c r="H157" s="96">
        <v>26</v>
      </c>
      <c r="I157" s="96">
        <f>F157-H157</f>
        <v>24</v>
      </c>
      <c r="J157" s="16">
        <f>H157*G157</f>
        <v>194474.28</v>
      </c>
      <c r="K157" s="41">
        <f>E157-J157</f>
        <v>179514.72</v>
      </c>
      <c r="L157" s="11"/>
      <c r="M157" s="180" t="e">
        <f>#REF!-G157</f>
        <v>#REF!</v>
      </c>
      <c r="N157"/>
    </row>
    <row r="158" spans="1:14" s="114" customFormat="1">
      <c r="A158" s="96">
        <v>87</v>
      </c>
      <c r="B158" s="2" t="s">
        <v>421</v>
      </c>
      <c r="C158" s="16">
        <v>132000</v>
      </c>
      <c r="D158" s="16">
        <v>17595.599999999999</v>
      </c>
      <c r="E158" s="16">
        <v>149595.6</v>
      </c>
      <c r="F158" s="45">
        <v>40</v>
      </c>
      <c r="G158" s="19">
        <v>3739.89</v>
      </c>
      <c r="H158" s="97">
        <v>46</v>
      </c>
      <c r="I158" s="97">
        <f>F158-H158</f>
        <v>-6</v>
      </c>
      <c r="J158" s="91">
        <f>H158*G158</f>
        <v>172034.94</v>
      </c>
      <c r="K158" s="94">
        <f>E158-J158</f>
        <v>-22439.339999999997</v>
      </c>
      <c r="L158" s="11"/>
      <c r="M158" s="180" t="e">
        <f>#REF!-G158</f>
        <v>#REF!</v>
      </c>
      <c r="N158"/>
    </row>
    <row r="159" spans="1:14" s="114" customFormat="1">
      <c r="A159" s="96">
        <v>116</v>
      </c>
      <c r="B159" s="2" t="s">
        <v>377</v>
      </c>
      <c r="C159" s="155">
        <v>330000</v>
      </c>
      <c r="D159" s="155">
        <v>43989</v>
      </c>
      <c r="E159" s="155">
        <f>SUM(C159:D159)</f>
        <v>373989</v>
      </c>
      <c r="F159" s="33">
        <v>50</v>
      </c>
      <c r="G159" s="154">
        <v>7479.78</v>
      </c>
      <c r="H159" s="97">
        <v>12</v>
      </c>
      <c r="I159" s="97">
        <f>F159-H159</f>
        <v>38</v>
      </c>
      <c r="J159" s="91">
        <f>H159*G159</f>
        <v>89757.36</v>
      </c>
      <c r="K159" s="91">
        <f>E159-J159</f>
        <v>284231.64</v>
      </c>
      <c r="L159" s="122"/>
      <c r="M159" s="180" t="e">
        <f>#REF!-G159</f>
        <v>#REF!</v>
      </c>
      <c r="N159"/>
    </row>
    <row r="160" spans="1:14" s="114" customFormat="1" ht="14.25" customHeight="1">
      <c r="A160" s="44"/>
      <c r="B160" s="184"/>
      <c r="C160"/>
      <c r="D160"/>
      <c r="E160"/>
      <c r="F160" s="43"/>
      <c r="G160"/>
      <c r="H160" s="99"/>
      <c r="I160" s="99"/>
      <c r="J160"/>
      <c r="K160"/>
      <c r="L160"/>
      <c r="M160"/>
      <c r="N160"/>
    </row>
    <row r="161" spans="1:14" s="114" customFormat="1" ht="14.25" customHeight="1">
      <c r="A161" s="96">
        <v>144</v>
      </c>
      <c r="B161" s="2" t="s">
        <v>410</v>
      </c>
      <c r="C161" s="41">
        <v>200000</v>
      </c>
      <c r="D161" s="41">
        <v>26660</v>
      </c>
      <c r="E161" s="41">
        <f>SUM(C161:D161)</f>
        <v>226660</v>
      </c>
      <c r="F161" s="33">
        <v>40</v>
      </c>
      <c r="G161" s="41">
        <v>5666.5</v>
      </c>
      <c r="H161" s="97">
        <v>40</v>
      </c>
      <c r="I161" s="97">
        <f>F161-H161</f>
        <v>0</v>
      </c>
      <c r="J161" s="91">
        <f>H161*G161</f>
        <v>226660</v>
      </c>
      <c r="K161" s="94">
        <f>E161-J161</f>
        <v>0</v>
      </c>
      <c r="L161" s="11"/>
      <c r="M161" s="180" t="e">
        <f>#REF!-G161</f>
        <v>#REF!</v>
      </c>
      <c r="N161"/>
    </row>
    <row r="162" spans="1:14" ht="14.25" customHeight="1">
      <c r="A162" s="96">
        <v>147</v>
      </c>
      <c r="B162" s="2" t="s">
        <v>411</v>
      </c>
      <c r="C162" s="41">
        <v>200000</v>
      </c>
      <c r="D162" s="41">
        <v>26660</v>
      </c>
      <c r="E162" s="41">
        <v>226660</v>
      </c>
      <c r="F162" s="33">
        <v>40</v>
      </c>
      <c r="G162" s="19">
        <v>5666.5</v>
      </c>
      <c r="H162" s="97">
        <v>40</v>
      </c>
      <c r="I162" s="97">
        <f>F162-H162</f>
        <v>0</v>
      </c>
      <c r="J162" s="91">
        <f>H162*G162</f>
        <v>226660</v>
      </c>
      <c r="K162" s="94">
        <f>E162-J162</f>
        <v>0</v>
      </c>
      <c r="L162" s="11"/>
      <c r="M162" s="180" t="e">
        <f>#REF!-G162</f>
        <v>#REF!</v>
      </c>
    </row>
    <row r="163" spans="1:14" ht="14.25" customHeight="1">
      <c r="A163" s="96">
        <v>148</v>
      </c>
      <c r="B163" s="2" t="s">
        <v>412</v>
      </c>
      <c r="C163" s="41">
        <v>200000</v>
      </c>
      <c r="D163" s="41">
        <v>26660</v>
      </c>
      <c r="E163" s="41">
        <f>SUM(C163:D163)</f>
        <v>226660</v>
      </c>
      <c r="F163" s="33">
        <v>40</v>
      </c>
      <c r="G163" s="41">
        <v>5666.5</v>
      </c>
      <c r="H163" s="97">
        <v>40</v>
      </c>
      <c r="I163" s="97">
        <f>F163-H163</f>
        <v>0</v>
      </c>
      <c r="J163" s="91">
        <f>H163*G163</f>
        <v>226660</v>
      </c>
      <c r="K163" s="94">
        <f>E163-J163</f>
        <v>0</v>
      </c>
      <c r="L163" s="11"/>
      <c r="M163" s="180" t="e">
        <f>#REF!-G163</f>
        <v>#REF!</v>
      </c>
    </row>
    <row r="164" spans="1:14" ht="14.25" customHeight="1"/>
    <row r="165" spans="1:14" ht="14.25" customHeight="1">
      <c r="A165" s="96">
        <v>6</v>
      </c>
      <c r="B165" s="2" t="s">
        <v>418</v>
      </c>
      <c r="C165" s="16">
        <v>132000</v>
      </c>
      <c r="D165" s="16">
        <v>17595.599999999999</v>
      </c>
      <c r="E165" s="41">
        <f t="shared" ref="E165:E177" si="20">SUM(C165:D165)</f>
        <v>149595.6</v>
      </c>
      <c r="F165" s="33">
        <v>40</v>
      </c>
      <c r="G165" s="16">
        <v>3739.89</v>
      </c>
      <c r="H165" s="96">
        <v>40</v>
      </c>
      <c r="I165" s="96">
        <f t="shared" ref="I165:I185" si="21">F165-H165</f>
        <v>0</v>
      </c>
      <c r="J165" s="16">
        <f t="shared" ref="J165:J185" si="22">H165*G165</f>
        <v>149595.6</v>
      </c>
      <c r="K165" s="41">
        <f t="shared" ref="K165:K185" si="23">E165-J165</f>
        <v>0</v>
      </c>
      <c r="L165" s="11"/>
      <c r="M165" s="180" t="e">
        <f>#REF!-G165</f>
        <v>#REF!</v>
      </c>
    </row>
    <row r="166" spans="1:14" ht="14.25" customHeight="1">
      <c r="A166" s="96">
        <v>11</v>
      </c>
      <c r="B166" s="2" t="s">
        <v>386</v>
      </c>
      <c r="C166" s="41">
        <v>200000</v>
      </c>
      <c r="D166" s="41">
        <v>26660</v>
      </c>
      <c r="E166" s="41">
        <f t="shared" si="20"/>
        <v>226660</v>
      </c>
      <c r="F166" s="33">
        <v>40</v>
      </c>
      <c r="G166" s="41">
        <v>5666.5</v>
      </c>
      <c r="H166" s="96">
        <v>40</v>
      </c>
      <c r="I166" s="96">
        <f t="shared" si="21"/>
        <v>0</v>
      </c>
      <c r="J166" s="16">
        <f t="shared" si="22"/>
        <v>226660</v>
      </c>
      <c r="K166" s="41">
        <f t="shared" si="23"/>
        <v>0</v>
      </c>
      <c r="L166" s="11"/>
      <c r="M166" s="180" t="e">
        <f>#REF!-G166</f>
        <v>#REF!</v>
      </c>
    </row>
    <row r="167" spans="1:14" ht="14.25" customHeight="1">
      <c r="A167" s="96">
        <v>13</v>
      </c>
      <c r="B167" s="2" t="s">
        <v>387</v>
      </c>
      <c r="C167" s="41">
        <v>200000</v>
      </c>
      <c r="D167" s="41">
        <v>26660</v>
      </c>
      <c r="E167" s="41">
        <f t="shared" si="20"/>
        <v>226660</v>
      </c>
      <c r="F167" s="33">
        <v>40</v>
      </c>
      <c r="G167" s="41">
        <v>5666.5</v>
      </c>
      <c r="H167" s="96">
        <v>40</v>
      </c>
      <c r="I167" s="96">
        <f t="shared" si="21"/>
        <v>0</v>
      </c>
      <c r="J167" s="16">
        <f t="shared" si="22"/>
        <v>226660</v>
      </c>
      <c r="K167" s="41">
        <f t="shared" si="23"/>
        <v>0</v>
      </c>
      <c r="L167" s="11"/>
      <c r="M167" s="180" t="e">
        <f>#REF!-G167</f>
        <v>#REF!</v>
      </c>
    </row>
    <row r="168" spans="1:14" ht="14.25" customHeight="1">
      <c r="A168" s="96">
        <v>20</v>
      </c>
      <c r="B168" s="2" t="s">
        <v>390</v>
      </c>
      <c r="C168" s="41">
        <v>200000</v>
      </c>
      <c r="D168" s="41">
        <v>26660</v>
      </c>
      <c r="E168" s="41">
        <f t="shared" si="20"/>
        <v>226660</v>
      </c>
      <c r="F168" s="33">
        <v>40</v>
      </c>
      <c r="G168" s="41">
        <v>5666.5</v>
      </c>
      <c r="H168" s="96">
        <v>40</v>
      </c>
      <c r="I168" s="96">
        <f t="shared" si="21"/>
        <v>0</v>
      </c>
      <c r="J168" s="16">
        <f t="shared" si="22"/>
        <v>226660</v>
      </c>
      <c r="K168" s="41">
        <f t="shared" si="23"/>
        <v>0</v>
      </c>
      <c r="L168" s="11"/>
      <c r="M168" s="180" t="e">
        <f>#REF!-G168</f>
        <v>#REF!</v>
      </c>
    </row>
    <row r="169" spans="1:14" ht="14.25" customHeight="1">
      <c r="A169" s="96">
        <v>29</v>
      </c>
      <c r="B169" s="2" t="s">
        <v>391</v>
      </c>
      <c r="C169" s="41">
        <v>200000</v>
      </c>
      <c r="D169" s="41">
        <v>26660</v>
      </c>
      <c r="E169" s="41">
        <f t="shared" si="20"/>
        <v>226660</v>
      </c>
      <c r="F169" s="33">
        <v>40</v>
      </c>
      <c r="G169" s="41">
        <v>5666.5</v>
      </c>
      <c r="H169" s="97">
        <v>40</v>
      </c>
      <c r="I169" s="97">
        <f t="shared" si="21"/>
        <v>0</v>
      </c>
      <c r="J169" s="91">
        <f t="shared" si="22"/>
        <v>226660</v>
      </c>
      <c r="K169" s="94">
        <f t="shared" si="23"/>
        <v>0</v>
      </c>
      <c r="L169" s="11"/>
      <c r="M169" s="180" t="e">
        <f>#REF!-G169</f>
        <v>#REF!</v>
      </c>
      <c r="N169" s="121"/>
    </row>
    <row r="170" spans="1:14" ht="14.25" customHeight="1">
      <c r="A170" s="96">
        <v>31</v>
      </c>
      <c r="B170" s="2" t="s">
        <v>392</v>
      </c>
      <c r="C170" s="41">
        <v>200000</v>
      </c>
      <c r="D170" s="41">
        <v>26660</v>
      </c>
      <c r="E170" s="41">
        <f t="shared" si="20"/>
        <v>226660</v>
      </c>
      <c r="F170" s="33">
        <v>40</v>
      </c>
      <c r="G170" s="41">
        <v>5666.5</v>
      </c>
      <c r="H170" s="97">
        <v>40</v>
      </c>
      <c r="I170" s="97">
        <f t="shared" si="21"/>
        <v>0</v>
      </c>
      <c r="J170" s="91">
        <f t="shared" si="22"/>
        <v>226660</v>
      </c>
      <c r="K170" s="94">
        <f t="shared" si="23"/>
        <v>0</v>
      </c>
      <c r="L170" s="11"/>
      <c r="M170" s="180" t="e">
        <f>#REF!-G170</f>
        <v>#REF!</v>
      </c>
    </row>
    <row r="171" spans="1:14">
      <c r="A171" s="96">
        <v>34</v>
      </c>
      <c r="B171" s="2" t="s">
        <v>393</v>
      </c>
      <c r="C171" s="41">
        <v>200000</v>
      </c>
      <c r="D171" s="41">
        <v>26660</v>
      </c>
      <c r="E171" s="41">
        <f t="shared" si="20"/>
        <v>226660</v>
      </c>
      <c r="F171" s="33">
        <v>40</v>
      </c>
      <c r="G171" s="41">
        <v>5666.5</v>
      </c>
      <c r="H171" s="97">
        <v>40</v>
      </c>
      <c r="I171" s="97">
        <f t="shared" si="21"/>
        <v>0</v>
      </c>
      <c r="J171" s="91">
        <f t="shared" si="22"/>
        <v>226660</v>
      </c>
      <c r="K171" s="94">
        <f t="shared" si="23"/>
        <v>0</v>
      </c>
      <c r="L171" s="11"/>
      <c r="M171" s="180" t="e">
        <f>#REF!-G171</f>
        <v>#REF!</v>
      </c>
    </row>
    <row r="172" spans="1:14">
      <c r="A172" s="96">
        <v>41</v>
      </c>
      <c r="B172" s="2" t="s">
        <v>415</v>
      </c>
      <c r="C172" s="16">
        <v>180000</v>
      </c>
      <c r="D172" s="16">
        <v>23994</v>
      </c>
      <c r="E172" s="41">
        <f t="shared" si="20"/>
        <v>203994</v>
      </c>
      <c r="F172" s="33">
        <v>40</v>
      </c>
      <c r="G172" s="16">
        <v>5099.8500000000004</v>
      </c>
      <c r="H172" s="97">
        <v>40</v>
      </c>
      <c r="I172" s="97">
        <f t="shared" si="21"/>
        <v>0</v>
      </c>
      <c r="J172" s="91">
        <f t="shared" si="22"/>
        <v>203994</v>
      </c>
      <c r="K172" s="94">
        <f t="shared" si="23"/>
        <v>0</v>
      </c>
      <c r="L172" s="11"/>
      <c r="M172" s="180" t="e">
        <f>#REF!-G172</f>
        <v>#REF!</v>
      </c>
    </row>
    <row r="173" spans="1:14">
      <c r="A173" s="96">
        <v>45</v>
      </c>
      <c r="B173" s="2" t="s">
        <v>394</v>
      </c>
      <c r="C173" s="41">
        <v>200000</v>
      </c>
      <c r="D173" s="41">
        <v>26660</v>
      </c>
      <c r="E173" s="41">
        <f t="shared" si="20"/>
        <v>226660</v>
      </c>
      <c r="F173" s="33">
        <v>40</v>
      </c>
      <c r="G173" s="41">
        <v>5666.5</v>
      </c>
      <c r="H173" s="97">
        <v>40</v>
      </c>
      <c r="I173" s="97">
        <f t="shared" si="21"/>
        <v>0</v>
      </c>
      <c r="J173" s="91">
        <f t="shared" si="22"/>
        <v>226660</v>
      </c>
      <c r="K173" s="94">
        <f t="shared" si="23"/>
        <v>0</v>
      </c>
      <c r="L173" s="11"/>
      <c r="M173" s="180" t="e">
        <f>#REF!-G173</f>
        <v>#REF!</v>
      </c>
    </row>
    <row r="174" spans="1:14" s="121" customFormat="1">
      <c r="A174" s="96">
        <v>51</v>
      </c>
      <c r="B174" s="2" t="s">
        <v>395</v>
      </c>
      <c r="C174" s="15">
        <v>200000</v>
      </c>
      <c r="D174" s="15">
        <v>26660</v>
      </c>
      <c r="E174" s="15">
        <f t="shared" si="20"/>
        <v>226660</v>
      </c>
      <c r="F174" s="31">
        <v>40</v>
      </c>
      <c r="G174" s="15">
        <v>5666.5</v>
      </c>
      <c r="H174" s="14">
        <v>38</v>
      </c>
      <c r="I174" s="97">
        <f t="shared" si="21"/>
        <v>2</v>
      </c>
      <c r="J174" s="91">
        <f t="shared" si="22"/>
        <v>215327</v>
      </c>
      <c r="K174" s="15">
        <f t="shared" si="23"/>
        <v>11333</v>
      </c>
      <c r="L174" s="8"/>
      <c r="M174" s="180" t="e">
        <f>#REF!-G174</f>
        <v>#REF!</v>
      </c>
      <c r="N174"/>
    </row>
    <row r="175" spans="1:14">
      <c r="A175" s="96">
        <v>59</v>
      </c>
      <c r="B175" s="2" t="s">
        <v>419</v>
      </c>
      <c r="C175" s="16">
        <v>132000</v>
      </c>
      <c r="D175" s="16">
        <v>17595.599999999999</v>
      </c>
      <c r="E175" s="41">
        <f t="shared" si="20"/>
        <v>149595.6</v>
      </c>
      <c r="F175" s="33">
        <v>40</v>
      </c>
      <c r="G175" s="16">
        <v>3739.89</v>
      </c>
      <c r="H175" s="97">
        <v>40</v>
      </c>
      <c r="I175" s="97">
        <f t="shared" si="21"/>
        <v>0</v>
      </c>
      <c r="J175" s="91">
        <f t="shared" si="22"/>
        <v>149595.6</v>
      </c>
      <c r="K175" s="94">
        <f t="shared" si="23"/>
        <v>0</v>
      </c>
      <c r="L175" s="11"/>
      <c r="M175" s="180" t="e">
        <f>#REF!-G175</f>
        <v>#REF!</v>
      </c>
    </row>
    <row r="176" spans="1:14">
      <c r="A176" s="96">
        <v>60</v>
      </c>
      <c r="B176" s="2" t="s">
        <v>396</v>
      </c>
      <c r="C176" s="41">
        <v>200000</v>
      </c>
      <c r="D176" s="41">
        <v>26660</v>
      </c>
      <c r="E176" s="41">
        <f t="shared" si="20"/>
        <v>226660</v>
      </c>
      <c r="F176" s="33">
        <v>40</v>
      </c>
      <c r="G176" s="41">
        <v>5666.5</v>
      </c>
      <c r="H176" s="97">
        <v>40</v>
      </c>
      <c r="I176" s="97">
        <f t="shared" si="21"/>
        <v>0</v>
      </c>
      <c r="J176" s="91">
        <f t="shared" si="22"/>
        <v>226660</v>
      </c>
      <c r="K176" s="94">
        <f t="shared" si="23"/>
        <v>0</v>
      </c>
      <c r="L176" s="11"/>
      <c r="M176" s="180" t="e">
        <f>#REF!-G176</f>
        <v>#REF!</v>
      </c>
    </row>
    <row r="177" spans="1:13">
      <c r="A177" s="96">
        <v>65</v>
      </c>
      <c r="B177" s="2" t="s">
        <v>420</v>
      </c>
      <c r="C177" s="16">
        <v>132000</v>
      </c>
      <c r="D177" s="16">
        <v>17595.599999999999</v>
      </c>
      <c r="E177" s="41">
        <f t="shared" si="20"/>
        <v>149595.6</v>
      </c>
      <c r="F177" s="33">
        <v>40</v>
      </c>
      <c r="G177" s="16">
        <v>3739.89</v>
      </c>
      <c r="H177" s="97">
        <v>40</v>
      </c>
      <c r="I177" s="97">
        <f t="shared" si="21"/>
        <v>0</v>
      </c>
      <c r="J177" s="91">
        <f t="shared" si="22"/>
        <v>149595.6</v>
      </c>
      <c r="K177" s="94">
        <f t="shared" si="23"/>
        <v>0</v>
      </c>
      <c r="L177" s="11"/>
      <c r="M177" s="180" t="e">
        <f>#REF!-G177</f>
        <v>#REF!</v>
      </c>
    </row>
    <row r="178" spans="1:13">
      <c r="A178" s="96">
        <v>67</v>
      </c>
      <c r="B178" s="2" t="s">
        <v>397</v>
      </c>
      <c r="C178" s="41">
        <v>200000</v>
      </c>
      <c r="D178" s="41">
        <v>26660</v>
      </c>
      <c r="E178" s="41">
        <v>226660</v>
      </c>
      <c r="F178" s="33">
        <v>40</v>
      </c>
      <c r="G178" s="19">
        <v>5666.5</v>
      </c>
      <c r="H178" s="97">
        <v>40</v>
      </c>
      <c r="I178" s="97">
        <f t="shared" si="21"/>
        <v>0</v>
      </c>
      <c r="J178" s="91">
        <f t="shared" si="22"/>
        <v>226660</v>
      </c>
      <c r="K178" s="94">
        <f t="shared" si="23"/>
        <v>0</v>
      </c>
      <c r="L178" s="11"/>
      <c r="M178" s="180" t="e">
        <f>#REF!-G178</f>
        <v>#REF!</v>
      </c>
    </row>
    <row r="179" spans="1:13">
      <c r="A179" s="96">
        <v>69</v>
      </c>
      <c r="B179" s="2" t="s">
        <v>398</v>
      </c>
      <c r="C179" s="41">
        <v>200000</v>
      </c>
      <c r="D179" s="41">
        <v>26660</v>
      </c>
      <c r="E179" s="41">
        <f>SUM(C179:D179)</f>
        <v>226660</v>
      </c>
      <c r="F179" s="33">
        <v>40</v>
      </c>
      <c r="G179" s="41">
        <v>5666.5</v>
      </c>
      <c r="H179" s="97">
        <v>40</v>
      </c>
      <c r="I179" s="97">
        <f t="shared" si="21"/>
        <v>0</v>
      </c>
      <c r="J179" s="91">
        <f t="shared" si="22"/>
        <v>226660</v>
      </c>
      <c r="K179" s="94">
        <f t="shared" si="23"/>
        <v>0</v>
      </c>
      <c r="L179" s="11"/>
      <c r="M179" s="180" t="e">
        <f>#REF!-G179</f>
        <v>#REF!</v>
      </c>
    </row>
    <row r="180" spans="1:13">
      <c r="A180" s="96">
        <v>72</v>
      </c>
      <c r="B180" s="2" t="s">
        <v>399</v>
      </c>
      <c r="C180" s="41">
        <v>200000</v>
      </c>
      <c r="D180" s="41">
        <v>26660</v>
      </c>
      <c r="E180" s="41">
        <f>SUM(C180:D180)</f>
        <v>226660</v>
      </c>
      <c r="F180" s="33">
        <v>40</v>
      </c>
      <c r="G180" s="41">
        <v>5666.5</v>
      </c>
      <c r="H180" s="97">
        <v>40</v>
      </c>
      <c r="I180" s="97">
        <f t="shared" si="21"/>
        <v>0</v>
      </c>
      <c r="J180" s="91">
        <f t="shared" si="22"/>
        <v>226660</v>
      </c>
      <c r="K180" s="94">
        <f t="shared" si="23"/>
        <v>0</v>
      </c>
      <c r="L180" s="11"/>
      <c r="M180" s="180" t="e">
        <f>#REF!-G180</f>
        <v>#REF!</v>
      </c>
    </row>
    <row r="181" spans="1:13">
      <c r="A181" s="96">
        <v>73</v>
      </c>
      <c r="B181" s="2" t="s">
        <v>428</v>
      </c>
      <c r="C181" s="16">
        <v>60000</v>
      </c>
      <c r="D181" s="16">
        <v>7998</v>
      </c>
      <c r="E181" s="41">
        <f>SUM(C181:D181)</f>
        <v>67998</v>
      </c>
      <c r="F181" s="33">
        <v>40</v>
      </c>
      <c r="G181" s="16">
        <v>1699.95</v>
      </c>
      <c r="H181" s="97">
        <v>40</v>
      </c>
      <c r="I181" s="97">
        <f t="shared" si="21"/>
        <v>0</v>
      </c>
      <c r="J181" s="91">
        <f t="shared" si="22"/>
        <v>67998</v>
      </c>
      <c r="K181" s="94">
        <f t="shared" si="23"/>
        <v>0</v>
      </c>
      <c r="L181" s="11"/>
      <c r="M181" s="180" t="e">
        <f>#REF!-G181</f>
        <v>#REF!</v>
      </c>
    </row>
    <row r="182" spans="1:13">
      <c r="A182" s="96">
        <v>77</v>
      </c>
      <c r="B182" s="2" t="s">
        <v>401</v>
      </c>
      <c r="C182" s="41">
        <v>200000</v>
      </c>
      <c r="D182" s="41">
        <v>26660</v>
      </c>
      <c r="E182" s="41">
        <f>SUM(C182:D182)</f>
        <v>226660</v>
      </c>
      <c r="F182" s="33">
        <v>40</v>
      </c>
      <c r="G182" s="41">
        <v>5666.5</v>
      </c>
      <c r="H182" s="97">
        <v>40</v>
      </c>
      <c r="I182" s="97">
        <f t="shared" si="21"/>
        <v>0</v>
      </c>
      <c r="J182" s="91">
        <f t="shared" si="22"/>
        <v>226660</v>
      </c>
      <c r="K182" s="94">
        <f t="shared" si="23"/>
        <v>0</v>
      </c>
      <c r="L182" s="11"/>
      <c r="M182" s="180" t="e">
        <f>#REF!-G182</f>
        <v>#REF!</v>
      </c>
    </row>
    <row r="183" spans="1:13">
      <c r="A183" s="96">
        <v>79</v>
      </c>
      <c r="B183" s="2" t="s">
        <v>402</v>
      </c>
      <c r="C183" s="41">
        <v>200000</v>
      </c>
      <c r="D183" s="41">
        <v>26660</v>
      </c>
      <c r="E183" s="41">
        <f>SUM(C183:D183)</f>
        <v>226660</v>
      </c>
      <c r="F183" s="33">
        <v>40</v>
      </c>
      <c r="G183" s="41">
        <v>5666.5</v>
      </c>
      <c r="H183" s="97">
        <v>40</v>
      </c>
      <c r="I183" s="97">
        <f t="shared" si="21"/>
        <v>0</v>
      </c>
      <c r="J183" s="91">
        <f t="shared" si="22"/>
        <v>226660</v>
      </c>
      <c r="K183" s="94">
        <f t="shared" si="23"/>
        <v>0</v>
      </c>
      <c r="L183" s="11"/>
      <c r="M183" s="180" t="e">
        <f>#REF!-G183</f>
        <v>#REF!</v>
      </c>
    </row>
    <row r="184" spans="1:13">
      <c r="A184" s="96">
        <v>82</v>
      </c>
      <c r="B184" s="2" t="s">
        <v>404</v>
      </c>
      <c r="C184" s="41">
        <v>200000</v>
      </c>
      <c r="D184" s="41">
        <v>26660</v>
      </c>
      <c r="E184" s="41">
        <v>226660</v>
      </c>
      <c r="F184" s="33">
        <v>40</v>
      </c>
      <c r="G184" s="19">
        <v>5666.5</v>
      </c>
      <c r="H184" s="97">
        <v>40</v>
      </c>
      <c r="I184" s="97">
        <f t="shared" si="21"/>
        <v>0</v>
      </c>
      <c r="J184" s="91">
        <f t="shared" si="22"/>
        <v>226660</v>
      </c>
      <c r="K184" s="94">
        <f t="shared" si="23"/>
        <v>0</v>
      </c>
      <c r="L184" s="11"/>
      <c r="M184" s="180" t="e">
        <f>#REF!-G184</f>
        <v>#REF!</v>
      </c>
    </row>
    <row r="185" spans="1:13">
      <c r="A185" s="96">
        <v>84</v>
      </c>
      <c r="B185" s="2" t="s">
        <v>405</v>
      </c>
      <c r="C185" s="41">
        <v>200000</v>
      </c>
      <c r="D185" s="41">
        <v>26660</v>
      </c>
      <c r="E185" s="41">
        <f>SUM(C185:D185)</f>
        <v>226660</v>
      </c>
      <c r="F185" s="33">
        <v>40</v>
      </c>
      <c r="G185" s="41">
        <v>5666.5</v>
      </c>
      <c r="H185" s="97">
        <v>40</v>
      </c>
      <c r="I185" s="97">
        <f t="shared" si="21"/>
        <v>0</v>
      </c>
      <c r="J185" s="91">
        <f t="shared" si="22"/>
        <v>226660</v>
      </c>
      <c r="K185" s="94">
        <f t="shared" si="23"/>
        <v>0</v>
      </c>
      <c r="L185" s="11"/>
      <c r="M185" s="180" t="e">
        <f>#REF!-G185</f>
        <v>#REF!</v>
      </c>
    </row>
    <row r="188" spans="1:13">
      <c r="B188" s="127" t="s">
        <v>226</v>
      </c>
      <c r="C188" s="129">
        <v>200000</v>
      </c>
      <c r="D188" s="129">
        <v>26660</v>
      </c>
      <c r="E188" s="129">
        <v>226660</v>
      </c>
      <c r="F188" s="130">
        <v>40</v>
      </c>
      <c r="G188" s="137">
        <v>5666.5</v>
      </c>
      <c r="H188" s="134">
        <v>40</v>
      </c>
      <c r="I188" s="134">
        <f t="shared" ref="I188:I208" si="24">F188-H188</f>
        <v>0</v>
      </c>
      <c r="J188" s="135">
        <f t="shared" ref="J188:J208" si="25">H188*G188</f>
        <v>226660</v>
      </c>
      <c r="K188" s="136">
        <f t="shared" ref="K188:K208" si="26">E188-J188</f>
        <v>0</v>
      </c>
      <c r="L188" s="132"/>
      <c r="M188" s="121"/>
    </row>
    <row r="189" spans="1:13">
      <c r="B189" s="127" t="s">
        <v>181</v>
      </c>
      <c r="C189" s="129">
        <v>200000</v>
      </c>
      <c r="D189" s="129">
        <v>26660</v>
      </c>
      <c r="E189" s="129">
        <f t="shared" ref="E189:E195" si="27">SUM(C189:D189)</f>
        <v>226660</v>
      </c>
      <c r="F189" s="130">
        <v>40</v>
      </c>
      <c r="G189" s="129">
        <v>5666.5</v>
      </c>
      <c r="H189" s="134">
        <v>40</v>
      </c>
      <c r="I189" s="134">
        <f t="shared" si="24"/>
        <v>0</v>
      </c>
      <c r="J189" s="135">
        <f t="shared" si="25"/>
        <v>226660</v>
      </c>
      <c r="K189" s="136">
        <f t="shared" si="26"/>
        <v>0</v>
      </c>
      <c r="L189" s="132"/>
    </row>
    <row r="190" spans="1:13">
      <c r="B190" s="127" t="s">
        <v>249</v>
      </c>
      <c r="C190" s="128">
        <v>180000</v>
      </c>
      <c r="D190" s="128">
        <v>23994</v>
      </c>
      <c r="E190" s="129">
        <f t="shared" si="27"/>
        <v>203994</v>
      </c>
      <c r="F190" s="130">
        <v>40</v>
      </c>
      <c r="G190" s="128">
        <v>5099.8500000000004</v>
      </c>
      <c r="H190" s="134">
        <v>45</v>
      </c>
      <c r="I190" s="134">
        <f t="shared" si="24"/>
        <v>-5</v>
      </c>
      <c r="J190" s="135">
        <f t="shared" si="25"/>
        <v>229493.25000000003</v>
      </c>
      <c r="K190" s="136">
        <f t="shared" si="26"/>
        <v>-25499.250000000029</v>
      </c>
      <c r="L190" s="132"/>
    </row>
    <row r="191" spans="1:13">
      <c r="B191" s="127" t="s">
        <v>188</v>
      </c>
      <c r="C191" s="128">
        <v>180000</v>
      </c>
      <c r="D191" s="128">
        <v>23994</v>
      </c>
      <c r="E191" s="129">
        <f t="shared" si="27"/>
        <v>203994</v>
      </c>
      <c r="F191" s="130">
        <v>40</v>
      </c>
      <c r="G191" s="128">
        <v>5099.8500000000004</v>
      </c>
      <c r="H191" s="131">
        <v>37</v>
      </c>
      <c r="I191" s="131">
        <f t="shared" si="24"/>
        <v>3</v>
      </c>
      <c r="J191" s="128">
        <f t="shared" si="25"/>
        <v>188694.45</v>
      </c>
      <c r="K191" s="129">
        <f t="shared" si="26"/>
        <v>15299.549999999988</v>
      </c>
      <c r="L191" s="132"/>
    </row>
    <row r="192" spans="1:13">
      <c r="B192" s="127" t="s">
        <v>124</v>
      </c>
      <c r="C192" s="129">
        <v>200000</v>
      </c>
      <c r="D192" s="129">
        <v>26660</v>
      </c>
      <c r="E192" s="129">
        <f t="shared" si="27"/>
        <v>226660</v>
      </c>
      <c r="F192" s="130">
        <v>40</v>
      </c>
      <c r="G192" s="129">
        <v>5666.5</v>
      </c>
      <c r="H192" s="131">
        <v>40</v>
      </c>
      <c r="I192" s="131">
        <f t="shared" si="24"/>
        <v>0</v>
      </c>
      <c r="J192" s="128">
        <f t="shared" si="25"/>
        <v>226660</v>
      </c>
      <c r="K192" s="129">
        <f t="shared" si="26"/>
        <v>0</v>
      </c>
      <c r="L192" s="132"/>
    </row>
    <row r="193" spans="1:14">
      <c r="B193" s="127" t="s">
        <v>129</v>
      </c>
      <c r="C193" s="129">
        <v>200000</v>
      </c>
      <c r="D193" s="129">
        <v>26660</v>
      </c>
      <c r="E193" s="129">
        <f t="shared" si="27"/>
        <v>226660</v>
      </c>
      <c r="F193" s="130">
        <v>40</v>
      </c>
      <c r="G193" s="129">
        <v>5666.5</v>
      </c>
      <c r="H193" s="131">
        <v>38</v>
      </c>
      <c r="I193" s="131">
        <f t="shared" si="24"/>
        <v>2</v>
      </c>
      <c r="J193" s="128">
        <f t="shared" si="25"/>
        <v>215327</v>
      </c>
      <c r="K193" s="129">
        <f t="shared" si="26"/>
        <v>11333</v>
      </c>
      <c r="L193" s="132"/>
    </row>
    <row r="194" spans="1:14">
      <c r="B194" s="127" t="s">
        <v>202</v>
      </c>
      <c r="C194" s="128">
        <v>132000</v>
      </c>
      <c r="D194" s="128">
        <v>17595.599999999999</v>
      </c>
      <c r="E194" s="129">
        <f t="shared" si="27"/>
        <v>149595.6</v>
      </c>
      <c r="F194" s="130">
        <v>40</v>
      </c>
      <c r="G194" s="128">
        <v>3739.89</v>
      </c>
      <c r="H194" s="131">
        <v>34</v>
      </c>
      <c r="I194" s="131">
        <f t="shared" si="24"/>
        <v>6</v>
      </c>
      <c r="J194" s="128">
        <f t="shared" si="25"/>
        <v>127156.26</v>
      </c>
      <c r="K194" s="129">
        <f t="shared" si="26"/>
        <v>22439.340000000011</v>
      </c>
      <c r="L194" s="132"/>
    </row>
    <row r="195" spans="1:14">
      <c r="A195" s="101">
        <v>135</v>
      </c>
      <c r="B195" s="125" t="s">
        <v>138</v>
      </c>
      <c r="C195" s="129">
        <v>200000</v>
      </c>
      <c r="D195" s="129">
        <v>26660</v>
      </c>
      <c r="E195" s="129">
        <f t="shared" si="27"/>
        <v>226660</v>
      </c>
      <c r="F195" s="130">
        <v>40</v>
      </c>
      <c r="G195" s="129">
        <v>5666.5</v>
      </c>
      <c r="H195" s="134">
        <v>37</v>
      </c>
      <c r="I195" s="134">
        <f t="shared" si="24"/>
        <v>3</v>
      </c>
      <c r="J195" s="135">
        <f t="shared" si="25"/>
        <v>209660.5</v>
      </c>
      <c r="K195" s="136">
        <f t="shared" si="26"/>
        <v>16999.5</v>
      </c>
      <c r="L195" s="132"/>
    </row>
    <row r="196" spans="1:14">
      <c r="A196" s="101">
        <v>167.333333333333</v>
      </c>
      <c r="B196" s="127" t="s">
        <v>236</v>
      </c>
      <c r="C196" s="128">
        <v>180000</v>
      </c>
      <c r="D196" s="128">
        <v>23994</v>
      </c>
      <c r="E196" s="128">
        <v>203994</v>
      </c>
      <c r="F196" s="139">
        <v>40</v>
      </c>
      <c r="G196" s="137">
        <v>5099.8500000000004</v>
      </c>
      <c r="H196" s="134">
        <v>46</v>
      </c>
      <c r="I196" s="134">
        <f t="shared" si="24"/>
        <v>-6</v>
      </c>
      <c r="J196" s="135">
        <f t="shared" si="25"/>
        <v>234593.1</v>
      </c>
      <c r="K196" s="136">
        <f t="shared" si="26"/>
        <v>-30599.100000000006</v>
      </c>
      <c r="L196" s="140"/>
      <c r="N196" s="114"/>
    </row>
    <row r="197" spans="1:14">
      <c r="A197" s="101">
        <v>144.833333333333</v>
      </c>
      <c r="B197" s="127" t="s">
        <v>234</v>
      </c>
      <c r="C197" s="129">
        <v>200000</v>
      </c>
      <c r="D197" s="129">
        <v>26660</v>
      </c>
      <c r="E197" s="129">
        <v>226660</v>
      </c>
      <c r="F197" s="130">
        <v>40</v>
      </c>
      <c r="G197" s="137">
        <v>5666.5</v>
      </c>
      <c r="H197" s="134">
        <v>40</v>
      </c>
      <c r="I197" s="134">
        <f t="shared" si="24"/>
        <v>0</v>
      </c>
      <c r="J197" s="135">
        <f t="shared" si="25"/>
        <v>226660</v>
      </c>
      <c r="K197" s="136">
        <f t="shared" si="26"/>
        <v>0</v>
      </c>
      <c r="L197" s="132"/>
      <c r="N197" s="114"/>
    </row>
    <row r="198" spans="1:14">
      <c r="A198" s="101">
        <v>146.333333333333</v>
      </c>
      <c r="B198" s="141" t="s">
        <v>187</v>
      </c>
      <c r="C198" s="129">
        <v>150000</v>
      </c>
      <c r="D198" s="129">
        <v>11997</v>
      </c>
      <c r="E198" s="129">
        <f t="shared" ref="E198:E205" si="28">SUM(C198:D198)</f>
        <v>161997</v>
      </c>
      <c r="F198" s="130">
        <v>30</v>
      </c>
      <c r="G198" s="129">
        <v>5399.9</v>
      </c>
      <c r="H198" s="134">
        <v>31</v>
      </c>
      <c r="I198" s="134">
        <f t="shared" si="24"/>
        <v>-1</v>
      </c>
      <c r="J198" s="135">
        <f t="shared" si="25"/>
        <v>167396.9</v>
      </c>
      <c r="K198" s="136">
        <f t="shared" si="26"/>
        <v>-5399.8999999999942</v>
      </c>
      <c r="L198" s="132"/>
      <c r="N198" s="114"/>
    </row>
    <row r="199" spans="1:14">
      <c r="A199" s="101">
        <v>147.833333333333</v>
      </c>
      <c r="B199" s="127" t="s">
        <v>150</v>
      </c>
      <c r="C199" s="129">
        <v>200000</v>
      </c>
      <c r="D199" s="129">
        <v>26660</v>
      </c>
      <c r="E199" s="129">
        <f t="shared" si="28"/>
        <v>226660</v>
      </c>
      <c r="F199" s="130">
        <v>40</v>
      </c>
      <c r="G199" s="129">
        <v>5666.5</v>
      </c>
      <c r="H199" s="134">
        <v>40</v>
      </c>
      <c r="I199" s="134">
        <f t="shared" si="24"/>
        <v>0</v>
      </c>
      <c r="J199" s="135">
        <f t="shared" si="25"/>
        <v>226660</v>
      </c>
      <c r="K199" s="136">
        <f t="shared" si="26"/>
        <v>0</v>
      </c>
      <c r="L199" s="132"/>
    </row>
    <row r="200" spans="1:14">
      <c r="A200" s="101">
        <v>149.333333333333</v>
      </c>
      <c r="B200" s="125" t="s">
        <v>151</v>
      </c>
      <c r="C200" s="129">
        <v>200000</v>
      </c>
      <c r="D200" s="129">
        <v>26660</v>
      </c>
      <c r="E200" s="129">
        <f t="shared" si="28"/>
        <v>226660</v>
      </c>
      <c r="F200" s="130">
        <v>40</v>
      </c>
      <c r="G200" s="129">
        <v>5666.5</v>
      </c>
      <c r="H200" s="134">
        <v>38</v>
      </c>
      <c r="I200" s="134">
        <f t="shared" si="24"/>
        <v>2</v>
      </c>
      <c r="J200" s="135">
        <f t="shared" si="25"/>
        <v>215327</v>
      </c>
      <c r="K200" s="136">
        <f t="shared" si="26"/>
        <v>11333</v>
      </c>
      <c r="L200" s="132"/>
      <c r="N200" s="114"/>
    </row>
    <row r="201" spans="1:14">
      <c r="A201" s="101">
        <v>150.833333333333</v>
      </c>
      <c r="B201" s="186" t="s">
        <v>266</v>
      </c>
      <c r="C201" s="128">
        <v>330000</v>
      </c>
      <c r="D201" s="128">
        <v>43989</v>
      </c>
      <c r="E201" s="129">
        <f t="shared" si="28"/>
        <v>373989</v>
      </c>
      <c r="F201" s="130">
        <v>50</v>
      </c>
      <c r="G201" s="138">
        <v>7479</v>
      </c>
      <c r="H201" s="134">
        <v>8</v>
      </c>
      <c r="I201" s="134">
        <f t="shared" si="24"/>
        <v>42</v>
      </c>
      <c r="J201" s="135">
        <f t="shared" si="25"/>
        <v>59832</v>
      </c>
      <c r="K201" s="136">
        <f t="shared" si="26"/>
        <v>314157</v>
      </c>
      <c r="L201" s="124"/>
      <c r="N201" s="114"/>
    </row>
    <row r="202" spans="1:14">
      <c r="A202" s="101">
        <v>152.333333333333</v>
      </c>
      <c r="B202" s="125" t="s">
        <v>156</v>
      </c>
      <c r="C202" s="129">
        <v>200000</v>
      </c>
      <c r="D202" s="129">
        <v>26660</v>
      </c>
      <c r="E202" s="129">
        <f t="shared" si="28"/>
        <v>226660</v>
      </c>
      <c r="F202" s="130">
        <v>40</v>
      </c>
      <c r="G202" s="133">
        <v>3739.89</v>
      </c>
      <c r="H202" s="134">
        <v>40</v>
      </c>
      <c r="I202" s="134">
        <f t="shared" si="24"/>
        <v>0</v>
      </c>
      <c r="J202" s="135">
        <f t="shared" si="25"/>
        <v>149595.6</v>
      </c>
      <c r="K202" s="136">
        <f t="shared" si="26"/>
        <v>77064.399999999994</v>
      </c>
      <c r="L202" s="132"/>
      <c r="N202" s="114"/>
    </row>
    <row r="203" spans="1:14">
      <c r="A203" s="101">
        <v>153.833333333333</v>
      </c>
      <c r="B203" s="125" t="s">
        <v>157</v>
      </c>
      <c r="C203" s="129">
        <v>200000</v>
      </c>
      <c r="D203" s="129">
        <v>26660</v>
      </c>
      <c r="E203" s="129">
        <f t="shared" si="28"/>
        <v>226660</v>
      </c>
      <c r="F203" s="130">
        <v>40</v>
      </c>
      <c r="G203" s="129">
        <v>5666.5</v>
      </c>
      <c r="H203" s="134">
        <v>40</v>
      </c>
      <c r="I203" s="134">
        <f t="shared" si="24"/>
        <v>0</v>
      </c>
      <c r="J203" s="135">
        <f t="shared" si="25"/>
        <v>226660</v>
      </c>
      <c r="K203" s="136">
        <f t="shared" si="26"/>
        <v>0</v>
      </c>
      <c r="L203" s="132"/>
    </row>
    <row r="204" spans="1:14">
      <c r="A204" s="101">
        <v>155.333333333333</v>
      </c>
      <c r="B204" s="125" t="s">
        <v>158</v>
      </c>
      <c r="C204" s="129">
        <v>200000</v>
      </c>
      <c r="D204" s="129">
        <v>26660</v>
      </c>
      <c r="E204" s="129">
        <f t="shared" si="28"/>
        <v>226660</v>
      </c>
      <c r="F204" s="130">
        <v>40</v>
      </c>
      <c r="G204" s="129">
        <v>5666.5</v>
      </c>
      <c r="H204" s="134">
        <v>40</v>
      </c>
      <c r="I204" s="134">
        <f t="shared" si="24"/>
        <v>0</v>
      </c>
      <c r="J204" s="135">
        <f t="shared" si="25"/>
        <v>226660</v>
      </c>
      <c r="K204" s="136">
        <f t="shared" si="26"/>
        <v>0</v>
      </c>
      <c r="L204" s="132"/>
    </row>
    <row r="205" spans="1:14">
      <c r="A205" s="101">
        <v>156.833333333333</v>
      </c>
      <c r="B205" s="125" t="s">
        <v>159</v>
      </c>
      <c r="C205" s="129">
        <v>200000</v>
      </c>
      <c r="D205" s="129">
        <v>26660</v>
      </c>
      <c r="E205" s="129">
        <f t="shared" si="28"/>
        <v>226660</v>
      </c>
      <c r="F205" s="130">
        <v>40</v>
      </c>
      <c r="G205" s="129">
        <v>5666.5</v>
      </c>
      <c r="H205" s="134">
        <v>31</v>
      </c>
      <c r="I205" s="134">
        <f t="shared" si="24"/>
        <v>9</v>
      </c>
      <c r="J205" s="135">
        <f t="shared" si="25"/>
        <v>175661.5</v>
      </c>
      <c r="K205" s="136">
        <f t="shared" si="26"/>
        <v>50998.5</v>
      </c>
      <c r="L205" s="132"/>
    </row>
    <row r="206" spans="1:14">
      <c r="A206" s="101">
        <v>158.333333333333</v>
      </c>
      <c r="B206" s="127" t="s">
        <v>233</v>
      </c>
      <c r="C206" s="129">
        <v>200000</v>
      </c>
      <c r="D206" s="129">
        <v>26660</v>
      </c>
      <c r="E206" s="129">
        <v>226660</v>
      </c>
      <c r="F206" s="130">
        <v>40</v>
      </c>
      <c r="G206" s="137">
        <v>5666.5</v>
      </c>
      <c r="H206" s="134">
        <v>40</v>
      </c>
      <c r="I206" s="134">
        <f t="shared" si="24"/>
        <v>0</v>
      </c>
      <c r="J206" s="135">
        <f t="shared" si="25"/>
        <v>226660</v>
      </c>
      <c r="K206" s="136">
        <f t="shared" si="26"/>
        <v>0</v>
      </c>
      <c r="L206" s="132"/>
    </row>
    <row r="207" spans="1:14">
      <c r="A207" s="101">
        <v>159.833333333333</v>
      </c>
      <c r="B207" s="127" t="s">
        <v>160</v>
      </c>
      <c r="C207" s="129">
        <v>200000</v>
      </c>
      <c r="D207" s="129">
        <v>26660</v>
      </c>
      <c r="E207" s="129">
        <f>SUM(C207:D207)</f>
        <v>226660</v>
      </c>
      <c r="F207" s="130">
        <v>40</v>
      </c>
      <c r="G207" s="129">
        <v>5666.5</v>
      </c>
      <c r="H207" s="134">
        <v>40</v>
      </c>
      <c r="I207" s="134">
        <f t="shared" si="24"/>
        <v>0</v>
      </c>
      <c r="J207" s="135">
        <f t="shared" si="25"/>
        <v>226660</v>
      </c>
      <c r="K207" s="136">
        <f t="shared" si="26"/>
        <v>0</v>
      </c>
      <c r="L207" s="132"/>
    </row>
    <row r="208" spans="1:14">
      <c r="A208" s="101">
        <v>161.333333333333</v>
      </c>
      <c r="B208" s="127" t="s">
        <v>205</v>
      </c>
      <c r="C208" s="128">
        <v>132000</v>
      </c>
      <c r="D208" s="128">
        <v>17595.599999999999</v>
      </c>
      <c r="E208" s="129">
        <f>SUM(C208:D208)</f>
        <v>149595.6</v>
      </c>
      <c r="F208" s="130">
        <v>40</v>
      </c>
      <c r="G208" s="128">
        <v>3739.89</v>
      </c>
      <c r="H208" s="134">
        <v>40</v>
      </c>
      <c r="I208" s="134">
        <f t="shared" si="24"/>
        <v>0</v>
      </c>
      <c r="J208" s="135">
        <f t="shared" si="25"/>
        <v>149595.6</v>
      </c>
      <c r="K208" s="136">
        <f t="shared" si="26"/>
        <v>0</v>
      </c>
      <c r="L208" s="132"/>
    </row>
    <row r="210" spans="1:13">
      <c r="A210" s="101">
        <v>173.333333333333</v>
      </c>
    </row>
    <row r="211" spans="1:13">
      <c r="A211" s="101">
        <v>174.833333333333</v>
      </c>
    </row>
    <row r="214" spans="1:13">
      <c r="A214" s="160">
        <v>47</v>
      </c>
      <c r="B214" s="181" t="s">
        <v>432</v>
      </c>
      <c r="C214" s="16">
        <v>500000</v>
      </c>
      <c r="D214" s="16">
        <v>66650</v>
      </c>
      <c r="E214" s="41">
        <f>SUM(C214:D214)</f>
        <v>566650</v>
      </c>
      <c r="F214" s="33">
        <v>50</v>
      </c>
      <c r="G214" s="24">
        <v>5666.5</v>
      </c>
      <c r="H214" s="97">
        <v>33</v>
      </c>
      <c r="I214" s="97">
        <f>F214-H214</f>
        <v>17</v>
      </c>
      <c r="J214" s="91">
        <f>H214*G214</f>
        <v>186994.5</v>
      </c>
      <c r="K214" s="94">
        <f>E214-J214</f>
        <v>379655.5</v>
      </c>
      <c r="L214" s="11"/>
      <c r="M214" s="180" t="e">
        <f>#REF!-G214</f>
        <v>#REF!</v>
      </c>
    </row>
    <row r="215" spans="1:13">
      <c r="A215" s="160">
        <v>70</v>
      </c>
      <c r="B215" s="181" t="s">
        <v>433</v>
      </c>
      <c r="C215" s="41">
        <v>200000</v>
      </c>
      <c r="D215" s="41">
        <v>26660</v>
      </c>
      <c r="E215" s="41">
        <f>SUM(C215:D215)</f>
        <v>226660</v>
      </c>
      <c r="F215" s="33">
        <v>40</v>
      </c>
      <c r="G215" s="41">
        <v>5666.5</v>
      </c>
      <c r="H215" s="97">
        <v>40</v>
      </c>
      <c r="I215" s="97">
        <f>F215-H215</f>
        <v>0</v>
      </c>
      <c r="J215" s="91">
        <f>H215*G215</f>
        <v>226660</v>
      </c>
      <c r="K215" s="94">
        <f>E215-J215</f>
        <v>0</v>
      </c>
      <c r="L215" s="11"/>
      <c r="M215" s="180" t="e">
        <f>#REF!-G215</f>
        <v>#REF!</v>
      </c>
    </row>
    <row r="216" spans="1:13">
      <c r="A216" s="160">
        <v>93</v>
      </c>
      <c r="B216" s="181" t="s">
        <v>434</v>
      </c>
      <c r="C216" s="41">
        <v>200000</v>
      </c>
      <c r="D216" s="41">
        <v>26660</v>
      </c>
      <c r="E216" s="41">
        <f>SUM(C216:D216)</f>
        <v>226660</v>
      </c>
      <c r="F216" s="33">
        <v>40</v>
      </c>
      <c r="G216" s="41">
        <v>5666.5</v>
      </c>
      <c r="H216" s="97">
        <v>41</v>
      </c>
      <c r="I216" s="97">
        <f>F216-H216</f>
        <v>-1</v>
      </c>
      <c r="J216" s="91">
        <f>H216*G216</f>
        <v>232326.5</v>
      </c>
      <c r="K216" s="94">
        <f>E216-J216</f>
        <v>-5666.5</v>
      </c>
      <c r="L216" s="11"/>
      <c r="M216" s="180" t="e">
        <f>#REF!-G216</f>
        <v>#REF!</v>
      </c>
    </row>
    <row r="217" spans="1:13">
      <c r="A217" s="160">
        <v>10</v>
      </c>
      <c r="B217" s="181" t="s">
        <v>431</v>
      </c>
      <c r="C217" s="16">
        <v>450000</v>
      </c>
      <c r="D217" s="16">
        <v>28792.799999999999</v>
      </c>
      <c r="E217" s="41">
        <f>SUM(C217:D217)</f>
        <v>478792.8</v>
      </c>
      <c r="F217" s="33">
        <v>24</v>
      </c>
      <c r="G217" s="16">
        <v>19949.7</v>
      </c>
      <c r="H217" s="96">
        <v>24</v>
      </c>
      <c r="I217" s="96">
        <f>F217-H217</f>
        <v>0</v>
      </c>
      <c r="J217" s="16">
        <f>H217*G217</f>
        <v>478792.80000000005</v>
      </c>
      <c r="K217" s="41">
        <f>E217-J217</f>
        <v>0</v>
      </c>
      <c r="L217" s="11"/>
      <c r="M217" s="180" t="e">
        <f>#REF!-G217</f>
        <v>#REF!</v>
      </c>
    </row>
    <row r="218" spans="1:13">
      <c r="A218" s="160">
        <v>6</v>
      </c>
      <c r="B218" s="181" t="s">
        <v>430</v>
      </c>
      <c r="C218" s="16">
        <v>330000</v>
      </c>
      <c r="D218" s="16">
        <v>21114.720000000001</v>
      </c>
      <c r="E218" s="41">
        <f>SUM(C218:D218)</f>
        <v>351114.72</v>
      </c>
      <c r="F218" s="33">
        <v>24</v>
      </c>
      <c r="G218" s="24">
        <v>6649.9</v>
      </c>
      <c r="H218" s="96">
        <v>24</v>
      </c>
      <c r="I218" s="96">
        <f>F218-H218</f>
        <v>0</v>
      </c>
      <c r="J218" s="16">
        <f>H218*G218</f>
        <v>159597.59999999998</v>
      </c>
      <c r="K218" s="41">
        <f>E218-J218</f>
        <v>191517.12</v>
      </c>
      <c r="L218" s="11"/>
      <c r="M218" s="180" t="e">
        <f>#REF!-G218</f>
        <v>#REF!</v>
      </c>
    </row>
    <row r="220" spans="1:13">
      <c r="A220" s="96">
        <v>77</v>
      </c>
      <c r="B220" s="170" t="s">
        <v>400</v>
      </c>
      <c r="C220" s="41">
        <v>200000</v>
      </c>
      <c r="D220" s="41">
        <v>26660</v>
      </c>
      <c r="E220" s="41">
        <f>SUM(C220:D220)</f>
        <v>226660</v>
      </c>
      <c r="F220" s="33">
        <v>40</v>
      </c>
      <c r="G220" s="41">
        <v>5666.5</v>
      </c>
      <c r="H220" s="97">
        <v>36</v>
      </c>
      <c r="I220" s="97">
        <f>F220-H220</f>
        <v>4</v>
      </c>
      <c r="J220" s="91">
        <f>H220*G220</f>
        <v>203994</v>
      </c>
      <c r="K220" s="94">
        <f>E220-J220</f>
        <v>22666</v>
      </c>
      <c r="L220" s="11"/>
      <c r="M220" s="180" t="e">
        <f>#REF!-G220</f>
        <v>#REF!</v>
      </c>
    </row>
    <row r="221" spans="1:13">
      <c r="A221" s="96">
        <v>109</v>
      </c>
      <c r="B221" s="142" t="s">
        <v>406</v>
      </c>
      <c r="C221" s="41">
        <v>200000</v>
      </c>
      <c r="D221" s="41">
        <v>26660</v>
      </c>
      <c r="E221" s="41">
        <f>SUM(C221:D221)</f>
        <v>226660</v>
      </c>
      <c r="F221" s="33">
        <v>40</v>
      </c>
      <c r="G221" s="41">
        <v>5666.5</v>
      </c>
      <c r="H221" s="97">
        <v>39</v>
      </c>
      <c r="I221" s="97">
        <f>F221-H221</f>
        <v>1</v>
      </c>
      <c r="J221" s="91">
        <f>H221*G221</f>
        <v>220993.5</v>
      </c>
      <c r="K221" s="94">
        <f>E221-J221</f>
        <v>5666.5</v>
      </c>
      <c r="L221" s="11"/>
      <c r="M221" s="180" t="e">
        <f>#REF!-G221</f>
        <v>#REF!</v>
      </c>
    </row>
    <row r="222" spans="1:13">
      <c r="A222" s="96">
        <v>127</v>
      </c>
      <c r="B222" s="142" t="s">
        <v>423</v>
      </c>
      <c r="C222" s="16">
        <v>132000</v>
      </c>
      <c r="D222" s="16">
        <v>17595.599999999999</v>
      </c>
      <c r="E222" s="41">
        <f>SUM(C222:D222)</f>
        <v>149595.6</v>
      </c>
      <c r="F222" s="33">
        <v>40</v>
      </c>
      <c r="G222" s="16">
        <v>3739.89</v>
      </c>
      <c r="H222" s="97">
        <v>40</v>
      </c>
      <c r="I222" s="97">
        <f>F222-H222</f>
        <v>0</v>
      </c>
      <c r="J222" s="91">
        <f>H222*G222</f>
        <v>149595.6</v>
      </c>
      <c r="K222" s="94">
        <f>E222-J222</f>
        <v>0</v>
      </c>
      <c r="L222" s="11"/>
      <c r="M222" s="180" t="e">
        <f>#REF!-G222</f>
        <v>#REF!</v>
      </c>
    </row>
    <row r="223" spans="1:13">
      <c r="A223" s="96">
        <v>125</v>
      </c>
      <c r="B223" s="142" t="s">
        <v>427</v>
      </c>
      <c r="C223" s="155">
        <v>150000</v>
      </c>
      <c r="D223" s="155">
        <v>19995</v>
      </c>
      <c r="E223" s="155">
        <f>SUM(C223:D223)</f>
        <v>169995</v>
      </c>
      <c r="F223" s="33">
        <v>50</v>
      </c>
      <c r="G223" s="154">
        <v>3399.9</v>
      </c>
      <c r="H223" s="97">
        <v>9</v>
      </c>
      <c r="I223" s="97">
        <f>F223-H223</f>
        <v>41</v>
      </c>
      <c r="J223" s="91">
        <f>H223*G223</f>
        <v>30599.100000000002</v>
      </c>
      <c r="K223" s="91">
        <f>E223-J223</f>
        <v>139395.9</v>
      </c>
      <c r="L223" s="122"/>
      <c r="M223" s="180" t="e">
        <f>#REF!-G223</f>
        <v>#REF!</v>
      </c>
    </row>
    <row r="224" spans="1:13">
      <c r="A224" s="96">
        <v>5</v>
      </c>
      <c r="B224" s="2" t="s">
        <v>385</v>
      </c>
      <c r="C224" s="41">
        <v>200000</v>
      </c>
      <c r="D224" s="41">
        <v>26660</v>
      </c>
      <c r="E224" s="41">
        <f>SUM(C224:D224)</f>
        <v>226660</v>
      </c>
      <c r="F224" s="33">
        <v>40</v>
      </c>
      <c r="G224" s="41">
        <v>5666.5</v>
      </c>
      <c r="H224" s="96">
        <v>40</v>
      </c>
      <c r="I224" s="96">
        <f>F224-H224</f>
        <v>0</v>
      </c>
      <c r="J224" s="16">
        <f>H224*G224</f>
        <v>226660</v>
      </c>
      <c r="K224" s="41">
        <f>E224-J224</f>
        <v>0</v>
      </c>
      <c r="L224" s="11"/>
      <c r="M224" s="180" t="e">
        <f>#REF!-G224</f>
        <v>#REF!</v>
      </c>
    </row>
  </sheetData>
  <sortState ref="B6:L130">
    <sortCondition ref="B6:B130"/>
  </sortState>
  <mergeCells count="2">
    <mergeCell ref="A3:L3"/>
    <mergeCell ref="A4:L4"/>
  </mergeCells>
  <conditionalFormatting sqref="B218">
    <cfRule type="duplicateValues" dxfId="1756" priority="155" stopIfTrue="1"/>
    <cfRule type="duplicateValues" dxfId="1755" priority="156" stopIfTrue="1"/>
  </conditionalFormatting>
  <conditionalFormatting sqref="B218">
    <cfRule type="duplicateValues" dxfId="1754" priority="154" stopIfTrue="1"/>
  </conditionalFormatting>
  <conditionalFormatting sqref="B165">
    <cfRule type="duplicateValues" dxfId="1753" priority="152" stopIfTrue="1"/>
    <cfRule type="duplicateValues" dxfId="1752" priority="153" stopIfTrue="1"/>
  </conditionalFormatting>
  <conditionalFormatting sqref="B165">
    <cfRule type="duplicateValues" dxfId="1751" priority="151" stopIfTrue="1"/>
  </conditionalFormatting>
  <conditionalFormatting sqref="B217">
    <cfRule type="duplicateValues" dxfId="1750" priority="149" stopIfTrue="1"/>
    <cfRule type="duplicateValues" dxfId="1749" priority="150" stopIfTrue="1"/>
  </conditionalFormatting>
  <conditionalFormatting sqref="B217">
    <cfRule type="duplicateValues" dxfId="1748" priority="148" stopIfTrue="1"/>
  </conditionalFormatting>
  <conditionalFormatting sqref="B167">
    <cfRule type="duplicateValues" dxfId="1747" priority="146" stopIfTrue="1"/>
    <cfRule type="duplicateValues" dxfId="1746" priority="147" stopIfTrue="1"/>
  </conditionalFormatting>
  <conditionalFormatting sqref="B167">
    <cfRule type="duplicateValues" dxfId="1745" priority="145" stopIfTrue="1"/>
  </conditionalFormatting>
  <conditionalFormatting sqref="B168">
    <cfRule type="duplicateValues" dxfId="1744" priority="143" stopIfTrue="1"/>
    <cfRule type="duplicateValues" dxfId="1743" priority="144" stopIfTrue="1"/>
  </conditionalFormatting>
  <conditionalFormatting sqref="B168">
    <cfRule type="duplicateValues" dxfId="1742" priority="142" stopIfTrue="1"/>
  </conditionalFormatting>
  <conditionalFormatting sqref="B170">
    <cfRule type="duplicateValues" dxfId="1741" priority="140" stopIfTrue="1"/>
    <cfRule type="duplicateValues" dxfId="1740" priority="141" stopIfTrue="1"/>
  </conditionalFormatting>
  <conditionalFormatting sqref="B170">
    <cfRule type="duplicateValues" dxfId="1739" priority="139" stopIfTrue="1"/>
  </conditionalFormatting>
  <conditionalFormatting sqref="B171">
    <cfRule type="duplicateValues" dxfId="1738" priority="137" stopIfTrue="1"/>
    <cfRule type="duplicateValues" dxfId="1737" priority="138" stopIfTrue="1"/>
  </conditionalFormatting>
  <conditionalFormatting sqref="B171">
    <cfRule type="duplicateValues" dxfId="1736" priority="136" stopIfTrue="1"/>
  </conditionalFormatting>
  <conditionalFormatting sqref="B214">
    <cfRule type="duplicateValues" dxfId="1735" priority="134" stopIfTrue="1"/>
    <cfRule type="duplicateValues" dxfId="1734" priority="135" stopIfTrue="1"/>
  </conditionalFormatting>
  <conditionalFormatting sqref="B214">
    <cfRule type="duplicateValues" dxfId="1733" priority="133" stopIfTrue="1"/>
  </conditionalFormatting>
  <conditionalFormatting sqref="B173">
    <cfRule type="duplicateValues" dxfId="1732" priority="131" stopIfTrue="1"/>
    <cfRule type="duplicateValues" dxfId="1731" priority="132" stopIfTrue="1"/>
  </conditionalFormatting>
  <conditionalFormatting sqref="B173">
    <cfRule type="duplicateValues" dxfId="1730" priority="130" stopIfTrue="1"/>
  </conditionalFormatting>
  <conditionalFormatting sqref="B174">
    <cfRule type="duplicateValues" dxfId="1729" priority="128" stopIfTrue="1"/>
    <cfRule type="duplicateValues" dxfId="1728" priority="129" stopIfTrue="1"/>
  </conditionalFormatting>
  <conditionalFormatting sqref="B174">
    <cfRule type="duplicateValues" dxfId="1727" priority="127" stopIfTrue="1"/>
  </conditionalFormatting>
  <conditionalFormatting sqref="B175">
    <cfRule type="duplicateValues" dxfId="1726" priority="125" stopIfTrue="1"/>
    <cfRule type="duplicateValues" dxfId="1725" priority="126" stopIfTrue="1"/>
  </conditionalFormatting>
  <conditionalFormatting sqref="B175">
    <cfRule type="duplicateValues" dxfId="1724" priority="124" stopIfTrue="1"/>
  </conditionalFormatting>
  <conditionalFormatting sqref="B190">
    <cfRule type="duplicateValues" dxfId="1723" priority="122" stopIfTrue="1"/>
    <cfRule type="duplicateValues" dxfId="1722" priority="123" stopIfTrue="1"/>
  </conditionalFormatting>
  <conditionalFormatting sqref="B190">
    <cfRule type="duplicateValues" dxfId="1721" priority="121" stopIfTrue="1"/>
  </conditionalFormatting>
  <conditionalFormatting sqref="B177">
    <cfRule type="duplicateValues" dxfId="1720" priority="119" stopIfTrue="1"/>
    <cfRule type="duplicateValues" dxfId="1719" priority="120" stopIfTrue="1"/>
  </conditionalFormatting>
  <conditionalFormatting sqref="B177">
    <cfRule type="duplicateValues" dxfId="1718" priority="118" stopIfTrue="1"/>
  </conditionalFormatting>
  <conditionalFormatting sqref="B215">
    <cfRule type="duplicateValues" dxfId="1717" priority="116" stopIfTrue="1"/>
    <cfRule type="duplicateValues" dxfId="1716" priority="117" stopIfTrue="1"/>
  </conditionalFormatting>
  <conditionalFormatting sqref="B215">
    <cfRule type="duplicateValues" dxfId="1715" priority="115" stopIfTrue="1"/>
  </conditionalFormatting>
  <conditionalFormatting sqref="B178">
    <cfRule type="duplicateValues" dxfId="1714" priority="113" stopIfTrue="1"/>
    <cfRule type="duplicateValues" dxfId="1713" priority="114" stopIfTrue="1"/>
  </conditionalFormatting>
  <conditionalFormatting sqref="B178">
    <cfRule type="duplicateValues" dxfId="1712" priority="112" stopIfTrue="1"/>
  </conditionalFormatting>
  <conditionalFormatting sqref="B179">
    <cfRule type="duplicateValues" dxfId="1711" priority="110" stopIfTrue="1"/>
    <cfRule type="duplicateValues" dxfId="1710" priority="111" stopIfTrue="1"/>
  </conditionalFormatting>
  <conditionalFormatting sqref="B179">
    <cfRule type="duplicateValues" dxfId="1709" priority="109" stopIfTrue="1"/>
  </conditionalFormatting>
  <conditionalFormatting sqref="B220">
    <cfRule type="duplicateValues" dxfId="1708" priority="107" stopIfTrue="1"/>
    <cfRule type="duplicateValues" dxfId="1707" priority="108" stopIfTrue="1"/>
  </conditionalFormatting>
  <conditionalFormatting sqref="B220">
    <cfRule type="duplicateValues" dxfId="1706" priority="106" stopIfTrue="1"/>
  </conditionalFormatting>
  <conditionalFormatting sqref="B182">
    <cfRule type="duplicateValues" dxfId="1705" priority="104" stopIfTrue="1"/>
    <cfRule type="duplicateValues" dxfId="1704" priority="105" stopIfTrue="1"/>
  </conditionalFormatting>
  <conditionalFormatting sqref="B182">
    <cfRule type="duplicateValues" dxfId="1703" priority="103" stopIfTrue="1"/>
  </conditionalFormatting>
  <conditionalFormatting sqref="B185">
    <cfRule type="duplicateValues" dxfId="1702" priority="101" stopIfTrue="1"/>
    <cfRule type="duplicateValues" dxfId="1701" priority="102" stopIfTrue="1"/>
  </conditionalFormatting>
  <conditionalFormatting sqref="B185">
    <cfRule type="duplicateValues" dxfId="1700" priority="100" stopIfTrue="1"/>
  </conditionalFormatting>
  <conditionalFormatting sqref="B158">
    <cfRule type="duplicateValues" dxfId="1699" priority="98" stopIfTrue="1"/>
    <cfRule type="duplicateValues" dxfId="1698" priority="99" stopIfTrue="1"/>
  </conditionalFormatting>
  <conditionalFormatting sqref="B158">
    <cfRule type="duplicateValues" dxfId="1697" priority="97" stopIfTrue="1"/>
  </conditionalFormatting>
  <conditionalFormatting sqref="B216">
    <cfRule type="duplicateValues" dxfId="1696" priority="95" stopIfTrue="1"/>
    <cfRule type="duplicateValues" dxfId="1695" priority="96" stopIfTrue="1"/>
  </conditionalFormatting>
  <conditionalFormatting sqref="B216">
    <cfRule type="duplicateValues" dxfId="1694" priority="94" stopIfTrue="1"/>
  </conditionalFormatting>
  <conditionalFormatting sqref="B208">
    <cfRule type="duplicateValues" dxfId="1693" priority="92" stopIfTrue="1"/>
    <cfRule type="duplicateValues" dxfId="1692" priority="93" stopIfTrue="1"/>
  </conditionalFormatting>
  <conditionalFormatting sqref="B208">
    <cfRule type="duplicateValues" dxfId="1691" priority="91" stopIfTrue="1"/>
  </conditionalFormatting>
  <conditionalFormatting sqref="B180">
    <cfRule type="duplicateValues" dxfId="1690" priority="89" stopIfTrue="1"/>
    <cfRule type="duplicateValues" dxfId="1689" priority="90" stopIfTrue="1"/>
  </conditionalFormatting>
  <conditionalFormatting sqref="B180">
    <cfRule type="duplicateValues" dxfId="1688" priority="88" stopIfTrue="1"/>
  </conditionalFormatting>
  <conditionalFormatting sqref="B195">
    <cfRule type="duplicateValues" dxfId="1687" priority="86" stopIfTrue="1"/>
    <cfRule type="duplicateValues" dxfId="1686" priority="87" stopIfTrue="1"/>
  </conditionalFormatting>
  <conditionalFormatting sqref="B195">
    <cfRule type="duplicateValues" dxfId="1685" priority="85" stopIfTrue="1"/>
  </conditionalFormatting>
  <conditionalFormatting sqref="B197">
    <cfRule type="duplicateValues" dxfId="1684" priority="83" stopIfTrue="1"/>
    <cfRule type="duplicateValues" dxfId="1683" priority="84" stopIfTrue="1"/>
  </conditionalFormatting>
  <conditionalFormatting sqref="B197">
    <cfRule type="duplicateValues" dxfId="1682" priority="82" stopIfTrue="1"/>
  </conditionalFormatting>
  <conditionalFormatting sqref="B199">
    <cfRule type="duplicateValues" dxfId="1681" priority="80" stopIfTrue="1"/>
    <cfRule type="duplicateValues" dxfId="1680" priority="81" stopIfTrue="1"/>
  </conditionalFormatting>
  <conditionalFormatting sqref="B199">
    <cfRule type="duplicateValues" dxfId="1679" priority="79" stopIfTrue="1"/>
  </conditionalFormatting>
  <conditionalFormatting sqref="B200">
    <cfRule type="duplicateValues" dxfId="1678" priority="77" stopIfTrue="1"/>
    <cfRule type="duplicateValues" dxfId="1677" priority="78" stopIfTrue="1"/>
  </conditionalFormatting>
  <conditionalFormatting sqref="B200">
    <cfRule type="duplicateValues" dxfId="1676" priority="76" stopIfTrue="1"/>
  </conditionalFormatting>
  <conditionalFormatting sqref="B201">
    <cfRule type="duplicateValues" dxfId="1675" priority="74" stopIfTrue="1"/>
    <cfRule type="duplicateValues" dxfId="1674" priority="75" stopIfTrue="1"/>
  </conditionalFormatting>
  <conditionalFormatting sqref="B201">
    <cfRule type="duplicateValues" dxfId="1673" priority="73" stopIfTrue="1"/>
  </conditionalFormatting>
  <conditionalFormatting sqref="B202">
    <cfRule type="duplicateValues" dxfId="1672" priority="71" stopIfTrue="1"/>
    <cfRule type="duplicateValues" dxfId="1671" priority="72" stopIfTrue="1"/>
  </conditionalFormatting>
  <conditionalFormatting sqref="B202">
    <cfRule type="duplicateValues" dxfId="1670" priority="70" stopIfTrue="1"/>
  </conditionalFormatting>
  <conditionalFormatting sqref="B203">
    <cfRule type="duplicateValues" dxfId="1669" priority="68" stopIfTrue="1"/>
    <cfRule type="duplicateValues" dxfId="1668" priority="69" stopIfTrue="1"/>
  </conditionalFormatting>
  <conditionalFormatting sqref="B203">
    <cfRule type="duplicateValues" dxfId="1667" priority="67" stopIfTrue="1"/>
  </conditionalFormatting>
  <conditionalFormatting sqref="B204">
    <cfRule type="duplicateValues" dxfId="1666" priority="65" stopIfTrue="1"/>
    <cfRule type="duplicateValues" dxfId="1665" priority="66" stopIfTrue="1"/>
  </conditionalFormatting>
  <conditionalFormatting sqref="B204">
    <cfRule type="duplicateValues" dxfId="1664" priority="64" stopIfTrue="1"/>
  </conditionalFormatting>
  <conditionalFormatting sqref="B3">
    <cfRule type="duplicateValues" dxfId="1663" priority="63"/>
  </conditionalFormatting>
  <conditionalFormatting sqref="B205">
    <cfRule type="duplicateValues" dxfId="1662" priority="61" stopIfTrue="1"/>
    <cfRule type="duplicateValues" dxfId="1661" priority="62" stopIfTrue="1"/>
  </conditionalFormatting>
  <conditionalFormatting sqref="B205">
    <cfRule type="duplicateValues" dxfId="1660" priority="60" stopIfTrue="1"/>
  </conditionalFormatting>
  <conditionalFormatting sqref="B157">
    <cfRule type="duplicateValues" dxfId="1659" priority="58" stopIfTrue="1"/>
    <cfRule type="duplicateValues" dxfId="1658" priority="59" stopIfTrue="1"/>
  </conditionalFormatting>
  <conditionalFormatting sqref="B157">
    <cfRule type="duplicateValues" dxfId="1657" priority="57" stopIfTrue="1"/>
  </conditionalFormatting>
  <conditionalFormatting sqref="B169">
    <cfRule type="duplicateValues" dxfId="1656" priority="56"/>
  </conditionalFormatting>
  <conditionalFormatting sqref="B145">
    <cfRule type="duplicateValues" dxfId="1655" priority="55"/>
  </conditionalFormatting>
  <conditionalFormatting sqref="B210 B334:B1048576 B188:B208 B1:B5 B157:B159 B153 B161 B165:B185 B220:B224 B214:B218 B144:B145">
    <cfRule type="duplicateValues" dxfId="1654" priority="54"/>
  </conditionalFormatting>
  <conditionalFormatting sqref="B214:B218 B220:B224 B157:B159 B153 B161 B165:B185 B144:B145">
    <cfRule type="duplicateValues" dxfId="1653" priority="53"/>
  </conditionalFormatting>
  <conditionalFormatting sqref="B191:B192 B159 B221:B223">
    <cfRule type="duplicateValues" dxfId="1652" priority="51" stopIfTrue="1"/>
    <cfRule type="duplicateValues" dxfId="1651" priority="52" stopIfTrue="1"/>
  </conditionalFormatting>
  <conditionalFormatting sqref="B191:B192 B159 B221:B223">
    <cfRule type="duplicateValues" dxfId="1650" priority="50" stopIfTrue="1"/>
  </conditionalFormatting>
  <conditionalFormatting sqref="B191:B192 B221:B223 B159">
    <cfRule type="duplicateValues" dxfId="1649" priority="48" stopIfTrue="1"/>
    <cfRule type="duplicateValues" dxfId="1648" priority="49" stopIfTrue="1"/>
  </conditionalFormatting>
  <conditionalFormatting sqref="B191:B192 B221:B223 B159">
    <cfRule type="duplicateValues" dxfId="1647" priority="47" stopIfTrue="1"/>
  </conditionalFormatting>
  <conditionalFormatting sqref="B144">
    <cfRule type="duplicateValues" dxfId="1646" priority="45" stopIfTrue="1"/>
    <cfRule type="duplicateValues" dxfId="1645" priority="46" stopIfTrue="1"/>
  </conditionalFormatting>
  <conditionalFormatting sqref="B144">
    <cfRule type="duplicateValues" dxfId="1644" priority="44" stopIfTrue="1"/>
  </conditionalFormatting>
  <conditionalFormatting sqref="B224 B155 B167:B169 B165 B157:B159 B171:B185 B161:B163 B153 B145">
    <cfRule type="duplicateValues" dxfId="1643" priority="42" stopIfTrue="1"/>
    <cfRule type="duplicateValues" dxfId="1642" priority="43" stopIfTrue="1"/>
  </conditionalFormatting>
  <conditionalFormatting sqref="B224 B155 B167:B169 B165 B157:B159 B171:B185 B161:B163 B153 B145">
    <cfRule type="duplicateValues" dxfId="1641" priority="41" stopIfTrue="1"/>
  </conditionalFormatting>
  <conditionalFormatting sqref="B155 B153 B144:B145">
    <cfRule type="duplicateValues" dxfId="1640" priority="39" stopIfTrue="1"/>
    <cfRule type="duplicateValues" dxfId="1639" priority="40" stopIfTrue="1"/>
  </conditionalFormatting>
  <conditionalFormatting sqref="B155 B153 B144:B145">
    <cfRule type="duplicateValues" dxfId="1638" priority="38" stopIfTrue="1"/>
  </conditionalFormatting>
  <conditionalFormatting sqref="B155 B153 B145">
    <cfRule type="duplicateValues" dxfId="1637" priority="36" stopIfTrue="1"/>
    <cfRule type="duplicateValues" dxfId="1636" priority="37" stopIfTrue="1"/>
  </conditionalFormatting>
  <conditionalFormatting sqref="B155 B153 B145">
    <cfRule type="duplicateValues" dxfId="1635" priority="35" stopIfTrue="1"/>
  </conditionalFormatting>
  <conditionalFormatting sqref="B220:B224 B171:B185 B167:B169 B165 B157:B159 B155 B161:B163 B153 B144:B145">
    <cfRule type="duplicateValues" dxfId="1634" priority="33" stopIfTrue="1"/>
    <cfRule type="duplicateValues" dxfId="1633" priority="34" stopIfTrue="1"/>
  </conditionalFormatting>
  <conditionalFormatting sqref="B220:B224 B171:B185 B167:B169 B165 B157:B159 B155 B161:B163 B153 B144:B145">
    <cfRule type="duplicateValues" dxfId="1632" priority="32" stopIfTrue="1"/>
  </conditionalFormatting>
  <conditionalFormatting sqref="B145">
    <cfRule type="duplicateValues" dxfId="1631" priority="30" stopIfTrue="1"/>
    <cfRule type="duplicateValues" dxfId="1630" priority="31" stopIfTrue="1"/>
  </conditionalFormatting>
  <conditionalFormatting sqref="B153 B199:B204 B188:B189 B195:B197 B145">
    <cfRule type="duplicateValues" dxfId="1629" priority="28" stopIfTrue="1"/>
    <cfRule type="duplicateValues" dxfId="1628" priority="29" stopIfTrue="1"/>
  </conditionalFormatting>
  <conditionalFormatting sqref="B153 B199:B204 B188:B189 B195:B197 B145">
    <cfRule type="duplicateValues" dxfId="1627" priority="27" stopIfTrue="1"/>
  </conditionalFormatting>
  <conditionalFormatting sqref="B153 B199:B204 B334:B1048576 B206:B208 B157:B159 B1:B2 B4:B5 B170:B183 B220:B224 B214:B218 B165:B168 B185 B195:B197 B188:B192 B145">
    <cfRule type="duplicateValues" dxfId="1626" priority="26"/>
  </conditionalFormatting>
  <conditionalFormatting sqref="B153 B220:B224 B334:B1048576 B1:B5 B214:B218 B157:B159 B165:B168 B188:B192 B195:B197 B170:B183 B199:B208 B185 B145">
    <cfRule type="duplicateValues" dxfId="1625" priority="25"/>
  </conditionalFormatting>
  <conditionalFormatting sqref="B64">
    <cfRule type="duplicateValues" dxfId="1624" priority="11" stopIfTrue="1"/>
    <cfRule type="duplicateValues" dxfId="1623" priority="12" stopIfTrue="1"/>
  </conditionalFormatting>
  <conditionalFormatting sqref="B64">
    <cfRule type="duplicateValues" dxfId="1622" priority="10" stopIfTrue="1"/>
  </conditionalFormatting>
  <conditionalFormatting sqref="B131">
    <cfRule type="duplicateValues" dxfId="1621" priority="8" stopIfTrue="1"/>
    <cfRule type="duplicateValues" dxfId="1620" priority="9" stopIfTrue="1"/>
  </conditionalFormatting>
  <conditionalFormatting sqref="B131">
    <cfRule type="duplicateValues" dxfId="1619" priority="7" stopIfTrue="1"/>
  </conditionalFormatting>
  <conditionalFormatting sqref="B48">
    <cfRule type="duplicateValues" dxfId="1618" priority="5" stopIfTrue="1"/>
    <cfRule type="duplicateValues" dxfId="1617" priority="6" stopIfTrue="1"/>
  </conditionalFormatting>
  <conditionalFormatting sqref="B48">
    <cfRule type="duplicateValues" dxfId="1616" priority="4" stopIfTrue="1"/>
  </conditionalFormatting>
  <conditionalFormatting sqref="B40:B41 B34:B37 B29:B32 B26:B27 B6:B14 B23:B24 B16:B21 B43:B49 B51:B130">
    <cfRule type="duplicateValues" dxfId="1615" priority="2" stopIfTrue="1"/>
    <cfRule type="duplicateValues" dxfId="1614" priority="3" stopIfTrue="1"/>
  </conditionalFormatting>
  <conditionalFormatting sqref="B40:B41 B34:B37 B29:B32 B26:B27 B6:B14 B23:B24 B16:B21 B43:B49 B51:B130">
    <cfRule type="duplicateValues" dxfId="1613" priority="1" stopIfTrue="1"/>
  </conditionalFormatting>
  <pageMargins left="0.43307086614173229" right="0.43307086614173229" top="7.874015748031496E-2" bottom="0.11811023622047245" header="0.31496062992125984" footer="0.31496062992125984"/>
  <pageSetup paperSize="9" scale="8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3:O223"/>
  <sheetViews>
    <sheetView topLeftCell="A79" workbookViewId="0">
      <selection activeCell="C113" sqref="C113"/>
    </sheetView>
  </sheetViews>
  <sheetFormatPr defaultRowHeight="15"/>
  <cols>
    <col min="1" max="1" width="6.85546875" style="44" customWidth="1"/>
    <col min="2" max="2" width="13.28515625" style="44" customWidth="1"/>
    <col min="3" max="3" width="37.140625" style="184" customWidth="1"/>
    <col min="4" max="4" width="15" customWidth="1"/>
    <col min="5" max="5" width="14" customWidth="1"/>
    <col min="6" max="6" width="15" customWidth="1"/>
    <col min="7" max="7" width="10.140625" style="43" customWidth="1"/>
    <col min="8" max="8" width="13.5703125" customWidth="1"/>
    <col min="9" max="9" width="10.85546875" style="99" customWidth="1"/>
    <col min="10" max="10" width="11.85546875" style="99" customWidth="1"/>
    <col min="11" max="11" width="14" customWidth="1"/>
    <col min="12" max="12" width="14.5703125" customWidth="1"/>
    <col min="13" max="13" width="9.285156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498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4" t="s">
        <v>822</v>
      </c>
      <c r="D6" s="19">
        <v>330000</v>
      </c>
      <c r="E6" s="19">
        <v>43989</v>
      </c>
      <c r="F6" s="19">
        <f t="shared" ref="F6:F13" si="0">SUM(D6:E6)</f>
        <v>373989</v>
      </c>
      <c r="G6" s="240">
        <v>50</v>
      </c>
      <c r="H6" s="203">
        <v>7479.78</v>
      </c>
      <c r="I6" s="247">
        <v>4</v>
      </c>
      <c r="J6" s="97">
        <f t="shared" ref="J6:J37" si="1">G6-I6</f>
        <v>46</v>
      </c>
      <c r="K6" s="91">
        <f t="shared" ref="K6:K15" si="2">I6*H6</f>
        <v>29919.119999999999</v>
      </c>
      <c r="L6" s="94">
        <f t="shared" ref="L6:L37" si="3">F6-K6</f>
        <v>344069.88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4" t="s">
        <v>839</v>
      </c>
      <c r="D7" s="16">
        <v>132000</v>
      </c>
      <c r="E7" s="16">
        <v>17595.599999999999</v>
      </c>
      <c r="F7" s="41">
        <f t="shared" si="0"/>
        <v>149595.6</v>
      </c>
      <c r="G7" s="240">
        <v>40</v>
      </c>
      <c r="H7" s="209">
        <v>3739.89</v>
      </c>
      <c r="I7" s="243">
        <v>36</v>
      </c>
      <c r="J7" s="96">
        <f t="shared" si="1"/>
        <v>4</v>
      </c>
      <c r="K7" s="16">
        <f t="shared" si="2"/>
        <v>134636.04</v>
      </c>
      <c r="L7" s="41">
        <f t="shared" si="3"/>
        <v>14959.559999999998</v>
      </c>
      <c r="M7" s="11"/>
      <c r="N7" s="180" t="e">
        <f>#REF!-H7</f>
        <v>#REF!</v>
      </c>
    </row>
    <row r="8" spans="1:14" s="114" customFormat="1">
      <c r="A8" s="96">
        <v>3</v>
      </c>
      <c r="B8" s="96" t="s">
        <v>528</v>
      </c>
      <c r="C8" s="2" t="s">
        <v>747</v>
      </c>
      <c r="D8" s="12">
        <v>500000</v>
      </c>
      <c r="E8" s="12">
        <v>66650</v>
      </c>
      <c r="F8" s="15">
        <f t="shared" si="0"/>
        <v>566650</v>
      </c>
      <c r="G8" s="246">
        <v>50</v>
      </c>
      <c r="H8" s="209">
        <v>11333</v>
      </c>
      <c r="I8" s="248">
        <v>35</v>
      </c>
      <c r="J8" s="97">
        <f t="shared" si="1"/>
        <v>15</v>
      </c>
      <c r="K8" s="91">
        <f t="shared" si="2"/>
        <v>396655</v>
      </c>
      <c r="L8" s="15">
        <f t="shared" si="3"/>
        <v>169995</v>
      </c>
      <c r="M8" s="8"/>
      <c r="N8" s="180" t="e">
        <f>#REF!-H8</f>
        <v>#REF!</v>
      </c>
    </row>
    <row r="9" spans="1:14" s="114" customFormat="1">
      <c r="A9" s="96">
        <v>4</v>
      </c>
      <c r="B9" s="241" t="s">
        <v>674</v>
      </c>
      <c r="C9" s="4" t="s">
        <v>737</v>
      </c>
      <c r="D9" s="16">
        <v>500000</v>
      </c>
      <c r="E9" s="16">
        <v>53320</v>
      </c>
      <c r="F9" s="41">
        <f t="shared" si="0"/>
        <v>553320</v>
      </c>
      <c r="G9" s="240">
        <v>40</v>
      </c>
      <c r="H9" s="209">
        <v>13833</v>
      </c>
      <c r="I9" s="243">
        <v>51</v>
      </c>
      <c r="J9" s="96">
        <f t="shared" si="1"/>
        <v>-11</v>
      </c>
      <c r="K9" s="16">
        <f t="shared" si="2"/>
        <v>705483</v>
      </c>
      <c r="L9" s="41">
        <f t="shared" si="3"/>
        <v>-152163</v>
      </c>
      <c r="M9" s="11"/>
      <c r="N9" s="180" t="e">
        <f>#REF!-H9</f>
        <v>#REF!</v>
      </c>
    </row>
    <row r="10" spans="1:14" s="114" customFormat="1">
      <c r="A10" s="96">
        <v>5</v>
      </c>
      <c r="B10" s="241" t="s">
        <v>692</v>
      </c>
      <c r="C10" s="178" t="s">
        <v>838</v>
      </c>
      <c r="D10" s="16">
        <v>330000</v>
      </c>
      <c r="E10" s="16">
        <v>43989</v>
      </c>
      <c r="F10" s="41">
        <f t="shared" si="0"/>
        <v>373989</v>
      </c>
      <c r="G10" s="240">
        <v>50</v>
      </c>
      <c r="H10" s="209">
        <v>7478.78</v>
      </c>
      <c r="I10" s="247">
        <v>39</v>
      </c>
      <c r="J10" s="96">
        <f t="shared" si="1"/>
        <v>11</v>
      </c>
      <c r="K10" s="16">
        <f t="shared" si="2"/>
        <v>291672.42</v>
      </c>
      <c r="L10" s="41">
        <f t="shared" si="3"/>
        <v>82316.580000000016</v>
      </c>
      <c r="M10" s="11"/>
      <c r="N10" s="180" t="e">
        <f>#REF!-H10</f>
        <v>#REF!</v>
      </c>
    </row>
    <row r="11" spans="1:14" s="114" customFormat="1">
      <c r="A11" s="96">
        <v>6</v>
      </c>
      <c r="B11" s="241" t="s">
        <v>602</v>
      </c>
      <c r="C11" s="46" t="s">
        <v>830</v>
      </c>
      <c r="D11" s="16">
        <v>330000</v>
      </c>
      <c r="E11" s="16">
        <v>43989</v>
      </c>
      <c r="F11" s="41">
        <f t="shared" si="0"/>
        <v>373989</v>
      </c>
      <c r="G11" s="240">
        <v>50</v>
      </c>
      <c r="H11" s="203">
        <v>7479.78</v>
      </c>
      <c r="I11" s="243">
        <v>39</v>
      </c>
      <c r="J11" s="96">
        <f t="shared" si="1"/>
        <v>11</v>
      </c>
      <c r="K11" s="16">
        <f t="shared" si="2"/>
        <v>291711.42</v>
      </c>
      <c r="L11" s="41">
        <f t="shared" si="3"/>
        <v>82277.580000000016</v>
      </c>
      <c r="M11" s="11"/>
      <c r="N11" s="180" t="e">
        <f>#REF!-H11</f>
        <v>#REF!</v>
      </c>
    </row>
    <row r="12" spans="1:14" s="114" customFormat="1">
      <c r="A12" s="96">
        <v>7</v>
      </c>
      <c r="B12" s="241" t="s">
        <v>640</v>
      </c>
      <c r="C12" s="46" t="s">
        <v>778</v>
      </c>
      <c r="D12" s="16">
        <v>500000</v>
      </c>
      <c r="E12" s="16">
        <v>66650</v>
      </c>
      <c r="F12" s="41">
        <f t="shared" si="0"/>
        <v>566650</v>
      </c>
      <c r="G12" s="240">
        <v>50</v>
      </c>
      <c r="H12" s="209">
        <v>11333</v>
      </c>
      <c r="I12" s="243">
        <v>30</v>
      </c>
      <c r="J12" s="96">
        <f t="shared" si="1"/>
        <v>20</v>
      </c>
      <c r="K12" s="16">
        <f t="shared" si="2"/>
        <v>339990</v>
      </c>
      <c r="L12" s="41">
        <f t="shared" si="3"/>
        <v>226660</v>
      </c>
      <c r="M12" s="11"/>
      <c r="N12" s="180" t="e">
        <f>#REF!-H12</f>
        <v>#REF!</v>
      </c>
    </row>
    <row r="13" spans="1:14" s="114" customFormat="1">
      <c r="A13" s="96">
        <v>8</v>
      </c>
      <c r="B13" s="241" t="s">
        <v>704</v>
      </c>
      <c r="C13" s="4" t="s">
        <v>794</v>
      </c>
      <c r="D13" s="16">
        <v>500000</v>
      </c>
      <c r="E13" s="16">
        <v>66650</v>
      </c>
      <c r="F13" s="41">
        <f t="shared" si="0"/>
        <v>566650</v>
      </c>
      <c r="G13" s="240">
        <v>50</v>
      </c>
      <c r="H13" s="209">
        <v>11333</v>
      </c>
      <c r="I13" s="243">
        <v>39</v>
      </c>
      <c r="J13" s="96">
        <f t="shared" si="1"/>
        <v>11</v>
      </c>
      <c r="K13" s="16">
        <f t="shared" si="2"/>
        <v>441987</v>
      </c>
      <c r="L13" s="41">
        <f t="shared" si="3"/>
        <v>124663</v>
      </c>
      <c r="M13" s="11"/>
      <c r="N13" s="180" t="e">
        <f>#REF!-H13</f>
        <v>#REF!</v>
      </c>
    </row>
    <row r="14" spans="1:14" s="114" customFormat="1">
      <c r="A14" s="96">
        <v>9</v>
      </c>
      <c r="B14" s="241" t="s">
        <v>709</v>
      </c>
      <c r="C14" s="4" t="s">
        <v>795</v>
      </c>
      <c r="D14" s="19">
        <v>500000</v>
      </c>
      <c r="E14" s="19">
        <v>66650</v>
      </c>
      <c r="F14" s="19">
        <v>566650</v>
      </c>
      <c r="G14" s="240">
        <v>50</v>
      </c>
      <c r="H14" s="209">
        <v>11333</v>
      </c>
      <c r="I14" s="243">
        <v>16</v>
      </c>
      <c r="J14" s="96">
        <f t="shared" si="1"/>
        <v>34</v>
      </c>
      <c r="K14" s="16">
        <f t="shared" si="2"/>
        <v>181328</v>
      </c>
      <c r="L14" s="16">
        <f t="shared" si="3"/>
        <v>385322</v>
      </c>
      <c r="M14" s="122"/>
      <c r="N14" s="180" t="e">
        <f>#REF!-H14</f>
        <v>#REF!</v>
      </c>
    </row>
    <row r="15" spans="1:14" s="114" customFormat="1">
      <c r="A15" s="96">
        <v>10</v>
      </c>
      <c r="B15" s="96" t="s">
        <v>696</v>
      </c>
      <c r="C15" s="2" t="s">
        <v>791</v>
      </c>
      <c r="D15" s="16">
        <v>500000</v>
      </c>
      <c r="E15" s="16">
        <v>66650</v>
      </c>
      <c r="F15" s="41">
        <f>SUM(D15:E15)</f>
        <v>566650</v>
      </c>
      <c r="G15" s="240">
        <v>50</v>
      </c>
      <c r="H15" s="209">
        <v>11333</v>
      </c>
      <c r="I15" s="243">
        <v>51</v>
      </c>
      <c r="J15" s="96">
        <f t="shared" si="1"/>
        <v>-1</v>
      </c>
      <c r="K15" s="16">
        <f t="shared" si="2"/>
        <v>577983</v>
      </c>
      <c r="L15" s="41">
        <f t="shared" si="3"/>
        <v>-11333</v>
      </c>
      <c r="M15" s="11"/>
      <c r="N15" s="180" t="e">
        <f>#REF!-H15</f>
        <v>#REF!</v>
      </c>
    </row>
    <row r="16" spans="1:14" s="114" customFormat="1">
      <c r="A16" s="96">
        <v>11</v>
      </c>
      <c r="B16" s="241" t="s">
        <v>574</v>
      </c>
      <c r="C16" s="46" t="s">
        <v>827</v>
      </c>
      <c r="D16" s="16">
        <v>330000</v>
      </c>
      <c r="E16" s="16">
        <v>43989</v>
      </c>
      <c r="F16" s="41">
        <f>SUM(D16:E16)</f>
        <v>373989</v>
      </c>
      <c r="G16" s="240">
        <v>50</v>
      </c>
      <c r="H16" s="203">
        <v>7479.78</v>
      </c>
      <c r="I16" s="247">
        <v>39</v>
      </c>
      <c r="J16" s="97">
        <f t="shared" si="1"/>
        <v>11</v>
      </c>
      <c r="K16" s="91">
        <f>(32*7479.78)</f>
        <v>239352.95999999999</v>
      </c>
      <c r="L16" s="94">
        <f t="shared" si="3"/>
        <v>134636.04</v>
      </c>
      <c r="M16" s="11"/>
      <c r="N16" s="180" t="e">
        <f>#REF!-H16</f>
        <v>#REF!</v>
      </c>
    </row>
    <row r="17" spans="1:14" s="114" customFormat="1">
      <c r="A17" s="96">
        <v>12</v>
      </c>
      <c r="B17" s="241" t="s">
        <v>721</v>
      </c>
      <c r="C17" s="4" t="s">
        <v>799</v>
      </c>
      <c r="D17" s="16">
        <v>500000</v>
      </c>
      <c r="E17" s="16">
        <v>66650</v>
      </c>
      <c r="F17" s="41">
        <f>SUM(D17:E17)</f>
        <v>566650</v>
      </c>
      <c r="G17" s="240">
        <v>50</v>
      </c>
      <c r="H17" s="209">
        <v>11333</v>
      </c>
      <c r="I17" s="249">
        <v>51</v>
      </c>
      <c r="J17" s="97">
        <f t="shared" si="1"/>
        <v>-1</v>
      </c>
      <c r="K17" s="91">
        <f>I17*H17</f>
        <v>577983</v>
      </c>
      <c r="L17" s="94">
        <f t="shared" si="3"/>
        <v>-11333</v>
      </c>
      <c r="M17" s="11"/>
      <c r="N17" s="180" t="e">
        <f>#REF!-H17</f>
        <v>#REF!</v>
      </c>
    </row>
    <row r="18" spans="1:14" s="114" customFormat="1">
      <c r="A18" s="96">
        <v>13</v>
      </c>
      <c r="B18" s="241" t="s">
        <v>649</v>
      </c>
      <c r="C18" s="4" t="s">
        <v>360</v>
      </c>
      <c r="D18" s="16">
        <v>450000</v>
      </c>
      <c r="E18" s="16">
        <v>59985</v>
      </c>
      <c r="F18" s="16">
        <v>509985</v>
      </c>
      <c r="G18" s="240">
        <v>50</v>
      </c>
      <c r="H18" s="209">
        <v>10199.700000000001</v>
      </c>
      <c r="I18" s="249">
        <v>15</v>
      </c>
      <c r="J18" s="97">
        <f t="shared" si="1"/>
        <v>35</v>
      </c>
      <c r="K18" s="91">
        <f>I18*H18</f>
        <v>152995.5</v>
      </c>
      <c r="L18" s="91">
        <f t="shared" si="3"/>
        <v>356989.5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617</v>
      </c>
      <c r="C19" s="2" t="s">
        <v>812</v>
      </c>
      <c r="D19" s="16">
        <v>450000</v>
      </c>
      <c r="E19" s="16">
        <v>59985</v>
      </c>
      <c r="F19" s="16">
        <v>509985</v>
      </c>
      <c r="G19" s="240">
        <v>50</v>
      </c>
      <c r="H19" s="209">
        <v>10199.700000000001</v>
      </c>
      <c r="I19" s="249">
        <v>30</v>
      </c>
      <c r="J19" s="97">
        <f t="shared" si="1"/>
        <v>20</v>
      </c>
      <c r="K19" s="91">
        <f>I19*H19</f>
        <v>305991</v>
      </c>
      <c r="L19" s="94">
        <f t="shared" si="3"/>
        <v>203994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672</v>
      </c>
      <c r="C20" s="2" t="s">
        <v>736</v>
      </c>
      <c r="D20" s="16">
        <v>500000</v>
      </c>
      <c r="E20" s="16">
        <v>53320</v>
      </c>
      <c r="F20" s="41">
        <f>SUM(D20:E20)</f>
        <v>553320</v>
      </c>
      <c r="G20" s="240">
        <v>40</v>
      </c>
      <c r="H20" s="209">
        <v>13833</v>
      </c>
      <c r="I20" s="249">
        <v>51</v>
      </c>
      <c r="J20" s="97">
        <f t="shared" si="1"/>
        <v>-11</v>
      </c>
      <c r="K20" s="91">
        <f>I20*H20</f>
        <v>705483</v>
      </c>
      <c r="L20" s="94">
        <f t="shared" si="3"/>
        <v>-152163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505</v>
      </c>
      <c r="C21" s="2" t="s">
        <v>740</v>
      </c>
      <c r="D21" s="16">
        <v>500000</v>
      </c>
      <c r="E21" s="16">
        <v>66650</v>
      </c>
      <c r="F21" s="41">
        <f>SUM(D21:E21)</f>
        <v>566650</v>
      </c>
      <c r="G21" s="240">
        <v>50</v>
      </c>
      <c r="H21" s="209">
        <v>11333</v>
      </c>
      <c r="I21" s="249">
        <v>30</v>
      </c>
      <c r="J21" s="97">
        <f t="shared" si="1"/>
        <v>20</v>
      </c>
      <c r="K21" s="91">
        <f>I21*H21</f>
        <v>339990</v>
      </c>
      <c r="L21" s="94">
        <f t="shared" si="3"/>
        <v>226660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565</v>
      </c>
      <c r="C22" s="25" t="s">
        <v>847</v>
      </c>
      <c r="D22" s="16">
        <v>60000</v>
      </c>
      <c r="E22" s="16">
        <v>7998</v>
      </c>
      <c r="F22" s="41">
        <f>SUM(D22:E22)</f>
        <v>67998</v>
      </c>
      <c r="G22" s="240">
        <v>40</v>
      </c>
      <c r="H22" s="209">
        <v>1699.95</v>
      </c>
      <c r="I22" s="249">
        <v>5</v>
      </c>
      <c r="J22" s="97">
        <f t="shared" si="1"/>
        <v>35</v>
      </c>
      <c r="K22" s="91"/>
      <c r="L22" s="94">
        <f t="shared" si="3"/>
        <v>67998</v>
      </c>
      <c r="M22" s="11"/>
      <c r="N22" s="180" t="e">
        <f>#REF!-H22</f>
        <v>#REF!</v>
      </c>
    </row>
    <row r="23" spans="1:14" s="114" customFormat="1">
      <c r="A23" s="96">
        <v>18</v>
      </c>
      <c r="B23" s="241" t="s">
        <v>659</v>
      </c>
      <c r="C23" s="46" t="s">
        <v>783</v>
      </c>
      <c r="D23" s="16">
        <v>500000</v>
      </c>
      <c r="E23" s="16">
        <v>66650</v>
      </c>
      <c r="F23" s="41">
        <f>SUM(D23:E23)</f>
        <v>566650</v>
      </c>
      <c r="G23" s="240">
        <v>50</v>
      </c>
      <c r="H23" s="209">
        <v>11333</v>
      </c>
      <c r="I23" s="249">
        <v>40</v>
      </c>
      <c r="J23" s="97">
        <f t="shared" si="1"/>
        <v>10</v>
      </c>
      <c r="K23" s="91">
        <f t="shared" ref="K23:K29" si="4">I23*H23</f>
        <v>453320</v>
      </c>
      <c r="L23" s="94">
        <f t="shared" si="3"/>
        <v>113330</v>
      </c>
      <c r="M23" s="11" t="s">
        <v>276</v>
      </c>
      <c r="N23" s="180" t="e">
        <f>#REF!-H23</f>
        <v>#REF!</v>
      </c>
    </row>
    <row r="24" spans="1:14" s="114" customFormat="1">
      <c r="A24" s="96">
        <v>19</v>
      </c>
      <c r="B24" s="96" t="s">
        <v>559</v>
      </c>
      <c r="C24" s="2" t="s">
        <v>758</v>
      </c>
      <c r="D24" s="16">
        <v>500000</v>
      </c>
      <c r="E24" s="16">
        <v>66650</v>
      </c>
      <c r="F24" s="16">
        <v>566650</v>
      </c>
      <c r="G24" s="240">
        <v>50</v>
      </c>
      <c r="H24" s="146">
        <v>11333</v>
      </c>
      <c r="I24" s="243">
        <v>4</v>
      </c>
      <c r="J24" s="97">
        <f t="shared" si="1"/>
        <v>46</v>
      </c>
      <c r="K24" s="91">
        <f t="shared" si="4"/>
        <v>45332</v>
      </c>
      <c r="L24" s="94">
        <f t="shared" si="3"/>
        <v>521318</v>
      </c>
      <c r="M24" s="215"/>
      <c r="N24" s="180" t="e">
        <f>#REF!-H24</f>
        <v>#REF!</v>
      </c>
    </row>
    <row r="25" spans="1:14" s="114" customFormat="1">
      <c r="A25" s="96">
        <v>20</v>
      </c>
      <c r="B25" s="96" t="s">
        <v>690</v>
      </c>
      <c r="C25" s="25" t="s">
        <v>790</v>
      </c>
      <c r="D25" s="16">
        <v>500000</v>
      </c>
      <c r="E25" s="16">
        <v>66650</v>
      </c>
      <c r="F25" s="41">
        <f>SUM(D25:E25)</f>
        <v>566650</v>
      </c>
      <c r="G25" s="240">
        <v>50</v>
      </c>
      <c r="H25" s="209">
        <v>11333</v>
      </c>
      <c r="I25" s="250">
        <v>2</v>
      </c>
      <c r="J25" s="97">
        <f t="shared" si="1"/>
        <v>48</v>
      </c>
      <c r="K25" s="91">
        <f t="shared" si="4"/>
        <v>22666</v>
      </c>
      <c r="L25" s="94">
        <f t="shared" si="3"/>
        <v>543984</v>
      </c>
      <c r="M25" s="214"/>
    </row>
    <row r="26" spans="1:14" s="114" customFormat="1">
      <c r="A26" s="96">
        <v>21</v>
      </c>
      <c r="B26" s="241" t="s">
        <v>581</v>
      </c>
      <c r="C26" s="4" t="s">
        <v>829</v>
      </c>
      <c r="D26" s="16">
        <v>330000</v>
      </c>
      <c r="E26" s="16">
        <v>43989</v>
      </c>
      <c r="F26" s="41">
        <f>SUM(D26:E26)</f>
        <v>373989</v>
      </c>
      <c r="G26" s="240">
        <v>50</v>
      </c>
      <c r="H26" s="209">
        <v>7479.78</v>
      </c>
      <c r="I26" s="249">
        <v>51</v>
      </c>
      <c r="J26" s="97">
        <f t="shared" si="1"/>
        <v>-1</v>
      </c>
      <c r="K26" s="91">
        <f t="shared" si="4"/>
        <v>381468.77999999997</v>
      </c>
      <c r="L26" s="94">
        <f t="shared" si="3"/>
        <v>-7479.7799999999697</v>
      </c>
      <c r="M26" s="11"/>
      <c r="N26" s="180" t="e">
        <f>#REF!-H26</f>
        <v>#REF!</v>
      </c>
    </row>
    <row r="27" spans="1:14" s="114" customFormat="1">
      <c r="A27" s="96">
        <v>22</v>
      </c>
      <c r="B27" s="241" t="s">
        <v>567</v>
      </c>
      <c r="C27" s="4" t="s">
        <v>826</v>
      </c>
      <c r="D27" s="16">
        <v>330000</v>
      </c>
      <c r="E27" s="16">
        <v>43989</v>
      </c>
      <c r="F27" s="41">
        <f>SUM(D27:E27)</f>
        <v>373989</v>
      </c>
      <c r="G27" s="240">
        <v>50</v>
      </c>
      <c r="H27" s="209">
        <v>7479.78</v>
      </c>
      <c r="I27" s="249">
        <v>51</v>
      </c>
      <c r="J27" s="97">
        <f t="shared" si="1"/>
        <v>-1</v>
      </c>
      <c r="K27" s="91">
        <f t="shared" si="4"/>
        <v>381468.77999999997</v>
      </c>
      <c r="L27" s="94">
        <f t="shared" si="3"/>
        <v>-7479.7799999999697</v>
      </c>
      <c r="M27" s="11"/>
      <c r="N27" s="180" t="e">
        <f>#REF!-H27</f>
        <v>#REF!</v>
      </c>
    </row>
    <row r="28" spans="1:14" s="114" customFormat="1">
      <c r="A28" s="96">
        <v>23</v>
      </c>
      <c r="B28" s="241" t="s">
        <v>726</v>
      </c>
      <c r="C28" s="4" t="s">
        <v>801</v>
      </c>
      <c r="D28" s="19">
        <v>500000</v>
      </c>
      <c r="E28" s="19">
        <v>66650</v>
      </c>
      <c r="F28" s="19">
        <v>566650</v>
      </c>
      <c r="G28" s="240">
        <v>50</v>
      </c>
      <c r="H28" s="209">
        <v>11333</v>
      </c>
      <c r="I28" s="249">
        <v>16</v>
      </c>
      <c r="J28" s="97">
        <f t="shared" si="1"/>
        <v>34</v>
      </c>
      <c r="K28" s="91">
        <f t="shared" si="4"/>
        <v>181328</v>
      </c>
      <c r="L28" s="91">
        <f t="shared" si="3"/>
        <v>385322</v>
      </c>
      <c r="M28" s="122"/>
      <c r="N28" s="180" t="e">
        <f>#REF!-H28</f>
        <v>#REF!</v>
      </c>
    </row>
    <row r="29" spans="1:14" s="114" customFormat="1">
      <c r="A29" s="96">
        <v>24</v>
      </c>
      <c r="B29" s="96" t="s">
        <v>680</v>
      </c>
      <c r="C29" s="2" t="s">
        <v>785</v>
      </c>
      <c r="D29" s="19">
        <v>500000</v>
      </c>
      <c r="E29" s="19">
        <v>66650</v>
      </c>
      <c r="F29" s="19">
        <v>566650</v>
      </c>
      <c r="G29" s="240">
        <v>50</v>
      </c>
      <c r="H29" s="209">
        <v>11333</v>
      </c>
      <c r="I29" s="249">
        <v>16</v>
      </c>
      <c r="J29" s="97">
        <f t="shared" si="1"/>
        <v>34</v>
      </c>
      <c r="K29" s="91">
        <f t="shared" si="4"/>
        <v>181328</v>
      </c>
      <c r="L29" s="91">
        <f t="shared" si="3"/>
        <v>385322</v>
      </c>
      <c r="M29" s="122"/>
      <c r="N29" s="180" t="e">
        <f>#REF!-H29</f>
        <v>#REF!</v>
      </c>
    </row>
    <row r="30" spans="1:14" s="114" customFormat="1">
      <c r="A30" s="96">
        <v>25</v>
      </c>
      <c r="B30" s="241" t="s">
        <v>576</v>
      </c>
      <c r="C30" s="46" t="s">
        <v>848</v>
      </c>
      <c r="D30" s="16">
        <v>60000</v>
      </c>
      <c r="E30" s="16">
        <v>7998</v>
      </c>
      <c r="F30" s="41">
        <f>SUM(D30:E30)</f>
        <v>67998</v>
      </c>
      <c r="G30" s="240">
        <v>40</v>
      </c>
      <c r="H30" s="209">
        <v>1699.95</v>
      </c>
      <c r="I30" s="249">
        <v>5</v>
      </c>
      <c r="J30" s="97">
        <f t="shared" si="1"/>
        <v>35</v>
      </c>
      <c r="K30" s="91"/>
      <c r="L30" s="94">
        <f t="shared" si="3"/>
        <v>67998</v>
      </c>
      <c r="M30" s="11"/>
      <c r="N30" s="180" t="e">
        <f>#REF!-H30</f>
        <v>#REF!</v>
      </c>
    </row>
    <row r="31" spans="1:14" s="114" customFormat="1">
      <c r="A31" s="96">
        <v>26</v>
      </c>
      <c r="B31" s="241" t="s">
        <v>588</v>
      </c>
      <c r="C31" s="4" t="s">
        <v>764</v>
      </c>
      <c r="D31" s="16">
        <v>500000</v>
      </c>
      <c r="E31" s="16">
        <v>66650</v>
      </c>
      <c r="F31" s="41">
        <f>SUM(D31:E31)</f>
        <v>566650</v>
      </c>
      <c r="G31" s="240">
        <v>50</v>
      </c>
      <c r="H31" s="209">
        <v>11333</v>
      </c>
      <c r="I31" s="249">
        <v>29</v>
      </c>
      <c r="J31" s="97">
        <f t="shared" si="1"/>
        <v>21</v>
      </c>
      <c r="K31" s="91">
        <f>I31*H31</f>
        <v>328657</v>
      </c>
      <c r="L31" s="94">
        <f t="shared" si="3"/>
        <v>237993</v>
      </c>
      <c r="M31" s="11"/>
      <c r="N31" s="180" t="e">
        <f>#REF!-H31</f>
        <v>#REF!</v>
      </c>
    </row>
    <row r="32" spans="1:14" s="114" customFormat="1">
      <c r="A32" s="96">
        <v>27</v>
      </c>
      <c r="B32" s="241" t="s">
        <v>512</v>
      </c>
      <c r="C32" s="4" t="s">
        <v>742</v>
      </c>
      <c r="D32" s="16">
        <v>500000</v>
      </c>
      <c r="E32" s="16">
        <v>66650</v>
      </c>
      <c r="F32" s="41">
        <f>SUM(D32:E32)</f>
        <v>566650</v>
      </c>
      <c r="G32" s="240">
        <v>50</v>
      </c>
      <c r="H32" s="209">
        <v>11333</v>
      </c>
      <c r="I32" s="249">
        <v>39</v>
      </c>
      <c r="J32" s="97">
        <f t="shared" si="1"/>
        <v>11</v>
      </c>
      <c r="K32" s="91">
        <f>I32*H32</f>
        <v>441987</v>
      </c>
      <c r="L32" s="94">
        <f t="shared" si="3"/>
        <v>124663</v>
      </c>
      <c r="M32" s="11"/>
      <c r="N32" s="180" t="e">
        <f>#REF!-H32</f>
        <v>#REF!</v>
      </c>
    </row>
    <row r="33" spans="1:14" s="114" customFormat="1">
      <c r="A33" s="96">
        <v>28</v>
      </c>
      <c r="B33" s="241" t="s">
        <v>532</v>
      </c>
      <c r="C33" s="4" t="s">
        <v>749</v>
      </c>
      <c r="D33" s="16">
        <v>500000</v>
      </c>
      <c r="E33" s="16">
        <v>66650</v>
      </c>
      <c r="F33" s="41">
        <f>SUM(D33:E33)</f>
        <v>566650</v>
      </c>
      <c r="G33" s="240">
        <v>50</v>
      </c>
      <c r="H33" s="209">
        <v>11333</v>
      </c>
      <c r="I33" s="249">
        <v>39</v>
      </c>
      <c r="J33" s="97">
        <f t="shared" si="1"/>
        <v>11</v>
      </c>
      <c r="K33" s="91">
        <f>I33*H33</f>
        <v>441987</v>
      </c>
      <c r="L33" s="94">
        <f t="shared" si="3"/>
        <v>124663</v>
      </c>
      <c r="M33" s="11"/>
      <c r="N33" s="180" t="e">
        <f>#REF!-H33</f>
        <v>#REF!</v>
      </c>
    </row>
    <row r="34" spans="1:14" s="114" customFormat="1">
      <c r="A34" s="96">
        <v>29</v>
      </c>
      <c r="B34" s="242" t="s">
        <v>633</v>
      </c>
      <c r="C34" s="171" t="s">
        <v>844</v>
      </c>
      <c r="D34" s="19">
        <v>150000</v>
      </c>
      <c r="E34" s="19">
        <v>19995</v>
      </c>
      <c r="F34" s="19">
        <f>SUM(D34:E34)</f>
        <v>169995</v>
      </c>
      <c r="G34" s="240">
        <v>50</v>
      </c>
      <c r="H34" s="252">
        <v>3399.9</v>
      </c>
      <c r="I34" s="251">
        <v>4</v>
      </c>
      <c r="J34" s="97">
        <f t="shared" si="1"/>
        <v>46</v>
      </c>
      <c r="K34" s="91">
        <f>I34*H34</f>
        <v>13599.6</v>
      </c>
      <c r="L34" s="94">
        <f t="shared" si="3"/>
        <v>156395.4</v>
      </c>
      <c r="M34" s="218"/>
      <c r="N34" s="180" t="e">
        <f>#REF!-H34</f>
        <v>#REF!</v>
      </c>
    </row>
    <row r="35" spans="1:14" s="114" customFormat="1">
      <c r="A35" s="96">
        <v>30</v>
      </c>
      <c r="B35" s="242" t="s">
        <v>534</v>
      </c>
      <c r="C35" s="171" t="s">
        <v>806</v>
      </c>
      <c r="D35" s="16">
        <v>450000</v>
      </c>
      <c r="E35" s="16">
        <v>59985</v>
      </c>
      <c r="F35" s="16">
        <v>509985</v>
      </c>
      <c r="G35" s="240">
        <v>50</v>
      </c>
      <c r="H35" s="209">
        <v>10199.700000000001</v>
      </c>
      <c r="I35" s="249">
        <v>8</v>
      </c>
      <c r="J35" s="97">
        <f t="shared" si="1"/>
        <v>42</v>
      </c>
      <c r="K35" s="91">
        <f>(1*10199.7)</f>
        <v>10199.700000000001</v>
      </c>
      <c r="L35" s="94">
        <f t="shared" si="3"/>
        <v>499785.3</v>
      </c>
      <c r="M35" s="11"/>
      <c r="N35" s="180" t="e">
        <f>#REF!-H35</f>
        <v>#REF!</v>
      </c>
    </row>
    <row r="36" spans="1:14" s="114" customFormat="1">
      <c r="A36" s="96">
        <v>31</v>
      </c>
      <c r="B36" s="241" t="s">
        <v>713</v>
      </c>
      <c r="C36" s="4" t="s">
        <v>797</v>
      </c>
      <c r="D36" s="16">
        <v>450000</v>
      </c>
      <c r="E36" s="16">
        <v>59985</v>
      </c>
      <c r="F36" s="41">
        <f t="shared" ref="F36:F47" si="5">SUM(D36:E36)</f>
        <v>509985</v>
      </c>
      <c r="G36" s="240">
        <v>50</v>
      </c>
      <c r="H36" s="209">
        <v>11333</v>
      </c>
      <c r="I36" s="249">
        <v>19</v>
      </c>
      <c r="J36" s="97">
        <f t="shared" si="1"/>
        <v>31</v>
      </c>
      <c r="K36" s="91">
        <f t="shared" ref="K36:K67" si="6">I36*H36</f>
        <v>215327</v>
      </c>
      <c r="L36" s="94">
        <f t="shared" si="3"/>
        <v>294658</v>
      </c>
      <c r="M36" s="11"/>
    </row>
    <row r="37" spans="1:14" s="114" customFormat="1">
      <c r="A37" s="96">
        <v>32</v>
      </c>
      <c r="B37" s="241" t="s">
        <v>499</v>
      </c>
      <c r="C37" s="46" t="s">
        <v>738</v>
      </c>
      <c r="D37" s="16">
        <v>500000</v>
      </c>
      <c r="E37" s="16">
        <v>66650</v>
      </c>
      <c r="F37" s="41">
        <f t="shared" si="5"/>
        <v>566650</v>
      </c>
      <c r="G37" s="240">
        <v>50</v>
      </c>
      <c r="H37" s="203">
        <v>11333</v>
      </c>
      <c r="I37" s="250">
        <v>2</v>
      </c>
      <c r="J37" s="97">
        <f t="shared" si="1"/>
        <v>48</v>
      </c>
      <c r="K37" s="91">
        <f t="shared" si="6"/>
        <v>22666</v>
      </c>
      <c r="L37" s="94">
        <f t="shared" si="3"/>
        <v>543984</v>
      </c>
      <c r="M37" s="214"/>
    </row>
    <row r="38" spans="1:14" s="114" customFormat="1">
      <c r="A38" s="96">
        <v>33</v>
      </c>
      <c r="B38" s="96" t="s">
        <v>572</v>
      </c>
      <c r="C38" s="2" t="s">
        <v>841</v>
      </c>
      <c r="D38" s="12">
        <v>150000</v>
      </c>
      <c r="E38" s="12">
        <v>19995</v>
      </c>
      <c r="F38" s="15">
        <f t="shared" si="5"/>
        <v>169995</v>
      </c>
      <c r="G38" s="246">
        <v>50</v>
      </c>
      <c r="H38" s="209">
        <v>3399.9</v>
      </c>
      <c r="I38" s="248">
        <v>35</v>
      </c>
      <c r="J38" s="97">
        <f t="shared" ref="J38:J69" si="7">G38-I38</f>
        <v>15</v>
      </c>
      <c r="K38" s="91">
        <f t="shared" si="6"/>
        <v>118996.5</v>
      </c>
      <c r="L38" s="15">
        <f t="shared" ref="L38:L69" si="8">F38-K38</f>
        <v>50998.5</v>
      </c>
      <c r="M38" s="8"/>
      <c r="N38" s="180" t="e">
        <f>#REF!-H38</f>
        <v>#REF!</v>
      </c>
    </row>
    <row r="39" spans="1:14" s="114" customFormat="1">
      <c r="A39" s="96">
        <v>34</v>
      </c>
      <c r="B39" s="241" t="s">
        <v>626</v>
      </c>
      <c r="C39" s="4" t="s">
        <v>831</v>
      </c>
      <c r="D39" s="16">
        <v>330000</v>
      </c>
      <c r="E39" s="16">
        <v>43989</v>
      </c>
      <c r="F39" s="41">
        <f t="shared" si="5"/>
        <v>373989</v>
      </c>
      <c r="G39" s="240">
        <v>50</v>
      </c>
      <c r="H39" s="209">
        <v>7479.78</v>
      </c>
      <c r="I39" s="249">
        <v>30</v>
      </c>
      <c r="J39" s="97">
        <f t="shared" si="7"/>
        <v>20</v>
      </c>
      <c r="K39" s="91">
        <f t="shared" si="6"/>
        <v>224393.4</v>
      </c>
      <c r="L39" s="94">
        <f t="shared" si="8"/>
        <v>149595.6</v>
      </c>
      <c r="M39" s="11"/>
      <c r="N39" s="180" t="e">
        <f>#REF!-H39</f>
        <v>#REF!</v>
      </c>
    </row>
    <row r="40" spans="1:14" s="114" customFormat="1">
      <c r="A40" s="96">
        <v>35</v>
      </c>
      <c r="B40" s="241" t="s">
        <v>730</v>
      </c>
      <c r="C40" s="4" t="s">
        <v>802</v>
      </c>
      <c r="D40" s="16">
        <v>500000</v>
      </c>
      <c r="E40" s="16">
        <v>66650</v>
      </c>
      <c r="F40" s="41">
        <f t="shared" si="5"/>
        <v>566650</v>
      </c>
      <c r="G40" s="240">
        <v>50</v>
      </c>
      <c r="H40" s="209">
        <v>11333</v>
      </c>
      <c r="I40" s="250">
        <v>6</v>
      </c>
      <c r="J40" s="188">
        <f t="shared" si="7"/>
        <v>44</v>
      </c>
      <c r="K40" s="91">
        <f t="shared" si="6"/>
        <v>67998</v>
      </c>
      <c r="L40" s="94">
        <f t="shared" si="8"/>
        <v>498652</v>
      </c>
      <c r="M40" s="122"/>
      <c r="N40" s="180" t="e">
        <f>#REF!-H40</f>
        <v>#REF!</v>
      </c>
    </row>
    <row r="41" spans="1:14" s="114" customFormat="1">
      <c r="A41" s="96">
        <v>36</v>
      </c>
      <c r="B41" s="241" t="s">
        <v>526</v>
      </c>
      <c r="C41" s="4" t="s">
        <v>823</v>
      </c>
      <c r="D41" s="16">
        <v>330000</v>
      </c>
      <c r="E41" s="16">
        <v>43989</v>
      </c>
      <c r="F41" s="41">
        <f t="shared" si="5"/>
        <v>373989</v>
      </c>
      <c r="G41" s="240">
        <v>50</v>
      </c>
      <c r="H41" s="203">
        <v>7479.78</v>
      </c>
      <c r="I41" s="249">
        <v>30</v>
      </c>
      <c r="J41" s="97">
        <f t="shared" si="7"/>
        <v>20</v>
      </c>
      <c r="K41" s="91">
        <f t="shared" si="6"/>
        <v>224393.4</v>
      </c>
      <c r="L41" s="94">
        <f t="shared" si="8"/>
        <v>149595.6</v>
      </c>
      <c r="M41" s="11"/>
      <c r="N41" s="180" t="e">
        <f>#REF!-H41</f>
        <v>#REF!</v>
      </c>
    </row>
    <row r="42" spans="1:14" s="114" customFormat="1">
      <c r="A42" s="96">
        <v>37</v>
      </c>
      <c r="B42" s="241" t="s">
        <v>511</v>
      </c>
      <c r="C42" s="166" t="s">
        <v>837</v>
      </c>
      <c r="D42" s="41">
        <v>200000</v>
      </c>
      <c r="E42" s="41">
        <v>26660</v>
      </c>
      <c r="F42" s="41">
        <f t="shared" si="5"/>
        <v>226660</v>
      </c>
      <c r="G42" s="240">
        <v>40</v>
      </c>
      <c r="H42" s="203">
        <v>7479</v>
      </c>
      <c r="I42" s="249">
        <v>15</v>
      </c>
      <c r="J42" s="97">
        <f t="shared" si="7"/>
        <v>25</v>
      </c>
      <c r="K42" s="91">
        <f t="shared" si="6"/>
        <v>112185</v>
      </c>
      <c r="L42" s="94">
        <f t="shared" si="8"/>
        <v>114475</v>
      </c>
      <c r="M42" s="11"/>
      <c r="N42" s="180" t="e">
        <f>#REF!-H42</f>
        <v>#REF!</v>
      </c>
    </row>
    <row r="43" spans="1:14" s="114" customFormat="1">
      <c r="A43" s="96">
        <v>38</v>
      </c>
      <c r="B43" s="243" t="s">
        <v>609</v>
      </c>
      <c r="C43" s="199" t="s">
        <v>769</v>
      </c>
      <c r="D43" s="16">
        <v>500000</v>
      </c>
      <c r="E43" s="16">
        <v>66650</v>
      </c>
      <c r="F43" s="41">
        <f t="shared" si="5"/>
        <v>566650</v>
      </c>
      <c r="G43" s="240">
        <v>50</v>
      </c>
      <c r="H43" s="209">
        <v>11333</v>
      </c>
      <c r="I43" s="249">
        <v>29</v>
      </c>
      <c r="J43" s="97">
        <f t="shared" si="7"/>
        <v>21</v>
      </c>
      <c r="K43" s="91">
        <f t="shared" si="6"/>
        <v>328657</v>
      </c>
      <c r="L43" s="94">
        <f t="shared" si="8"/>
        <v>237993</v>
      </c>
      <c r="M43" s="11"/>
      <c r="N43" s="180" t="e">
        <f>#REF!-H43</f>
        <v>#REF!</v>
      </c>
    </row>
    <row r="44" spans="1:14" s="114" customFormat="1">
      <c r="A44" s="96">
        <v>39</v>
      </c>
      <c r="B44" s="241" t="s">
        <v>682</v>
      </c>
      <c r="C44" s="4" t="s">
        <v>786</v>
      </c>
      <c r="D44" s="16">
        <v>500000</v>
      </c>
      <c r="E44" s="16">
        <v>66650</v>
      </c>
      <c r="F44" s="41">
        <f t="shared" si="5"/>
        <v>566650</v>
      </c>
      <c r="G44" s="240">
        <v>50</v>
      </c>
      <c r="H44" s="209">
        <v>11333</v>
      </c>
      <c r="I44" s="249">
        <v>30</v>
      </c>
      <c r="J44" s="97">
        <f t="shared" si="7"/>
        <v>20</v>
      </c>
      <c r="K44" s="91">
        <f t="shared" si="6"/>
        <v>339990</v>
      </c>
      <c r="L44" s="94">
        <f t="shared" si="8"/>
        <v>226660</v>
      </c>
      <c r="M44" s="11"/>
      <c r="N44" s="180" t="e">
        <f>#REF!-H44</f>
        <v>#REF!</v>
      </c>
    </row>
    <row r="45" spans="1:14" s="114" customFormat="1">
      <c r="A45" s="96">
        <v>40</v>
      </c>
      <c r="B45" s="241" t="s">
        <v>542</v>
      </c>
      <c r="C45" s="4" t="s">
        <v>753</v>
      </c>
      <c r="D45" s="16">
        <v>500000</v>
      </c>
      <c r="E45" s="16">
        <v>66650</v>
      </c>
      <c r="F45" s="41">
        <f t="shared" si="5"/>
        <v>566650</v>
      </c>
      <c r="G45" s="240">
        <v>50</v>
      </c>
      <c r="H45" s="209">
        <v>11333</v>
      </c>
      <c r="I45" s="249">
        <v>29</v>
      </c>
      <c r="J45" s="97">
        <f t="shared" si="7"/>
        <v>21</v>
      </c>
      <c r="K45" s="91">
        <f t="shared" si="6"/>
        <v>328657</v>
      </c>
      <c r="L45" s="94">
        <f t="shared" si="8"/>
        <v>237993</v>
      </c>
      <c r="M45" s="11"/>
      <c r="N45" s="180"/>
    </row>
    <row r="46" spans="1:14" s="114" customFormat="1">
      <c r="A46" s="96">
        <v>41</v>
      </c>
      <c r="B46" s="96" t="s">
        <v>657</v>
      </c>
      <c r="C46" s="2" t="s">
        <v>782</v>
      </c>
      <c r="D46" s="12">
        <v>500000</v>
      </c>
      <c r="E46" s="12">
        <v>66650</v>
      </c>
      <c r="F46" s="15">
        <f t="shared" si="5"/>
        <v>566650</v>
      </c>
      <c r="G46" s="246">
        <v>50</v>
      </c>
      <c r="H46" s="203">
        <v>11333</v>
      </c>
      <c r="I46" s="248">
        <v>35</v>
      </c>
      <c r="J46" s="97">
        <f t="shared" si="7"/>
        <v>15</v>
      </c>
      <c r="K46" s="91">
        <f t="shared" si="6"/>
        <v>396655</v>
      </c>
      <c r="L46" s="15">
        <f t="shared" si="8"/>
        <v>169995</v>
      </c>
      <c r="M46" s="8"/>
      <c r="N46" s="180" t="e">
        <f>#REF!-H46</f>
        <v>#REF!</v>
      </c>
    </row>
    <row r="47" spans="1:14" s="114" customFormat="1">
      <c r="A47" s="96">
        <v>42</v>
      </c>
      <c r="B47" s="241" t="s">
        <v>694</v>
      </c>
      <c r="C47" s="4" t="s">
        <v>836</v>
      </c>
      <c r="D47" s="16">
        <v>330000</v>
      </c>
      <c r="E47" s="16">
        <v>43989</v>
      </c>
      <c r="F47" s="41">
        <f t="shared" si="5"/>
        <v>373989</v>
      </c>
      <c r="G47" s="240">
        <v>50</v>
      </c>
      <c r="H47" s="209">
        <v>7479.78</v>
      </c>
      <c r="I47" s="249">
        <v>51</v>
      </c>
      <c r="J47" s="97">
        <f t="shared" si="7"/>
        <v>-1</v>
      </c>
      <c r="K47" s="91">
        <f t="shared" si="6"/>
        <v>381468.77999999997</v>
      </c>
      <c r="L47" s="94">
        <f t="shared" si="8"/>
        <v>-7479.7799999999697</v>
      </c>
      <c r="M47" s="11"/>
      <c r="N47" s="180" t="e">
        <f>#REF!-H47</f>
        <v>#REF!</v>
      </c>
    </row>
    <row r="48" spans="1:14" s="114" customFormat="1">
      <c r="A48" s="96">
        <v>43</v>
      </c>
      <c r="B48" s="241" t="s">
        <v>520</v>
      </c>
      <c r="C48" s="4" t="s">
        <v>805</v>
      </c>
      <c r="D48" s="19">
        <v>450000</v>
      </c>
      <c r="E48" s="19">
        <v>59985</v>
      </c>
      <c r="F48" s="19">
        <v>509985</v>
      </c>
      <c r="G48" s="240">
        <v>50</v>
      </c>
      <c r="H48" s="161">
        <v>10199.700000000001</v>
      </c>
      <c r="I48" s="249">
        <v>41</v>
      </c>
      <c r="J48" s="97">
        <f t="shared" si="7"/>
        <v>9</v>
      </c>
      <c r="K48" s="91">
        <f t="shared" si="6"/>
        <v>418187.7</v>
      </c>
      <c r="L48" s="94">
        <f t="shared" si="8"/>
        <v>91797.299999999988</v>
      </c>
      <c r="M48" s="11"/>
      <c r="N48" s="180" t="e">
        <f>#REF!-H48</f>
        <v>#REF!</v>
      </c>
    </row>
    <row r="49" spans="1:14" s="114" customFormat="1">
      <c r="A49" s="96">
        <v>44</v>
      </c>
      <c r="B49" s="241" t="s">
        <v>715</v>
      </c>
      <c r="C49" s="4" t="s">
        <v>819</v>
      </c>
      <c r="D49" s="19">
        <v>450000</v>
      </c>
      <c r="E49" s="19">
        <v>59985</v>
      </c>
      <c r="F49" s="19">
        <v>509985</v>
      </c>
      <c r="G49" s="240">
        <v>50</v>
      </c>
      <c r="H49" s="209">
        <v>10199.700000000001</v>
      </c>
      <c r="I49" s="251">
        <v>4</v>
      </c>
      <c r="J49" s="97">
        <f t="shared" si="7"/>
        <v>46</v>
      </c>
      <c r="K49" s="91">
        <f t="shared" si="6"/>
        <v>40798.800000000003</v>
      </c>
      <c r="L49" s="94">
        <f t="shared" si="8"/>
        <v>469186.2</v>
      </c>
      <c r="M49" s="218"/>
      <c r="N49" s="180" t="e">
        <f>#REF!-H49</f>
        <v>#REF!</v>
      </c>
    </row>
    <row r="50" spans="1:14" s="114" customFormat="1">
      <c r="A50" s="96">
        <v>45</v>
      </c>
      <c r="B50" s="241" t="s">
        <v>700</v>
      </c>
      <c r="C50" s="4" t="s">
        <v>793</v>
      </c>
      <c r="D50" s="16">
        <v>500000</v>
      </c>
      <c r="E50" s="16">
        <v>66650</v>
      </c>
      <c r="F50" s="41">
        <f>SUM(D50:E50)</f>
        <v>566650</v>
      </c>
      <c r="G50" s="240">
        <v>50</v>
      </c>
      <c r="H50" s="209">
        <v>11333</v>
      </c>
      <c r="I50" s="249">
        <v>51</v>
      </c>
      <c r="J50" s="97">
        <f t="shared" si="7"/>
        <v>-1</v>
      </c>
      <c r="K50" s="91">
        <f t="shared" si="6"/>
        <v>577983</v>
      </c>
      <c r="L50" s="94">
        <f t="shared" si="8"/>
        <v>-11333</v>
      </c>
      <c r="M50" s="11"/>
      <c r="N50" s="180" t="e">
        <f>#REF!-H50</f>
        <v>#REF!</v>
      </c>
    </row>
    <row r="51" spans="1:14" s="114" customFormat="1">
      <c r="A51" s="96">
        <v>46</v>
      </c>
      <c r="B51" s="96" t="s">
        <v>724</v>
      </c>
      <c r="C51" s="2" t="s">
        <v>800</v>
      </c>
      <c r="D51" s="19">
        <v>500000</v>
      </c>
      <c r="E51" s="19">
        <v>66650</v>
      </c>
      <c r="F51" s="19">
        <v>566650</v>
      </c>
      <c r="G51" s="240">
        <v>50</v>
      </c>
      <c r="H51" s="209">
        <v>11333</v>
      </c>
      <c r="I51" s="249">
        <v>15</v>
      </c>
      <c r="J51" s="97">
        <f t="shared" si="7"/>
        <v>35</v>
      </c>
      <c r="K51" s="91">
        <f t="shared" si="6"/>
        <v>169995</v>
      </c>
      <c r="L51" s="91">
        <f t="shared" si="8"/>
        <v>396655</v>
      </c>
      <c r="M51" s="122"/>
      <c r="N51" s="180" t="e">
        <f>#REF!-H51</f>
        <v>#REF!</v>
      </c>
    </row>
    <row r="52" spans="1:14" s="114" customFormat="1">
      <c r="A52" s="96">
        <v>47</v>
      </c>
      <c r="B52" s="241" t="s">
        <v>624</v>
      </c>
      <c r="C52" s="4" t="s">
        <v>843</v>
      </c>
      <c r="D52" s="16">
        <v>150000</v>
      </c>
      <c r="E52" s="16">
        <v>19995</v>
      </c>
      <c r="F52" s="41">
        <f>SUM(D52:E52)</f>
        <v>169995</v>
      </c>
      <c r="G52" s="240">
        <v>50</v>
      </c>
      <c r="H52" s="209">
        <v>3399.9</v>
      </c>
      <c r="I52" s="249">
        <v>39</v>
      </c>
      <c r="J52" s="97">
        <f t="shared" si="7"/>
        <v>11</v>
      </c>
      <c r="K52" s="91">
        <f t="shared" si="6"/>
        <v>132596.1</v>
      </c>
      <c r="L52" s="94">
        <f t="shared" si="8"/>
        <v>37398.899999999994</v>
      </c>
      <c r="M52" s="11"/>
      <c r="N52" s="180" t="e">
        <f>#REF!-H52</f>
        <v>#REF!</v>
      </c>
    </row>
    <row r="53" spans="1:14" s="114" customFormat="1">
      <c r="A53" s="96">
        <v>48</v>
      </c>
      <c r="B53" s="241" t="s">
        <v>592</v>
      </c>
      <c r="C53" s="4" t="s">
        <v>735</v>
      </c>
      <c r="D53" s="16">
        <v>500000</v>
      </c>
      <c r="E53" s="16">
        <v>53320</v>
      </c>
      <c r="F53" s="41">
        <f>SUM(D53:E53)</f>
        <v>553320</v>
      </c>
      <c r="G53" s="240">
        <v>40</v>
      </c>
      <c r="H53" s="209">
        <v>13833</v>
      </c>
      <c r="I53" s="249">
        <v>51</v>
      </c>
      <c r="J53" s="97">
        <f t="shared" si="7"/>
        <v>-11</v>
      </c>
      <c r="K53" s="91">
        <f t="shared" si="6"/>
        <v>705483</v>
      </c>
      <c r="L53" s="94">
        <f t="shared" si="8"/>
        <v>-152163</v>
      </c>
      <c r="M53" s="11"/>
      <c r="N53" s="180" t="e">
        <f>#REF!-H53</f>
        <v>#REF!</v>
      </c>
    </row>
    <row r="54" spans="1:14" s="114" customFormat="1">
      <c r="A54" s="96">
        <v>49</v>
      </c>
      <c r="B54" s="241" t="s">
        <v>619</v>
      </c>
      <c r="C54" s="4" t="s">
        <v>772</v>
      </c>
      <c r="D54" s="16">
        <v>500000</v>
      </c>
      <c r="E54" s="16">
        <v>66650</v>
      </c>
      <c r="F54" s="16">
        <v>566650</v>
      </c>
      <c r="G54" s="240">
        <v>50</v>
      </c>
      <c r="H54" s="209">
        <v>11333</v>
      </c>
      <c r="I54" s="249">
        <v>30</v>
      </c>
      <c r="J54" s="97">
        <f t="shared" si="7"/>
        <v>20</v>
      </c>
      <c r="K54" s="91">
        <f t="shared" si="6"/>
        <v>339990</v>
      </c>
      <c r="L54" s="94">
        <f t="shared" si="8"/>
        <v>226660</v>
      </c>
      <c r="M54" s="11"/>
      <c r="N54" s="180" t="e">
        <f>#REF!-H54</f>
        <v>#REF!</v>
      </c>
    </row>
    <row r="55" spans="1:14" s="114" customFormat="1">
      <c r="A55" s="96">
        <v>50</v>
      </c>
      <c r="B55" s="241" t="s">
        <v>664</v>
      </c>
      <c r="C55" s="46" t="s">
        <v>834</v>
      </c>
      <c r="D55" s="19">
        <v>330000</v>
      </c>
      <c r="E55" s="19">
        <v>43989</v>
      </c>
      <c r="F55" s="19">
        <f>SUM(D55:E55)</f>
        <v>373989</v>
      </c>
      <c r="G55" s="240">
        <v>50</v>
      </c>
      <c r="H55" s="253">
        <v>7479.78</v>
      </c>
      <c r="I55" s="251">
        <v>4</v>
      </c>
      <c r="J55" s="97">
        <f t="shared" si="7"/>
        <v>46</v>
      </c>
      <c r="K55" s="91">
        <f t="shared" si="6"/>
        <v>29919.119999999999</v>
      </c>
      <c r="L55" s="94">
        <f t="shared" si="8"/>
        <v>344069.88</v>
      </c>
      <c r="M55" s="218"/>
      <c r="N55" s="180" t="e">
        <f>#REF!-H55</f>
        <v>#REF!</v>
      </c>
    </row>
    <row r="56" spans="1:14" s="114" customFormat="1">
      <c r="A56" s="96">
        <v>51</v>
      </c>
      <c r="B56" s="241" t="s">
        <v>516</v>
      </c>
      <c r="C56" s="4" t="s">
        <v>744</v>
      </c>
      <c r="D56" s="16">
        <v>500000</v>
      </c>
      <c r="E56" s="16">
        <v>66650</v>
      </c>
      <c r="F56" s="41">
        <f>SUM(D56:E56)</f>
        <v>566650</v>
      </c>
      <c r="G56" s="240">
        <v>50</v>
      </c>
      <c r="H56" s="164">
        <v>11333</v>
      </c>
      <c r="I56" s="249">
        <v>30</v>
      </c>
      <c r="J56" s="97">
        <f t="shared" si="7"/>
        <v>20</v>
      </c>
      <c r="K56" s="91">
        <f t="shared" si="6"/>
        <v>339990</v>
      </c>
      <c r="L56" s="94">
        <f t="shared" si="8"/>
        <v>226660</v>
      </c>
      <c r="M56" s="11"/>
      <c r="N56" s="180" t="e">
        <f>#REF!-H56</f>
        <v>#REF!</v>
      </c>
    </row>
    <row r="57" spans="1:14" s="114" customFormat="1">
      <c r="A57" s="96">
        <v>52</v>
      </c>
      <c r="B57" s="241" t="s">
        <v>688</v>
      </c>
      <c r="C57" s="4" t="s">
        <v>789</v>
      </c>
      <c r="D57" s="16">
        <v>500000</v>
      </c>
      <c r="E57" s="16">
        <v>66650</v>
      </c>
      <c r="F57" s="41">
        <f>SUM(D57:E57)</f>
        <v>566650</v>
      </c>
      <c r="G57" s="240">
        <v>50</v>
      </c>
      <c r="H57" s="209">
        <v>11333</v>
      </c>
      <c r="I57" s="249">
        <v>35</v>
      </c>
      <c r="J57" s="97">
        <f t="shared" si="7"/>
        <v>15</v>
      </c>
      <c r="K57" s="91">
        <f t="shared" si="6"/>
        <v>396655</v>
      </c>
      <c r="L57" s="94">
        <f t="shared" si="8"/>
        <v>169995</v>
      </c>
      <c r="M57" s="11"/>
      <c r="N57" s="180" t="e">
        <f>#REF!-H57</f>
        <v>#REF!</v>
      </c>
    </row>
    <row r="58" spans="1:14" s="114" customFormat="1">
      <c r="A58" s="96">
        <v>53</v>
      </c>
      <c r="B58" s="241" t="s">
        <v>635</v>
      </c>
      <c r="C58" s="4" t="s">
        <v>775</v>
      </c>
      <c r="D58" s="16">
        <v>500000</v>
      </c>
      <c r="E58" s="16">
        <v>66650</v>
      </c>
      <c r="F58" s="41">
        <f>SUM(D58:E58)</f>
        <v>566650</v>
      </c>
      <c r="G58" s="240">
        <v>50</v>
      </c>
      <c r="H58" s="209">
        <v>11333</v>
      </c>
      <c r="I58" s="249">
        <v>51</v>
      </c>
      <c r="J58" s="97">
        <f t="shared" si="7"/>
        <v>-1</v>
      </c>
      <c r="K58" s="91">
        <f t="shared" si="6"/>
        <v>577983</v>
      </c>
      <c r="L58" s="94">
        <f t="shared" si="8"/>
        <v>-11333</v>
      </c>
      <c r="M58" s="11"/>
      <c r="N58" s="180" t="e">
        <f>#REF!-H58</f>
        <v>#REF!</v>
      </c>
    </row>
    <row r="59" spans="1:14" s="114" customFormat="1">
      <c r="A59" s="96">
        <v>54</v>
      </c>
      <c r="B59" s="241" t="s">
        <v>717</v>
      </c>
      <c r="C59" s="4" t="s">
        <v>820</v>
      </c>
      <c r="D59" s="16">
        <v>450000</v>
      </c>
      <c r="E59" s="16">
        <v>59985</v>
      </c>
      <c r="F59" s="16">
        <v>509985</v>
      </c>
      <c r="G59" s="240">
        <v>50</v>
      </c>
      <c r="H59" s="209">
        <v>10199.700000000001</v>
      </c>
      <c r="I59" s="249">
        <v>18</v>
      </c>
      <c r="J59" s="97">
        <f t="shared" si="7"/>
        <v>32</v>
      </c>
      <c r="K59" s="91">
        <f t="shared" si="6"/>
        <v>183594.6</v>
      </c>
      <c r="L59" s="94">
        <f t="shared" si="8"/>
        <v>326390.40000000002</v>
      </c>
      <c r="M59" s="11"/>
      <c r="N59" s="180" t="e">
        <f>#REF!-H59</f>
        <v>#REF!</v>
      </c>
    </row>
    <row r="60" spans="1:14" s="114" customFormat="1">
      <c r="A60" s="96">
        <v>55</v>
      </c>
      <c r="B60" s="96" t="s">
        <v>637</v>
      </c>
      <c r="C60" s="23" t="s">
        <v>776</v>
      </c>
      <c r="D60" s="16">
        <v>500000</v>
      </c>
      <c r="E60" s="16">
        <v>66650</v>
      </c>
      <c r="F60" s="41">
        <f>SUM(D60:E60)</f>
        <v>566650</v>
      </c>
      <c r="G60" s="240">
        <v>50</v>
      </c>
      <c r="H60" s="209">
        <v>11333</v>
      </c>
      <c r="I60" s="249">
        <v>51</v>
      </c>
      <c r="J60" s="97">
        <f t="shared" si="7"/>
        <v>-1</v>
      </c>
      <c r="K60" s="91">
        <f t="shared" si="6"/>
        <v>577983</v>
      </c>
      <c r="L60" s="94">
        <f t="shared" si="8"/>
        <v>-11333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579</v>
      </c>
      <c r="C61" s="2" t="s">
        <v>301</v>
      </c>
      <c r="D61" s="16">
        <v>500000</v>
      </c>
      <c r="E61" s="16">
        <v>33325</v>
      </c>
      <c r="F61" s="41">
        <f>SUM(D61:E61)</f>
        <v>533325</v>
      </c>
      <c r="G61" s="240">
        <v>25</v>
      </c>
      <c r="H61" s="209">
        <v>21333</v>
      </c>
      <c r="I61" s="249">
        <v>20</v>
      </c>
      <c r="J61" s="97">
        <f t="shared" si="7"/>
        <v>5</v>
      </c>
      <c r="K61" s="91">
        <f t="shared" si="6"/>
        <v>426660</v>
      </c>
      <c r="L61" s="94">
        <f t="shared" si="8"/>
        <v>106665</v>
      </c>
      <c r="M61" s="11"/>
      <c r="N61" s="180" t="e">
        <f>#REF!-H61</f>
        <v>#REF!</v>
      </c>
    </row>
    <row r="62" spans="1:14" s="114" customFormat="1">
      <c r="A62" s="96">
        <v>57</v>
      </c>
      <c r="B62" s="241" t="s">
        <v>698</v>
      </c>
      <c r="C62" s="4" t="s">
        <v>792</v>
      </c>
      <c r="D62" s="19">
        <v>500000</v>
      </c>
      <c r="E62" s="19">
        <v>66650</v>
      </c>
      <c r="F62" s="19">
        <v>566650</v>
      </c>
      <c r="G62" s="240">
        <v>50</v>
      </c>
      <c r="H62" s="209">
        <v>11333</v>
      </c>
      <c r="I62" s="249">
        <v>16</v>
      </c>
      <c r="J62" s="97">
        <f t="shared" si="7"/>
        <v>34</v>
      </c>
      <c r="K62" s="91">
        <f t="shared" si="6"/>
        <v>181328</v>
      </c>
      <c r="L62" s="91">
        <f t="shared" si="8"/>
        <v>385322</v>
      </c>
      <c r="M62" s="11"/>
      <c r="N62" s="180" t="e">
        <f>#REF!-H62</f>
        <v>#REF!</v>
      </c>
    </row>
    <row r="63" spans="1:14" s="114" customFormat="1">
      <c r="A63" s="96">
        <v>58</v>
      </c>
      <c r="B63" s="241" t="s">
        <v>702</v>
      </c>
      <c r="C63" s="4" t="s">
        <v>817</v>
      </c>
      <c r="D63" s="16">
        <v>450000</v>
      </c>
      <c r="E63" s="16">
        <v>59985</v>
      </c>
      <c r="F63" s="16">
        <v>509985</v>
      </c>
      <c r="G63" s="240">
        <v>50</v>
      </c>
      <c r="H63" s="209">
        <v>10199.700000000001</v>
      </c>
      <c r="I63" s="249">
        <v>15</v>
      </c>
      <c r="J63" s="97">
        <f t="shared" si="7"/>
        <v>35</v>
      </c>
      <c r="K63" s="91">
        <f t="shared" si="6"/>
        <v>152995.5</v>
      </c>
      <c r="L63" s="91">
        <f t="shared" si="8"/>
        <v>356989.5</v>
      </c>
      <c r="M63" s="122"/>
      <c r="N63" s="180" t="e">
        <f>#REF!-H63</f>
        <v>#REF!</v>
      </c>
    </row>
    <row r="64" spans="1:14" s="114" customFormat="1">
      <c r="A64" s="96">
        <v>59</v>
      </c>
      <c r="B64" s="241" t="s">
        <v>676</v>
      </c>
      <c r="C64" s="4" t="s">
        <v>845</v>
      </c>
      <c r="D64" s="155">
        <v>150000</v>
      </c>
      <c r="E64" s="155">
        <v>19995</v>
      </c>
      <c r="F64" s="155">
        <f>SUM(D64:E64)</f>
        <v>169995</v>
      </c>
      <c r="G64" s="240">
        <v>50</v>
      </c>
      <c r="H64" s="209">
        <v>3399.9</v>
      </c>
      <c r="I64" s="249">
        <v>16</v>
      </c>
      <c r="J64" s="97">
        <f t="shared" si="7"/>
        <v>34</v>
      </c>
      <c r="K64" s="91">
        <f t="shared" si="6"/>
        <v>54398.400000000001</v>
      </c>
      <c r="L64" s="91">
        <f t="shared" si="8"/>
        <v>115596.6</v>
      </c>
      <c r="M64" s="122"/>
      <c r="N64" s="180" t="e">
        <f>#REF!-H64</f>
        <v>#REF!</v>
      </c>
    </row>
    <row r="65" spans="1:14" s="114" customFormat="1">
      <c r="A65" s="96">
        <v>60</v>
      </c>
      <c r="B65" s="241" t="s">
        <v>644</v>
      </c>
      <c r="C65" s="4" t="s">
        <v>813</v>
      </c>
      <c r="D65" s="12">
        <v>450000</v>
      </c>
      <c r="E65" s="12">
        <v>59985</v>
      </c>
      <c r="F65" s="15">
        <f>SUM(D65:E65)</f>
        <v>509985</v>
      </c>
      <c r="G65" s="246">
        <v>50</v>
      </c>
      <c r="H65" s="203">
        <v>10199.700000000001</v>
      </c>
      <c r="I65" s="248">
        <v>33</v>
      </c>
      <c r="J65" s="97">
        <f t="shared" si="7"/>
        <v>17</v>
      </c>
      <c r="K65" s="91">
        <f t="shared" si="6"/>
        <v>336590.10000000003</v>
      </c>
      <c r="L65" s="15">
        <f t="shared" si="8"/>
        <v>173394.89999999997</v>
      </c>
      <c r="M65" s="8"/>
      <c r="N65" s="180" t="e">
        <f>#REF!-H65</f>
        <v>#REF!</v>
      </c>
    </row>
    <row r="66" spans="1:14" s="114" customFormat="1">
      <c r="A66" s="96">
        <v>61</v>
      </c>
      <c r="B66" s="241" t="s">
        <v>621</v>
      </c>
      <c r="C66" s="4" t="s">
        <v>773</v>
      </c>
      <c r="D66" s="16">
        <v>500000</v>
      </c>
      <c r="E66" s="16">
        <v>66650</v>
      </c>
      <c r="F66" s="41">
        <f>SUM(D66:E66)</f>
        <v>566650</v>
      </c>
      <c r="G66" s="240">
        <v>50</v>
      </c>
      <c r="H66" s="209">
        <v>11333</v>
      </c>
      <c r="I66" s="249">
        <v>39</v>
      </c>
      <c r="J66" s="97">
        <f t="shared" si="7"/>
        <v>11</v>
      </c>
      <c r="K66" s="91">
        <f t="shared" si="6"/>
        <v>441987</v>
      </c>
      <c r="L66" s="94">
        <f t="shared" si="8"/>
        <v>124663</v>
      </c>
      <c r="M66" s="11"/>
      <c r="N66" s="180" t="e">
        <f>#REF!-H66</f>
        <v>#REF!</v>
      </c>
    </row>
    <row r="67" spans="1:14" s="114" customFormat="1">
      <c r="A67" s="96">
        <v>62</v>
      </c>
      <c r="B67" s="241" t="s">
        <v>604</v>
      </c>
      <c r="C67" s="4" t="s">
        <v>768</v>
      </c>
      <c r="D67" s="16">
        <v>500000</v>
      </c>
      <c r="E67" s="16">
        <v>66650</v>
      </c>
      <c r="F67" s="41">
        <f>SUM(D67:E67)</f>
        <v>566650</v>
      </c>
      <c r="G67" s="240">
        <v>50</v>
      </c>
      <c r="H67" s="209">
        <v>11333</v>
      </c>
      <c r="I67" s="249">
        <v>51</v>
      </c>
      <c r="J67" s="97">
        <f t="shared" si="7"/>
        <v>-1</v>
      </c>
      <c r="K67" s="91">
        <f t="shared" si="6"/>
        <v>577983</v>
      </c>
      <c r="L67" s="94">
        <f t="shared" si="8"/>
        <v>-11333</v>
      </c>
      <c r="M67" s="11"/>
      <c r="N67" s="180" t="e">
        <f>#REF!-H67</f>
        <v>#REF!</v>
      </c>
    </row>
    <row r="68" spans="1:14" s="114" customFormat="1">
      <c r="A68" s="96">
        <v>63</v>
      </c>
      <c r="B68" s="241" t="s">
        <v>503</v>
      </c>
      <c r="C68" s="46" t="s">
        <v>840</v>
      </c>
      <c r="D68" s="16">
        <v>150000</v>
      </c>
      <c r="E68" s="16">
        <v>19995</v>
      </c>
      <c r="F68" s="41">
        <f>SUM(D68:E68)</f>
        <v>169995</v>
      </c>
      <c r="G68" s="240">
        <v>50</v>
      </c>
      <c r="H68" s="209">
        <v>3399.9</v>
      </c>
      <c r="I68" s="249">
        <v>39</v>
      </c>
      <c r="J68" s="97">
        <f t="shared" si="7"/>
        <v>11</v>
      </c>
      <c r="K68" s="91">
        <f t="shared" ref="K68:K93" si="9">I68*H68</f>
        <v>132596.1</v>
      </c>
      <c r="L68" s="94">
        <f t="shared" si="8"/>
        <v>37398.899999999994</v>
      </c>
      <c r="M68" s="11"/>
      <c r="N68" s="180" t="e">
        <f>#REF!-H68</f>
        <v>#REF!</v>
      </c>
    </row>
    <row r="69" spans="1:14" s="114" customFormat="1">
      <c r="A69" s="96">
        <v>64</v>
      </c>
      <c r="B69" s="241" t="s">
        <v>522</v>
      </c>
      <c r="C69" s="4" t="s">
        <v>746</v>
      </c>
      <c r="D69" s="19">
        <v>500000</v>
      </c>
      <c r="E69" s="19">
        <v>66650</v>
      </c>
      <c r="F69" s="19">
        <v>566650</v>
      </c>
      <c r="G69" s="240">
        <v>50</v>
      </c>
      <c r="H69" s="209">
        <v>11333</v>
      </c>
      <c r="I69" s="249">
        <v>16</v>
      </c>
      <c r="J69" s="97">
        <f t="shared" si="7"/>
        <v>34</v>
      </c>
      <c r="K69" s="91">
        <f t="shared" si="9"/>
        <v>181328</v>
      </c>
      <c r="L69" s="91">
        <f t="shared" si="8"/>
        <v>385322</v>
      </c>
      <c r="M69" s="122"/>
      <c r="N69" s="180" t="e">
        <f>#REF!-H69</f>
        <v>#REF!</v>
      </c>
    </row>
    <row r="70" spans="1:14" s="114" customFormat="1">
      <c r="A70" s="96">
        <v>65</v>
      </c>
      <c r="B70" s="241" t="s">
        <v>666</v>
      </c>
      <c r="C70" s="166" t="s">
        <v>846</v>
      </c>
      <c r="D70" s="19">
        <v>150000</v>
      </c>
      <c r="E70" s="19">
        <v>19995</v>
      </c>
      <c r="F70" s="19">
        <f>SUM(D70:E70)</f>
        <v>169995</v>
      </c>
      <c r="G70" s="240">
        <v>50</v>
      </c>
      <c r="H70" s="209">
        <v>3339.9</v>
      </c>
      <c r="I70" s="250">
        <v>2</v>
      </c>
      <c r="J70" s="97">
        <f t="shared" ref="J70:J101" si="10">G70-I70</f>
        <v>48</v>
      </c>
      <c r="K70" s="91">
        <f t="shared" si="9"/>
        <v>6679.8</v>
      </c>
      <c r="L70" s="94">
        <f t="shared" ref="L70:L101" si="11">F70-K70</f>
        <v>163315.20000000001</v>
      </c>
      <c r="M70" s="214"/>
      <c r="N70" s="180" t="e">
        <f>#REF!-H70</f>
        <v>#REF!</v>
      </c>
    </row>
    <row r="71" spans="1:14" s="114" customFormat="1">
      <c r="A71" s="96">
        <v>66</v>
      </c>
      <c r="B71" s="241" t="s">
        <v>686</v>
      </c>
      <c r="C71" s="4" t="s">
        <v>788</v>
      </c>
      <c r="D71" s="16">
        <v>500000</v>
      </c>
      <c r="E71" s="16">
        <v>66650</v>
      </c>
      <c r="F71" s="41">
        <f>SUM(D71:E71)</f>
        <v>566650</v>
      </c>
      <c r="G71" s="240">
        <v>50</v>
      </c>
      <c r="H71" s="209">
        <v>11333</v>
      </c>
      <c r="I71" s="249">
        <v>29</v>
      </c>
      <c r="J71" s="97">
        <f t="shared" si="10"/>
        <v>21</v>
      </c>
      <c r="K71" s="91">
        <f t="shared" si="9"/>
        <v>328657</v>
      </c>
      <c r="L71" s="94">
        <f t="shared" si="11"/>
        <v>237993</v>
      </c>
      <c r="M71" s="11"/>
      <c r="N71" s="180" t="e">
        <f>#REF!-H71</f>
        <v>#REF!</v>
      </c>
    </row>
    <row r="72" spans="1:14" s="114" customFormat="1">
      <c r="A72" s="96">
        <v>67</v>
      </c>
      <c r="B72" s="241" t="s">
        <v>530</v>
      </c>
      <c r="C72" s="4" t="s">
        <v>748</v>
      </c>
      <c r="D72" s="16">
        <v>500000</v>
      </c>
      <c r="E72" s="16">
        <v>66650</v>
      </c>
      <c r="F72" s="16">
        <v>566650</v>
      </c>
      <c r="G72" s="240">
        <v>50</v>
      </c>
      <c r="H72" s="209">
        <v>11333</v>
      </c>
      <c r="I72" s="249">
        <v>29</v>
      </c>
      <c r="J72" s="97">
        <f t="shared" si="10"/>
        <v>21</v>
      </c>
      <c r="K72" s="91">
        <f t="shared" si="9"/>
        <v>328657</v>
      </c>
      <c r="L72" s="94">
        <f t="shared" si="11"/>
        <v>237993</v>
      </c>
      <c r="M72" s="11"/>
      <c r="N72" s="180" t="e">
        <f>#REF!-H72</f>
        <v>#REF!</v>
      </c>
    </row>
    <row r="73" spans="1:14" s="114" customFormat="1">
      <c r="A73" s="96">
        <v>68</v>
      </c>
      <c r="B73" s="241" t="s">
        <v>544</v>
      </c>
      <c r="C73" s="46" t="s">
        <v>807</v>
      </c>
      <c r="D73" s="16">
        <v>450000</v>
      </c>
      <c r="E73" s="16">
        <v>59985</v>
      </c>
      <c r="F73" s="16">
        <v>509985</v>
      </c>
      <c r="G73" s="240">
        <v>50</v>
      </c>
      <c r="H73" s="209">
        <v>10199.700000000001</v>
      </c>
      <c r="I73" s="249">
        <v>23</v>
      </c>
      <c r="J73" s="97">
        <f t="shared" si="10"/>
        <v>27</v>
      </c>
      <c r="K73" s="91">
        <f t="shared" si="9"/>
        <v>234593.1</v>
      </c>
      <c r="L73" s="94">
        <f t="shared" si="11"/>
        <v>275391.90000000002</v>
      </c>
      <c r="M73" s="122"/>
      <c r="N73" s="180" t="e">
        <f>#REF!-H73</f>
        <v>#REF!</v>
      </c>
    </row>
    <row r="74" spans="1:14" s="114" customFormat="1">
      <c r="A74" s="96">
        <v>69</v>
      </c>
      <c r="B74" s="241" t="s">
        <v>651</v>
      </c>
      <c r="C74" s="4" t="s">
        <v>814</v>
      </c>
      <c r="D74" s="16">
        <v>450000</v>
      </c>
      <c r="E74" s="16">
        <v>59985</v>
      </c>
      <c r="F74" s="41">
        <f>SUM(D74:E74)</f>
        <v>509985</v>
      </c>
      <c r="G74" s="240">
        <v>50</v>
      </c>
      <c r="H74" s="209">
        <v>10199.700000000001</v>
      </c>
      <c r="I74" s="249">
        <v>35</v>
      </c>
      <c r="J74" s="97">
        <f t="shared" si="10"/>
        <v>15</v>
      </c>
      <c r="K74" s="91">
        <f t="shared" si="9"/>
        <v>356989.5</v>
      </c>
      <c r="L74" s="94">
        <f t="shared" si="11"/>
        <v>152995.5</v>
      </c>
      <c r="M74" s="11"/>
      <c r="N74" s="180" t="e">
        <f>#REF!-H74</f>
        <v>#REF!</v>
      </c>
    </row>
    <row r="75" spans="1:14" s="114" customFormat="1">
      <c r="A75" s="96">
        <v>70</v>
      </c>
      <c r="B75" s="241" t="s">
        <v>555</v>
      </c>
      <c r="C75" s="4" t="s">
        <v>757</v>
      </c>
      <c r="D75" s="16">
        <v>500000</v>
      </c>
      <c r="E75" s="16">
        <v>66650</v>
      </c>
      <c r="F75" s="41">
        <f>SUM(D75:E75)</f>
        <v>566650</v>
      </c>
      <c r="G75" s="240">
        <v>50</v>
      </c>
      <c r="H75" s="209">
        <v>11333</v>
      </c>
      <c r="I75" s="249">
        <v>30</v>
      </c>
      <c r="J75" s="97">
        <f t="shared" si="10"/>
        <v>20</v>
      </c>
      <c r="K75" s="91">
        <f t="shared" si="9"/>
        <v>339990</v>
      </c>
      <c r="L75" s="94">
        <f t="shared" si="11"/>
        <v>226660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571</v>
      </c>
      <c r="C76" s="25" t="s">
        <v>760</v>
      </c>
      <c r="D76" s="16">
        <v>500000</v>
      </c>
      <c r="E76" s="16">
        <v>66650</v>
      </c>
      <c r="F76" s="41">
        <f>SUM(D76:E76)</f>
        <v>566650</v>
      </c>
      <c r="G76" s="240">
        <v>50</v>
      </c>
      <c r="H76" s="209">
        <v>11333</v>
      </c>
      <c r="I76" s="249">
        <v>30</v>
      </c>
      <c r="J76" s="97">
        <f t="shared" si="10"/>
        <v>20</v>
      </c>
      <c r="K76" s="91">
        <f t="shared" si="9"/>
        <v>339990</v>
      </c>
      <c r="L76" s="94">
        <f t="shared" si="11"/>
        <v>226660</v>
      </c>
      <c r="M76" s="11"/>
      <c r="N76" s="180" t="e">
        <f>#REF!-H76</f>
        <v>#REF!</v>
      </c>
    </row>
    <row r="77" spans="1:14" s="114" customFormat="1">
      <c r="A77" s="96">
        <v>72</v>
      </c>
      <c r="B77" s="96" t="s">
        <v>598</v>
      </c>
      <c r="C77" s="2" t="s">
        <v>767</v>
      </c>
      <c r="D77" s="16">
        <v>500000</v>
      </c>
      <c r="E77" s="16">
        <v>66650</v>
      </c>
      <c r="F77" s="41">
        <f>SUM(D77:E77)</f>
        <v>566650</v>
      </c>
      <c r="G77" s="240">
        <v>50</v>
      </c>
      <c r="H77" s="209">
        <v>11333</v>
      </c>
      <c r="I77" s="249">
        <v>51</v>
      </c>
      <c r="J77" s="97">
        <f t="shared" si="10"/>
        <v>-1</v>
      </c>
      <c r="K77" s="91">
        <f t="shared" si="9"/>
        <v>577983</v>
      </c>
      <c r="L77" s="94">
        <f t="shared" si="11"/>
        <v>-11333</v>
      </c>
      <c r="M77" s="11"/>
      <c r="N77" s="180" t="e">
        <f>#REF!-H77</f>
        <v>#REF!</v>
      </c>
    </row>
    <row r="78" spans="1:14" s="114" customFormat="1">
      <c r="A78" s="96">
        <v>73</v>
      </c>
      <c r="B78" s="241" t="s">
        <v>551</v>
      </c>
      <c r="C78" s="4" t="s">
        <v>755</v>
      </c>
      <c r="D78" s="19">
        <v>500000</v>
      </c>
      <c r="E78" s="19">
        <v>66650</v>
      </c>
      <c r="F78" s="19">
        <v>566650</v>
      </c>
      <c r="G78" s="240">
        <v>50</v>
      </c>
      <c r="H78" s="209">
        <v>11333</v>
      </c>
      <c r="I78" s="249">
        <v>16</v>
      </c>
      <c r="J78" s="97">
        <f t="shared" si="10"/>
        <v>34</v>
      </c>
      <c r="K78" s="91">
        <f t="shared" si="9"/>
        <v>181328</v>
      </c>
      <c r="L78" s="91">
        <f t="shared" si="11"/>
        <v>385322</v>
      </c>
      <c r="M78" s="11"/>
      <c r="N78" s="180" t="e">
        <f>#REF!-H78</f>
        <v>#REF!</v>
      </c>
    </row>
    <row r="79" spans="1:14" s="114" customFormat="1">
      <c r="A79" s="96">
        <v>74</v>
      </c>
      <c r="B79" s="241" t="s">
        <v>569</v>
      </c>
      <c r="C79" s="4" t="s">
        <v>759</v>
      </c>
      <c r="D79" s="16">
        <v>500000</v>
      </c>
      <c r="E79" s="16">
        <v>66650</v>
      </c>
      <c r="F79" s="41">
        <f>SUM(D79:E79)</f>
        <v>566650</v>
      </c>
      <c r="G79" s="240">
        <v>50</v>
      </c>
      <c r="H79" s="209">
        <v>11333</v>
      </c>
      <c r="I79" s="249">
        <v>30</v>
      </c>
      <c r="J79" s="97">
        <f t="shared" si="10"/>
        <v>20</v>
      </c>
      <c r="K79" s="91">
        <f t="shared" si="9"/>
        <v>339990</v>
      </c>
      <c r="L79" s="94">
        <f t="shared" si="11"/>
        <v>226660</v>
      </c>
      <c r="M79" s="11"/>
      <c r="N79" s="180" t="e">
        <f>#REF!-H79</f>
        <v>#REF!</v>
      </c>
    </row>
    <row r="80" spans="1:14" s="114" customFormat="1">
      <c r="A80" s="96">
        <v>75</v>
      </c>
      <c r="B80" s="241" t="s">
        <v>518</v>
      </c>
      <c r="C80" s="4" t="s">
        <v>745</v>
      </c>
      <c r="D80" s="19">
        <v>500000</v>
      </c>
      <c r="E80" s="19">
        <v>66650</v>
      </c>
      <c r="F80" s="19">
        <v>566650</v>
      </c>
      <c r="G80" s="240">
        <v>50</v>
      </c>
      <c r="H80" s="209">
        <v>11333</v>
      </c>
      <c r="I80" s="249">
        <v>16</v>
      </c>
      <c r="J80" s="97">
        <f t="shared" si="10"/>
        <v>34</v>
      </c>
      <c r="K80" s="91">
        <f t="shared" si="9"/>
        <v>181328</v>
      </c>
      <c r="L80" s="91">
        <f t="shared" si="11"/>
        <v>385322</v>
      </c>
      <c r="M80" s="122"/>
      <c r="N80" s="180" t="e">
        <f>#REF!-H80</f>
        <v>#REF!</v>
      </c>
    </row>
    <row r="81" spans="1:14" s="114" customFormat="1">
      <c r="A81" s="96">
        <v>76</v>
      </c>
      <c r="B81" s="241" t="s">
        <v>655</v>
      </c>
      <c r="C81" s="4" t="s">
        <v>815</v>
      </c>
      <c r="D81" s="16">
        <v>450000</v>
      </c>
      <c r="E81" s="16">
        <v>59985</v>
      </c>
      <c r="F81" s="41">
        <f>SUM(D81:E81)</f>
        <v>509985</v>
      </c>
      <c r="G81" s="240">
        <v>50</v>
      </c>
      <c r="H81" s="209">
        <v>10199.700000000001</v>
      </c>
      <c r="I81" s="249">
        <v>30</v>
      </c>
      <c r="J81" s="97">
        <f t="shared" si="10"/>
        <v>20</v>
      </c>
      <c r="K81" s="91">
        <f t="shared" si="9"/>
        <v>305991</v>
      </c>
      <c r="L81" s="94">
        <f t="shared" si="11"/>
        <v>203994</v>
      </c>
      <c r="M81" s="11"/>
      <c r="N81" s="180" t="e">
        <f>#REF!-H81</f>
        <v>#REF!</v>
      </c>
    </row>
    <row r="82" spans="1:14" s="114" customFormat="1">
      <c r="A82" s="96">
        <v>77</v>
      </c>
      <c r="B82" s="241" t="s">
        <v>553</v>
      </c>
      <c r="C82" s="4" t="s">
        <v>756</v>
      </c>
      <c r="D82" s="16">
        <v>500000</v>
      </c>
      <c r="E82" s="16">
        <v>66650</v>
      </c>
      <c r="F82" s="41">
        <f>SUM(D82:E82)</f>
        <v>566650</v>
      </c>
      <c r="G82" s="240">
        <v>50</v>
      </c>
      <c r="H82" s="209">
        <v>11333</v>
      </c>
      <c r="I82" s="249">
        <v>51</v>
      </c>
      <c r="J82" s="97">
        <f t="shared" si="10"/>
        <v>-1</v>
      </c>
      <c r="K82" s="91">
        <f t="shared" si="9"/>
        <v>577983</v>
      </c>
      <c r="L82" s="94">
        <f t="shared" si="11"/>
        <v>-11333</v>
      </c>
      <c r="M82" s="11"/>
      <c r="N82" s="180" t="e">
        <f>#REF!-H82</f>
        <v>#REF!</v>
      </c>
    </row>
    <row r="83" spans="1:14" s="114" customFormat="1">
      <c r="A83" s="96">
        <v>78</v>
      </c>
      <c r="B83" s="241" t="s">
        <v>536</v>
      </c>
      <c r="C83" s="4" t="s">
        <v>750</v>
      </c>
      <c r="D83" s="12">
        <v>500000</v>
      </c>
      <c r="E83" s="12">
        <v>66650</v>
      </c>
      <c r="F83" s="15">
        <f>SUM(D83:E83)</f>
        <v>566650</v>
      </c>
      <c r="G83" s="246">
        <v>50</v>
      </c>
      <c r="H83" s="237">
        <v>11333</v>
      </c>
      <c r="I83" s="248">
        <v>35</v>
      </c>
      <c r="J83" s="97">
        <f t="shared" si="10"/>
        <v>15</v>
      </c>
      <c r="K83" s="91">
        <f t="shared" si="9"/>
        <v>396655</v>
      </c>
      <c r="L83" s="15">
        <f t="shared" si="11"/>
        <v>169995</v>
      </c>
      <c r="M83" s="8"/>
      <c r="N83" s="180" t="e">
        <f>#REF!-H83</f>
        <v>#REF!</v>
      </c>
    </row>
    <row r="84" spans="1:14" s="114" customFormat="1">
      <c r="A84" s="96">
        <v>79</v>
      </c>
      <c r="B84" s="241" t="s">
        <v>550</v>
      </c>
      <c r="C84" s="28" t="s">
        <v>754</v>
      </c>
      <c r="D84" s="16">
        <v>500000</v>
      </c>
      <c r="E84" s="16">
        <v>66650</v>
      </c>
      <c r="F84" s="41">
        <f>SUM(D84:E84)</f>
        <v>566650</v>
      </c>
      <c r="G84" s="240">
        <v>50</v>
      </c>
      <c r="H84" s="209">
        <v>11333</v>
      </c>
      <c r="I84" s="249">
        <v>51</v>
      </c>
      <c r="J84" s="97">
        <f t="shared" si="10"/>
        <v>-1</v>
      </c>
      <c r="K84" s="91">
        <f t="shared" si="9"/>
        <v>577983</v>
      </c>
      <c r="L84" s="94">
        <f t="shared" si="11"/>
        <v>-11333</v>
      </c>
      <c r="M84" s="11"/>
      <c r="N84" s="180" t="e">
        <f>#REF!-H84</f>
        <v>#REF!</v>
      </c>
    </row>
    <row r="85" spans="1:14" s="114" customFormat="1">
      <c r="A85" s="96">
        <v>80</v>
      </c>
      <c r="B85" s="241" t="s">
        <v>596</v>
      </c>
      <c r="C85" s="4" t="s">
        <v>766</v>
      </c>
      <c r="D85" s="19">
        <v>500000</v>
      </c>
      <c r="E85" s="19">
        <v>66650</v>
      </c>
      <c r="F85" s="19">
        <v>566650</v>
      </c>
      <c r="G85" s="240">
        <v>50</v>
      </c>
      <c r="H85" s="209">
        <v>11333</v>
      </c>
      <c r="I85" s="249">
        <v>16</v>
      </c>
      <c r="J85" s="97">
        <f t="shared" si="10"/>
        <v>34</v>
      </c>
      <c r="K85" s="91">
        <f t="shared" si="9"/>
        <v>181328</v>
      </c>
      <c r="L85" s="91">
        <f t="shared" si="11"/>
        <v>385322</v>
      </c>
      <c r="M85" s="122"/>
      <c r="N85" s="180" t="e">
        <f>#REF!-H85</f>
        <v>#REF!</v>
      </c>
    </row>
    <row r="86" spans="1:14" s="114" customFormat="1">
      <c r="A86" s="96">
        <v>81</v>
      </c>
      <c r="B86" s="241" t="s">
        <v>607</v>
      </c>
      <c r="C86" s="4" t="s">
        <v>811</v>
      </c>
      <c r="D86" s="16">
        <v>450000</v>
      </c>
      <c r="E86" s="16">
        <v>59985</v>
      </c>
      <c r="F86" s="41">
        <f>SUM(D86:E86)</f>
        <v>509985</v>
      </c>
      <c r="G86" s="240">
        <v>50</v>
      </c>
      <c r="H86" s="209">
        <v>10199.700000000001</v>
      </c>
      <c r="I86" s="247">
        <v>39</v>
      </c>
      <c r="J86" s="97">
        <f t="shared" si="10"/>
        <v>11</v>
      </c>
      <c r="K86" s="91">
        <f t="shared" si="9"/>
        <v>397788.30000000005</v>
      </c>
      <c r="L86" s="94">
        <f t="shared" si="11"/>
        <v>112196.69999999995</v>
      </c>
      <c r="M86" s="11"/>
      <c r="N86" s="180" t="e">
        <f>#REF!-H86</f>
        <v>#REF!</v>
      </c>
    </row>
    <row r="87" spans="1:14" s="114" customFormat="1">
      <c r="A87" s="96">
        <v>82</v>
      </c>
      <c r="B87" s="241" t="s">
        <v>642</v>
      </c>
      <c r="C87" s="4" t="s">
        <v>779</v>
      </c>
      <c r="D87" s="16">
        <v>500000</v>
      </c>
      <c r="E87" s="16">
        <v>66650</v>
      </c>
      <c r="F87" s="16">
        <v>566650</v>
      </c>
      <c r="G87" s="240">
        <v>50</v>
      </c>
      <c r="H87" s="253">
        <v>11333</v>
      </c>
      <c r="I87" s="251">
        <v>4</v>
      </c>
      <c r="J87" s="97">
        <f t="shared" si="10"/>
        <v>46</v>
      </c>
      <c r="K87" s="91">
        <f t="shared" si="9"/>
        <v>45332</v>
      </c>
      <c r="L87" s="94">
        <f t="shared" si="11"/>
        <v>521318</v>
      </c>
      <c r="M87" s="218"/>
      <c r="N87" s="180" t="e">
        <f>#REF!-H87</f>
        <v>#REF!</v>
      </c>
    </row>
    <row r="88" spans="1:14" s="114" customFormat="1">
      <c r="A88" s="96">
        <v>83</v>
      </c>
      <c r="B88" s="241" t="s">
        <v>661</v>
      </c>
      <c r="C88" s="4" t="s">
        <v>784</v>
      </c>
      <c r="D88" s="19">
        <v>500000</v>
      </c>
      <c r="E88" s="19">
        <v>66650</v>
      </c>
      <c r="F88" s="19">
        <v>566650</v>
      </c>
      <c r="G88" s="240">
        <v>50</v>
      </c>
      <c r="H88" s="209">
        <v>11333</v>
      </c>
      <c r="I88" s="249">
        <v>15</v>
      </c>
      <c r="J88" s="97">
        <f t="shared" si="10"/>
        <v>35</v>
      </c>
      <c r="K88" s="91">
        <f t="shared" si="9"/>
        <v>169995</v>
      </c>
      <c r="L88" s="91">
        <f t="shared" si="11"/>
        <v>396655</v>
      </c>
      <c r="M88" s="11"/>
      <c r="N88" s="180" t="e">
        <f>#REF!-H88</f>
        <v>#REF!</v>
      </c>
    </row>
    <row r="89" spans="1:14" s="114" customFormat="1">
      <c r="A89" s="96">
        <v>84</v>
      </c>
      <c r="B89" s="241" t="s">
        <v>587</v>
      </c>
      <c r="C89" s="4" t="s">
        <v>763</v>
      </c>
      <c r="D89" s="12">
        <v>500000</v>
      </c>
      <c r="E89" s="12">
        <v>66650</v>
      </c>
      <c r="F89" s="15">
        <f>SUM(D89:E89)</f>
        <v>566650</v>
      </c>
      <c r="G89" s="246">
        <v>50</v>
      </c>
      <c r="H89" s="143">
        <v>11333</v>
      </c>
      <c r="I89" s="248">
        <v>33</v>
      </c>
      <c r="J89" s="97">
        <f t="shared" si="10"/>
        <v>17</v>
      </c>
      <c r="K89" s="91">
        <f t="shared" si="9"/>
        <v>373989</v>
      </c>
      <c r="L89" s="15">
        <f t="shared" si="11"/>
        <v>192661</v>
      </c>
      <c r="M89" s="8"/>
      <c r="N89" s="180" t="e">
        <f>#REF!-H89</f>
        <v>#REF!</v>
      </c>
    </row>
    <row r="90" spans="1:14" s="114" customFormat="1">
      <c r="A90" s="96">
        <v>85</v>
      </c>
      <c r="B90" s="241" t="s">
        <v>719</v>
      </c>
      <c r="C90" s="4" t="s">
        <v>798</v>
      </c>
      <c r="D90" s="16">
        <v>500000</v>
      </c>
      <c r="E90" s="16">
        <v>66650</v>
      </c>
      <c r="F90" s="16">
        <v>566650</v>
      </c>
      <c r="G90" s="240">
        <v>50</v>
      </c>
      <c r="H90" s="209">
        <v>11333</v>
      </c>
      <c r="I90" s="251">
        <v>4</v>
      </c>
      <c r="J90" s="97">
        <f t="shared" si="10"/>
        <v>46</v>
      </c>
      <c r="K90" s="91">
        <f t="shared" si="9"/>
        <v>45332</v>
      </c>
      <c r="L90" s="94">
        <f t="shared" si="11"/>
        <v>521318</v>
      </c>
      <c r="M90" s="218"/>
      <c r="N90" s="180" t="e">
        <f>#REF!-H90</f>
        <v>#REF!</v>
      </c>
    </row>
    <row r="91" spans="1:14" s="114" customFormat="1">
      <c r="A91" s="96">
        <v>86</v>
      </c>
      <c r="B91" s="241" t="s">
        <v>668</v>
      </c>
      <c r="C91" s="4" t="s">
        <v>816</v>
      </c>
      <c r="D91" s="16">
        <v>450000</v>
      </c>
      <c r="E91" s="16">
        <v>59985</v>
      </c>
      <c r="F91" s="16">
        <v>509985</v>
      </c>
      <c r="G91" s="240">
        <v>50</v>
      </c>
      <c r="H91" s="209">
        <v>10199.700000000001</v>
      </c>
      <c r="I91" s="249">
        <v>15</v>
      </c>
      <c r="J91" s="97">
        <f t="shared" si="10"/>
        <v>35</v>
      </c>
      <c r="K91" s="91">
        <f t="shared" si="9"/>
        <v>152995.5</v>
      </c>
      <c r="L91" s="91">
        <f t="shared" si="11"/>
        <v>356989.5</v>
      </c>
      <c r="M91" s="122"/>
      <c r="N91" s="180" t="e">
        <f>#REF!-H91</f>
        <v>#REF!</v>
      </c>
    </row>
    <row r="92" spans="1:14" s="114" customFormat="1">
      <c r="A92" s="96">
        <v>87</v>
      </c>
      <c r="B92" s="241" t="s">
        <v>594</v>
      </c>
      <c r="C92" s="4" t="s">
        <v>765</v>
      </c>
      <c r="D92" s="16">
        <v>500000</v>
      </c>
      <c r="E92" s="16">
        <v>66650</v>
      </c>
      <c r="F92" s="41">
        <f t="shared" ref="F92:F102" si="12">SUM(D92:E92)</f>
        <v>566650</v>
      </c>
      <c r="G92" s="240">
        <v>50</v>
      </c>
      <c r="H92" s="209">
        <v>11333</v>
      </c>
      <c r="I92" s="249">
        <v>30</v>
      </c>
      <c r="J92" s="97">
        <f t="shared" si="10"/>
        <v>20</v>
      </c>
      <c r="K92" s="91">
        <f t="shared" si="9"/>
        <v>339990</v>
      </c>
      <c r="L92" s="94">
        <f t="shared" si="11"/>
        <v>226660</v>
      </c>
      <c r="M92" s="11"/>
      <c r="N92" s="180" t="e">
        <f>#REF!-H92</f>
        <v>#REF!</v>
      </c>
    </row>
    <row r="93" spans="1:14" s="114" customFormat="1">
      <c r="A93" s="96">
        <v>88</v>
      </c>
      <c r="B93" s="241" t="s">
        <v>585</v>
      </c>
      <c r="C93" s="4" t="s">
        <v>762</v>
      </c>
      <c r="D93" s="161">
        <v>500000</v>
      </c>
      <c r="E93" s="161">
        <v>66650</v>
      </c>
      <c r="F93" s="162">
        <f t="shared" si="12"/>
        <v>566650</v>
      </c>
      <c r="G93" s="160">
        <v>50</v>
      </c>
      <c r="H93" s="209">
        <v>11333</v>
      </c>
      <c r="I93" s="249">
        <v>30</v>
      </c>
      <c r="J93" s="97">
        <f t="shared" si="10"/>
        <v>20</v>
      </c>
      <c r="K93" s="146">
        <f t="shared" si="9"/>
        <v>339990</v>
      </c>
      <c r="L93" s="164">
        <f t="shared" si="11"/>
        <v>226660</v>
      </c>
      <c r="M93" s="123"/>
      <c r="N93" s="180" t="e">
        <f>#REF!-H93</f>
        <v>#REF!</v>
      </c>
    </row>
    <row r="94" spans="1:14" s="114" customFormat="1">
      <c r="A94" s="96">
        <v>89</v>
      </c>
      <c r="B94" s="241" t="s">
        <v>647</v>
      </c>
      <c r="C94" s="4" t="s">
        <v>781</v>
      </c>
      <c r="D94" s="16">
        <v>500000</v>
      </c>
      <c r="E94" s="16">
        <v>66650</v>
      </c>
      <c r="F94" s="41">
        <f t="shared" si="12"/>
        <v>566650</v>
      </c>
      <c r="G94" s="240">
        <v>50</v>
      </c>
      <c r="H94" s="209">
        <v>11333</v>
      </c>
      <c r="I94" s="249">
        <v>8</v>
      </c>
      <c r="J94" s="97">
        <f t="shared" si="10"/>
        <v>42</v>
      </c>
      <c r="K94" s="156">
        <f>(1*11333)</f>
        <v>11333</v>
      </c>
      <c r="L94" s="91">
        <f t="shared" si="11"/>
        <v>555317</v>
      </c>
      <c r="M94" s="122"/>
      <c r="N94" s="180" t="e">
        <f>#REF!-H94</f>
        <v>#REF!</v>
      </c>
    </row>
    <row r="95" spans="1:14" s="114" customFormat="1">
      <c r="A95" s="96">
        <v>90</v>
      </c>
      <c r="B95" s="241" t="s">
        <v>600</v>
      </c>
      <c r="C95" s="4" t="s">
        <v>810</v>
      </c>
      <c r="D95" s="16">
        <v>450000</v>
      </c>
      <c r="E95" s="16">
        <v>59985</v>
      </c>
      <c r="F95" s="41">
        <f t="shared" si="12"/>
        <v>509985</v>
      </c>
      <c r="G95" s="240">
        <v>50</v>
      </c>
      <c r="H95" s="209">
        <v>10199.700000000001</v>
      </c>
      <c r="I95" s="249">
        <v>29</v>
      </c>
      <c r="J95" s="97">
        <f t="shared" si="10"/>
        <v>21</v>
      </c>
      <c r="K95" s="91">
        <f>I95*H95</f>
        <v>295791.30000000005</v>
      </c>
      <c r="L95" s="94">
        <f t="shared" si="11"/>
        <v>214193.69999999995</v>
      </c>
      <c r="M95" s="11"/>
      <c r="N95" s="180" t="e">
        <f>#REF!-H95</f>
        <v>#REF!</v>
      </c>
    </row>
    <row r="96" spans="1:14" s="114" customFormat="1">
      <c r="A96" s="96">
        <v>91</v>
      </c>
      <c r="B96" s="241" t="s">
        <v>546</v>
      </c>
      <c r="C96" s="28" t="s">
        <v>821</v>
      </c>
      <c r="D96" s="19">
        <v>330000</v>
      </c>
      <c r="E96" s="19">
        <v>43989</v>
      </c>
      <c r="F96" s="19">
        <f t="shared" si="12"/>
        <v>373989</v>
      </c>
      <c r="G96" s="240">
        <v>40</v>
      </c>
      <c r="H96" s="209">
        <v>9129.7800000000007</v>
      </c>
      <c r="I96" s="247">
        <v>4</v>
      </c>
      <c r="J96" s="97">
        <f t="shared" si="10"/>
        <v>36</v>
      </c>
      <c r="K96" s="91">
        <f>I96*H96</f>
        <v>36519.120000000003</v>
      </c>
      <c r="L96" s="94">
        <f t="shared" si="11"/>
        <v>337469.88</v>
      </c>
      <c r="M96" s="214"/>
      <c r="N96" s="180" t="e">
        <f>#REF!-H96</f>
        <v>#REF!</v>
      </c>
    </row>
    <row r="97" spans="1:14" s="114" customFormat="1">
      <c r="A97" s="96">
        <v>92</v>
      </c>
      <c r="B97" s="96" t="s">
        <v>638</v>
      </c>
      <c r="C97" s="2" t="s">
        <v>777</v>
      </c>
      <c r="D97" s="16">
        <v>500000</v>
      </c>
      <c r="E97" s="16">
        <v>66650</v>
      </c>
      <c r="F97" s="41">
        <f t="shared" si="12"/>
        <v>566650</v>
      </c>
      <c r="G97" s="240">
        <v>50</v>
      </c>
      <c r="H97" s="209">
        <v>11333</v>
      </c>
      <c r="I97" s="249">
        <v>8</v>
      </c>
      <c r="J97" s="97">
        <f t="shared" si="10"/>
        <v>42</v>
      </c>
      <c r="K97" s="156">
        <f>(1*11333)</f>
        <v>11333</v>
      </c>
      <c r="L97" s="91">
        <f t="shared" si="11"/>
        <v>555317</v>
      </c>
      <c r="M97" s="11"/>
      <c r="N97" s="180" t="e">
        <f>#REF!-H97</f>
        <v>#REF!</v>
      </c>
    </row>
    <row r="98" spans="1:14" s="114" customFormat="1">
      <c r="A98" s="96">
        <v>93</v>
      </c>
      <c r="B98" s="241" t="s">
        <v>629</v>
      </c>
      <c r="C98" s="4" t="s">
        <v>832</v>
      </c>
      <c r="D98" s="12">
        <v>330000</v>
      </c>
      <c r="E98" s="12">
        <v>43989</v>
      </c>
      <c r="F98" s="15">
        <f t="shared" si="12"/>
        <v>373989</v>
      </c>
      <c r="G98" s="246">
        <v>50</v>
      </c>
      <c r="H98" s="146">
        <v>7479.78</v>
      </c>
      <c r="I98" s="248">
        <v>35</v>
      </c>
      <c r="J98" s="97">
        <f t="shared" si="10"/>
        <v>15</v>
      </c>
      <c r="K98" s="91">
        <f t="shared" ref="K98:K123" si="13">I98*H98</f>
        <v>261792.3</v>
      </c>
      <c r="L98" s="15">
        <f t="shared" si="11"/>
        <v>112196.70000000001</v>
      </c>
      <c r="M98" s="8"/>
      <c r="N98" s="180" t="e">
        <f>#REF!-H98</f>
        <v>#REF!</v>
      </c>
    </row>
    <row r="99" spans="1:14" s="114" customFormat="1">
      <c r="A99" s="96">
        <v>94</v>
      </c>
      <c r="B99" s="241" t="s">
        <v>645</v>
      </c>
      <c r="C99" s="4" t="s">
        <v>780</v>
      </c>
      <c r="D99" s="16">
        <v>500000</v>
      </c>
      <c r="E99" s="16">
        <v>66650</v>
      </c>
      <c r="F99" s="41">
        <f t="shared" si="12"/>
        <v>566650</v>
      </c>
      <c r="G99" s="240">
        <v>50</v>
      </c>
      <c r="H99" s="209">
        <v>11333</v>
      </c>
      <c r="I99" s="249">
        <v>29</v>
      </c>
      <c r="J99" s="97">
        <f t="shared" si="10"/>
        <v>21</v>
      </c>
      <c r="K99" s="91">
        <f t="shared" si="13"/>
        <v>328657</v>
      </c>
      <c r="L99" s="94">
        <f t="shared" si="11"/>
        <v>237993</v>
      </c>
      <c r="M99" s="11"/>
      <c r="N99" s="180" t="e">
        <f>#REF!-H99</f>
        <v>#REF!</v>
      </c>
    </row>
    <row r="100" spans="1:14" s="114" customFormat="1">
      <c r="A100" s="96">
        <v>95</v>
      </c>
      <c r="B100" s="241" t="s">
        <v>540</v>
      </c>
      <c r="C100" s="166" t="s">
        <v>752</v>
      </c>
      <c r="D100" s="16">
        <v>500000</v>
      </c>
      <c r="E100" s="16">
        <v>66650</v>
      </c>
      <c r="F100" s="41">
        <f t="shared" si="12"/>
        <v>566650</v>
      </c>
      <c r="G100" s="240">
        <v>50</v>
      </c>
      <c r="H100" s="209">
        <v>11333</v>
      </c>
      <c r="I100" s="249">
        <v>34</v>
      </c>
      <c r="J100" s="97">
        <f t="shared" si="10"/>
        <v>16</v>
      </c>
      <c r="K100" s="91">
        <f t="shared" si="13"/>
        <v>385322</v>
      </c>
      <c r="L100" s="94">
        <f t="shared" si="11"/>
        <v>181328</v>
      </c>
      <c r="M100" s="11"/>
      <c r="N100" s="180" t="e">
        <f>#REF!-H100</f>
        <v>#REF!</v>
      </c>
    </row>
    <row r="101" spans="1:14" s="114" customFormat="1">
      <c r="A101" s="96">
        <v>96</v>
      </c>
      <c r="B101" s="241" t="s">
        <v>548</v>
      </c>
      <c r="C101" s="4" t="s">
        <v>824</v>
      </c>
      <c r="D101" s="12">
        <v>330000</v>
      </c>
      <c r="E101" s="12">
        <v>43989</v>
      </c>
      <c r="F101" s="15">
        <f t="shared" si="12"/>
        <v>373989</v>
      </c>
      <c r="G101" s="246">
        <v>50</v>
      </c>
      <c r="H101" s="146">
        <v>7479.78</v>
      </c>
      <c r="I101" s="248">
        <v>35</v>
      </c>
      <c r="J101" s="97">
        <f t="shared" si="10"/>
        <v>15</v>
      </c>
      <c r="K101" s="91">
        <f t="shared" si="13"/>
        <v>261792.3</v>
      </c>
      <c r="L101" s="15">
        <f t="shared" si="11"/>
        <v>112196.70000000001</v>
      </c>
      <c r="M101" s="8"/>
      <c r="N101" s="180" t="e">
        <f>#REF!-H101</f>
        <v>#REF!</v>
      </c>
    </row>
    <row r="102" spans="1:14" s="114" customFormat="1">
      <c r="A102" s="96">
        <v>97</v>
      </c>
      <c r="B102" s="241" t="s">
        <v>678</v>
      </c>
      <c r="C102" s="28" t="s">
        <v>733</v>
      </c>
      <c r="D102" s="16">
        <v>500000</v>
      </c>
      <c r="E102" s="16">
        <v>47992</v>
      </c>
      <c r="F102" s="41">
        <f t="shared" si="12"/>
        <v>547992</v>
      </c>
      <c r="G102" s="240">
        <v>36</v>
      </c>
      <c r="H102" s="203">
        <v>15222</v>
      </c>
      <c r="I102" s="249">
        <v>29</v>
      </c>
      <c r="J102" s="97">
        <f t="shared" ref="J102:J123" si="14">G102-I102</f>
        <v>7</v>
      </c>
      <c r="K102" s="91">
        <f t="shared" si="13"/>
        <v>441438</v>
      </c>
      <c r="L102" s="94">
        <f t="shared" ref="L102:L123" si="15">F102-K102</f>
        <v>106554</v>
      </c>
      <c r="M102" s="11"/>
      <c r="N102" s="180" t="e">
        <f>#REF!-H102</f>
        <v>#REF!</v>
      </c>
    </row>
    <row r="103" spans="1:14" s="114" customFormat="1">
      <c r="A103" s="96">
        <v>98</v>
      </c>
      <c r="B103" s="241" t="s">
        <v>501</v>
      </c>
      <c r="C103" s="4" t="s">
        <v>739</v>
      </c>
      <c r="D103" s="16">
        <v>500000</v>
      </c>
      <c r="E103" s="16">
        <v>66650</v>
      </c>
      <c r="F103" s="16">
        <v>566650</v>
      </c>
      <c r="G103" s="240">
        <v>50</v>
      </c>
      <c r="H103" s="203">
        <v>11333</v>
      </c>
      <c r="I103" s="247">
        <v>4</v>
      </c>
      <c r="J103" s="97">
        <f t="shared" si="14"/>
        <v>46</v>
      </c>
      <c r="K103" s="91">
        <f t="shared" si="13"/>
        <v>45332</v>
      </c>
      <c r="L103" s="94">
        <f t="shared" si="15"/>
        <v>521318</v>
      </c>
      <c r="M103" s="214"/>
      <c r="N103" s="180" t="e">
        <f>#REF!-H103</f>
        <v>#REF!</v>
      </c>
    </row>
    <row r="104" spans="1:14" s="114" customFormat="1">
      <c r="A104" s="96">
        <v>99</v>
      </c>
      <c r="B104" s="241" t="s">
        <v>514</v>
      </c>
      <c r="C104" s="4" t="s">
        <v>743</v>
      </c>
      <c r="D104" s="16">
        <v>500000</v>
      </c>
      <c r="E104" s="16">
        <v>66650</v>
      </c>
      <c r="F104" s="41">
        <f>SUM(D104:E104)</f>
        <v>566650</v>
      </c>
      <c r="G104" s="240">
        <v>50</v>
      </c>
      <c r="H104" s="209">
        <v>11333</v>
      </c>
      <c r="I104" s="249">
        <v>51</v>
      </c>
      <c r="J104" s="97">
        <f t="shared" si="14"/>
        <v>-1</v>
      </c>
      <c r="K104" s="91">
        <f t="shared" si="13"/>
        <v>577983</v>
      </c>
      <c r="L104" s="94">
        <f t="shared" si="15"/>
        <v>-11333</v>
      </c>
      <c r="M104" s="11"/>
      <c r="N104" s="180" t="e">
        <f>#REF!-H104</f>
        <v>#REF!</v>
      </c>
    </row>
    <row r="105" spans="1:14" s="114" customFormat="1">
      <c r="A105" s="96">
        <v>100</v>
      </c>
      <c r="B105" s="241" t="s">
        <v>557</v>
      </c>
      <c r="C105" s="4" t="s">
        <v>808</v>
      </c>
      <c r="D105" s="16">
        <v>450000</v>
      </c>
      <c r="E105" s="16">
        <v>59985</v>
      </c>
      <c r="F105" s="41">
        <f>SUM(D105:E105)</f>
        <v>509985</v>
      </c>
      <c r="G105" s="240">
        <v>50</v>
      </c>
      <c r="H105" s="209">
        <v>10199.700000000001</v>
      </c>
      <c r="I105" s="249">
        <v>30</v>
      </c>
      <c r="J105" s="97">
        <f t="shared" si="14"/>
        <v>20</v>
      </c>
      <c r="K105" s="91">
        <f t="shared" si="13"/>
        <v>305991</v>
      </c>
      <c r="L105" s="94">
        <f t="shared" si="15"/>
        <v>203994</v>
      </c>
      <c r="M105" s="11"/>
      <c r="N105" s="180" t="e">
        <f>#REF!-H105</f>
        <v>#REF!</v>
      </c>
    </row>
    <row r="106" spans="1:14" s="114" customFormat="1">
      <c r="A106" s="96">
        <v>101</v>
      </c>
      <c r="B106" s="241" t="s">
        <v>583</v>
      </c>
      <c r="C106" s="4" t="s">
        <v>761</v>
      </c>
      <c r="D106" s="16">
        <v>500000</v>
      </c>
      <c r="E106" s="16">
        <v>66650</v>
      </c>
      <c r="F106" s="41">
        <f>SUM(D106:E106)</f>
        <v>566650</v>
      </c>
      <c r="G106" s="240">
        <v>50</v>
      </c>
      <c r="H106" s="209">
        <v>11333</v>
      </c>
      <c r="I106" s="249">
        <v>30</v>
      </c>
      <c r="J106" s="97">
        <f t="shared" si="14"/>
        <v>20</v>
      </c>
      <c r="K106" s="91">
        <f t="shared" si="13"/>
        <v>339990</v>
      </c>
      <c r="L106" s="94">
        <f t="shared" si="15"/>
        <v>226660</v>
      </c>
      <c r="M106" s="11"/>
      <c r="N106" s="180" t="e">
        <f>#REF!-H106</f>
        <v>#REF!</v>
      </c>
    </row>
    <row r="107" spans="1:14" s="114" customFormat="1">
      <c r="A107" s="96">
        <v>102</v>
      </c>
      <c r="B107" s="241" t="s">
        <v>561</v>
      </c>
      <c r="C107" s="4" t="s">
        <v>809</v>
      </c>
      <c r="D107" s="16">
        <v>450000</v>
      </c>
      <c r="E107" s="16">
        <v>59985</v>
      </c>
      <c r="F107" s="41">
        <f>SUM(D107:E107)</f>
        <v>509985</v>
      </c>
      <c r="G107" s="240">
        <v>50</v>
      </c>
      <c r="H107" s="209">
        <v>10199.700000000001</v>
      </c>
      <c r="I107" s="249">
        <v>30</v>
      </c>
      <c r="J107" s="97">
        <f t="shared" si="14"/>
        <v>20</v>
      </c>
      <c r="K107" s="91">
        <f t="shared" si="13"/>
        <v>305991</v>
      </c>
      <c r="L107" s="94">
        <f t="shared" si="15"/>
        <v>203994</v>
      </c>
      <c r="M107" s="11"/>
      <c r="N107" s="180" t="e">
        <f>#REF!-H107</f>
        <v>#REF!</v>
      </c>
    </row>
    <row r="108" spans="1:14" s="114" customFormat="1">
      <c r="A108" s="96">
        <v>103</v>
      </c>
      <c r="B108" s="241" t="s">
        <v>684</v>
      </c>
      <c r="C108" s="4" t="s">
        <v>787</v>
      </c>
      <c r="D108" s="19">
        <v>500000</v>
      </c>
      <c r="E108" s="19">
        <v>66650</v>
      </c>
      <c r="F108" s="19">
        <v>566650</v>
      </c>
      <c r="G108" s="240">
        <v>50</v>
      </c>
      <c r="H108" s="209">
        <v>11333</v>
      </c>
      <c r="I108" s="249">
        <v>16</v>
      </c>
      <c r="J108" s="97">
        <f t="shared" si="14"/>
        <v>34</v>
      </c>
      <c r="K108" s="91">
        <f t="shared" si="13"/>
        <v>181328</v>
      </c>
      <c r="L108" s="91">
        <f t="shared" si="15"/>
        <v>385322</v>
      </c>
      <c r="M108" s="122"/>
      <c r="N108" s="180" t="e">
        <f>#REF!-H108</f>
        <v>#REF!</v>
      </c>
    </row>
    <row r="109" spans="1:14" s="114" customFormat="1">
      <c r="A109" s="96">
        <v>104</v>
      </c>
      <c r="B109" s="241" t="s">
        <v>611</v>
      </c>
      <c r="C109" s="4" t="s">
        <v>770</v>
      </c>
      <c r="D109" s="12">
        <v>500000</v>
      </c>
      <c r="E109" s="12">
        <v>66650</v>
      </c>
      <c r="F109" s="15">
        <f>SUM(D109:E109)</f>
        <v>566650</v>
      </c>
      <c r="G109" s="246">
        <v>50</v>
      </c>
      <c r="H109" s="203">
        <v>11333</v>
      </c>
      <c r="I109" s="248">
        <v>35</v>
      </c>
      <c r="J109" s="97">
        <f t="shared" si="14"/>
        <v>15</v>
      </c>
      <c r="K109" s="91">
        <f t="shared" si="13"/>
        <v>396655</v>
      </c>
      <c r="L109" s="15">
        <f t="shared" si="15"/>
        <v>169995</v>
      </c>
      <c r="M109" s="8"/>
      <c r="N109" s="180" t="e">
        <f>#REF!-H109</f>
        <v>#REF!</v>
      </c>
    </row>
    <row r="110" spans="1:14" s="114" customFormat="1">
      <c r="A110" s="96">
        <v>105</v>
      </c>
      <c r="B110" s="241" t="s">
        <v>670</v>
      </c>
      <c r="C110" s="4" t="s">
        <v>835</v>
      </c>
      <c r="D110" s="16">
        <v>330000</v>
      </c>
      <c r="E110" s="16">
        <v>43989</v>
      </c>
      <c r="F110" s="41">
        <f>SUM(D110:E110)</f>
        <v>373989</v>
      </c>
      <c r="G110" s="240">
        <v>50</v>
      </c>
      <c r="H110" s="209">
        <v>7479.78</v>
      </c>
      <c r="I110" s="247">
        <v>38</v>
      </c>
      <c r="J110" s="97">
        <f t="shared" si="14"/>
        <v>12</v>
      </c>
      <c r="K110" s="91">
        <f t="shared" si="13"/>
        <v>284231.64</v>
      </c>
      <c r="L110" s="94">
        <f t="shared" si="15"/>
        <v>89757.359999999986</v>
      </c>
      <c r="M110" s="11"/>
    </row>
    <row r="111" spans="1:14" s="114" customFormat="1">
      <c r="A111" s="96">
        <v>106</v>
      </c>
      <c r="B111" s="241" t="s">
        <v>563</v>
      </c>
      <c r="C111" s="4" t="s">
        <v>825</v>
      </c>
      <c r="D111" s="155">
        <v>330000</v>
      </c>
      <c r="E111" s="155">
        <v>43989</v>
      </c>
      <c r="F111" s="155">
        <f>SUM(D111:E111)</f>
        <v>373989</v>
      </c>
      <c r="G111" s="240">
        <v>50</v>
      </c>
      <c r="H111" s="203">
        <v>7479.78</v>
      </c>
      <c r="I111" s="249">
        <v>16</v>
      </c>
      <c r="J111" s="97">
        <f t="shared" si="14"/>
        <v>34</v>
      </c>
      <c r="K111" s="91">
        <f t="shared" si="13"/>
        <v>119676.48</v>
      </c>
      <c r="L111" s="91">
        <f t="shared" si="15"/>
        <v>254312.52000000002</v>
      </c>
      <c r="M111" s="122"/>
    </row>
    <row r="112" spans="1:14" s="114" customFormat="1">
      <c r="A112" s="96">
        <v>107</v>
      </c>
      <c r="B112" s="241" t="s">
        <v>577</v>
      </c>
      <c r="C112" s="28" t="s">
        <v>828</v>
      </c>
      <c r="D112" s="19">
        <v>330000</v>
      </c>
      <c r="E112" s="19">
        <v>43989</v>
      </c>
      <c r="F112" s="19">
        <f>SUM(D112:E112)</f>
        <v>373989</v>
      </c>
      <c r="G112" s="240">
        <v>50</v>
      </c>
      <c r="H112" s="209">
        <v>7479.78</v>
      </c>
      <c r="I112" s="247">
        <v>4</v>
      </c>
      <c r="J112" s="97">
        <f t="shared" si="14"/>
        <v>46</v>
      </c>
      <c r="K112" s="91">
        <f t="shared" si="13"/>
        <v>29919.119999999999</v>
      </c>
      <c r="L112" s="94">
        <f t="shared" si="15"/>
        <v>344069.88</v>
      </c>
      <c r="M112" s="214"/>
    </row>
    <row r="113" spans="1:15" s="114" customFormat="1">
      <c r="A113" s="96">
        <v>108</v>
      </c>
      <c r="B113" s="241" t="s">
        <v>509</v>
      </c>
      <c r="C113" s="4" t="s">
        <v>804</v>
      </c>
      <c r="D113" s="19">
        <v>450000</v>
      </c>
      <c r="E113" s="19">
        <v>59985</v>
      </c>
      <c r="F113" s="19">
        <v>509985</v>
      </c>
      <c r="G113" s="240">
        <v>50</v>
      </c>
      <c r="H113" s="209">
        <v>10199.700000000001</v>
      </c>
      <c r="I113" s="249">
        <v>16</v>
      </c>
      <c r="J113" s="97">
        <f t="shared" si="14"/>
        <v>34</v>
      </c>
      <c r="K113" s="91">
        <f t="shared" si="13"/>
        <v>163195.20000000001</v>
      </c>
      <c r="L113" s="91">
        <f t="shared" si="15"/>
        <v>346789.8</v>
      </c>
      <c r="M113" s="122"/>
      <c r="N113" s="120"/>
    </row>
    <row r="114" spans="1:15" s="114" customFormat="1">
      <c r="A114" s="96">
        <v>109</v>
      </c>
      <c r="B114" s="241" t="s">
        <v>613</v>
      </c>
      <c r="C114" s="4" t="s">
        <v>771</v>
      </c>
      <c r="D114" s="16">
        <v>500000</v>
      </c>
      <c r="E114" s="16">
        <v>66650</v>
      </c>
      <c r="F114" s="41">
        <f>SUM(D114:E114)</f>
        <v>566650</v>
      </c>
      <c r="G114" s="240">
        <v>50</v>
      </c>
      <c r="H114" s="209">
        <v>11333</v>
      </c>
      <c r="I114" s="249">
        <v>50</v>
      </c>
      <c r="J114" s="97">
        <f t="shared" si="14"/>
        <v>0</v>
      </c>
      <c r="K114" s="91">
        <f t="shared" si="13"/>
        <v>566650</v>
      </c>
      <c r="L114" s="94">
        <f t="shared" si="15"/>
        <v>0</v>
      </c>
      <c r="M114" s="11"/>
      <c r="N114"/>
    </row>
    <row r="115" spans="1:15" s="114" customFormat="1">
      <c r="A115" s="96">
        <v>110</v>
      </c>
      <c r="B115" s="241" t="s">
        <v>711</v>
      </c>
      <c r="C115" s="4" t="s">
        <v>796</v>
      </c>
      <c r="D115" s="16">
        <v>500000</v>
      </c>
      <c r="E115" s="16">
        <v>66650</v>
      </c>
      <c r="F115" s="41">
        <f>SUM(D115:E115)</f>
        <v>566650</v>
      </c>
      <c r="G115" s="240">
        <v>50</v>
      </c>
      <c r="H115" s="209">
        <v>11333</v>
      </c>
      <c r="I115" s="249">
        <v>29</v>
      </c>
      <c r="J115" s="97">
        <f t="shared" si="14"/>
        <v>21</v>
      </c>
      <c r="K115" s="91">
        <f t="shared" si="13"/>
        <v>328657</v>
      </c>
      <c r="L115" s="94">
        <f t="shared" si="15"/>
        <v>237993</v>
      </c>
      <c r="M115" s="11"/>
      <c r="N115"/>
    </row>
    <row r="116" spans="1:15" s="114" customFormat="1">
      <c r="A116" s="96">
        <v>111</v>
      </c>
      <c r="B116" s="241" t="s">
        <v>538</v>
      </c>
      <c r="C116" s="4" t="s">
        <v>751</v>
      </c>
      <c r="D116" s="12">
        <v>500000</v>
      </c>
      <c r="E116" s="12">
        <v>66650</v>
      </c>
      <c r="F116" s="15">
        <f>SUM(D116:E116)</f>
        <v>566650</v>
      </c>
      <c r="G116" s="246">
        <v>50</v>
      </c>
      <c r="H116" s="203">
        <v>11333</v>
      </c>
      <c r="I116" s="248">
        <v>35</v>
      </c>
      <c r="J116" s="97">
        <f t="shared" si="14"/>
        <v>15</v>
      </c>
      <c r="K116" s="91">
        <f t="shared" si="13"/>
        <v>396655</v>
      </c>
      <c r="L116" s="15">
        <f t="shared" si="15"/>
        <v>169995</v>
      </c>
      <c r="M116" s="8"/>
      <c r="N116"/>
    </row>
    <row r="117" spans="1:15" s="114" customFormat="1">
      <c r="A117" s="96">
        <v>112</v>
      </c>
      <c r="B117" s="96" t="s">
        <v>507</v>
      </c>
      <c r="C117" s="2" t="s">
        <v>741</v>
      </c>
      <c r="D117" s="16">
        <v>500000</v>
      </c>
      <c r="E117" s="16">
        <v>66650</v>
      </c>
      <c r="F117" s="16">
        <v>566650</v>
      </c>
      <c r="G117" s="159">
        <v>50</v>
      </c>
      <c r="H117" s="209">
        <v>11333</v>
      </c>
      <c r="I117" s="97">
        <v>16</v>
      </c>
      <c r="J117" s="97">
        <f t="shared" si="14"/>
        <v>34</v>
      </c>
      <c r="K117" s="91">
        <f t="shared" si="13"/>
        <v>181328</v>
      </c>
      <c r="L117" s="91">
        <f t="shared" si="15"/>
        <v>385322</v>
      </c>
      <c r="M117" s="11"/>
      <c r="N117"/>
    </row>
    <row r="118" spans="1:15" s="114" customFormat="1">
      <c r="A118" s="96">
        <v>113</v>
      </c>
      <c r="B118" s="96" t="s">
        <v>728</v>
      </c>
      <c r="C118" s="2" t="s">
        <v>734</v>
      </c>
      <c r="D118" s="16">
        <v>500000</v>
      </c>
      <c r="E118" s="16">
        <v>47992</v>
      </c>
      <c r="F118" s="41">
        <f>SUM(D118:E118)</f>
        <v>547992</v>
      </c>
      <c r="G118" s="159">
        <v>36</v>
      </c>
      <c r="H118" s="203">
        <v>15222</v>
      </c>
      <c r="I118" s="97">
        <v>29</v>
      </c>
      <c r="J118" s="97">
        <f t="shared" si="14"/>
        <v>7</v>
      </c>
      <c r="K118" s="91">
        <f t="shared" si="13"/>
        <v>441438</v>
      </c>
      <c r="L118" s="94">
        <f t="shared" si="15"/>
        <v>106554</v>
      </c>
      <c r="M118" s="11"/>
      <c r="N118"/>
    </row>
    <row r="119" spans="1:15" s="114" customFormat="1">
      <c r="A119" s="96">
        <v>114</v>
      </c>
      <c r="B119" s="96" t="s">
        <v>590</v>
      </c>
      <c r="C119" s="25" t="s">
        <v>842</v>
      </c>
      <c r="D119" s="19">
        <v>150000</v>
      </c>
      <c r="E119" s="19">
        <v>19995</v>
      </c>
      <c r="F119" s="19">
        <f>SUM(D119:E119)</f>
        <v>169995</v>
      </c>
      <c r="G119" s="159">
        <v>50</v>
      </c>
      <c r="H119" s="203">
        <v>3399.9</v>
      </c>
      <c r="I119" s="97">
        <v>29</v>
      </c>
      <c r="J119" s="97">
        <f t="shared" si="14"/>
        <v>21</v>
      </c>
      <c r="K119" s="91">
        <f t="shared" si="13"/>
        <v>98597.1</v>
      </c>
      <c r="L119" s="94">
        <f t="shared" si="15"/>
        <v>71397.899999999994</v>
      </c>
      <c r="M119" s="11"/>
      <c r="N119"/>
    </row>
    <row r="120" spans="1:15" s="114" customFormat="1">
      <c r="A120" s="96">
        <v>115</v>
      </c>
      <c r="B120" s="96" t="s">
        <v>631</v>
      </c>
      <c r="C120" s="25" t="s">
        <v>774</v>
      </c>
      <c r="D120" s="16">
        <v>500000</v>
      </c>
      <c r="E120" s="16">
        <v>66650</v>
      </c>
      <c r="F120" s="41">
        <f>SUM(D120:E120)</f>
        <v>566650</v>
      </c>
      <c r="G120" s="159">
        <v>50</v>
      </c>
      <c r="H120" s="209">
        <v>11333</v>
      </c>
      <c r="I120" s="159">
        <v>51</v>
      </c>
      <c r="J120" s="97">
        <f t="shared" si="14"/>
        <v>-1</v>
      </c>
      <c r="K120" s="91">
        <f t="shared" si="13"/>
        <v>577983</v>
      </c>
      <c r="L120" s="94">
        <f t="shared" si="15"/>
        <v>-11333</v>
      </c>
      <c r="M120" s="11"/>
      <c r="N120"/>
    </row>
    <row r="121" spans="1:15" s="114" customFormat="1">
      <c r="A121" s="96">
        <v>116</v>
      </c>
      <c r="B121" s="96" t="s">
        <v>705</v>
      </c>
      <c r="C121" s="170" t="s">
        <v>818</v>
      </c>
      <c r="D121" s="19">
        <v>450000</v>
      </c>
      <c r="E121" s="19">
        <v>59985</v>
      </c>
      <c r="F121" s="19">
        <v>509985</v>
      </c>
      <c r="G121" s="159">
        <v>50</v>
      </c>
      <c r="H121" s="209">
        <v>10199.700000000001</v>
      </c>
      <c r="I121" s="159">
        <v>4</v>
      </c>
      <c r="J121" s="97">
        <f t="shared" si="14"/>
        <v>46</v>
      </c>
      <c r="K121" s="91">
        <f t="shared" si="13"/>
        <v>40798.800000000003</v>
      </c>
      <c r="L121" s="94">
        <f t="shared" si="15"/>
        <v>469186.2</v>
      </c>
      <c r="M121" s="11"/>
      <c r="N121"/>
    </row>
    <row r="122" spans="1:15" s="114" customFormat="1">
      <c r="A122" s="96">
        <v>117</v>
      </c>
      <c r="B122" s="11" t="s">
        <v>653</v>
      </c>
      <c r="C122" s="11" t="s">
        <v>833</v>
      </c>
      <c r="D122" s="19">
        <v>330000</v>
      </c>
      <c r="E122" s="19">
        <v>43989</v>
      </c>
      <c r="F122" s="19">
        <f>SUM(D122:E122)</f>
        <v>373989</v>
      </c>
      <c r="G122" s="240">
        <v>50</v>
      </c>
      <c r="H122" s="254">
        <v>7479.78</v>
      </c>
      <c r="I122" s="96">
        <v>22</v>
      </c>
      <c r="J122" s="97">
        <f t="shared" si="14"/>
        <v>28</v>
      </c>
      <c r="K122" s="91">
        <f t="shared" si="13"/>
        <v>164555.16</v>
      </c>
      <c r="L122" s="94">
        <f t="shared" si="15"/>
        <v>209433.84</v>
      </c>
      <c r="M122" s="11"/>
    </row>
    <row r="123" spans="1:15" s="114" customFormat="1">
      <c r="A123" s="96">
        <v>118</v>
      </c>
      <c r="B123" s="11" t="s">
        <v>707</v>
      </c>
      <c r="C123" s="11" t="s">
        <v>803</v>
      </c>
      <c r="D123" s="16">
        <v>500000</v>
      </c>
      <c r="E123" s="16">
        <v>66650</v>
      </c>
      <c r="F123" s="16">
        <v>566650</v>
      </c>
      <c r="G123" s="159">
        <v>50</v>
      </c>
      <c r="H123" s="254">
        <v>11330</v>
      </c>
      <c r="I123" s="96">
        <v>29</v>
      </c>
      <c r="J123" s="97">
        <f t="shared" si="14"/>
        <v>21</v>
      </c>
      <c r="K123" s="91">
        <f t="shared" si="13"/>
        <v>328570</v>
      </c>
      <c r="L123" s="94">
        <f t="shared" si="15"/>
        <v>238080</v>
      </c>
      <c r="M123" s="11"/>
    </row>
    <row r="124" spans="1:15" s="114" customFormat="1">
      <c r="A124" s="217"/>
      <c r="B124" s="126"/>
      <c r="C124" s="8"/>
      <c r="D124" s="34">
        <f>SUM(D6:D123)</f>
        <v>51162000</v>
      </c>
      <c r="E124" s="34">
        <f>SUM(E6:E123)</f>
        <v>6709263.5999999996</v>
      </c>
      <c r="F124" s="34">
        <f>SUM(F6:F123)</f>
        <v>57871263.600000001</v>
      </c>
      <c r="G124" s="36"/>
      <c r="H124" s="34">
        <f>SUM(H6:H123)</f>
        <v>1192008.9499999997</v>
      </c>
      <c r="I124" s="34"/>
      <c r="J124" s="34"/>
      <c r="K124" s="34">
        <f>SUM(K6:K123)</f>
        <v>33365953.54000001</v>
      </c>
      <c r="L124" s="34">
        <f>SUM(L6:L123)</f>
        <v>24505310.059999991</v>
      </c>
      <c r="M124" s="8"/>
    </row>
    <row r="125" spans="1:15" s="114" customFormat="1">
      <c r="A125" s="44"/>
      <c r="B125" s="44"/>
      <c r="C125" s="184"/>
      <c r="D125"/>
      <c r="E125"/>
      <c r="F125"/>
      <c r="G125" s="43"/>
      <c r="H125" s="39">
        <v>1192008.9500000002</v>
      </c>
      <c r="I125" s="99"/>
      <c r="J125" s="99"/>
      <c r="K125"/>
      <c r="L125"/>
      <c r="M125"/>
    </row>
    <row r="126" spans="1:15" s="114" customFormat="1">
      <c r="A126" s="44"/>
      <c r="B126" s="44"/>
      <c r="C126" s="184"/>
      <c r="D126"/>
      <c r="E126"/>
      <c r="F126"/>
      <c r="G126" s="43"/>
      <c r="H126"/>
      <c r="I126" s="99"/>
      <c r="J126" s="99"/>
      <c r="K126"/>
      <c r="L126"/>
      <c r="M126"/>
      <c r="O126" s="120"/>
    </row>
    <row r="127" spans="1:15" s="114" customFormat="1">
      <c r="A127" s="44"/>
      <c r="B127" s="44"/>
      <c r="C127" s="184"/>
      <c r="D127"/>
      <c r="E127"/>
      <c r="F127"/>
      <c r="G127" s="43"/>
      <c r="H127" s="39">
        <f>H125-H124</f>
        <v>0</v>
      </c>
      <c r="I127" s="99"/>
      <c r="J127" s="99"/>
      <c r="K127"/>
      <c r="L127"/>
      <c r="M127"/>
    </row>
    <row r="128" spans="1:15" s="114" customFormat="1"/>
    <row r="129" spans="1:15" s="114" customFormat="1"/>
    <row r="130" spans="1:15" s="114" customFormat="1"/>
    <row r="131" spans="1:15" s="114" customFormat="1"/>
    <row r="132" spans="1:15" s="114" customFormat="1">
      <c r="A132" s="96">
        <v>1</v>
      </c>
      <c r="B132" s="241"/>
      <c r="C132" s="4" t="s">
        <v>383</v>
      </c>
      <c r="D132" s="41">
        <v>200000</v>
      </c>
      <c r="E132" s="41">
        <v>26660</v>
      </c>
      <c r="F132" s="41">
        <f t="shared" ref="F132:F137" si="16">SUM(D132:E132)</f>
        <v>226660</v>
      </c>
      <c r="G132" s="159">
        <v>40</v>
      </c>
      <c r="H132" s="208">
        <v>5666.5</v>
      </c>
      <c r="I132" s="96">
        <v>42</v>
      </c>
      <c r="J132" s="96">
        <f t="shared" ref="J132:J141" si="17">G132-I132</f>
        <v>-2</v>
      </c>
      <c r="K132" s="16">
        <f t="shared" ref="K132:K141" si="18">I132*H132</f>
        <v>237993</v>
      </c>
      <c r="L132" s="41">
        <f t="shared" ref="L132:L141" si="19">F132-K132</f>
        <v>-11333</v>
      </c>
      <c r="M132" s="11"/>
      <c r="N132" s="180" t="e">
        <f>#REF!-H132</f>
        <v>#REF!</v>
      </c>
    </row>
    <row r="133" spans="1:15" s="120" customFormat="1">
      <c r="A133" s="96">
        <v>5</v>
      </c>
      <c r="B133" s="241"/>
      <c r="C133" s="4" t="s">
        <v>413</v>
      </c>
      <c r="D133" s="12">
        <v>180000</v>
      </c>
      <c r="E133" s="12">
        <v>23994</v>
      </c>
      <c r="F133" s="15">
        <f t="shared" si="16"/>
        <v>203994</v>
      </c>
      <c r="G133" s="14">
        <v>40</v>
      </c>
      <c r="H133" s="208">
        <v>5099.8500000000004</v>
      </c>
      <c r="I133" s="159">
        <v>38</v>
      </c>
      <c r="J133" s="97">
        <f t="shared" si="17"/>
        <v>2</v>
      </c>
      <c r="K133" s="91">
        <f t="shared" si="18"/>
        <v>193794.30000000002</v>
      </c>
      <c r="L133" s="15">
        <f t="shared" si="19"/>
        <v>10199.699999999983</v>
      </c>
      <c r="M133" s="8"/>
      <c r="N133" s="180" t="e">
        <f>#REF!-H133</f>
        <v>#REF!</v>
      </c>
      <c r="O133" s="114"/>
    </row>
    <row r="134" spans="1:15" s="114" customFormat="1">
      <c r="A134" s="96">
        <v>12</v>
      </c>
      <c r="B134" s="96"/>
      <c r="C134" s="2" t="s">
        <v>389</v>
      </c>
      <c r="D134" s="41">
        <v>200000</v>
      </c>
      <c r="E134" s="41">
        <v>26660</v>
      </c>
      <c r="F134" s="41">
        <f t="shared" si="16"/>
        <v>226660</v>
      </c>
      <c r="G134" s="220">
        <v>40</v>
      </c>
      <c r="H134" s="208">
        <v>5666.5</v>
      </c>
      <c r="I134" s="96">
        <v>53</v>
      </c>
      <c r="J134" s="96">
        <f t="shared" si="17"/>
        <v>-13</v>
      </c>
      <c r="K134" s="16">
        <f t="shared" si="18"/>
        <v>300324.5</v>
      </c>
      <c r="L134" s="41">
        <f t="shared" si="19"/>
        <v>-73664.5</v>
      </c>
      <c r="M134" s="152"/>
      <c r="N134" s="180" t="e">
        <f>#REF!-H134</f>
        <v>#REF!</v>
      </c>
    </row>
    <row r="135" spans="1:15" s="114" customFormat="1">
      <c r="A135" s="96">
        <v>29</v>
      </c>
      <c r="B135" s="241"/>
      <c r="C135" s="4" t="s">
        <v>414</v>
      </c>
      <c r="D135" s="16">
        <v>180000</v>
      </c>
      <c r="E135" s="16">
        <v>23994</v>
      </c>
      <c r="F135" s="41">
        <f t="shared" si="16"/>
        <v>203994</v>
      </c>
      <c r="G135" s="159">
        <v>40</v>
      </c>
      <c r="H135" s="208">
        <v>5099.8500000000004</v>
      </c>
      <c r="I135" s="97">
        <v>40</v>
      </c>
      <c r="J135" s="97">
        <f t="shared" si="17"/>
        <v>0</v>
      </c>
      <c r="K135" s="91">
        <f t="shared" si="18"/>
        <v>203994</v>
      </c>
      <c r="L135" s="94">
        <f t="shared" si="19"/>
        <v>0</v>
      </c>
      <c r="M135" s="11"/>
      <c r="N135" s="180" t="e">
        <f>#REF!-H135</f>
        <v>#REF!</v>
      </c>
    </row>
    <row r="136" spans="1:15" s="114" customFormat="1">
      <c r="A136" s="96">
        <v>64</v>
      </c>
      <c r="B136" s="241"/>
      <c r="C136" s="4" t="s">
        <v>403</v>
      </c>
      <c r="D136" s="41">
        <v>200000</v>
      </c>
      <c r="E136" s="41">
        <v>26660</v>
      </c>
      <c r="F136" s="41">
        <f t="shared" si="16"/>
        <v>226660</v>
      </c>
      <c r="G136" s="159">
        <v>40</v>
      </c>
      <c r="H136" s="208">
        <v>5666.5</v>
      </c>
      <c r="I136" s="97">
        <v>42</v>
      </c>
      <c r="J136" s="97">
        <f t="shared" si="17"/>
        <v>-2</v>
      </c>
      <c r="K136" s="91">
        <f t="shared" si="18"/>
        <v>237993</v>
      </c>
      <c r="L136" s="94">
        <f t="shared" si="19"/>
        <v>-11333</v>
      </c>
      <c r="M136" s="11"/>
      <c r="N136" s="180" t="e">
        <f>#REF!-H136</f>
        <v>#REF!</v>
      </c>
    </row>
    <row r="137" spans="1:15" s="114" customFormat="1">
      <c r="A137" s="96">
        <v>68</v>
      </c>
      <c r="B137" s="241"/>
      <c r="C137" s="4" t="s">
        <v>422</v>
      </c>
      <c r="D137" s="16">
        <v>132000</v>
      </c>
      <c r="E137" s="16">
        <v>17595.599999999999</v>
      </c>
      <c r="F137" s="41">
        <f t="shared" si="16"/>
        <v>149595.6</v>
      </c>
      <c r="G137" s="159">
        <v>40</v>
      </c>
      <c r="H137" s="208">
        <v>3739.89</v>
      </c>
      <c r="I137" s="97">
        <v>42</v>
      </c>
      <c r="J137" s="97">
        <f t="shared" si="17"/>
        <v>-2</v>
      </c>
      <c r="K137" s="91">
        <f t="shared" si="18"/>
        <v>157075.38</v>
      </c>
      <c r="L137" s="94">
        <f t="shared" si="19"/>
        <v>-7479.7799999999988</v>
      </c>
      <c r="M137" s="11"/>
      <c r="N137" s="180" t="e">
        <f>#REF!-H137</f>
        <v>#REF!</v>
      </c>
    </row>
    <row r="138" spans="1:15" s="114" customFormat="1">
      <c r="A138" s="96">
        <v>86</v>
      </c>
      <c r="B138" s="241"/>
      <c r="C138" s="4" t="s">
        <v>407</v>
      </c>
      <c r="D138" s="41">
        <v>200000</v>
      </c>
      <c r="E138" s="41">
        <v>26660</v>
      </c>
      <c r="F138" s="41">
        <v>226660</v>
      </c>
      <c r="G138" s="159">
        <v>40</v>
      </c>
      <c r="H138" s="208">
        <v>5666.5</v>
      </c>
      <c r="I138" s="97">
        <v>42</v>
      </c>
      <c r="J138" s="97">
        <f t="shared" si="17"/>
        <v>-2</v>
      </c>
      <c r="K138" s="91">
        <f t="shared" si="18"/>
        <v>237993</v>
      </c>
      <c r="L138" s="94">
        <f t="shared" si="19"/>
        <v>-11333</v>
      </c>
      <c r="M138" s="11"/>
      <c r="N138" s="180" t="e">
        <f>#REF!-H138</f>
        <v>#REF!</v>
      </c>
    </row>
    <row r="139" spans="1:15" s="114" customFormat="1">
      <c r="A139" s="96">
        <v>94</v>
      </c>
      <c r="B139" s="241"/>
      <c r="C139" s="4" t="s">
        <v>408</v>
      </c>
      <c r="D139" s="41">
        <v>200000</v>
      </c>
      <c r="E139" s="41">
        <v>26660</v>
      </c>
      <c r="F139" s="41">
        <v>226660</v>
      </c>
      <c r="G139" s="159">
        <v>40</v>
      </c>
      <c r="H139" s="208">
        <v>5666.5</v>
      </c>
      <c r="I139" s="97">
        <v>42</v>
      </c>
      <c r="J139" s="97">
        <f t="shared" si="17"/>
        <v>-2</v>
      </c>
      <c r="K139" s="91">
        <f t="shared" si="18"/>
        <v>237993</v>
      </c>
      <c r="L139" s="94">
        <f t="shared" si="19"/>
        <v>-11333</v>
      </c>
      <c r="M139" s="11"/>
      <c r="N139" s="180" t="e">
        <f>#REF!-H139</f>
        <v>#REF!</v>
      </c>
    </row>
    <row r="140" spans="1:15" s="114" customFormat="1">
      <c r="A140" s="96">
        <v>99</v>
      </c>
      <c r="B140" s="241"/>
      <c r="C140" s="4" t="s">
        <v>409</v>
      </c>
      <c r="D140" s="41">
        <v>200000</v>
      </c>
      <c r="E140" s="41">
        <v>26660</v>
      </c>
      <c r="F140" s="41">
        <f>SUM(D140:E140)</f>
        <v>226660</v>
      </c>
      <c r="G140" s="159">
        <v>40</v>
      </c>
      <c r="H140" s="208">
        <v>5666.5</v>
      </c>
      <c r="I140" s="97">
        <v>42</v>
      </c>
      <c r="J140" s="97">
        <f t="shared" si="17"/>
        <v>-2</v>
      </c>
      <c r="K140" s="91">
        <f t="shared" si="18"/>
        <v>237993</v>
      </c>
      <c r="L140" s="94">
        <f t="shared" si="19"/>
        <v>-11333</v>
      </c>
      <c r="M140" s="11"/>
      <c r="N140" s="180" t="e">
        <f>#REF!-H140</f>
        <v>#REF!</v>
      </c>
    </row>
    <row r="141" spans="1:15" s="114" customFormat="1">
      <c r="A141" s="96">
        <v>107</v>
      </c>
      <c r="B141" s="241"/>
      <c r="C141" s="4" t="s">
        <v>35</v>
      </c>
      <c r="D141" s="155">
        <v>150000</v>
      </c>
      <c r="E141" s="155">
        <v>19995</v>
      </c>
      <c r="F141" s="155">
        <f>SUM(D141:E141)</f>
        <v>169995</v>
      </c>
      <c r="G141" s="159">
        <v>50</v>
      </c>
      <c r="H141" s="208">
        <v>3399.9</v>
      </c>
      <c r="I141" s="97">
        <v>14</v>
      </c>
      <c r="J141" s="97">
        <f t="shared" si="17"/>
        <v>36</v>
      </c>
      <c r="K141" s="91">
        <f t="shared" si="18"/>
        <v>47598.6</v>
      </c>
      <c r="L141" s="91">
        <f t="shared" si="19"/>
        <v>122396.4</v>
      </c>
      <c r="M141" s="122"/>
      <c r="N141" s="180" t="e">
        <f>#REF!-H141</f>
        <v>#REF!</v>
      </c>
    </row>
    <row r="142" spans="1:15" s="114" customFormat="1"/>
    <row r="143" spans="1:15" s="114" customFormat="1">
      <c r="A143" s="96">
        <v>30</v>
      </c>
      <c r="B143" s="96"/>
      <c r="C143" s="25" t="s">
        <v>362</v>
      </c>
      <c r="D143" s="12">
        <v>450000</v>
      </c>
      <c r="E143" s="12">
        <v>59985</v>
      </c>
      <c r="F143" s="15">
        <f>SUM(D143:E143)</f>
        <v>509985</v>
      </c>
      <c r="G143" s="14">
        <v>50</v>
      </c>
      <c r="H143" s="212">
        <v>10199.700000000001</v>
      </c>
      <c r="I143" s="14">
        <v>30</v>
      </c>
      <c r="J143" s="97">
        <f t="shared" ref="J143:J150" si="20">G143-I143</f>
        <v>20</v>
      </c>
      <c r="K143" s="91">
        <f>I143*H143</f>
        <v>305991</v>
      </c>
      <c r="L143" s="15">
        <f t="shared" ref="L143:L150" si="21">F143-K143</f>
        <v>203994</v>
      </c>
      <c r="M143" s="8"/>
      <c r="N143" s="180" t="e">
        <f>#REF!-H143</f>
        <v>#REF!</v>
      </c>
    </row>
    <row r="144" spans="1:15" s="114" customFormat="1">
      <c r="A144" s="96">
        <v>102</v>
      </c>
      <c r="B144" s="241"/>
      <c r="C144" s="46" t="s">
        <v>289</v>
      </c>
      <c r="D144" s="16">
        <v>180000</v>
      </c>
      <c r="E144" s="16">
        <v>23994</v>
      </c>
      <c r="F144" s="16">
        <v>203994</v>
      </c>
      <c r="G144" s="221">
        <v>40</v>
      </c>
      <c r="H144" s="167">
        <v>5099.8500000000004</v>
      </c>
      <c r="I144" s="97">
        <v>40</v>
      </c>
      <c r="J144" s="97">
        <f t="shared" si="20"/>
        <v>0</v>
      </c>
      <c r="K144" s="156">
        <f>(36*5099.85)</f>
        <v>183594.6</v>
      </c>
      <c r="L144" s="91">
        <f t="shared" si="21"/>
        <v>20399.399999999994</v>
      </c>
      <c r="M144" s="122"/>
      <c r="N144" s="180" t="e">
        <f>#REF!-H144</f>
        <v>#REF!</v>
      </c>
    </row>
    <row r="145" spans="1:15" s="114" customFormat="1">
      <c r="A145" s="96">
        <v>90</v>
      </c>
      <c r="B145" s="241"/>
      <c r="C145" s="4" t="s">
        <v>416</v>
      </c>
      <c r="D145" s="12">
        <v>180000</v>
      </c>
      <c r="E145" s="12">
        <v>23994</v>
      </c>
      <c r="F145" s="15">
        <f>SUM(D145:E145)</f>
        <v>203994</v>
      </c>
      <c r="G145" s="21">
        <v>40</v>
      </c>
      <c r="H145" s="167">
        <v>5099.8500000000004</v>
      </c>
      <c r="I145" s="14">
        <v>47</v>
      </c>
      <c r="J145" s="97">
        <f t="shared" si="20"/>
        <v>-7</v>
      </c>
      <c r="K145" s="91">
        <f t="shared" ref="K145:K150" si="22">I145*H145</f>
        <v>239692.95</v>
      </c>
      <c r="L145" s="15">
        <f t="shared" si="21"/>
        <v>-35698.950000000012</v>
      </c>
      <c r="M145" s="10"/>
      <c r="N145" s="180" t="e">
        <f>#REF!-H145</f>
        <v>#REF!</v>
      </c>
    </row>
    <row r="146" spans="1:15" s="114" customFormat="1">
      <c r="A146" s="96">
        <v>4</v>
      </c>
      <c r="B146" s="241"/>
      <c r="C146" s="4" t="s">
        <v>384</v>
      </c>
      <c r="D146" s="41">
        <v>200000</v>
      </c>
      <c r="E146" s="41">
        <v>26660</v>
      </c>
      <c r="F146" s="41">
        <f>SUM(D146:E146)</f>
        <v>226660</v>
      </c>
      <c r="G146" s="159">
        <v>40</v>
      </c>
      <c r="H146" s="167">
        <v>5666.5</v>
      </c>
      <c r="I146" s="96">
        <v>32</v>
      </c>
      <c r="J146" s="96">
        <f t="shared" si="20"/>
        <v>8</v>
      </c>
      <c r="K146" s="16">
        <f t="shared" si="22"/>
        <v>181328</v>
      </c>
      <c r="L146" s="41">
        <f t="shared" si="21"/>
        <v>45332</v>
      </c>
      <c r="M146" s="11"/>
      <c r="N146" s="180" t="e">
        <f>#REF!-H146</f>
        <v>#REF!</v>
      </c>
    </row>
    <row r="147" spans="1:15" s="114" customFormat="1">
      <c r="A147" s="96">
        <v>10</v>
      </c>
      <c r="B147" s="241"/>
      <c r="C147" s="4" t="s">
        <v>388</v>
      </c>
      <c r="D147" s="15">
        <v>200000</v>
      </c>
      <c r="E147" s="15">
        <v>26660</v>
      </c>
      <c r="F147" s="15">
        <f>SUM(D147:E147)</f>
        <v>226660</v>
      </c>
      <c r="G147" s="14">
        <v>40</v>
      </c>
      <c r="H147" s="24">
        <v>5666.5</v>
      </c>
      <c r="I147" s="14">
        <v>38</v>
      </c>
      <c r="J147" s="97">
        <f t="shared" si="20"/>
        <v>2</v>
      </c>
      <c r="K147" s="91">
        <f t="shared" si="22"/>
        <v>215327</v>
      </c>
      <c r="L147" s="15">
        <f t="shared" si="21"/>
        <v>11333</v>
      </c>
      <c r="M147" s="8"/>
      <c r="N147" s="180" t="e">
        <f>#REF!-H147</f>
        <v>#REF!</v>
      </c>
    </row>
    <row r="148" spans="1:15" s="114" customFormat="1">
      <c r="A148" s="96">
        <v>25</v>
      </c>
      <c r="B148" s="241"/>
      <c r="C148" s="4" t="s">
        <v>140</v>
      </c>
      <c r="D148" s="15">
        <v>200000</v>
      </c>
      <c r="E148" s="15">
        <v>26660</v>
      </c>
      <c r="F148" s="15">
        <f>SUM(D148:E148)</f>
        <v>226660</v>
      </c>
      <c r="G148" s="14">
        <v>40</v>
      </c>
      <c r="H148" s="167">
        <v>5666.5</v>
      </c>
      <c r="I148" s="14">
        <v>34</v>
      </c>
      <c r="J148" s="97">
        <f t="shared" si="20"/>
        <v>6</v>
      </c>
      <c r="K148" s="91">
        <f t="shared" si="22"/>
        <v>192661</v>
      </c>
      <c r="L148" s="15">
        <f t="shared" si="21"/>
        <v>33999</v>
      </c>
      <c r="M148" s="8"/>
      <c r="N148" s="180" t="e">
        <f>#REF!-H148</f>
        <v>#REF!</v>
      </c>
    </row>
    <row r="149" spans="1:15" s="114" customFormat="1">
      <c r="A149" s="96">
        <v>31</v>
      </c>
      <c r="B149" s="96"/>
      <c r="C149" s="2" t="s">
        <v>284</v>
      </c>
      <c r="D149" s="19">
        <v>500000</v>
      </c>
      <c r="E149" s="19">
        <v>66650</v>
      </c>
      <c r="F149" s="19">
        <v>566650</v>
      </c>
      <c r="G149" s="159">
        <v>50</v>
      </c>
      <c r="H149" s="167">
        <v>11333</v>
      </c>
      <c r="I149" s="97">
        <v>34</v>
      </c>
      <c r="J149" s="97">
        <f t="shared" si="20"/>
        <v>16</v>
      </c>
      <c r="K149" s="91">
        <f t="shared" si="22"/>
        <v>385322</v>
      </c>
      <c r="L149" s="91">
        <f t="shared" si="21"/>
        <v>181328</v>
      </c>
      <c r="M149" s="122"/>
      <c r="N149" s="180" t="e">
        <f>#REF!-H149</f>
        <v>#REF!</v>
      </c>
    </row>
    <row r="150" spans="1:15" s="114" customFormat="1">
      <c r="A150" s="96">
        <v>122</v>
      </c>
      <c r="B150" s="241"/>
      <c r="C150" s="168" t="s">
        <v>382</v>
      </c>
      <c r="D150" s="12">
        <v>330000</v>
      </c>
      <c r="E150" s="12">
        <v>43989</v>
      </c>
      <c r="F150" s="15">
        <f>SUM(D150:E150)</f>
        <v>373989</v>
      </c>
      <c r="G150" s="14">
        <v>50</v>
      </c>
      <c r="H150" s="222">
        <v>7479.78</v>
      </c>
      <c r="I150" s="14">
        <v>32</v>
      </c>
      <c r="J150" s="97">
        <f t="shared" si="20"/>
        <v>18</v>
      </c>
      <c r="K150" s="91">
        <f t="shared" si="22"/>
        <v>239352.95999999999</v>
      </c>
      <c r="L150" s="15">
        <f t="shared" si="21"/>
        <v>134636.04</v>
      </c>
      <c r="M150" s="8"/>
      <c r="N150"/>
    </row>
    <row r="151" spans="1:15" s="114" customFormat="1"/>
    <row r="152" spans="1:15" s="114" customFormat="1">
      <c r="A152" s="96">
        <v>96</v>
      </c>
      <c r="B152" s="241"/>
      <c r="C152" s="4" t="s">
        <v>482</v>
      </c>
      <c r="D152" s="12">
        <v>60000</v>
      </c>
      <c r="E152" s="12">
        <v>7998</v>
      </c>
      <c r="F152" s="15">
        <f>SUM(D152:E152)</f>
        <v>67998</v>
      </c>
      <c r="G152" s="14">
        <v>40</v>
      </c>
      <c r="H152" s="172">
        <v>1699.95</v>
      </c>
      <c r="I152" s="97">
        <v>41</v>
      </c>
      <c r="J152" s="97">
        <f>G152-I152</f>
        <v>-1</v>
      </c>
      <c r="K152" s="91">
        <f>I152*H152</f>
        <v>69697.95</v>
      </c>
      <c r="L152" s="94">
        <f>F152-K152</f>
        <v>-1699.9499999999971</v>
      </c>
      <c r="M152" s="122"/>
    </row>
    <row r="153" spans="1:15" s="114" customFormat="1"/>
    <row r="154" spans="1:15" s="114" customFormat="1">
      <c r="A154" s="96">
        <v>121</v>
      </c>
      <c r="B154" s="241"/>
      <c r="C154" s="4" t="s">
        <v>429</v>
      </c>
      <c r="D154" s="16">
        <v>60000</v>
      </c>
      <c r="E154" s="16">
        <v>7998</v>
      </c>
      <c r="F154" s="41">
        <f>SUM(D154:E154)</f>
        <v>67998</v>
      </c>
      <c r="G154" s="159">
        <v>40</v>
      </c>
      <c r="H154" s="167">
        <v>1699.95</v>
      </c>
      <c r="I154" s="97">
        <v>40</v>
      </c>
      <c r="J154" s="97">
        <f>G154-I154</f>
        <v>0</v>
      </c>
      <c r="K154" s="91">
        <f>I154*H154</f>
        <v>67998</v>
      </c>
      <c r="L154" s="94">
        <f>F154-K154</f>
        <v>0</v>
      </c>
      <c r="M154" s="11"/>
      <c r="N154" s="180" t="e">
        <f>#REF!-H154</f>
        <v>#REF!</v>
      </c>
    </row>
    <row r="155" spans="1:15" s="114" customFormat="1">
      <c r="A155" s="44"/>
      <c r="B155" s="44"/>
      <c r="C155" s="184"/>
      <c r="D155"/>
      <c r="E155"/>
      <c r="F155"/>
      <c r="G155" s="43"/>
      <c r="H155"/>
      <c r="I155" s="99"/>
      <c r="J155" s="99"/>
      <c r="K155"/>
      <c r="L155"/>
      <c r="M155"/>
      <c r="N155"/>
      <c r="O155"/>
    </row>
    <row r="156" spans="1:15" s="114" customFormat="1">
      <c r="A156" s="96">
        <v>12</v>
      </c>
      <c r="B156" s="96"/>
      <c r="C156" s="2" t="s">
        <v>373</v>
      </c>
      <c r="D156" s="16">
        <v>330000</v>
      </c>
      <c r="E156" s="16">
        <v>43989</v>
      </c>
      <c r="F156" s="41">
        <f>SUM(D156:E156)</f>
        <v>373989</v>
      </c>
      <c r="G156" s="33">
        <v>50</v>
      </c>
      <c r="H156" s="16">
        <v>7479.78</v>
      </c>
      <c r="I156" s="96">
        <v>26</v>
      </c>
      <c r="J156" s="96">
        <f>G156-I156</f>
        <v>24</v>
      </c>
      <c r="K156" s="16">
        <f>I156*H156</f>
        <v>194474.28</v>
      </c>
      <c r="L156" s="41">
        <f>F156-K156</f>
        <v>179514.72</v>
      </c>
      <c r="M156" s="11"/>
      <c r="N156" s="180" t="e">
        <f>#REF!-H156</f>
        <v>#REF!</v>
      </c>
      <c r="O156"/>
    </row>
    <row r="157" spans="1:15" s="114" customFormat="1">
      <c r="A157" s="96">
        <v>87</v>
      </c>
      <c r="B157" s="96"/>
      <c r="C157" s="2" t="s">
        <v>421</v>
      </c>
      <c r="D157" s="16">
        <v>132000</v>
      </c>
      <c r="E157" s="16">
        <v>17595.599999999999</v>
      </c>
      <c r="F157" s="16">
        <v>149595.6</v>
      </c>
      <c r="G157" s="45">
        <v>40</v>
      </c>
      <c r="H157" s="19">
        <v>3739.89</v>
      </c>
      <c r="I157" s="97">
        <v>46</v>
      </c>
      <c r="J157" s="97">
        <f>G157-I157</f>
        <v>-6</v>
      </c>
      <c r="K157" s="91">
        <f>I157*H157</f>
        <v>172034.94</v>
      </c>
      <c r="L157" s="94">
        <f>F157-K157</f>
        <v>-22439.339999999997</v>
      </c>
      <c r="M157" s="11"/>
      <c r="N157" s="180" t="e">
        <f>#REF!-H157</f>
        <v>#REF!</v>
      </c>
      <c r="O157"/>
    </row>
    <row r="158" spans="1:15" s="114" customFormat="1">
      <c r="A158" s="96">
        <v>116</v>
      </c>
      <c r="B158" s="96"/>
      <c r="C158" s="2" t="s">
        <v>377</v>
      </c>
      <c r="D158" s="155">
        <v>330000</v>
      </c>
      <c r="E158" s="155">
        <v>43989</v>
      </c>
      <c r="F158" s="155">
        <f>SUM(D158:E158)</f>
        <v>373989</v>
      </c>
      <c r="G158" s="33">
        <v>50</v>
      </c>
      <c r="H158" s="154">
        <v>7479.78</v>
      </c>
      <c r="I158" s="97">
        <v>12</v>
      </c>
      <c r="J158" s="97">
        <f>G158-I158</f>
        <v>38</v>
      </c>
      <c r="K158" s="91">
        <f>I158*H158</f>
        <v>89757.36</v>
      </c>
      <c r="L158" s="91">
        <f>F158-K158</f>
        <v>284231.64</v>
      </c>
      <c r="M158" s="122"/>
      <c r="N158" s="180" t="e">
        <f>#REF!-H158</f>
        <v>#REF!</v>
      </c>
      <c r="O158"/>
    </row>
    <row r="159" spans="1:15" s="114" customFormat="1" ht="14.25" customHeight="1">
      <c r="A159" s="44"/>
      <c r="B159" s="44"/>
      <c r="C159" s="184"/>
      <c r="D159"/>
      <c r="E159"/>
      <c r="F159"/>
      <c r="G159" s="43"/>
      <c r="H159"/>
      <c r="I159" s="99"/>
      <c r="J159" s="99"/>
      <c r="K159"/>
      <c r="L159"/>
      <c r="M159"/>
      <c r="N159"/>
      <c r="O159"/>
    </row>
    <row r="160" spans="1:15" s="114" customFormat="1" ht="14.25" customHeight="1">
      <c r="A160" s="96">
        <v>144</v>
      </c>
      <c r="B160" s="96"/>
      <c r="C160" s="2" t="s">
        <v>410</v>
      </c>
      <c r="D160" s="41">
        <v>200000</v>
      </c>
      <c r="E160" s="41">
        <v>26660</v>
      </c>
      <c r="F160" s="41">
        <f>SUM(D160:E160)</f>
        <v>226660</v>
      </c>
      <c r="G160" s="33">
        <v>40</v>
      </c>
      <c r="H160" s="41">
        <v>5666.5</v>
      </c>
      <c r="I160" s="97">
        <v>40</v>
      </c>
      <c r="J160" s="97">
        <f>G160-I160</f>
        <v>0</v>
      </c>
      <c r="K160" s="91">
        <f>I160*H160</f>
        <v>226660</v>
      </c>
      <c r="L160" s="94">
        <f>F160-K160</f>
        <v>0</v>
      </c>
      <c r="M160" s="11"/>
      <c r="N160" s="180" t="e">
        <f>#REF!-H160</f>
        <v>#REF!</v>
      </c>
      <c r="O160"/>
    </row>
    <row r="161" spans="1:15" ht="14.25" customHeight="1">
      <c r="A161" s="96">
        <v>147</v>
      </c>
      <c r="B161" s="96"/>
      <c r="C161" s="2" t="s">
        <v>411</v>
      </c>
      <c r="D161" s="41">
        <v>200000</v>
      </c>
      <c r="E161" s="41">
        <v>26660</v>
      </c>
      <c r="F161" s="41">
        <v>226660</v>
      </c>
      <c r="G161" s="33">
        <v>40</v>
      </c>
      <c r="H161" s="19">
        <v>5666.5</v>
      </c>
      <c r="I161" s="97">
        <v>40</v>
      </c>
      <c r="J161" s="97">
        <f>G161-I161</f>
        <v>0</v>
      </c>
      <c r="K161" s="91">
        <f>I161*H161</f>
        <v>226660</v>
      </c>
      <c r="L161" s="94">
        <f>F161-K161</f>
        <v>0</v>
      </c>
      <c r="M161" s="11"/>
      <c r="N161" s="180" t="e">
        <f>#REF!-H161</f>
        <v>#REF!</v>
      </c>
    </row>
    <row r="162" spans="1:15" ht="14.25" customHeight="1">
      <c r="A162" s="96">
        <v>148</v>
      </c>
      <c r="B162" s="96"/>
      <c r="C162" s="2" t="s">
        <v>412</v>
      </c>
      <c r="D162" s="41">
        <v>200000</v>
      </c>
      <c r="E162" s="41">
        <v>26660</v>
      </c>
      <c r="F162" s="41">
        <f>SUM(D162:E162)</f>
        <v>226660</v>
      </c>
      <c r="G162" s="33">
        <v>40</v>
      </c>
      <c r="H162" s="41">
        <v>5666.5</v>
      </c>
      <c r="I162" s="97">
        <v>40</v>
      </c>
      <c r="J162" s="97">
        <f>G162-I162</f>
        <v>0</v>
      </c>
      <c r="K162" s="91">
        <f>I162*H162</f>
        <v>226660</v>
      </c>
      <c r="L162" s="94">
        <f>F162-K162</f>
        <v>0</v>
      </c>
      <c r="M162" s="11"/>
      <c r="N162" s="180" t="e">
        <f>#REF!-H162</f>
        <v>#REF!</v>
      </c>
    </row>
    <row r="163" spans="1:15" ht="14.25" customHeight="1"/>
    <row r="164" spans="1:15" ht="14.25" customHeight="1">
      <c r="A164" s="96">
        <v>6</v>
      </c>
      <c r="B164" s="96"/>
      <c r="C164" s="2" t="s">
        <v>418</v>
      </c>
      <c r="D164" s="16">
        <v>132000</v>
      </c>
      <c r="E164" s="16">
        <v>17595.599999999999</v>
      </c>
      <c r="F164" s="41">
        <f t="shared" ref="F164:F176" si="23">SUM(D164:E164)</f>
        <v>149595.6</v>
      </c>
      <c r="G164" s="33">
        <v>40</v>
      </c>
      <c r="H164" s="16">
        <v>3739.89</v>
      </c>
      <c r="I164" s="96">
        <v>40</v>
      </c>
      <c r="J164" s="96">
        <f t="shared" ref="J164:J184" si="24">G164-I164</f>
        <v>0</v>
      </c>
      <c r="K164" s="16">
        <f t="shared" ref="K164:K184" si="25">I164*H164</f>
        <v>149595.6</v>
      </c>
      <c r="L164" s="41">
        <f t="shared" ref="L164:L184" si="26">F164-K164</f>
        <v>0</v>
      </c>
      <c r="M164" s="11"/>
      <c r="N164" s="180" t="e">
        <f>#REF!-H164</f>
        <v>#REF!</v>
      </c>
    </row>
    <row r="165" spans="1:15" ht="14.25" customHeight="1">
      <c r="A165" s="96">
        <v>11</v>
      </c>
      <c r="B165" s="96"/>
      <c r="C165" s="2" t="s">
        <v>386</v>
      </c>
      <c r="D165" s="41">
        <v>200000</v>
      </c>
      <c r="E165" s="41">
        <v>26660</v>
      </c>
      <c r="F165" s="41">
        <f t="shared" si="23"/>
        <v>226660</v>
      </c>
      <c r="G165" s="33">
        <v>40</v>
      </c>
      <c r="H165" s="41">
        <v>5666.5</v>
      </c>
      <c r="I165" s="96">
        <v>40</v>
      </c>
      <c r="J165" s="96">
        <f t="shared" si="24"/>
        <v>0</v>
      </c>
      <c r="K165" s="16">
        <f t="shared" si="25"/>
        <v>226660</v>
      </c>
      <c r="L165" s="41">
        <f t="shared" si="26"/>
        <v>0</v>
      </c>
      <c r="M165" s="11"/>
      <c r="N165" s="180" t="e">
        <f>#REF!-H165</f>
        <v>#REF!</v>
      </c>
    </row>
    <row r="166" spans="1:15" ht="14.25" customHeight="1">
      <c r="A166" s="96">
        <v>13</v>
      </c>
      <c r="B166" s="96"/>
      <c r="C166" s="2" t="s">
        <v>387</v>
      </c>
      <c r="D166" s="41">
        <v>200000</v>
      </c>
      <c r="E166" s="41">
        <v>26660</v>
      </c>
      <c r="F166" s="41">
        <f t="shared" si="23"/>
        <v>226660</v>
      </c>
      <c r="G166" s="33">
        <v>40</v>
      </c>
      <c r="H166" s="41">
        <v>5666.5</v>
      </c>
      <c r="I166" s="96">
        <v>40</v>
      </c>
      <c r="J166" s="96">
        <f t="shared" si="24"/>
        <v>0</v>
      </c>
      <c r="K166" s="16">
        <f t="shared" si="25"/>
        <v>226660</v>
      </c>
      <c r="L166" s="41">
        <f t="shared" si="26"/>
        <v>0</v>
      </c>
      <c r="M166" s="11"/>
      <c r="N166" s="180" t="e">
        <f>#REF!-H166</f>
        <v>#REF!</v>
      </c>
    </row>
    <row r="167" spans="1:15" ht="14.25" customHeight="1">
      <c r="A167" s="96">
        <v>20</v>
      </c>
      <c r="B167" s="96"/>
      <c r="C167" s="2" t="s">
        <v>390</v>
      </c>
      <c r="D167" s="41">
        <v>200000</v>
      </c>
      <c r="E167" s="41">
        <v>26660</v>
      </c>
      <c r="F167" s="41">
        <f t="shared" si="23"/>
        <v>226660</v>
      </c>
      <c r="G167" s="33">
        <v>40</v>
      </c>
      <c r="H167" s="41">
        <v>5666.5</v>
      </c>
      <c r="I167" s="96">
        <v>40</v>
      </c>
      <c r="J167" s="96">
        <f t="shared" si="24"/>
        <v>0</v>
      </c>
      <c r="K167" s="16">
        <f t="shared" si="25"/>
        <v>226660</v>
      </c>
      <c r="L167" s="41">
        <f t="shared" si="26"/>
        <v>0</v>
      </c>
      <c r="M167" s="11"/>
      <c r="N167" s="180" t="e">
        <f>#REF!-H167</f>
        <v>#REF!</v>
      </c>
    </row>
    <row r="168" spans="1:15" ht="14.25" customHeight="1">
      <c r="A168" s="96">
        <v>29</v>
      </c>
      <c r="B168" s="96"/>
      <c r="C168" s="2" t="s">
        <v>391</v>
      </c>
      <c r="D168" s="41">
        <v>200000</v>
      </c>
      <c r="E168" s="41">
        <v>26660</v>
      </c>
      <c r="F168" s="41">
        <f t="shared" si="23"/>
        <v>226660</v>
      </c>
      <c r="G168" s="33">
        <v>40</v>
      </c>
      <c r="H168" s="41">
        <v>5666.5</v>
      </c>
      <c r="I168" s="97">
        <v>40</v>
      </c>
      <c r="J168" s="97">
        <f t="shared" si="24"/>
        <v>0</v>
      </c>
      <c r="K168" s="91">
        <f t="shared" si="25"/>
        <v>226660</v>
      </c>
      <c r="L168" s="94">
        <f t="shared" si="26"/>
        <v>0</v>
      </c>
      <c r="M168" s="11"/>
      <c r="N168" s="180" t="e">
        <f>#REF!-H168</f>
        <v>#REF!</v>
      </c>
      <c r="O168" s="121"/>
    </row>
    <row r="169" spans="1:15" ht="14.25" customHeight="1">
      <c r="A169" s="96">
        <v>31</v>
      </c>
      <c r="B169" s="96"/>
      <c r="C169" s="2" t="s">
        <v>392</v>
      </c>
      <c r="D169" s="41">
        <v>200000</v>
      </c>
      <c r="E169" s="41">
        <v>26660</v>
      </c>
      <c r="F169" s="41">
        <f t="shared" si="23"/>
        <v>226660</v>
      </c>
      <c r="G169" s="33">
        <v>40</v>
      </c>
      <c r="H169" s="41">
        <v>5666.5</v>
      </c>
      <c r="I169" s="97">
        <v>40</v>
      </c>
      <c r="J169" s="97">
        <f t="shared" si="24"/>
        <v>0</v>
      </c>
      <c r="K169" s="91">
        <f t="shared" si="25"/>
        <v>226660</v>
      </c>
      <c r="L169" s="94">
        <f t="shared" si="26"/>
        <v>0</v>
      </c>
      <c r="M169" s="11"/>
      <c r="N169" s="180" t="e">
        <f>#REF!-H169</f>
        <v>#REF!</v>
      </c>
    </row>
    <row r="170" spans="1:15">
      <c r="A170" s="96">
        <v>34</v>
      </c>
      <c r="B170" s="96"/>
      <c r="C170" s="2" t="s">
        <v>393</v>
      </c>
      <c r="D170" s="41">
        <v>200000</v>
      </c>
      <c r="E170" s="41">
        <v>26660</v>
      </c>
      <c r="F170" s="41">
        <f t="shared" si="23"/>
        <v>226660</v>
      </c>
      <c r="G170" s="33">
        <v>40</v>
      </c>
      <c r="H170" s="41">
        <v>5666.5</v>
      </c>
      <c r="I170" s="97">
        <v>40</v>
      </c>
      <c r="J170" s="97">
        <f t="shared" si="24"/>
        <v>0</v>
      </c>
      <c r="K170" s="91">
        <f t="shared" si="25"/>
        <v>226660</v>
      </c>
      <c r="L170" s="94">
        <f t="shared" si="26"/>
        <v>0</v>
      </c>
      <c r="M170" s="11"/>
      <c r="N170" s="180" t="e">
        <f>#REF!-H170</f>
        <v>#REF!</v>
      </c>
    </row>
    <row r="171" spans="1:15">
      <c r="A171" s="96">
        <v>41</v>
      </c>
      <c r="B171" s="96"/>
      <c r="C171" s="2" t="s">
        <v>415</v>
      </c>
      <c r="D171" s="16">
        <v>180000</v>
      </c>
      <c r="E171" s="16">
        <v>23994</v>
      </c>
      <c r="F171" s="41">
        <f t="shared" si="23"/>
        <v>203994</v>
      </c>
      <c r="G171" s="33">
        <v>40</v>
      </c>
      <c r="H171" s="16">
        <v>5099.8500000000004</v>
      </c>
      <c r="I171" s="97">
        <v>40</v>
      </c>
      <c r="J171" s="97">
        <f t="shared" si="24"/>
        <v>0</v>
      </c>
      <c r="K171" s="91">
        <f t="shared" si="25"/>
        <v>203994</v>
      </c>
      <c r="L171" s="94">
        <f t="shared" si="26"/>
        <v>0</v>
      </c>
      <c r="M171" s="11"/>
      <c r="N171" s="180" t="e">
        <f>#REF!-H171</f>
        <v>#REF!</v>
      </c>
    </row>
    <row r="172" spans="1:15">
      <c r="A172" s="96">
        <v>45</v>
      </c>
      <c r="B172" s="96"/>
      <c r="C172" s="2" t="s">
        <v>394</v>
      </c>
      <c r="D172" s="41">
        <v>200000</v>
      </c>
      <c r="E172" s="41">
        <v>26660</v>
      </c>
      <c r="F172" s="41">
        <f t="shared" si="23"/>
        <v>226660</v>
      </c>
      <c r="G172" s="33">
        <v>40</v>
      </c>
      <c r="H172" s="41">
        <v>5666.5</v>
      </c>
      <c r="I172" s="97">
        <v>40</v>
      </c>
      <c r="J172" s="97">
        <f t="shared" si="24"/>
        <v>0</v>
      </c>
      <c r="K172" s="91">
        <f t="shared" si="25"/>
        <v>226660</v>
      </c>
      <c r="L172" s="94">
        <f t="shared" si="26"/>
        <v>0</v>
      </c>
      <c r="M172" s="11"/>
      <c r="N172" s="180" t="e">
        <f>#REF!-H172</f>
        <v>#REF!</v>
      </c>
    </row>
    <row r="173" spans="1:15" s="121" customFormat="1">
      <c r="A173" s="96">
        <v>51</v>
      </c>
      <c r="B173" s="96"/>
      <c r="C173" s="2" t="s">
        <v>395</v>
      </c>
      <c r="D173" s="15">
        <v>200000</v>
      </c>
      <c r="E173" s="15">
        <v>26660</v>
      </c>
      <c r="F173" s="15">
        <f t="shared" si="23"/>
        <v>226660</v>
      </c>
      <c r="G173" s="31">
        <v>40</v>
      </c>
      <c r="H173" s="15">
        <v>5666.5</v>
      </c>
      <c r="I173" s="14">
        <v>38</v>
      </c>
      <c r="J173" s="97">
        <f t="shared" si="24"/>
        <v>2</v>
      </c>
      <c r="K173" s="91">
        <f t="shared" si="25"/>
        <v>215327</v>
      </c>
      <c r="L173" s="15">
        <f t="shared" si="26"/>
        <v>11333</v>
      </c>
      <c r="M173" s="8"/>
      <c r="N173" s="180" t="e">
        <f>#REF!-H173</f>
        <v>#REF!</v>
      </c>
      <c r="O173"/>
    </row>
    <row r="174" spans="1:15">
      <c r="A174" s="96">
        <v>59</v>
      </c>
      <c r="B174" s="96"/>
      <c r="C174" s="2" t="s">
        <v>419</v>
      </c>
      <c r="D174" s="16">
        <v>132000</v>
      </c>
      <c r="E174" s="16">
        <v>17595.599999999999</v>
      </c>
      <c r="F174" s="41">
        <f t="shared" si="23"/>
        <v>149595.6</v>
      </c>
      <c r="G174" s="33">
        <v>40</v>
      </c>
      <c r="H174" s="16">
        <v>3739.89</v>
      </c>
      <c r="I174" s="97">
        <v>40</v>
      </c>
      <c r="J174" s="97">
        <f t="shared" si="24"/>
        <v>0</v>
      </c>
      <c r="K174" s="91">
        <f t="shared" si="25"/>
        <v>149595.6</v>
      </c>
      <c r="L174" s="94">
        <f t="shared" si="26"/>
        <v>0</v>
      </c>
      <c r="M174" s="11"/>
      <c r="N174" s="180" t="e">
        <f>#REF!-H174</f>
        <v>#REF!</v>
      </c>
    </row>
    <row r="175" spans="1:15">
      <c r="A175" s="96">
        <v>60</v>
      </c>
      <c r="B175" s="96"/>
      <c r="C175" s="2" t="s">
        <v>396</v>
      </c>
      <c r="D175" s="41">
        <v>200000</v>
      </c>
      <c r="E175" s="41">
        <v>26660</v>
      </c>
      <c r="F175" s="41">
        <f t="shared" si="23"/>
        <v>226660</v>
      </c>
      <c r="G175" s="33">
        <v>40</v>
      </c>
      <c r="H175" s="41">
        <v>5666.5</v>
      </c>
      <c r="I175" s="97">
        <v>40</v>
      </c>
      <c r="J175" s="97">
        <f t="shared" si="24"/>
        <v>0</v>
      </c>
      <c r="K175" s="91">
        <f t="shared" si="25"/>
        <v>226660</v>
      </c>
      <c r="L175" s="94">
        <f t="shared" si="26"/>
        <v>0</v>
      </c>
      <c r="M175" s="11"/>
      <c r="N175" s="180" t="e">
        <f>#REF!-H175</f>
        <v>#REF!</v>
      </c>
    </row>
    <row r="176" spans="1:15">
      <c r="A176" s="96">
        <v>65</v>
      </c>
      <c r="B176" s="96"/>
      <c r="C176" s="2" t="s">
        <v>420</v>
      </c>
      <c r="D176" s="16">
        <v>132000</v>
      </c>
      <c r="E176" s="16">
        <v>17595.599999999999</v>
      </c>
      <c r="F176" s="41">
        <f t="shared" si="23"/>
        <v>149595.6</v>
      </c>
      <c r="G176" s="33">
        <v>40</v>
      </c>
      <c r="H176" s="16">
        <v>3739.89</v>
      </c>
      <c r="I176" s="97">
        <v>40</v>
      </c>
      <c r="J176" s="97">
        <f t="shared" si="24"/>
        <v>0</v>
      </c>
      <c r="K176" s="91">
        <f t="shared" si="25"/>
        <v>149595.6</v>
      </c>
      <c r="L176" s="94">
        <f t="shared" si="26"/>
        <v>0</v>
      </c>
      <c r="M176" s="11"/>
      <c r="N176" s="180" t="e">
        <f>#REF!-H176</f>
        <v>#REF!</v>
      </c>
    </row>
    <row r="177" spans="1:14">
      <c r="A177" s="96">
        <v>67</v>
      </c>
      <c r="B177" s="96"/>
      <c r="C177" s="2" t="s">
        <v>397</v>
      </c>
      <c r="D177" s="41">
        <v>200000</v>
      </c>
      <c r="E177" s="41">
        <v>26660</v>
      </c>
      <c r="F177" s="41">
        <v>226660</v>
      </c>
      <c r="G177" s="33">
        <v>40</v>
      </c>
      <c r="H177" s="19">
        <v>5666.5</v>
      </c>
      <c r="I177" s="97">
        <v>40</v>
      </c>
      <c r="J177" s="97">
        <f t="shared" si="24"/>
        <v>0</v>
      </c>
      <c r="K177" s="91">
        <f t="shared" si="25"/>
        <v>226660</v>
      </c>
      <c r="L177" s="94">
        <f t="shared" si="26"/>
        <v>0</v>
      </c>
      <c r="M177" s="11"/>
      <c r="N177" s="180" t="e">
        <f>#REF!-H177</f>
        <v>#REF!</v>
      </c>
    </row>
    <row r="178" spans="1:14">
      <c r="A178" s="96">
        <v>69</v>
      </c>
      <c r="B178" s="96"/>
      <c r="C178" s="2" t="s">
        <v>398</v>
      </c>
      <c r="D178" s="41">
        <v>200000</v>
      </c>
      <c r="E178" s="41">
        <v>26660</v>
      </c>
      <c r="F178" s="41">
        <f>SUM(D178:E178)</f>
        <v>226660</v>
      </c>
      <c r="G178" s="33">
        <v>40</v>
      </c>
      <c r="H178" s="41">
        <v>5666.5</v>
      </c>
      <c r="I178" s="97">
        <v>40</v>
      </c>
      <c r="J178" s="97">
        <f t="shared" si="24"/>
        <v>0</v>
      </c>
      <c r="K178" s="91">
        <f t="shared" si="25"/>
        <v>226660</v>
      </c>
      <c r="L178" s="94">
        <f t="shared" si="26"/>
        <v>0</v>
      </c>
      <c r="M178" s="11"/>
      <c r="N178" s="180" t="e">
        <f>#REF!-H178</f>
        <v>#REF!</v>
      </c>
    </row>
    <row r="179" spans="1:14">
      <c r="A179" s="96">
        <v>72</v>
      </c>
      <c r="B179" s="96"/>
      <c r="C179" s="2" t="s">
        <v>399</v>
      </c>
      <c r="D179" s="41">
        <v>200000</v>
      </c>
      <c r="E179" s="41">
        <v>26660</v>
      </c>
      <c r="F179" s="41">
        <f>SUM(D179:E179)</f>
        <v>226660</v>
      </c>
      <c r="G179" s="33">
        <v>40</v>
      </c>
      <c r="H179" s="41">
        <v>5666.5</v>
      </c>
      <c r="I179" s="97">
        <v>40</v>
      </c>
      <c r="J179" s="97">
        <f t="shared" si="24"/>
        <v>0</v>
      </c>
      <c r="K179" s="91">
        <f t="shared" si="25"/>
        <v>226660</v>
      </c>
      <c r="L179" s="94">
        <f t="shared" si="26"/>
        <v>0</v>
      </c>
      <c r="M179" s="11"/>
      <c r="N179" s="180" t="e">
        <f>#REF!-H179</f>
        <v>#REF!</v>
      </c>
    </row>
    <row r="180" spans="1:14">
      <c r="A180" s="96">
        <v>73</v>
      </c>
      <c r="B180" s="96"/>
      <c r="C180" s="2" t="s">
        <v>428</v>
      </c>
      <c r="D180" s="16">
        <v>60000</v>
      </c>
      <c r="E180" s="16">
        <v>7998</v>
      </c>
      <c r="F180" s="41">
        <f>SUM(D180:E180)</f>
        <v>67998</v>
      </c>
      <c r="G180" s="33">
        <v>40</v>
      </c>
      <c r="H180" s="16">
        <v>1699.95</v>
      </c>
      <c r="I180" s="97">
        <v>40</v>
      </c>
      <c r="J180" s="97">
        <f t="shared" si="24"/>
        <v>0</v>
      </c>
      <c r="K180" s="91">
        <f t="shared" si="25"/>
        <v>67998</v>
      </c>
      <c r="L180" s="94">
        <f t="shared" si="26"/>
        <v>0</v>
      </c>
      <c r="M180" s="11"/>
      <c r="N180" s="180" t="e">
        <f>#REF!-H180</f>
        <v>#REF!</v>
      </c>
    </row>
    <row r="181" spans="1:14">
      <c r="A181" s="96">
        <v>77</v>
      </c>
      <c r="B181" s="96"/>
      <c r="C181" s="2" t="s">
        <v>401</v>
      </c>
      <c r="D181" s="41">
        <v>200000</v>
      </c>
      <c r="E181" s="41">
        <v>26660</v>
      </c>
      <c r="F181" s="41">
        <f>SUM(D181:E181)</f>
        <v>226660</v>
      </c>
      <c r="G181" s="33">
        <v>40</v>
      </c>
      <c r="H181" s="41">
        <v>5666.5</v>
      </c>
      <c r="I181" s="97">
        <v>40</v>
      </c>
      <c r="J181" s="97">
        <f t="shared" si="24"/>
        <v>0</v>
      </c>
      <c r="K181" s="91">
        <f t="shared" si="25"/>
        <v>226660</v>
      </c>
      <c r="L181" s="94">
        <f t="shared" si="26"/>
        <v>0</v>
      </c>
      <c r="M181" s="11"/>
      <c r="N181" s="180" t="e">
        <f>#REF!-H181</f>
        <v>#REF!</v>
      </c>
    </row>
    <row r="182" spans="1:14">
      <c r="A182" s="96">
        <v>79</v>
      </c>
      <c r="B182" s="96"/>
      <c r="C182" s="2" t="s">
        <v>402</v>
      </c>
      <c r="D182" s="41">
        <v>200000</v>
      </c>
      <c r="E182" s="41">
        <v>26660</v>
      </c>
      <c r="F182" s="41">
        <f>SUM(D182:E182)</f>
        <v>226660</v>
      </c>
      <c r="G182" s="33">
        <v>40</v>
      </c>
      <c r="H182" s="41">
        <v>5666.5</v>
      </c>
      <c r="I182" s="97">
        <v>40</v>
      </c>
      <c r="J182" s="97">
        <f t="shared" si="24"/>
        <v>0</v>
      </c>
      <c r="K182" s="91">
        <f t="shared" si="25"/>
        <v>226660</v>
      </c>
      <c r="L182" s="94">
        <f t="shared" si="26"/>
        <v>0</v>
      </c>
      <c r="M182" s="11"/>
      <c r="N182" s="180" t="e">
        <f>#REF!-H182</f>
        <v>#REF!</v>
      </c>
    </row>
    <row r="183" spans="1:14">
      <c r="A183" s="96">
        <v>82</v>
      </c>
      <c r="B183" s="96"/>
      <c r="C183" s="2" t="s">
        <v>404</v>
      </c>
      <c r="D183" s="41">
        <v>200000</v>
      </c>
      <c r="E183" s="41">
        <v>26660</v>
      </c>
      <c r="F183" s="41">
        <v>226660</v>
      </c>
      <c r="G183" s="33">
        <v>40</v>
      </c>
      <c r="H183" s="19">
        <v>5666.5</v>
      </c>
      <c r="I183" s="97">
        <v>40</v>
      </c>
      <c r="J183" s="97">
        <f t="shared" si="24"/>
        <v>0</v>
      </c>
      <c r="K183" s="91">
        <f t="shared" si="25"/>
        <v>226660</v>
      </c>
      <c r="L183" s="94">
        <f t="shared" si="26"/>
        <v>0</v>
      </c>
      <c r="M183" s="11"/>
      <c r="N183" s="180" t="e">
        <f>#REF!-H183</f>
        <v>#REF!</v>
      </c>
    </row>
    <row r="184" spans="1:14">
      <c r="A184" s="96">
        <v>84</v>
      </c>
      <c r="B184" s="96"/>
      <c r="C184" s="2" t="s">
        <v>405</v>
      </c>
      <c r="D184" s="41">
        <v>200000</v>
      </c>
      <c r="E184" s="41">
        <v>26660</v>
      </c>
      <c r="F184" s="41">
        <f>SUM(D184:E184)</f>
        <v>226660</v>
      </c>
      <c r="G184" s="33">
        <v>40</v>
      </c>
      <c r="H184" s="41">
        <v>5666.5</v>
      </c>
      <c r="I184" s="97">
        <v>40</v>
      </c>
      <c r="J184" s="97">
        <f t="shared" si="24"/>
        <v>0</v>
      </c>
      <c r="K184" s="91">
        <f t="shared" si="25"/>
        <v>226660</v>
      </c>
      <c r="L184" s="94">
        <f t="shared" si="26"/>
        <v>0</v>
      </c>
      <c r="M184" s="11"/>
      <c r="N184" s="180" t="e">
        <f>#REF!-H184</f>
        <v>#REF!</v>
      </c>
    </row>
    <row r="187" spans="1:14">
      <c r="C187" s="127" t="s">
        <v>226</v>
      </c>
      <c r="D187" s="129">
        <v>200000</v>
      </c>
      <c r="E187" s="129">
        <v>26660</v>
      </c>
      <c r="F187" s="129">
        <v>226660</v>
      </c>
      <c r="G187" s="130">
        <v>40</v>
      </c>
      <c r="H187" s="137">
        <v>5666.5</v>
      </c>
      <c r="I187" s="134">
        <v>40</v>
      </c>
      <c r="J187" s="134">
        <f t="shared" ref="J187:J207" si="27">G187-I187</f>
        <v>0</v>
      </c>
      <c r="K187" s="135">
        <f t="shared" ref="K187:K207" si="28">I187*H187</f>
        <v>226660</v>
      </c>
      <c r="L187" s="136">
        <f t="shared" ref="L187:L207" si="29">F187-K187</f>
        <v>0</v>
      </c>
      <c r="M187" s="132"/>
      <c r="N187" s="121"/>
    </row>
    <row r="188" spans="1:14">
      <c r="C188" s="127" t="s">
        <v>181</v>
      </c>
      <c r="D188" s="129">
        <v>200000</v>
      </c>
      <c r="E188" s="129">
        <v>26660</v>
      </c>
      <c r="F188" s="129">
        <f t="shared" ref="F188:F194" si="30">SUM(D188:E188)</f>
        <v>226660</v>
      </c>
      <c r="G188" s="130">
        <v>40</v>
      </c>
      <c r="H188" s="129">
        <v>5666.5</v>
      </c>
      <c r="I188" s="134">
        <v>40</v>
      </c>
      <c r="J188" s="134">
        <f t="shared" si="27"/>
        <v>0</v>
      </c>
      <c r="K188" s="135">
        <f t="shared" si="28"/>
        <v>226660</v>
      </c>
      <c r="L188" s="136">
        <f t="shared" si="29"/>
        <v>0</v>
      </c>
      <c r="M188" s="132"/>
    </row>
    <row r="189" spans="1:14">
      <c r="C189" s="127" t="s">
        <v>249</v>
      </c>
      <c r="D189" s="128">
        <v>180000</v>
      </c>
      <c r="E189" s="128">
        <v>23994</v>
      </c>
      <c r="F189" s="129">
        <f t="shared" si="30"/>
        <v>203994</v>
      </c>
      <c r="G189" s="130">
        <v>40</v>
      </c>
      <c r="H189" s="128">
        <v>5099.8500000000004</v>
      </c>
      <c r="I189" s="134">
        <v>45</v>
      </c>
      <c r="J189" s="134">
        <f t="shared" si="27"/>
        <v>-5</v>
      </c>
      <c r="K189" s="135">
        <f t="shared" si="28"/>
        <v>229493.25000000003</v>
      </c>
      <c r="L189" s="136">
        <f t="shared" si="29"/>
        <v>-25499.250000000029</v>
      </c>
      <c r="M189" s="132"/>
    </row>
    <row r="190" spans="1:14">
      <c r="C190" s="127" t="s">
        <v>188</v>
      </c>
      <c r="D190" s="128">
        <v>180000</v>
      </c>
      <c r="E190" s="128">
        <v>23994</v>
      </c>
      <c r="F190" s="129">
        <f t="shared" si="30"/>
        <v>203994</v>
      </c>
      <c r="G190" s="130">
        <v>40</v>
      </c>
      <c r="H190" s="128">
        <v>5099.8500000000004</v>
      </c>
      <c r="I190" s="131">
        <v>37</v>
      </c>
      <c r="J190" s="131">
        <f t="shared" si="27"/>
        <v>3</v>
      </c>
      <c r="K190" s="128">
        <f t="shared" si="28"/>
        <v>188694.45</v>
      </c>
      <c r="L190" s="129">
        <f t="shared" si="29"/>
        <v>15299.549999999988</v>
      </c>
      <c r="M190" s="132"/>
    </row>
    <row r="191" spans="1:14">
      <c r="C191" s="127" t="s">
        <v>124</v>
      </c>
      <c r="D191" s="129">
        <v>200000</v>
      </c>
      <c r="E191" s="129">
        <v>26660</v>
      </c>
      <c r="F191" s="129">
        <f t="shared" si="30"/>
        <v>226660</v>
      </c>
      <c r="G191" s="130">
        <v>40</v>
      </c>
      <c r="H191" s="129">
        <v>5666.5</v>
      </c>
      <c r="I191" s="131">
        <v>40</v>
      </c>
      <c r="J191" s="131">
        <f t="shared" si="27"/>
        <v>0</v>
      </c>
      <c r="K191" s="128">
        <f t="shared" si="28"/>
        <v>226660</v>
      </c>
      <c r="L191" s="129">
        <f t="shared" si="29"/>
        <v>0</v>
      </c>
      <c r="M191" s="132"/>
    </row>
    <row r="192" spans="1:14">
      <c r="C192" s="127" t="s">
        <v>129</v>
      </c>
      <c r="D192" s="129">
        <v>200000</v>
      </c>
      <c r="E192" s="129">
        <v>26660</v>
      </c>
      <c r="F192" s="129">
        <f t="shared" si="30"/>
        <v>226660</v>
      </c>
      <c r="G192" s="130">
        <v>40</v>
      </c>
      <c r="H192" s="129">
        <v>5666.5</v>
      </c>
      <c r="I192" s="131">
        <v>38</v>
      </c>
      <c r="J192" s="131">
        <f t="shared" si="27"/>
        <v>2</v>
      </c>
      <c r="K192" s="128">
        <f t="shared" si="28"/>
        <v>215327</v>
      </c>
      <c r="L192" s="129">
        <f t="shared" si="29"/>
        <v>11333</v>
      </c>
      <c r="M192" s="132"/>
    </row>
    <row r="193" spans="1:15">
      <c r="C193" s="127" t="s">
        <v>202</v>
      </c>
      <c r="D193" s="128">
        <v>132000</v>
      </c>
      <c r="E193" s="128">
        <v>17595.599999999999</v>
      </c>
      <c r="F193" s="129">
        <f t="shared" si="30"/>
        <v>149595.6</v>
      </c>
      <c r="G193" s="130">
        <v>40</v>
      </c>
      <c r="H193" s="128">
        <v>3739.89</v>
      </c>
      <c r="I193" s="131">
        <v>34</v>
      </c>
      <c r="J193" s="131">
        <f t="shared" si="27"/>
        <v>6</v>
      </c>
      <c r="K193" s="128">
        <f t="shared" si="28"/>
        <v>127156.26</v>
      </c>
      <c r="L193" s="129">
        <f t="shared" si="29"/>
        <v>22439.340000000011</v>
      </c>
      <c r="M193" s="132"/>
    </row>
    <row r="194" spans="1:15">
      <c r="A194" s="101">
        <v>135</v>
      </c>
      <c r="B194" s="244"/>
      <c r="C194" s="125" t="s">
        <v>138</v>
      </c>
      <c r="D194" s="129">
        <v>200000</v>
      </c>
      <c r="E194" s="129">
        <v>26660</v>
      </c>
      <c r="F194" s="129">
        <f t="shared" si="30"/>
        <v>226660</v>
      </c>
      <c r="G194" s="130">
        <v>40</v>
      </c>
      <c r="H194" s="129">
        <v>5666.5</v>
      </c>
      <c r="I194" s="134">
        <v>37</v>
      </c>
      <c r="J194" s="134">
        <f t="shared" si="27"/>
        <v>3</v>
      </c>
      <c r="K194" s="135">
        <f t="shared" si="28"/>
        <v>209660.5</v>
      </c>
      <c r="L194" s="136">
        <f t="shared" si="29"/>
        <v>16999.5</v>
      </c>
      <c r="M194" s="132"/>
    </row>
    <row r="195" spans="1:15">
      <c r="A195" s="101">
        <v>167.333333333333</v>
      </c>
      <c r="B195" s="101"/>
      <c r="C195" s="127" t="s">
        <v>236</v>
      </c>
      <c r="D195" s="128">
        <v>180000</v>
      </c>
      <c r="E195" s="128">
        <v>23994</v>
      </c>
      <c r="F195" s="128">
        <v>203994</v>
      </c>
      <c r="G195" s="139">
        <v>40</v>
      </c>
      <c r="H195" s="137">
        <v>5099.8500000000004</v>
      </c>
      <c r="I195" s="134">
        <v>46</v>
      </c>
      <c r="J195" s="134">
        <f t="shared" si="27"/>
        <v>-6</v>
      </c>
      <c r="K195" s="135">
        <f t="shared" si="28"/>
        <v>234593.1</v>
      </c>
      <c r="L195" s="136">
        <f t="shared" si="29"/>
        <v>-30599.100000000006</v>
      </c>
      <c r="M195" s="140"/>
      <c r="O195" s="114"/>
    </row>
    <row r="196" spans="1:15">
      <c r="A196" s="101">
        <v>144.833333333333</v>
      </c>
      <c r="B196" s="101"/>
      <c r="C196" s="127" t="s">
        <v>234</v>
      </c>
      <c r="D196" s="129">
        <v>200000</v>
      </c>
      <c r="E196" s="129">
        <v>26660</v>
      </c>
      <c r="F196" s="129">
        <v>226660</v>
      </c>
      <c r="G196" s="130">
        <v>40</v>
      </c>
      <c r="H196" s="137">
        <v>5666.5</v>
      </c>
      <c r="I196" s="134">
        <v>40</v>
      </c>
      <c r="J196" s="134">
        <f t="shared" si="27"/>
        <v>0</v>
      </c>
      <c r="K196" s="135">
        <f t="shared" si="28"/>
        <v>226660</v>
      </c>
      <c r="L196" s="136">
        <f t="shared" si="29"/>
        <v>0</v>
      </c>
      <c r="M196" s="132"/>
      <c r="O196" s="114"/>
    </row>
    <row r="197" spans="1:15">
      <c r="A197" s="101">
        <v>146.333333333333</v>
      </c>
      <c r="B197" s="245"/>
      <c r="C197" s="141" t="s">
        <v>187</v>
      </c>
      <c r="D197" s="129">
        <v>150000</v>
      </c>
      <c r="E197" s="129">
        <v>11997</v>
      </c>
      <c r="F197" s="129">
        <f t="shared" ref="F197:F204" si="31">SUM(D197:E197)</f>
        <v>161997</v>
      </c>
      <c r="G197" s="130">
        <v>30</v>
      </c>
      <c r="H197" s="129">
        <v>5399.9</v>
      </c>
      <c r="I197" s="134">
        <v>31</v>
      </c>
      <c r="J197" s="134">
        <f t="shared" si="27"/>
        <v>-1</v>
      </c>
      <c r="K197" s="135">
        <f t="shared" si="28"/>
        <v>167396.9</v>
      </c>
      <c r="L197" s="136">
        <f t="shared" si="29"/>
        <v>-5399.8999999999942</v>
      </c>
      <c r="M197" s="132"/>
      <c r="O197" s="114"/>
    </row>
    <row r="198" spans="1:15">
      <c r="A198" s="101">
        <v>147.833333333333</v>
      </c>
      <c r="B198" s="101"/>
      <c r="C198" s="127" t="s">
        <v>150</v>
      </c>
      <c r="D198" s="129">
        <v>200000</v>
      </c>
      <c r="E198" s="129">
        <v>26660</v>
      </c>
      <c r="F198" s="129">
        <f t="shared" si="31"/>
        <v>226660</v>
      </c>
      <c r="G198" s="130">
        <v>40</v>
      </c>
      <c r="H198" s="129">
        <v>5666.5</v>
      </c>
      <c r="I198" s="134">
        <v>40</v>
      </c>
      <c r="J198" s="134">
        <f t="shared" si="27"/>
        <v>0</v>
      </c>
      <c r="K198" s="135">
        <f t="shared" si="28"/>
        <v>226660</v>
      </c>
      <c r="L198" s="136">
        <f t="shared" si="29"/>
        <v>0</v>
      </c>
      <c r="M198" s="132"/>
    </row>
    <row r="199" spans="1:15">
      <c r="A199" s="101">
        <v>149.333333333333</v>
      </c>
      <c r="B199" s="244"/>
      <c r="C199" s="125" t="s">
        <v>151</v>
      </c>
      <c r="D199" s="129">
        <v>200000</v>
      </c>
      <c r="E199" s="129">
        <v>26660</v>
      </c>
      <c r="F199" s="129">
        <f t="shared" si="31"/>
        <v>226660</v>
      </c>
      <c r="G199" s="130">
        <v>40</v>
      </c>
      <c r="H199" s="129">
        <v>5666.5</v>
      </c>
      <c r="I199" s="134">
        <v>38</v>
      </c>
      <c r="J199" s="134">
        <f t="shared" si="27"/>
        <v>2</v>
      </c>
      <c r="K199" s="135">
        <f t="shared" si="28"/>
        <v>215327</v>
      </c>
      <c r="L199" s="136">
        <f t="shared" si="29"/>
        <v>11333</v>
      </c>
      <c r="M199" s="132"/>
      <c r="O199" s="114"/>
    </row>
    <row r="200" spans="1:15">
      <c r="A200" s="101">
        <v>150.833333333333</v>
      </c>
      <c r="B200" s="244"/>
      <c r="C200" s="186" t="s">
        <v>266</v>
      </c>
      <c r="D200" s="128">
        <v>330000</v>
      </c>
      <c r="E200" s="128">
        <v>43989</v>
      </c>
      <c r="F200" s="129">
        <f t="shared" si="31"/>
        <v>373989</v>
      </c>
      <c r="G200" s="130">
        <v>50</v>
      </c>
      <c r="H200" s="138">
        <v>7479</v>
      </c>
      <c r="I200" s="134">
        <v>8</v>
      </c>
      <c r="J200" s="134">
        <f t="shared" si="27"/>
        <v>42</v>
      </c>
      <c r="K200" s="135">
        <f t="shared" si="28"/>
        <v>59832</v>
      </c>
      <c r="L200" s="136">
        <f t="shared" si="29"/>
        <v>314157</v>
      </c>
      <c r="M200" s="124"/>
      <c r="O200" s="114"/>
    </row>
    <row r="201" spans="1:15">
      <c r="A201" s="101">
        <v>152.333333333333</v>
      </c>
      <c r="B201" s="244"/>
      <c r="C201" s="125" t="s">
        <v>156</v>
      </c>
      <c r="D201" s="129">
        <v>200000</v>
      </c>
      <c r="E201" s="129">
        <v>26660</v>
      </c>
      <c r="F201" s="129">
        <f t="shared" si="31"/>
        <v>226660</v>
      </c>
      <c r="G201" s="130">
        <v>40</v>
      </c>
      <c r="H201" s="133">
        <v>3739.89</v>
      </c>
      <c r="I201" s="134">
        <v>40</v>
      </c>
      <c r="J201" s="134">
        <f t="shared" si="27"/>
        <v>0</v>
      </c>
      <c r="K201" s="135">
        <f t="shared" si="28"/>
        <v>149595.6</v>
      </c>
      <c r="L201" s="136">
        <f t="shared" si="29"/>
        <v>77064.399999999994</v>
      </c>
      <c r="M201" s="132"/>
      <c r="O201" s="114"/>
    </row>
    <row r="202" spans="1:15">
      <c r="A202" s="101">
        <v>153.833333333333</v>
      </c>
      <c r="B202" s="244"/>
      <c r="C202" s="125" t="s">
        <v>157</v>
      </c>
      <c r="D202" s="129">
        <v>200000</v>
      </c>
      <c r="E202" s="129">
        <v>26660</v>
      </c>
      <c r="F202" s="129">
        <f t="shared" si="31"/>
        <v>226660</v>
      </c>
      <c r="G202" s="130">
        <v>40</v>
      </c>
      <c r="H202" s="129">
        <v>5666.5</v>
      </c>
      <c r="I202" s="134">
        <v>40</v>
      </c>
      <c r="J202" s="134">
        <f t="shared" si="27"/>
        <v>0</v>
      </c>
      <c r="K202" s="135">
        <f t="shared" si="28"/>
        <v>226660</v>
      </c>
      <c r="L202" s="136">
        <f t="shared" si="29"/>
        <v>0</v>
      </c>
      <c r="M202" s="132"/>
    </row>
    <row r="203" spans="1:15">
      <c r="A203" s="101">
        <v>155.333333333333</v>
      </c>
      <c r="B203" s="244"/>
      <c r="C203" s="125" t="s">
        <v>158</v>
      </c>
      <c r="D203" s="129">
        <v>200000</v>
      </c>
      <c r="E203" s="129">
        <v>26660</v>
      </c>
      <c r="F203" s="129">
        <f t="shared" si="31"/>
        <v>226660</v>
      </c>
      <c r="G203" s="130">
        <v>40</v>
      </c>
      <c r="H203" s="129">
        <v>5666.5</v>
      </c>
      <c r="I203" s="134">
        <v>40</v>
      </c>
      <c r="J203" s="134">
        <f t="shared" si="27"/>
        <v>0</v>
      </c>
      <c r="K203" s="135">
        <f t="shared" si="28"/>
        <v>226660</v>
      </c>
      <c r="L203" s="136">
        <f t="shared" si="29"/>
        <v>0</v>
      </c>
      <c r="M203" s="132"/>
    </row>
    <row r="204" spans="1:15">
      <c r="A204" s="101">
        <v>156.833333333333</v>
      </c>
      <c r="B204" s="244"/>
      <c r="C204" s="125" t="s">
        <v>159</v>
      </c>
      <c r="D204" s="129">
        <v>200000</v>
      </c>
      <c r="E204" s="129">
        <v>26660</v>
      </c>
      <c r="F204" s="129">
        <f t="shared" si="31"/>
        <v>226660</v>
      </c>
      <c r="G204" s="130">
        <v>40</v>
      </c>
      <c r="H204" s="129">
        <v>5666.5</v>
      </c>
      <c r="I204" s="134">
        <v>31</v>
      </c>
      <c r="J204" s="134">
        <f t="shared" si="27"/>
        <v>9</v>
      </c>
      <c r="K204" s="135">
        <f t="shared" si="28"/>
        <v>175661.5</v>
      </c>
      <c r="L204" s="136">
        <f t="shared" si="29"/>
        <v>50998.5</v>
      </c>
      <c r="M204" s="132"/>
    </row>
    <row r="205" spans="1:15">
      <c r="A205" s="101">
        <v>158.333333333333</v>
      </c>
      <c r="B205" s="101"/>
      <c r="C205" s="127" t="s">
        <v>233</v>
      </c>
      <c r="D205" s="129">
        <v>200000</v>
      </c>
      <c r="E205" s="129">
        <v>26660</v>
      </c>
      <c r="F205" s="129">
        <v>226660</v>
      </c>
      <c r="G205" s="130">
        <v>40</v>
      </c>
      <c r="H205" s="137">
        <v>5666.5</v>
      </c>
      <c r="I205" s="134">
        <v>40</v>
      </c>
      <c r="J205" s="134">
        <f t="shared" si="27"/>
        <v>0</v>
      </c>
      <c r="K205" s="135">
        <f t="shared" si="28"/>
        <v>226660</v>
      </c>
      <c r="L205" s="136">
        <f t="shared" si="29"/>
        <v>0</v>
      </c>
      <c r="M205" s="132"/>
    </row>
    <row r="206" spans="1:15">
      <c r="A206" s="101">
        <v>159.833333333333</v>
      </c>
      <c r="B206" s="101"/>
      <c r="C206" s="127" t="s">
        <v>160</v>
      </c>
      <c r="D206" s="129">
        <v>200000</v>
      </c>
      <c r="E206" s="129">
        <v>26660</v>
      </c>
      <c r="F206" s="129">
        <f>SUM(D206:E206)</f>
        <v>226660</v>
      </c>
      <c r="G206" s="130">
        <v>40</v>
      </c>
      <c r="H206" s="129">
        <v>5666.5</v>
      </c>
      <c r="I206" s="134">
        <v>40</v>
      </c>
      <c r="J206" s="134">
        <f t="shared" si="27"/>
        <v>0</v>
      </c>
      <c r="K206" s="135">
        <f t="shared" si="28"/>
        <v>226660</v>
      </c>
      <c r="L206" s="136">
        <f t="shared" si="29"/>
        <v>0</v>
      </c>
      <c r="M206" s="132"/>
    </row>
    <row r="207" spans="1:15">
      <c r="A207" s="101">
        <v>161.333333333333</v>
      </c>
      <c r="B207" s="101"/>
      <c r="C207" s="127" t="s">
        <v>205</v>
      </c>
      <c r="D207" s="128">
        <v>132000</v>
      </c>
      <c r="E207" s="128">
        <v>17595.599999999999</v>
      </c>
      <c r="F207" s="129">
        <f>SUM(D207:E207)</f>
        <v>149595.6</v>
      </c>
      <c r="G207" s="130">
        <v>40</v>
      </c>
      <c r="H207" s="128">
        <v>3739.89</v>
      </c>
      <c r="I207" s="134">
        <v>40</v>
      </c>
      <c r="J207" s="134">
        <f t="shared" si="27"/>
        <v>0</v>
      </c>
      <c r="K207" s="135">
        <f t="shared" si="28"/>
        <v>149595.6</v>
      </c>
      <c r="L207" s="136">
        <f t="shared" si="29"/>
        <v>0</v>
      </c>
      <c r="M207" s="132"/>
    </row>
    <row r="209" spans="1:14">
      <c r="A209" s="101">
        <v>173.333333333333</v>
      </c>
      <c r="B209" s="245"/>
    </row>
    <row r="210" spans="1:14">
      <c r="A210" s="101">
        <v>174.833333333333</v>
      </c>
      <c r="B210" s="245"/>
    </row>
    <row r="213" spans="1:14">
      <c r="A213" s="160">
        <v>47</v>
      </c>
      <c r="B213" s="160"/>
      <c r="C213" s="181" t="s">
        <v>432</v>
      </c>
      <c r="D213" s="16">
        <v>500000</v>
      </c>
      <c r="E213" s="16">
        <v>66650</v>
      </c>
      <c r="F213" s="41">
        <f>SUM(D213:E213)</f>
        <v>566650</v>
      </c>
      <c r="G213" s="33">
        <v>50</v>
      </c>
      <c r="H213" s="24">
        <v>5666.5</v>
      </c>
      <c r="I213" s="97">
        <v>33</v>
      </c>
      <c r="J213" s="97">
        <f>G213-I213</f>
        <v>17</v>
      </c>
      <c r="K213" s="91">
        <f>I213*H213</f>
        <v>186994.5</v>
      </c>
      <c r="L213" s="94">
        <f>F213-K213</f>
        <v>379655.5</v>
      </c>
      <c r="M213" s="11"/>
      <c r="N213" s="180" t="e">
        <f>#REF!-H213</f>
        <v>#REF!</v>
      </c>
    </row>
    <row r="214" spans="1:14">
      <c r="A214" s="160">
        <v>70</v>
      </c>
      <c r="B214" s="160"/>
      <c r="C214" s="181" t="s">
        <v>433</v>
      </c>
      <c r="D214" s="41">
        <v>200000</v>
      </c>
      <c r="E214" s="41">
        <v>26660</v>
      </c>
      <c r="F214" s="41">
        <f>SUM(D214:E214)</f>
        <v>226660</v>
      </c>
      <c r="G214" s="33">
        <v>40</v>
      </c>
      <c r="H214" s="41">
        <v>5666.5</v>
      </c>
      <c r="I214" s="97">
        <v>40</v>
      </c>
      <c r="J214" s="97">
        <f>G214-I214</f>
        <v>0</v>
      </c>
      <c r="K214" s="91">
        <f>I214*H214</f>
        <v>226660</v>
      </c>
      <c r="L214" s="94">
        <f>F214-K214</f>
        <v>0</v>
      </c>
      <c r="M214" s="11"/>
      <c r="N214" s="180" t="e">
        <f>#REF!-H214</f>
        <v>#REF!</v>
      </c>
    </row>
    <row r="215" spans="1:14">
      <c r="A215" s="160">
        <v>93</v>
      </c>
      <c r="B215" s="160"/>
      <c r="C215" s="181" t="s">
        <v>434</v>
      </c>
      <c r="D215" s="41">
        <v>200000</v>
      </c>
      <c r="E215" s="41">
        <v>26660</v>
      </c>
      <c r="F215" s="41">
        <f>SUM(D215:E215)</f>
        <v>226660</v>
      </c>
      <c r="G215" s="33">
        <v>40</v>
      </c>
      <c r="H215" s="41">
        <v>5666.5</v>
      </c>
      <c r="I215" s="97">
        <v>41</v>
      </c>
      <c r="J215" s="97">
        <f>G215-I215</f>
        <v>-1</v>
      </c>
      <c r="K215" s="91">
        <f>I215*H215</f>
        <v>232326.5</v>
      </c>
      <c r="L215" s="94">
        <f>F215-K215</f>
        <v>-5666.5</v>
      </c>
      <c r="M215" s="11"/>
      <c r="N215" s="180" t="e">
        <f>#REF!-H215</f>
        <v>#REF!</v>
      </c>
    </row>
    <row r="216" spans="1:14">
      <c r="A216" s="160">
        <v>10</v>
      </c>
      <c r="B216" s="160"/>
      <c r="C216" s="181" t="s">
        <v>431</v>
      </c>
      <c r="D216" s="16">
        <v>450000</v>
      </c>
      <c r="E216" s="16">
        <v>28792.799999999999</v>
      </c>
      <c r="F216" s="41">
        <f>SUM(D216:E216)</f>
        <v>478792.8</v>
      </c>
      <c r="G216" s="33">
        <v>24</v>
      </c>
      <c r="H216" s="16">
        <v>19949.7</v>
      </c>
      <c r="I216" s="96">
        <v>24</v>
      </c>
      <c r="J216" s="96">
        <f>G216-I216</f>
        <v>0</v>
      </c>
      <c r="K216" s="16">
        <f>I216*H216</f>
        <v>478792.80000000005</v>
      </c>
      <c r="L216" s="41">
        <f>F216-K216</f>
        <v>0</v>
      </c>
      <c r="M216" s="11"/>
      <c r="N216" s="180" t="e">
        <f>#REF!-H216</f>
        <v>#REF!</v>
      </c>
    </row>
    <row r="217" spans="1:14">
      <c r="A217" s="160">
        <v>6</v>
      </c>
      <c r="B217" s="160"/>
      <c r="C217" s="181" t="s">
        <v>430</v>
      </c>
      <c r="D217" s="16">
        <v>330000</v>
      </c>
      <c r="E217" s="16">
        <v>21114.720000000001</v>
      </c>
      <c r="F217" s="41">
        <f>SUM(D217:E217)</f>
        <v>351114.72</v>
      </c>
      <c r="G217" s="33">
        <v>24</v>
      </c>
      <c r="H217" s="24">
        <v>6649.9</v>
      </c>
      <c r="I217" s="96">
        <v>24</v>
      </c>
      <c r="J217" s="96">
        <f>G217-I217</f>
        <v>0</v>
      </c>
      <c r="K217" s="16">
        <f>I217*H217</f>
        <v>159597.59999999998</v>
      </c>
      <c r="L217" s="41">
        <f>F217-K217</f>
        <v>191517.12</v>
      </c>
      <c r="M217" s="11"/>
      <c r="N217" s="180" t="e">
        <f>#REF!-H217</f>
        <v>#REF!</v>
      </c>
    </row>
    <row r="219" spans="1:14">
      <c r="A219" s="96">
        <v>77</v>
      </c>
      <c r="B219" s="96"/>
      <c r="C219" s="170" t="s">
        <v>400</v>
      </c>
      <c r="D219" s="41">
        <v>200000</v>
      </c>
      <c r="E219" s="41">
        <v>26660</v>
      </c>
      <c r="F219" s="41">
        <f>SUM(D219:E219)</f>
        <v>226660</v>
      </c>
      <c r="G219" s="33">
        <v>40</v>
      </c>
      <c r="H219" s="41">
        <v>5666.5</v>
      </c>
      <c r="I219" s="97">
        <v>36</v>
      </c>
      <c r="J219" s="97">
        <f>G219-I219</f>
        <v>4</v>
      </c>
      <c r="K219" s="91">
        <f>I219*H219</f>
        <v>203994</v>
      </c>
      <c r="L219" s="94">
        <f>F219-K219</f>
        <v>22666</v>
      </c>
      <c r="M219" s="11"/>
      <c r="N219" s="180" t="e">
        <f>#REF!-H219</f>
        <v>#REF!</v>
      </c>
    </row>
    <row r="220" spans="1:14">
      <c r="A220" s="96">
        <v>109</v>
      </c>
      <c r="B220" s="96"/>
      <c r="C220" s="142" t="s">
        <v>406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39</v>
      </c>
      <c r="J220" s="97">
        <f>G220-I220</f>
        <v>1</v>
      </c>
      <c r="K220" s="91">
        <f>I220*H220</f>
        <v>220993.5</v>
      </c>
      <c r="L220" s="94">
        <f>F220-K220</f>
        <v>5666.5</v>
      </c>
      <c r="M220" s="11"/>
      <c r="N220" s="180" t="e">
        <f>#REF!-H220</f>
        <v>#REF!</v>
      </c>
    </row>
    <row r="221" spans="1:14">
      <c r="A221" s="96">
        <v>127</v>
      </c>
      <c r="B221" s="96"/>
      <c r="C221" s="142" t="s">
        <v>423</v>
      </c>
      <c r="D221" s="16">
        <v>132000</v>
      </c>
      <c r="E221" s="16">
        <v>17595.599999999999</v>
      </c>
      <c r="F221" s="41">
        <f>SUM(D221:E221)</f>
        <v>149595.6</v>
      </c>
      <c r="G221" s="33">
        <v>40</v>
      </c>
      <c r="H221" s="16">
        <v>3739.89</v>
      </c>
      <c r="I221" s="97">
        <v>40</v>
      </c>
      <c r="J221" s="97">
        <f>G221-I221</f>
        <v>0</v>
      </c>
      <c r="K221" s="91">
        <f>I221*H221</f>
        <v>149595.6</v>
      </c>
      <c r="L221" s="94">
        <f>F221-K221</f>
        <v>0</v>
      </c>
      <c r="M221" s="11"/>
      <c r="N221" s="180" t="e">
        <f>#REF!-H221</f>
        <v>#REF!</v>
      </c>
    </row>
    <row r="222" spans="1:14">
      <c r="A222" s="96">
        <v>125</v>
      </c>
      <c r="B222" s="96"/>
      <c r="C222" s="142" t="s">
        <v>427</v>
      </c>
      <c r="D222" s="155">
        <v>150000</v>
      </c>
      <c r="E222" s="155">
        <v>19995</v>
      </c>
      <c r="F222" s="155">
        <f>SUM(D222:E222)</f>
        <v>169995</v>
      </c>
      <c r="G222" s="33">
        <v>50</v>
      </c>
      <c r="H222" s="154">
        <v>3399.9</v>
      </c>
      <c r="I222" s="97">
        <v>9</v>
      </c>
      <c r="J222" s="97">
        <f>G222-I222</f>
        <v>41</v>
      </c>
      <c r="K222" s="91">
        <f>I222*H222</f>
        <v>30599.100000000002</v>
      </c>
      <c r="L222" s="91">
        <f>F222-K222</f>
        <v>139395.9</v>
      </c>
      <c r="M222" s="122"/>
      <c r="N222" s="180" t="e">
        <f>#REF!-H222</f>
        <v>#REF!</v>
      </c>
    </row>
    <row r="223" spans="1:14">
      <c r="A223" s="96">
        <v>5</v>
      </c>
      <c r="B223" s="96"/>
      <c r="C223" s="2" t="s">
        <v>385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6">
        <v>40</v>
      </c>
      <c r="J223" s="96">
        <f>G223-I223</f>
        <v>0</v>
      </c>
      <c r="K223" s="16">
        <f>I223*H223</f>
        <v>226660</v>
      </c>
      <c r="L223" s="41">
        <f>F223-K223</f>
        <v>0</v>
      </c>
      <c r="M223" s="11"/>
      <c r="N223" s="180" t="e">
        <f>#REF!-H223</f>
        <v>#REF!</v>
      </c>
    </row>
  </sheetData>
  <sortState caseSensitive="1" ref="C6:N122">
    <sortCondition ref="C6:C122"/>
  </sortState>
  <mergeCells count="2">
    <mergeCell ref="A3:M3"/>
    <mergeCell ref="A4:M4"/>
  </mergeCells>
  <conditionalFormatting sqref="C217">
    <cfRule type="duplicateValues" dxfId="1612" priority="143" stopIfTrue="1"/>
    <cfRule type="duplicateValues" dxfId="1611" priority="144" stopIfTrue="1"/>
  </conditionalFormatting>
  <conditionalFormatting sqref="C217">
    <cfRule type="duplicateValues" dxfId="1610" priority="142" stopIfTrue="1"/>
  </conditionalFormatting>
  <conditionalFormatting sqref="C164">
    <cfRule type="duplicateValues" dxfId="1609" priority="140" stopIfTrue="1"/>
    <cfRule type="duplicateValues" dxfId="1608" priority="141" stopIfTrue="1"/>
  </conditionalFormatting>
  <conditionalFormatting sqref="C164">
    <cfRule type="duplicateValues" dxfId="1607" priority="139" stopIfTrue="1"/>
  </conditionalFormatting>
  <conditionalFormatting sqref="C216">
    <cfRule type="duplicateValues" dxfId="1606" priority="137" stopIfTrue="1"/>
    <cfRule type="duplicateValues" dxfId="1605" priority="138" stopIfTrue="1"/>
  </conditionalFormatting>
  <conditionalFormatting sqref="C216">
    <cfRule type="duplicateValues" dxfId="1604" priority="136" stopIfTrue="1"/>
  </conditionalFormatting>
  <conditionalFormatting sqref="C166">
    <cfRule type="duplicateValues" dxfId="1603" priority="134" stopIfTrue="1"/>
    <cfRule type="duplicateValues" dxfId="1602" priority="135" stopIfTrue="1"/>
  </conditionalFormatting>
  <conditionalFormatting sqref="C166">
    <cfRule type="duplicateValues" dxfId="1601" priority="133" stopIfTrue="1"/>
  </conditionalFormatting>
  <conditionalFormatting sqref="C167">
    <cfRule type="duplicateValues" dxfId="1600" priority="131" stopIfTrue="1"/>
    <cfRule type="duplicateValues" dxfId="1599" priority="132" stopIfTrue="1"/>
  </conditionalFormatting>
  <conditionalFormatting sqref="C167">
    <cfRule type="duplicateValues" dxfId="1598" priority="130" stopIfTrue="1"/>
  </conditionalFormatting>
  <conditionalFormatting sqref="C169">
    <cfRule type="duplicateValues" dxfId="1597" priority="128" stopIfTrue="1"/>
    <cfRule type="duplicateValues" dxfId="1596" priority="129" stopIfTrue="1"/>
  </conditionalFormatting>
  <conditionalFormatting sqref="C169">
    <cfRule type="duplicateValues" dxfId="1595" priority="127" stopIfTrue="1"/>
  </conditionalFormatting>
  <conditionalFormatting sqref="C170">
    <cfRule type="duplicateValues" dxfId="1594" priority="125" stopIfTrue="1"/>
    <cfRule type="duplicateValues" dxfId="1593" priority="126" stopIfTrue="1"/>
  </conditionalFormatting>
  <conditionalFormatting sqref="C170">
    <cfRule type="duplicateValues" dxfId="1592" priority="124" stopIfTrue="1"/>
  </conditionalFormatting>
  <conditionalFormatting sqref="C213">
    <cfRule type="duplicateValues" dxfId="1591" priority="122" stopIfTrue="1"/>
    <cfRule type="duplicateValues" dxfId="1590" priority="123" stopIfTrue="1"/>
  </conditionalFormatting>
  <conditionalFormatting sqref="C213">
    <cfRule type="duplicateValues" dxfId="1589" priority="121" stopIfTrue="1"/>
  </conditionalFormatting>
  <conditionalFormatting sqref="C172">
    <cfRule type="duplicateValues" dxfId="1588" priority="119" stopIfTrue="1"/>
    <cfRule type="duplicateValues" dxfId="1587" priority="120" stopIfTrue="1"/>
  </conditionalFormatting>
  <conditionalFormatting sqref="C172">
    <cfRule type="duplicateValues" dxfId="1586" priority="118" stopIfTrue="1"/>
  </conditionalFormatting>
  <conditionalFormatting sqref="C173">
    <cfRule type="duplicateValues" dxfId="1585" priority="116" stopIfTrue="1"/>
    <cfRule type="duplicateValues" dxfId="1584" priority="117" stopIfTrue="1"/>
  </conditionalFormatting>
  <conditionalFormatting sqref="C173">
    <cfRule type="duplicateValues" dxfId="1583" priority="115" stopIfTrue="1"/>
  </conditionalFormatting>
  <conditionalFormatting sqref="C174">
    <cfRule type="duplicateValues" dxfId="1582" priority="113" stopIfTrue="1"/>
    <cfRule type="duplicateValues" dxfId="1581" priority="114" stopIfTrue="1"/>
  </conditionalFormatting>
  <conditionalFormatting sqref="C174">
    <cfRule type="duplicateValues" dxfId="1580" priority="112" stopIfTrue="1"/>
  </conditionalFormatting>
  <conditionalFormatting sqref="C189">
    <cfRule type="duplicateValues" dxfId="1579" priority="110" stopIfTrue="1"/>
    <cfRule type="duplicateValues" dxfId="1578" priority="111" stopIfTrue="1"/>
  </conditionalFormatting>
  <conditionalFormatting sqref="C189">
    <cfRule type="duplicateValues" dxfId="1577" priority="109" stopIfTrue="1"/>
  </conditionalFormatting>
  <conditionalFormatting sqref="C176">
    <cfRule type="duplicateValues" dxfId="1576" priority="107" stopIfTrue="1"/>
    <cfRule type="duplicateValues" dxfId="1575" priority="108" stopIfTrue="1"/>
  </conditionalFormatting>
  <conditionalFormatting sqref="C176">
    <cfRule type="duplicateValues" dxfId="1574" priority="106" stopIfTrue="1"/>
  </conditionalFormatting>
  <conditionalFormatting sqref="C214">
    <cfRule type="duplicateValues" dxfId="1573" priority="104" stopIfTrue="1"/>
    <cfRule type="duplicateValues" dxfId="1572" priority="105" stopIfTrue="1"/>
  </conditionalFormatting>
  <conditionalFormatting sqref="C214">
    <cfRule type="duplicateValues" dxfId="1571" priority="103" stopIfTrue="1"/>
  </conditionalFormatting>
  <conditionalFormatting sqref="C177">
    <cfRule type="duplicateValues" dxfId="1570" priority="101" stopIfTrue="1"/>
    <cfRule type="duplicateValues" dxfId="1569" priority="102" stopIfTrue="1"/>
  </conditionalFormatting>
  <conditionalFormatting sqref="C177">
    <cfRule type="duplicateValues" dxfId="1568" priority="100" stopIfTrue="1"/>
  </conditionalFormatting>
  <conditionalFormatting sqref="C178">
    <cfRule type="duplicateValues" dxfId="1567" priority="98" stopIfTrue="1"/>
    <cfRule type="duplicateValues" dxfId="1566" priority="99" stopIfTrue="1"/>
  </conditionalFormatting>
  <conditionalFormatting sqref="C178">
    <cfRule type="duplicateValues" dxfId="1565" priority="97" stopIfTrue="1"/>
  </conditionalFormatting>
  <conditionalFormatting sqref="C219">
    <cfRule type="duplicateValues" dxfId="1564" priority="95" stopIfTrue="1"/>
    <cfRule type="duplicateValues" dxfId="1563" priority="96" stopIfTrue="1"/>
  </conditionalFormatting>
  <conditionalFormatting sqref="C219">
    <cfRule type="duplicateValues" dxfId="1562" priority="94" stopIfTrue="1"/>
  </conditionalFormatting>
  <conditionalFormatting sqref="C181">
    <cfRule type="duplicateValues" dxfId="1561" priority="92" stopIfTrue="1"/>
    <cfRule type="duplicateValues" dxfId="1560" priority="93" stopIfTrue="1"/>
  </conditionalFormatting>
  <conditionalFormatting sqref="C181">
    <cfRule type="duplicateValues" dxfId="1559" priority="91" stopIfTrue="1"/>
  </conditionalFormatting>
  <conditionalFormatting sqref="C184">
    <cfRule type="duplicateValues" dxfId="1558" priority="89" stopIfTrue="1"/>
    <cfRule type="duplicateValues" dxfId="1557" priority="90" stopIfTrue="1"/>
  </conditionalFormatting>
  <conditionalFormatting sqref="C184">
    <cfRule type="duplicateValues" dxfId="1556" priority="88" stopIfTrue="1"/>
  </conditionalFormatting>
  <conditionalFormatting sqref="C157">
    <cfRule type="duplicateValues" dxfId="1555" priority="86" stopIfTrue="1"/>
    <cfRule type="duplicateValues" dxfId="1554" priority="87" stopIfTrue="1"/>
  </conditionalFormatting>
  <conditionalFormatting sqref="C157">
    <cfRule type="duplicateValues" dxfId="1553" priority="85" stopIfTrue="1"/>
  </conditionalFormatting>
  <conditionalFormatting sqref="C215">
    <cfRule type="duplicateValues" dxfId="1552" priority="83" stopIfTrue="1"/>
    <cfRule type="duplicateValues" dxfId="1551" priority="84" stopIfTrue="1"/>
  </conditionalFormatting>
  <conditionalFormatting sqref="C215">
    <cfRule type="duplicateValues" dxfId="1550" priority="82" stopIfTrue="1"/>
  </conditionalFormatting>
  <conditionalFormatting sqref="C207">
    <cfRule type="duplicateValues" dxfId="1549" priority="80" stopIfTrue="1"/>
    <cfRule type="duplicateValues" dxfId="1548" priority="81" stopIfTrue="1"/>
  </conditionalFormatting>
  <conditionalFormatting sqref="C207">
    <cfRule type="duplicateValues" dxfId="1547" priority="79" stopIfTrue="1"/>
  </conditionalFormatting>
  <conditionalFormatting sqref="C179">
    <cfRule type="duplicateValues" dxfId="1546" priority="77" stopIfTrue="1"/>
    <cfRule type="duplicateValues" dxfId="1545" priority="78" stopIfTrue="1"/>
  </conditionalFormatting>
  <conditionalFormatting sqref="C179">
    <cfRule type="duplicateValues" dxfId="1544" priority="76" stopIfTrue="1"/>
  </conditionalFormatting>
  <conditionalFormatting sqref="C194">
    <cfRule type="duplicateValues" dxfId="1543" priority="74" stopIfTrue="1"/>
    <cfRule type="duplicateValues" dxfId="1542" priority="75" stopIfTrue="1"/>
  </conditionalFormatting>
  <conditionalFormatting sqref="C194">
    <cfRule type="duplicateValues" dxfId="1541" priority="73" stopIfTrue="1"/>
  </conditionalFormatting>
  <conditionalFormatting sqref="C196">
    <cfRule type="duplicateValues" dxfId="1540" priority="71" stopIfTrue="1"/>
    <cfRule type="duplicateValues" dxfId="1539" priority="72" stopIfTrue="1"/>
  </conditionalFormatting>
  <conditionalFormatting sqref="C196">
    <cfRule type="duplicateValues" dxfId="1538" priority="70" stopIfTrue="1"/>
  </conditionalFormatting>
  <conditionalFormatting sqref="C198">
    <cfRule type="duplicateValues" dxfId="1537" priority="68" stopIfTrue="1"/>
    <cfRule type="duplicateValues" dxfId="1536" priority="69" stopIfTrue="1"/>
  </conditionalFormatting>
  <conditionalFormatting sqref="C198">
    <cfRule type="duplicateValues" dxfId="1535" priority="67" stopIfTrue="1"/>
  </conditionalFormatting>
  <conditionalFormatting sqref="C199">
    <cfRule type="duplicateValues" dxfId="1534" priority="65" stopIfTrue="1"/>
    <cfRule type="duplicateValues" dxfId="1533" priority="66" stopIfTrue="1"/>
  </conditionalFormatting>
  <conditionalFormatting sqref="C199">
    <cfRule type="duplicateValues" dxfId="1532" priority="64" stopIfTrue="1"/>
  </conditionalFormatting>
  <conditionalFormatting sqref="C200">
    <cfRule type="duplicateValues" dxfId="1531" priority="62" stopIfTrue="1"/>
    <cfRule type="duplicateValues" dxfId="1530" priority="63" stopIfTrue="1"/>
  </conditionalFormatting>
  <conditionalFormatting sqref="C200">
    <cfRule type="duplicateValues" dxfId="1529" priority="61" stopIfTrue="1"/>
  </conditionalFormatting>
  <conditionalFormatting sqref="C201">
    <cfRule type="duplicateValues" dxfId="1528" priority="59" stopIfTrue="1"/>
    <cfRule type="duplicateValues" dxfId="1527" priority="60" stopIfTrue="1"/>
  </conditionalFormatting>
  <conditionalFormatting sqref="C201">
    <cfRule type="duplicateValues" dxfId="1526" priority="58" stopIfTrue="1"/>
  </conditionalFormatting>
  <conditionalFormatting sqref="C202">
    <cfRule type="duplicateValues" dxfId="1525" priority="56" stopIfTrue="1"/>
    <cfRule type="duplicateValues" dxfId="1524" priority="57" stopIfTrue="1"/>
  </conditionalFormatting>
  <conditionalFormatting sqref="C202">
    <cfRule type="duplicateValues" dxfId="1523" priority="55" stopIfTrue="1"/>
  </conditionalFormatting>
  <conditionalFormatting sqref="C203">
    <cfRule type="duplicateValues" dxfId="1522" priority="53" stopIfTrue="1"/>
    <cfRule type="duplicateValues" dxfId="1521" priority="54" stopIfTrue="1"/>
  </conditionalFormatting>
  <conditionalFormatting sqref="C203">
    <cfRule type="duplicateValues" dxfId="1520" priority="52" stopIfTrue="1"/>
  </conditionalFormatting>
  <conditionalFormatting sqref="C3">
    <cfRule type="duplicateValues" dxfId="1519" priority="51"/>
  </conditionalFormatting>
  <conditionalFormatting sqref="C204">
    <cfRule type="duplicateValues" dxfId="1518" priority="49" stopIfTrue="1"/>
    <cfRule type="duplicateValues" dxfId="1517" priority="50" stopIfTrue="1"/>
  </conditionalFormatting>
  <conditionalFormatting sqref="C204">
    <cfRule type="duplicateValues" dxfId="1516" priority="48" stopIfTrue="1"/>
  </conditionalFormatting>
  <conditionalFormatting sqref="C156">
    <cfRule type="duplicateValues" dxfId="1515" priority="46" stopIfTrue="1"/>
    <cfRule type="duplicateValues" dxfId="1514" priority="47" stopIfTrue="1"/>
  </conditionalFormatting>
  <conditionalFormatting sqref="C156">
    <cfRule type="duplicateValues" dxfId="1513" priority="45" stopIfTrue="1"/>
  </conditionalFormatting>
  <conditionalFormatting sqref="C168">
    <cfRule type="duplicateValues" dxfId="1512" priority="44"/>
  </conditionalFormatting>
  <conditionalFormatting sqref="C144">
    <cfRule type="duplicateValues" dxfId="1511" priority="43"/>
  </conditionalFormatting>
  <conditionalFormatting sqref="C209 C333:C1048576 C187:C207 C1:C5 C156:C158 C152 C160 C164:C184 C219:C223 C213:C217 C143:C144">
    <cfRule type="duplicateValues" dxfId="1510" priority="42"/>
  </conditionalFormatting>
  <conditionalFormatting sqref="C213:C217 C219:C223 C156:C158 C152 C160 C164:C184 C143:C144">
    <cfRule type="duplicateValues" dxfId="1509" priority="41"/>
  </conditionalFormatting>
  <conditionalFormatting sqref="C190:C191 C158 C220:C222">
    <cfRule type="duplicateValues" dxfId="1508" priority="39" stopIfTrue="1"/>
    <cfRule type="duplicateValues" dxfId="1507" priority="40" stopIfTrue="1"/>
  </conditionalFormatting>
  <conditionalFormatting sqref="C190:C191 C158 C220:C222">
    <cfRule type="duplicateValues" dxfId="1506" priority="38" stopIfTrue="1"/>
  </conditionalFormatting>
  <conditionalFormatting sqref="C190:C191 C220:C222 C158">
    <cfRule type="duplicateValues" dxfId="1505" priority="36" stopIfTrue="1"/>
    <cfRule type="duplicateValues" dxfId="1504" priority="37" stopIfTrue="1"/>
  </conditionalFormatting>
  <conditionalFormatting sqref="C190:C191 C220:C222 C158">
    <cfRule type="duplicateValues" dxfId="1503" priority="35" stopIfTrue="1"/>
  </conditionalFormatting>
  <conditionalFormatting sqref="C143">
    <cfRule type="duplicateValues" dxfId="1502" priority="33" stopIfTrue="1"/>
    <cfRule type="duplicateValues" dxfId="1501" priority="34" stopIfTrue="1"/>
  </conditionalFormatting>
  <conditionalFormatting sqref="C143">
    <cfRule type="duplicateValues" dxfId="1500" priority="32" stopIfTrue="1"/>
  </conditionalFormatting>
  <conditionalFormatting sqref="C223 C154 C166:C168 C164 C156:C158 C170:C184 C160:C162 C152 C144">
    <cfRule type="duplicateValues" dxfId="1499" priority="30" stopIfTrue="1"/>
    <cfRule type="duplicateValues" dxfId="1498" priority="31" stopIfTrue="1"/>
  </conditionalFormatting>
  <conditionalFormatting sqref="C223 C154 C166:C168 C164 C156:C158 C170:C184 C160:C162 C152 C144">
    <cfRule type="duplicateValues" dxfId="1497" priority="29" stopIfTrue="1"/>
  </conditionalFormatting>
  <conditionalFormatting sqref="C154 C152 C143:C144">
    <cfRule type="duplicateValues" dxfId="1496" priority="27" stopIfTrue="1"/>
    <cfRule type="duplicateValues" dxfId="1495" priority="28" stopIfTrue="1"/>
  </conditionalFormatting>
  <conditionalFormatting sqref="C154 C152 C143:C144">
    <cfRule type="duplicateValues" dxfId="1494" priority="26" stopIfTrue="1"/>
  </conditionalFormatting>
  <conditionalFormatting sqref="C154 C152 C144">
    <cfRule type="duplicateValues" dxfId="1493" priority="24" stopIfTrue="1"/>
    <cfRule type="duplicateValues" dxfId="1492" priority="25" stopIfTrue="1"/>
  </conditionalFormatting>
  <conditionalFormatting sqref="C154 C152 C144">
    <cfRule type="duplicateValues" dxfId="1491" priority="23" stopIfTrue="1"/>
  </conditionalFormatting>
  <conditionalFormatting sqref="C219:C223 C170:C184 C166:C168 C164 C156:C158 C154 C160:C162 C152 C143:C144">
    <cfRule type="duplicateValues" dxfId="1490" priority="21" stopIfTrue="1"/>
    <cfRule type="duplicateValues" dxfId="1489" priority="22" stopIfTrue="1"/>
  </conditionalFormatting>
  <conditionalFormatting sqref="C219:C223 C170:C184 C166:C168 C164 C156:C158 C154 C160:C162 C152 C143:C144">
    <cfRule type="duplicateValues" dxfId="1488" priority="20" stopIfTrue="1"/>
  </conditionalFormatting>
  <conditionalFormatting sqref="C144">
    <cfRule type="duplicateValues" dxfId="1487" priority="18" stopIfTrue="1"/>
    <cfRule type="duplicateValues" dxfId="1486" priority="19" stopIfTrue="1"/>
  </conditionalFormatting>
  <conditionalFormatting sqref="C152 C198:C203 C187:C188 C194:C196 C144">
    <cfRule type="duplicateValues" dxfId="1485" priority="16" stopIfTrue="1"/>
    <cfRule type="duplicateValues" dxfId="1484" priority="17" stopIfTrue="1"/>
  </conditionalFormatting>
  <conditionalFormatting sqref="C152 C198:C203 C187:C188 C194:C196 C144">
    <cfRule type="duplicateValues" dxfId="1483" priority="15" stopIfTrue="1"/>
  </conditionalFormatting>
  <conditionalFormatting sqref="C152 C198:C203 C333:C1048576 C205:C207 C156:C158 C1:C2 C4:C5 C169:C182 C219:C223 C213:C217 C164:C167 C184 C194:C196 C187:C191 C144">
    <cfRule type="duplicateValues" dxfId="1482" priority="14"/>
  </conditionalFormatting>
  <conditionalFormatting sqref="C152 C219:C223 C333:C1048576 C1:C5 C213:C217 C156:C158 C164:C167 C187:C191 C194:C196 C169:C182 C198:C207 C184 C144">
    <cfRule type="duplicateValues" dxfId="1481" priority="13"/>
  </conditionalFormatting>
  <conditionalFormatting sqref="C60">
    <cfRule type="duplicateValues" dxfId="1480" priority="11" stopIfTrue="1"/>
    <cfRule type="duplicateValues" dxfId="1479" priority="12" stopIfTrue="1"/>
  </conditionalFormatting>
  <conditionalFormatting sqref="C60">
    <cfRule type="duplicateValues" dxfId="1478" priority="10" stopIfTrue="1"/>
  </conditionalFormatting>
  <conditionalFormatting sqref="C121">
    <cfRule type="duplicateValues" dxfId="1477" priority="8" stopIfTrue="1"/>
    <cfRule type="duplicateValues" dxfId="1476" priority="9" stopIfTrue="1"/>
  </conditionalFormatting>
  <conditionalFormatting sqref="C121">
    <cfRule type="duplicateValues" dxfId="1475" priority="7" stopIfTrue="1"/>
  </conditionalFormatting>
  <conditionalFormatting sqref="C44">
    <cfRule type="duplicateValues" dxfId="1474" priority="5" stopIfTrue="1"/>
    <cfRule type="duplicateValues" dxfId="1473" priority="6" stopIfTrue="1"/>
  </conditionalFormatting>
  <conditionalFormatting sqref="C44">
    <cfRule type="duplicateValues" dxfId="1472" priority="4" stopIfTrue="1"/>
  </conditionalFormatting>
  <conditionalFormatting sqref="C36:C37 C30:C33 C26:C28 C23:C24 C20:C21 C6:C18 C39:C45 C47:C120 C132:C133 C135:C141">
    <cfRule type="duplicateValues" dxfId="1471" priority="2" stopIfTrue="1"/>
    <cfRule type="duplicateValues" dxfId="1470" priority="3" stopIfTrue="1"/>
  </conditionalFormatting>
  <conditionalFormatting sqref="C36:C37 C30:C33 C26:C28 C23:C24 C20:C21 C6:C18 C39:C45 C47:C120 C132:C133 C135:C141">
    <cfRule type="duplicateValues" dxfId="1469" priority="1" stopIfTrue="1"/>
  </conditionalFormatting>
  <pageMargins left="0.43307086614173201" right="0.2" top="7.8740157480315001E-2" bottom="0.118110236220472" header="0.31496062992126" footer="0.31496062992126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3:O228"/>
  <sheetViews>
    <sheetView topLeftCell="A107" workbookViewId="0">
      <selection activeCell="E126" sqref="E126"/>
    </sheetView>
  </sheetViews>
  <sheetFormatPr defaultRowHeight="15"/>
  <cols>
    <col min="1" max="1" width="5.5703125" style="44" customWidth="1"/>
    <col min="2" max="2" width="12" style="44" customWidth="1"/>
    <col min="3" max="3" width="33.710937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9.285156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849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4" t="s">
        <v>822</v>
      </c>
      <c r="D6" s="19">
        <v>330000</v>
      </c>
      <c r="E6" s="19">
        <v>43989</v>
      </c>
      <c r="F6" s="19">
        <f t="shared" ref="F6:F14" si="0">SUM(D6:E6)</f>
        <v>373989</v>
      </c>
      <c r="G6" s="240">
        <v>50</v>
      </c>
      <c r="H6" s="203">
        <v>7479.78</v>
      </c>
      <c r="I6" s="247">
        <v>5</v>
      </c>
      <c r="J6" s="97">
        <f t="shared" ref="J6:J37" si="1">G6-I6</f>
        <v>45</v>
      </c>
      <c r="K6" s="91">
        <f t="shared" ref="K6:K16" si="2">I6*H6</f>
        <v>37398.9</v>
      </c>
      <c r="L6" s="94">
        <f t="shared" ref="L6:L37" si="3">F6-K6</f>
        <v>336590.1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4" t="s">
        <v>839</v>
      </c>
      <c r="D7" s="16">
        <v>132000</v>
      </c>
      <c r="E7" s="16">
        <v>17595.599999999999</v>
      </c>
      <c r="F7" s="41">
        <f t="shared" si="0"/>
        <v>149595.6</v>
      </c>
      <c r="G7" s="240">
        <v>40</v>
      </c>
      <c r="H7" s="209">
        <v>3739.89</v>
      </c>
      <c r="I7" s="243">
        <v>37</v>
      </c>
      <c r="J7" s="96">
        <f t="shared" si="1"/>
        <v>3</v>
      </c>
      <c r="K7" s="16">
        <f t="shared" si="2"/>
        <v>138375.93</v>
      </c>
      <c r="L7" s="41">
        <f t="shared" si="3"/>
        <v>11219.670000000013</v>
      </c>
      <c r="M7" s="11"/>
      <c r="N7" s="180" t="e">
        <f>#REF!-H7</f>
        <v>#REF!</v>
      </c>
    </row>
    <row r="8" spans="1:14" s="114" customFormat="1">
      <c r="A8" s="96">
        <v>3</v>
      </c>
      <c r="B8" s="11" t="s">
        <v>653</v>
      </c>
      <c r="C8" s="11" t="s">
        <v>833</v>
      </c>
      <c r="D8" s="19">
        <v>330000</v>
      </c>
      <c r="E8" s="19">
        <v>43989</v>
      </c>
      <c r="F8" s="19">
        <f t="shared" si="0"/>
        <v>373989</v>
      </c>
      <c r="G8" s="240">
        <v>50</v>
      </c>
      <c r="H8" s="254">
        <v>7479.78</v>
      </c>
      <c r="I8" s="243">
        <v>23</v>
      </c>
      <c r="J8" s="97">
        <f t="shared" si="1"/>
        <v>27</v>
      </c>
      <c r="K8" s="91">
        <f t="shared" si="2"/>
        <v>172034.94</v>
      </c>
      <c r="L8" s="94">
        <f t="shared" si="3"/>
        <v>201954.06</v>
      </c>
      <c r="M8" s="11"/>
      <c r="N8" s="180" t="e">
        <f>#REF!-H8</f>
        <v>#REF!</v>
      </c>
    </row>
    <row r="9" spans="1:14" s="114" customFormat="1">
      <c r="A9" s="96">
        <v>4</v>
      </c>
      <c r="B9" s="241" t="s">
        <v>528</v>
      </c>
      <c r="C9" s="4" t="s">
        <v>747</v>
      </c>
      <c r="D9" s="12">
        <v>500000</v>
      </c>
      <c r="E9" s="12">
        <v>66650</v>
      </c>
      <c r="F9" s="15">
        <f t="shared" si="0"/>
        <v>566650</v>
      </c>
      <c r="G9" s="246">
        <v>50</v>
      </c>
      <c r="H9" s="209">
        <v>11333</v>
      </c>
      <c r="I9" s="248">
        <v>36</v>
      </c>
      <c r="J9" s="97">
        <f t="shared" si="1"/>
        <v>14</v>
      </c>
      <c r="K9" s="91">
        <f t="shared" si="2"/>
        <v>407988</v>
      </c>
      <c r="L9" s="15">
        <f t="shared" si="3"/>
        <v>158662</v>
      </c>
      <c r="M9" s="8"/>
      <c r="N9" s="180" t="e">
        <f>#REF!-H9</f>
        <v>#REF!</v>
      </c>
    </row>
    <row r="10" spans="1:14" s="114" customFormat="1">
      <c r="A10" s="96">
        <v>5</v>
      </c>
      <c r="B10" s="241" t="s">
        <v>674</v>
      </c>
      <c r="C10" s="4" t="s">
        <v>737</v>
      </c>
      <c r="D10" s="16">
        <v>500000</v>
      </c>
      <c r="E10" s="16">
        <v>53320</v>
      </c>
      <c r="F10" s="41">
        <f t="shared" si="0"/>
        <v>553320</v>
      </c>
      <c r="G10" s="240">
        <v>40</v>
      </c>
      <c r="H10" s="209">
        <v>13833</v>
      </c>
      <c r="I10" s="243">
        <v>52</v>
      </c>
      <c r="J10" s="96">
        <f t="shared" si="1"/>
        <v>-12</v>
      </c>
      <c r="K10" s="16">
        <f t="shared" si="2"/>
        <v>719316</v>
      </c>
      <c r="L10" s="41">
        <f t="shared" si="3"/>
        <v>-165996</v>
      </c>
      <c r="M10" s="11"/>
      <c r="N10" s="180" t="e">
        <f>#REF!-H10</f>
        <v>#REF!</v>
      </c>
    </row>
    <row r="11" spans="1:14" s="114" customFormat="1">
      <c r="A11" s="96">
        <v>6</v>
      </c>
      <c r="B11" s="241" t="s">
        <v>692</v>
      </c>
      <c r="C11" s="178" t="s">
        <v>838</v>
      </c>
      <c r="D11" s="16">
        <v>330000</v>
      </c>
      <c r="E11" s="16">
        <v>43989</v>
      </c>
      <c r="F11" s="41">
        <f t="shared" si="0"/>
        <v>373989</v>
      </c>
      <c r="G11" s="240">
        <v>50</v>
      </c>
      <c r="H11" s="209">
        <v>7478.78</v>
      </c>
      <c r="I11" s="247">
        <v>40</v>
      </c>
      <c r="J11" s="96">
        <f t="shared" si="1"/>
        <v>10</v>
      </c>
      <c r="K11" s="16">
        <f t="shared" si="2"/>
        <v>299151.2</v>
      </c>
      <c r="L11" s="41">
        <f t="shared" si="3"/>
        <v>74837.799999999988</v>
      </c>
      <c r="M11" s="11"/>
      <c r="N11" s="180" t="e">
        <f>#REF!-H11</f>
        <v>#REF!</v>
      </c>
    </row>
    <row r="12" spans="1:14" s="114" customFormat="1">
      <c r="A12" s="96">
        <v>7</v>
      </c>
      <c r="B12" s="241" t="s">
        <v>602</v>
      </c>
      <c r="C12" s="46" t="s">
        <v>830</v>
      </c>
      <c r="D12" s="16">
        <v>330000</v>
      </c>
      <c r="E12" s="16">
        <v>43989</v>
      </c>
      <c r="F12" s="41">
        <f t="shared" si="0"/>
        <v>373989</v>
      </c>
      <c r="G12" s="240">
        <v>50</v>
      </c>
      <c r="H12" s="203">
        <v>7479.78</v>
      </c>
      <c r="I12" s="243">
        <v>40</v>
      </c>
      <c r="J12" s="96">
        <f t="shared" si="1"/>
        <v>10</v>
      </c>
      <c r="K12" s="16">
        <f t="shared" si="2"/>
        <v>299191.2</v>
      </c>
      <c r="L12" s="41">
        <f t="shared" si="3"/>
        <v>74797.799999999988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640</v>
      </c>
      <c r="C13" s="25" t="s">
        <v>778</v>
      </c>
      <c r="D13" s="16">
        <v>500000</v>
      </c>
      <c r="E13" s="16">
        <v>66650</v>
      </c>
      <c r="F13" s="41">
        <f t="shared" si="0"/>
        <v>566650</v>
      </c>
      <c r="G13" s="159">
        <v>50</v>
      </c>
      <c r="H13" s="209">
        <v>11333</v>
      </c>
      <c r="I13" s="96">
        <v>31</v>
      </c>
      <c r="J13" s="96">
        <f t="shared" si="1"/>
        <v>19</v>
      </c>
      <c r="K13" s="16">
        <f t="shared" si="2"/>
        <v>351323</v>
      </c>
      <c r="L13" s="41">
        <f t="shared" si="3"/>
        <v>215327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704</v>
      </c>
      <c r="C14" s="2" t="s">
        <v>794</v>
      </c>
      <c r="D14" s="16">
        <v>500000</v>
      </c>
      <c r="E14" s="16">
        <v>66650</v>
      </c>
      <c r="F14" s="41">
        <f t="shared" si="0"/>
        <v>566650</v>
      </c>
      <c r="G14" s="159">
        <v>50</v>
      </c>
      <c r="H14" s="209">
        <v>11333</v>
      </c>
      <c r="I14" s="96">
        <v>40</v>
      </c>
      <c r="J14" s="96">
        <f t="shared" si="1"/>
        <v>10</v>
      </c>
      <c r="K14" s="16">
        <f t="shared" si="2"/>
        <v>453320</v>
      </c>
      <c r="L14" s="41">
        <f t="shared" si="3"/>
        <v>113330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709</v>
      </c>
      <c r="C15" s="2" t="s">
        <v>795</v>
      </c>
      <c r="D15" s="19">
        <v>500000</v>
      </c>
      <c r="E15" s="19">
        <v>66650</v>
      </c>
      <c r="F15" s="19">
        <v>566650</v>
      </c>
      <c r="G15" s="159">
        <v>50</v>
      </c>
      <c r="H15" s="209">
        <v>11333</v>
      </c>
      <c r="I15" s="96">
        <v>17</v>
      </c>
      <c r="J15" s="96">
        <f t="shared" si="1"/>
        <v>33</v>
      </c>
      <c r="K15" s="16">
        <f t="shared" si="2"/>
        <v>192661</v>
      </c>
      <c r="L15" s="16">
        <f t="shared" si="3"/>
        <v>373989</v>
      </c>
      <c r="M15" s="122"/>
      <c r="N15" s="180" t="e">
        <f>#REF!-H15</f>
        <v>#REF!</v>
      </c>
    </row>
    <row r="16" spans="1:14" s="114" customFormat="1">
      <c r="A16" s="96">
        <v>11</v>
      </c>
      <c r="B16" s="96" t="s">
        <v>696</v>
      </c>
      <c r="C16" s="2" t="s">
        <v>791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09">
        <v>11333</v>
      </c>
      <c r="I16" s="96">
        <v>52</v>
      </c>
      <c r="J16" s="96">
        <f t="shared" si="1"/>
        <v>-2</v>
      </c>
      <c r="K16" s="16">
        <f t="shared" si="2"/>
        <v>589316</v>
      </c>
      <c r="L16" s="41">
        <f t="shared" si="3"/>
        <v>-22666</v>
      </c>
      <c r="M16" s="11"/>
      <c r="N16" s="180" t="e">
        <f>#REF!-H16</f>
        <v>#REF!</v>
      </c>
    </row>
    <row r="17" spans="1:14" s="114" customFormat="1">
      <c r="A17" s="96">
        <v>12</v>
      </c>
      <c r="B17" s="96" t="s">
        <v>574</v>
      </c>
      <c r="C17" s="25" t="s">
        <v>827</v>
      </c>
      <c r="D17" s="16">
        <v>330000</v>
      </c>
      <c r="E17" s="16">
        <v>43989</v>
      </c>
      <c r="F17" s="41">
        <f>SUM(D17:E17)</f>
        <v>373989</v>
      </c>
      <c r="G17" s="159">
        <v>50</v>
      </c>
      <c r="H17" s="203">
        <v>7479.78</v>
      </c>
      <c r="I17" s="159">
        <v>40</v>
      </c>
      <c r="J17" s="97">
        <f t="shared" si="1"/>
        <v>10</v>
      </c>
      <c r="K17" s="91">
        <f>(32*7479.78)</f>
        <v>239352.95999999999</v>
      </c>
      <c r="L17" s="94">
        <f t="shared" si="3"/>
        <v>134636.04</v>
      </c>
      <c r="M17" s="11"/>
      <c r="N17" s="180" t="e">
        <f>#REF!-H17</f>
        <v>#REF!</v>
      </c>
    </row>
    <row r="18" spans="1:14" s="114" customFormat="1">
      <c r="A18" s="96">
        <v>13</v>
      </c>
      <c r="B18" s="96" t="s">
        <v>721</v>
      </c>
      <c r="C18" s="2" t="s">
        <v>799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209">
        <v>11333</v>
      </c>
      <c r="I18" s="97">
        <v>52</v>
      </c>
      <c r="J18" s="97">
        <f t="shared" si="1"/>
        <v>-2</v>
      </c>
      <c r="K18" s="91">
        <f>I18*H18</f>
        <v>589316</v>
      </c>
      <c r="L18" s="94">
        <f t="shared" si="3"/>
        <v>-22666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649</v>
      </c>
      <c r="C19" s="2" t="s">
        <v>360</v>
      </c>
      <c r="D19" s="16">
        <v>450000</v>
      </c>
      <c r="E19" s="16">
        <v>59985</v>
      </c>
      <c r="F19" s="16">
        <v>509985</v>
      </c>
      <c r="G19" s="159">
        <v>50</v>
      </c>
      <c r="H19" s="209">
        <v>10199.700000000001</v>
      </c>
      <c r="I19" s="97">
        <v>16</v>
      </c>
      <c r="J19" s="97">
        <f t="shared" si="1"/>
        <v>34</v>
      </c>
      <c r="K19" s="91">
        <f>I19*H19</f>
        <v>163195.20000000001</v>
      </c>
      <c r="L19" s="91">
        <f t="shared" si="3"/>
        <v>346789.8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617</v>
      </c>
      <c r="C20" s="2" t="s">
        <v>812</v>
      </c>
      <c r="D20" s="16">
        <v>450000</v>
      </c>
      <c r="E20" s="16">
        <v>59985</v>
      </c>
      <c r="F20" s="16">
        <v>509985</v>
      </c>
      <c r="G20" s="159">
        <v>50</v>
      </c>
      <c r="H20" s="209">
        <v>10199.700000000001</v>
      </c>
      <c r="I20" s="97">
        <v>31</v>
      </c>
      <c r="J20" s="97">
        <f t="shared" si="1"/>
        <v>19</v>
      </c>
      <c r="K20" s="91">
        <f>I20*H20</f>
        <v>316190.7</v>
      </c>
      <c r="L20" s="94">
        <f t="shared" si="3"/>
        <v>193794.3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672</v>
      </c>
      <c r="C21" s="2" t="s">
        <v>736</v>
      </c>
      <c r="D21" s="16">
        <v>500000</v>
      </c>
      <c r="E21" s="16">
        <v>53320</v>
      </c>
      <c r="F21" s="41">
        <f>SUM(D21:E21)</f>
        <v>553320</v>
      </c>
      <c r="G21" s="159">
        <v>40</v>
      </c>
      <c r="H21" s="209">
        <v>13833</v>
      </c>
      <c r="I21" s="97">
        <v>52</v>
      </c>
      <c r="J21" s="97">
        <f t="shared" si="1"/>
        <v>-12</v>
      </c>
      <c r="K21" s="91">
        <f>I21*H21</f>
        <v>719316</v>
      </c>
      <c r="L21" s="94">
        <f t="shared" si="3"/>
        <v>-165996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505</v>
      </c>
      <c r="C22" s="2" t="s">
        <v>740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09">
        <v>11333</v>
      </c>
      <c r="I22" s="97">
        <v>31</v>
      </c>
      <c r="J22" s="97">
        <f t="shared" si="1"/>
        <v>19</v>
      </c>
      <c r="K22" s="91">
        <f>I22*H22</f>
        <v>351323</v>
      </c>
      <c r="L22" s="94">
        <f t="shared" si="3"/>
        <v>215327</v>
      </c>
      <c r="M22" s="11"/>
      <c r="N22" s="180" t="e">
        <f>#REF!-H22</f>
        <v>#REF!</v>
      </c>
    </row>
    <row r="23" spans="1:14" s="114" customFormat="1">
      <c r="A23" s="96">
        <v>18</v>
      </c>
      <c r="B23" s="96" t="s">
        <v>565</v>
      </c>
      <c r="C23" s="25" t="s">
        <v>847</v>
      </c>
      <c r="D23" s="16">
        <v>60000</v>
      </c>
      <c r="E23" s="16">
        <v>7998</v>
      </c>
      <c r="F23" s="41">
        <f>SUM(D23:E23)</f>
        <v>67998</v>
      </c>
      <c r="G23" s="159">
        <v>40</v>
      </c>
      <c r="H23" s="209">
        <v>1699.95</v>
      </c>
      <c r="I23" s="97">
        <v>6</v>
      </c>
      <c r="J23" s="97">
        <f t="shared" si="1"/>
        <v>34</v>
      </c>
      <c r="K23" s="91"/>
      <c r="L23" s="94">
        <f t="shared" si="3"/>
        <v>67998</v>
      </c>
      <c r="M23" s="11"/>
      <c r="N23" s="180" t="e">
        <f>#REF!-H23</f>
        <v>#REF!</v>
      </c>
    </row>
    <row r="24" spans="1:14" s="114" customFormat="1">
      <c r="A24" s="96">
        <v>19</v>
      </c>
      <c r="B24" s="96" t="s">
        <v>659</v>
      </c>
      <c r="C24" s="25" t="s">
        <v>783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09">
        <v>11333</v>
      </c>
      <c r="I24" s="97">
        <v>41</v>
      </c>
      <c r="J24" s="97">
        <f t="shared" si="1"/>
        <v>9</v>
      </c>
      <c r="K24" s="91">
        <f t="shared" ref="K24:K30" si="4">I24*H24</f>
        <v>464653</v>
      </c>
      <c r="L24" s="94">
        <f t="shared" si="3"/>
        <v>101997</v>
      </c>
      <c r="M24" s="11" t="s">
        <v>276</v>
      </c>
      <c r="N24" s="180" t="e">
        <f>#REF!-H24</f>
        <v>#REF!</v>
      </c>
    </row>
    <row r="25" spans="1:14" s="114" customFormat="1">
      <c r="A25" s="96">
        <v>20</v>
      </c>
      <c r="B25" s="96" t="s">
        <v>559</v>
      </c>
      <c r="C25" s="2" t="s">
        <v>758</v>
      </c>
      <c r="D25" s="16">
        <v>500000</v>
      </c>
      <c r="E25" s="16">
        <v>66650</v>
      </c>
      <c r="F25" s="16">
        <v>566650</v>
      </c>
      <c r="G25" s="159">
        <v>50</v>
      </c>
      <c r="H25" s="146">
        <v>11333</v>
      </c>
      <c r="I25" s="96">
        <v>5</v>
      </c>
      <c r="J25" s="97">
        <f t="shared" si="1"/>
        <v>45</v>
      </c>
      <c r="K25" s="91">
        <f t="shared" si="4"/>
        <v>56665</v>
      </c>
      <c r="L25" s="94">
        <f t="shared" si="3"/>
        <v>509985</v>
      </c>
      <c r="M25" s="215"/>
    </row>
    <row r="26" spans="1:14" s="114" customFormat="1">
      <c r="A26" s="96">
        <v>21</v>
      </c>
      <c r="B26" s="96" t="s">
        <v>690</v>
      </c>
      <c r="C26" s="25" t="s">
        <v>790</v>
      </c>
      <c r="D26" s="16">
        <v>500000</v>
      </c>
      <c r="E26" s="16">
        <v>66650</v>
      </c>
      <c r="F26" s="41">
        <f>SUM(D26:E26)</f>
        <v>566650</v>
      </c>
      <c r="G26" s="159">
        <v>50</v>
      </c>
      <c r="H26" s="209">
        <v>11333</v>
      </c>
      <c r="I26" s="188">
        <v>3</v>
      </c>
      <c r="J26" s="97">
        <f t="shared" si="1"/>
        <v>47</v>
      </c>
      <c r="K26" s="91">
        <f t="shared" si="4"/>
        <v>33999</v>
      </c>
      <c r="L26" s="94">
        <f t="shared" si="3"/>
        <v>532651</v>
      </c>
      <c r="M26" s="214"/>
      <c r="N26" s="180" t="e">
        <f>#REF!-H26</f>
        <v>#REF!</v>
      </c>
    </row>
    <row r="27" spans="1:14" s="114" customFormat="1">
      <c r="A27" s="96">
        <v>22</v>
      </c>
      <c r="B27" s="96" t="s">
        <v>581</v>
      </c>
      <c r="C27" s="2" t="s">
        <v>829</v>
      </c>
      <c r="D27" s="16">
        <v>330000</v>
      </c>
      <c r="E27" s="16">
        <v>43989</v>
      </c>
      <c r="F27" s="41">
        <f>SUM(D27:E27)</f>
        <v>373989</v>
      </c>
      <c r="G27" s="159">
        <v>50</v>
      </c>
      <c r="H27" s="209">
        <v>7479.78</v>
      </c>
      <c r="I27" s="97">
        <v>52</v>
      </c>
      <c r="J27" s="97">
        <f t="shared" si="1"/>
        <v>-2</v>
      </c>
      <c r="K27" s="91">
        <f t="shared" si="4"/>
        <v>388948.56</v>
      </c>
      <c r="L27" s="94">
        <f t="shared" si="3"/>
        <v>-14959.559999999998</v>
      </c>
      <c r="M27" s="11"/>
      <c r="N27" s="180" t="e">
        <f>#REF!-H27</f>
        <v>#REF!</v>
      </c>
    </row>
    <row r="28" spans="1:14" s="114" customFormat="1">
      <c r="A28" s="96">
        <v>23</v>
      </c>
      <c r="B28" s="96" t="s">
        <v>567</v>
      </c>
      <c r="C28" s="2" t="s">
        <v>826</v>
      </c>
      <c r="D28" s="16">
        <v>330000</v>
      </c>
      <c r="E28" s="16">
        <v>43989</v>
      </c>
      <c r="F28" s="41">
        <f>SUM(D28:E28)</f>
        <v>373989</v>
      </c>
      <c r="G28" s="159">
        <v>50</v>
      </c>
      <c r="H28" s="209">
        <v>7479.78</v>
      </c>
      <c r="I28" s="97">
        <v>52</v>
      </c>
      <c r="J28" s="97">
        <f t="shared" si="1"/>
        <v>-2</v>
      </c>
      <c r="K28" s="91">
        <f t="shared" si="4"/>
        <v>388948.56</v>
      </c>
      <c r="L28" s="94">
        <f t="shared" si="3"/>
        <v>-14959.559999999998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726</v>
      </c>
      <c r="C29" s="2" t="s">
        <v>801</v>
      </c>
      <c r="D29" s="19">
        <v>500000</v>
      </c>
      <c r="E29" s="19">
        <v>66650</v>
      </c>
      <c r="F29" s="19">
        <v>566650</v>
      </c>
      <c r="G29" s="159">
        <v>50</v>
      </c>
      <c r="H29" s="209">
        <v>11333</v>
      </c>
      <c r="I29" s="97">
        <v>17</v>
      </c>
      <c r="J29" s="97">
        <f t="shared" si="1"/>
        <v>33</v>
      </c>
      <c r="K29" s="91">
        <f t="shared" si="4"/>
        <v>192661</v>
      </c>
      <c r="L29" s="91">
        <f t="shared" si="3"/>
        <v>373989</v>
      </c>
      <c r="M29" s="122"/>
      <c r="N29" s="180" t="e">
        <f>#REF!-H29</f>
        <v>#REF!</v>
      </c>
    </row>
    <row r="30" spans="1:14" s="114" customFormat="1">
      <c r="A30" s="96">
        <v>25</v>
      </c>
      <c r="B30" s="96" t="s">
        <v>680</v>
      </c>
      <c r="C30" s="2" t="s">
        <v>785</v>
      </c>
      <c r="D30" s="19">
        <v>500000</v>
      </c>
      <c r="E30" s="19">
        <v>66650</v>
      </c>
      <c r="F30" s="19">
        <v>566650</v>
      </c>
      <c r="G30" s="159">
        <v>50</v>
      </c>
      <c r="H30" s="209">
        <v>11333</v>
      </c>
      <c r="I30" s="97">
        <v>17</v>
      </c>
      <c r="J30" s="97">
        <f t="shared" si="1"/>
        <v>33</v>
      </c>
      <c r="K30" s="91">
        <f t="shared" si="4"/>
        <v>192661</v>
      </c>
      <c r="L30" s="91">
        <f t="shared" si="3"/>
        <v>373989</v>
      </c>
      <c r="M30" s="122"/>
      <c r="N30" s="180" t="e">
        <f>#REF!-H30</f>
        <v>#REF!</v>
      </c>
    </row>
    <row r="31" spans="1:14" s="114" customFormat="1">
      <c r="A31" s="96">
        <v>26</v>
      </c>
      <c r="B31" s="96" t="s">
        <v>576</v>
      </c>
      <c r="C31" s="25" t="s">
        <v>848</v>
      </c>
      <c r="D31" s="16">
        <v>60000</v>
      </c>
      <c r="E31" s="16">
        <v>7998</v>
      </c>
      <c r="F31" s="41">
        <f>SUM(D31:E31)</f>
        <v>67998</v>
      </c>
      <c r="G31" s="159">
        <v>40</v>
      </c>
      <c r="H31" s="209">
        <v>1699.95</v>
      </c>
      <c r="I31" s="97">
        <v>6</v>
      </c>
      <c r="J31" s="97">
        <f t="shared" si="1"/>
        <v>34</v>
      </c>
      <c r="K31" s="91"/>
      <c r="L31" s="94">
        <f t="shared" si="3"/>
        <v>67998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588</v>
      </c>
      <c r="C32" s="2" t="s">
        <v>764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209">
        <v>11333</v>
      </c>
      <c r="I32" s="97">
        <v>30</v>
      </c>
      <c r="J32" s="97">
        <f t="shared" si="1"/>
        <v>20</v>
      </c>
      <c r="K32" s="91">
        <f>I32*H32</f>
        <v>339990</v>
      </c>
      <c r="L32" s="94">
        <f t="shared" si="3"/>
        <v>226660</v>
      </c>
      <c r="M32" s="11"/>
      <c r="N32" s="180" t="e">
        <f>#REF!-H32</f>
        <v>#REF!</v>
      </c>
    </row>
    <row r="33" spans="1:14" s="114" customFormat="1">
      <c r="A33" s="96">
        <v>28</v>
      </c>
      <c r="B33" s="96" t="s">
        <v>512</v>
      </c>
      <c r="C33" s="2" t="s">
        <v>742</v>
      </c>
      <c r="D33" s="16">
        <v>500000</v>
      </c>
      <c r="E33" s="16">
        <v>66650</v>
      </c>
      <c r="F33" s="41">
        <f>SUM(D33:E33)</f>
        <v>566650</v>
      </c>
      <c r="G33" s="159">
        <v>50</v>
      </c>
      <c r="H33" s="209">
        <v>11333</v>
      </c>
      <c r="I33" s="97">
        <v>40</v>
      </c>
      <c r="J33" s="97">
        <f t="shared" si="1"/>
        <v>10</v>
      </c>
      <c r="K33" s="91">
        <f>I33*H33</f>
        <v>453320</v>
      </c>
      <c r="L33" s="94">
        <f t="shared" si="3"/>
        <v>113330</v>
      </c>
      <c r="M33" s="11"/>
      <c r="N33" s="180" t="e">
        <f>#REF!-H33</f>
        <v>#REF!</v>
      </c>
    </row>
    <row r="34" spans="1:14" s="114" customFormat="1">
      <c r="A34" s="96">
        <v>29</v>
      </c>
      <c r="B34" s="96" t="s">
        <v>532</v>
      </c>
      <c r="C34" s="2" t="s">
        <v>749</v>
      </c>
      <c r="D34" s="16">
        <v>500000</v>
      </c>
      <c r="E34" s="16">
        <v>66650</v>
      </c>
      <c r="F34" s="41">
        <f>SUM(D34:E34)</f>
        <v>566650</v>
      </c>
      <c r="G34" s="159">
        <v>50</v>
      </c>
      <c r="H34" s="209">
        <v>11333</v>
      </c>
      <c r="I34" s="97">
        <v>40</v>
      </c>
      <c r="J34" s="97">
        <f t="shared" si="1"/>
        <v>10</v>
      </c>
      <c r="K34" s="91">
        <f>I34*H34</f>
        <v>453320</v>
      </c>
      <c r="L34" s="94">
        <f t="shared" si="3"/>
        <v>113330</v>
      </c>
      <c r="M34" s="11"/>
      <c r="N34" s="180" t="e">
        <f>#REF!-H34</f>
        <v>#REF!</v>
      </c>
    </row>
    <row r="35" spans="1:14" s="114" customFormat="1">
      <c r="A35" s="96">
        <v>30</v>
      </c>
      <c r="B35" s="96" t="s">
        <v>633</v>
      </c>
      <c r="C35" s="2" t="s">
        <v>844</v>
      </c>
      <c r="D35" s="19">
        <v>150000</v>
      </c>
      <c r="E35" s="19">
        <v>19995</v>
      </c>
      <c r="F35" s="19">
        <f>SUM(D35:E35)</f>
        <v>169995</v>
      </c>
      <c r="G35" s="159">
        <v>50</v>
      </c>
      <c r="H35" s="252">
        <v>3399.9</v>
      </c>
      <c r="I35" s="101">
        <v>5</v>
      </c>
      <c r="J35" s="97">
        <f t="shared" si="1"/>
        <v>45</v>
      </c>
      <c r="K35" s="91">
        <f>I35*H35</f>
        <v>16999.5</v>
      </c>
      <c r="L35" s="94">
        <f t="shared" si="3"/>
        <v>152995.5</v>
      </c>
      <c r="M35" s="218"/>
      <c r="N35" s="180" t="e">
        <f>#REF!-H35</f>
        <v>#REF!</v>
      </c>
    </row>
    <row r="36" spans="1:14" s="114" customFormat="1">
      <c r="A36" s="96">
        <v>31</v>
      </c>
      <c r="B36" s="96" t="s">
        <v>534</v>
      </c>
      <c r="C36" s="2" t="s">
        <v>806</v>
      </c>
      <c r="D36" s="16">
        <v>450000</v>
      </c>
      <c r="E36" s="16">
        <v>59985</v>
      </c>
      <c r="F36" s="16">
        <v>509985</v>
      </c>
      <c r="G36" s="159">
        <v>50</v>
      </c>
      <c r="H36" s="209">
        <v>10199.700000000001</v>
      </c>
      <c r="I36" s="97">
        <v>9</v>
      </c>
      <c r="J36" s="97">
        <f t="shared" si="1"/>
        <v>41</v>
      </c>
      <c r="K36" s="91">
        <f>(1*10199.7)</f>
        <v>10199.700000000001</v>
      </c>
      <c r="L36" s="94">
        <f t="shared" si="3"/>
        <v>499785.3</v>
      </c>
      <c r="M36" s="11"/>
    </row>
    <row r="37" spans="1:14" s="114" customFormat="1">
      <c r="A37" s="96">
        <v>32</v>
      </c>
      <c r="B37" s="96" t="s">
        <v>713</v>
      </c>
      <c r="C37" s="2" t="s">
        <v>797</v>
      </c>
      <c r="D37" s="16">
        <v>450000</v>
      </c>
      <c r="E37" s="16">
        <v>59985</v>
      </c>
      <c r="F37" s="41">
        <f t="shared" ref="F37:F48" si="5">SUM(D37:E37)</f>
        <v>509985</v>
      </c>
      <c r="G37" s="159">
        <v>50</v>
      </c>
      <c r="H37" s="209">
        <v>11333</v>
      </c>
      <c r="I37" s="97">
        <v>20</v>
      </c>
      <c r="J37" s="97">
        <f t="shared" si="1"/>
        <v>30</v>
      </c>
      <c r="K37" s="91">
        <f t="shared" ref="K37:K68" si="6">I37*H37</f>
        <v>226660</v>
      </c>
      <c r="L37" s="94">
        <f t="shared" si="3"/>
        <v>283325</v>
      </c>
      <c r="M37" s="11"/>
    </row>
    <row r="38" spans="1:14" s="114" customFormat="1">
      <c r="A38" s="96">
        <v>33</v>
      </c>
      <c r="B38" s="96" t="s">
        <v>499</v>
      </c>
      <c r="C38" s="25" t="s">
        <v>738</v>
      </c>
      <c r="D38" s="16">
        <v>500000</v>
      </c>
      <c r="E38" s="16">
        <v>66650</v>
      </c>
      <c r="F38" s="41">
        <f t="shared" si="5"/>
        <v>566650</v>
      </c>
      <c r="G38" s="159">
        <v>50</v>
      </c>
      <c r="H38" s="203">
        <v>11333</v>
      </c>
      <c r="I38" s="188">
        <v>3</v>
      </c>
      <c r="J38" s="97">
        <f t="shared" ref="J38:J69" si="7">G38-I38</f>
        <v>47</v>
      </c>
      <c r="K38" s="91">
        <f t="shared" si="6"/>
        <v>33999</v>
      </c>
      <c r="L38" s="94">
        <f t="shared" ref="L38:L69" si="8">F38-K38</f>
        <v>532651</v>
      </c>
      <c r="M38" s="214"/>
      <c r="N38" s="180" t="e">
        <f>#REF!-H38</f>
        <v>#REF!</v>
      </c>
    </row>
    <row r="39" spans="1:14" s="114" customFormat="1">
      <c r="A39" s="96">
        <v>34</v>
      </c>
      <c r="B39" s="96" t="s">
        <v>572</v>
      </c>
      <c r="C39" s="2" t="s">
        <v>841</v>
      </c>
      <c r="D39" s="12">
        <v>150000</v>
      </c>
      <c r="E39" s="12">
        <v>19995</v>
      </c>
      <c r="F39" s="15">
        <f t="shared" si="5"/>
        <v>169995</v>
      </c>
      <c r="G39" s="14">
        <v>50</v>
      </c>
      <c r="H39" s="209">
        <v>3399.9</v>
      </c>
      <c r="I39" s="14">
        <v>36</v>
      </c>
      <c r="J39" s="97">
        <f t="shared" si="7"/>
        <v>14</v>
      </c>
      <c r="K39" s="91">
        <f t="shared" si="6"/>
        <v>122396.40000000001</v>
      </c>
      <c r="L39" s="15">
        <f t="shared" si="8"/>
        <v>47598.599999999991</v>
      </c>
      <c r="M39" s="8"/>
      <c r="N39" s="180" t="e">
        <f>#REF!-H39</f>
        <v>#REF!</v>
      </c>
    </row>
    <row r="40" spans="1:14" s="114" customFormat="1">
      <c r="A40" s="96">
        <v>35</v>
      </c>
      <c r="B40" s="96" t="s">
        <v>626</v>
      </c>
      <c r="C40" s="2" t="s">
        <v>831</v>
      </c>
      <c r="D40" s="16">
        <v>330000</v>
      </c>
      <c r="E40" s="16">
        <v>43989</v>
      </c>
      <c r="F40" s="41">
        <f t="shared" si="5"/>
        <v>373989</v>
      </c>
      <c r="G40" s="159">
        <v>50</v>
      </c>
      <c r="H40" s="209">
        <v>7479.78</v>
      </c>
      <c r="I40" s="97">
        <v>31</v>
      </c>
      <c r="J40" s="97">
        <f t="shared" si="7"/>
        <v>19</v>
      </c>
      <c r="K40" s="91">
        <f t="shared" si="6"/>
        <v>231873.18</v>
      </c>
      <c r="L40" s="94">
        <f t="shared" si="8"/>
        <v>142115.82</v>
      </c>
      <c r="M40" s="11"/>
      <c r="N40" s="180" t="e">
        <f>#REF!-H40</f>
        <v>#REF!</v>
      </c>
    </row>
    <row r="41" spans="1:14" s="114" customFormat="1">
      <c r="A41" s="96">
        <v>36</v>
      </c>
      <c r="B41" s="96" t="s">
        <v>730</v>
      </c>
      <c r="C41" s="2" t="s">
        <v>802</v>
      </c>
      <c r="D41" s="16">
        <v>500000</v>
      </c>
      <c r="E41" s="16">
        <v>66650</v>
      </c>
      <c r="F41" s="41">
        <f t="shared" si="5"/>
        <v>566650</v>
      </c>
      <c r="G41" s="159">
        <v>50</v>
      </c>
      <c r="H41" s="209">
        <v>11333</v>
      </c>
      <c r="I41" s="188">
        <v>7</v>
      </c>
      <c r="J41" s="188">
        <f t="shared" si="7"/>
        <v>43</v>
      </c>
      <c r="K41" s="91">
        <f t="shared" si="6"/>
        <v>79331</v>
      </c>
      <c r="L41" s="94">
        <f t="shared" si="8"/>
        <v>487319</v>
      </c>
      <c r="M41" s="122"/>
      <c r="N41" s="180" t="e">
        <f>#REF!-H41</f>
        <v>#REF!</v>
      </c>
    </row>
    <row r="42" spans="1:14" s="114" customFormat="1">
      <c r="A42" s="96">
        <v>37</v>
      </c>
      <c r="B42" s="96" t="s">
        <v>526</v>
      </c>
      <c r="C42" s="2" t="s">
        <v>823</v>
      </c>
      <c r="D42" s="16">
        <v>330000</v>
      </c>
      <c r="E42" s="16">
        <v>43989</v>
      </c>
      <c r="F42" s="41">
        <f t="shared" si="5"/>
        <v>373989</v>
      </c>
      <c r="G42" s="159">
        <v>50</v>
      </c>
      <c r="H42" s="203">
        <v>7479.78</v>
      </c>
      <c r="I42" s="97">
        <v>31</v>
      </c>
      <c r="J42" s="97">
        <f t="shared" si="7"/>
        <v>19</v>
      </c>
      <c r="K42" s="91">
        <f t="shared" si="6"/>
        <v>231873.18</v>
      </c>
      <c r="L42" s="94">
        <f t="shared" si="8"/>
        <v>142115.82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511</v>
      </c>
      <c r="C43" s="173" t="s">
        <v>837</v>
      </c>
      <c r="D43" s="41">
        <v>200000</v>
      </c>
      <c r="E43" s="41">
        <v>26660</v>
      </c>
      <c r="F43" s="41">
        <f t="shared" si="5"/>
        <v>226660</v>
      </c>
      <c r="G43" s="159">
        <v>40</v>
      </c>
      <c r="H43" s="203">
        <v>7479</v>
      </c>
      <c r="I43" s="97">
        <v>17</v>
      </c>
      <c r="J43" s="97">
        <f t="shared" si="7"/>
        <v>23</v>
      </c>
      <c r="K43" s="91">
        <f t="shared" si="6"/>
        <v>127143</v>
      </c>
      <c r="L43" s="94">
        <f t="shared" si="8"/>
        <v>99517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609</v>
      </c>
      <c r="C44" s="2" t="s">
        <v>769</v>
      </c>
      <c r="D44" s="16">
        <v>500000</v>
      </c>
      <c r="E44" s="16">
        <v>66650</v>
      </c>
      <c r="F44" s="41">
        <f t="shared" si="5"/>
        <v>566650</v>
      </c>
      <c r="G44" s="159">
        <v>50</v>
      </c>
      <c r="H44" s="209">
        <v>11333</v>
      </c>
      <c r="I44" s="97">
        <v>30</v>
      </c>
      <c r="J44" s="97">
        <f t="shared" si="7"/>
        <v>20</v>
      </c>
      <c r="K44" s="91">
        <f t="shared" si="6"/>
        <v>339990</v>
      </c>
      <c r="L44" s="94">
        <f t="shared" si="8"/>
        <v>226660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682</v>
      </c>
      <c r="C45" s="2" t="s">
        <v>786</v>
      </c>
      <c r="D45" s="16">
        <v>500000</v>
      </c>
      <c r="E45" s="16">
        <v>66650</v>
      </c>
      <c r="F45" s="41">
        <f t="shared" si="5"/>
        <v>566650</v>
      </c>
      <c r="G45" s="159">
        <v>50</v>
      </c>
      <c r="H45" s="209">
        <v>11333</v>
      </c>
      <c r="I45" s="97">
        <v>31</v>
      </c>
      <c r="J45" s="97">
        <f t="shared" si="7"/>
        <v>19</v>
      </c>
      <c r="K45" s="91">
        <f t="shared" si="6"/>
        <v>351323</v>
      </c>
      <c r="L45" s="94">
        <f t="shared" si="8"/>
        <v>215327</v>
      </c>
      <c r="M45" s="11"/>
      <c r="N45" s="180"/>
    </row>
    <row r="46" spans="1:14" s="114" customFormat="1">
      <c r="A46" s="96">
        <v>41</v>
      </c>
      <c r="B46" s="96" t="s">
        <v>542</v>
      </c>
      <c r="C46" s="2" t="s">
        <v>753</v>
      </c>
      <c r="D46" s="16">
        <v>500000</v>
      </c>
      <c r="E46" s="16">
        <v>66650</v>
      </c>
      <c r="F46" s="41">
        <f t="shared" si="5"/>
        <v>566650</v>
      </c>
      <c r="G46" s="159">
        <v>50</v>
      </c>
      <c r="H46" s="209">
        <v>11333</v>
      </c>
      <c r="I46" s="97">
        <v>30</v>
      </c>
      <c r="J46" s="97">
        <f t="shared" si="7"/>
        <v>20</v>
      </c>
      <c r="K46" s="91">
        <f t="shared" si="6"/>
        <v>339990</v>
      </c>
      <c r="L46" s="94">
        <f t="shared" si="8"/>
        <v>226660</v>
      </c>
      <c r="M46" s="11"/>
      <c r="N46" s="180" t="e">
        <f>#REF!-H46</f>
        <v>#REF!</v>
      </c>
    </row>
    <row r="47" spans="1:14" s="114" customFormat="1">
      <c r="A47" s="96">
        <v>42</v>
      </c>
      <c r="B47" s="96" t="s">
        <v>657</v>
      </c>
      <c r="C47" s="2" t="s">
        <v>782</v>
      </c>
      <c r="D47" s="12">
        <v>500000</v>
      </c>
      <c r="E47" s="12">
        <v>66650</v>
      </c>
      <c r="F47" s="15">
        <f t="shared" si="5"/>
        <v>566650</v>
      </c>
      <c r="G47" s="14">
        <v>50</v>
      </c>
      <c r="H47" s="203">
        <v>11333</v>
      </c>
      <c r="I47" s="14">
        <v>36</v>
      </c>
      <c r="J47" s="97">
        <f t="shared" si="7"/>
        <v>14</v>
      </c>
      <c r="K47" s="91">
        <f t="shared" si="6"/>
        <v>407988</v>
      </c>
      <c r="L47" s="15">
        <f t="shared" si="8"/>
        <v>158662</v>
      </c>
      <c r="M47" s="8"/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2" t="s">
        <v>836</v>
      </c>
      <c r="D48" s="16">
        <v>330000</v>
      </c>
      <c r="E48" s="16">
        <v>43989</v>
      </c>
      <c r="F48" s="41">
        <f t="shared" si="5"/>
        <v>373989</v>
      </c>
      <c r="G48" s="159">
        <v>50</v>
      </c>
      <c r="H48" s="209">
        <v>7479.78</v>
      </c>
      <c r="I48" s="97">
        <v>52</v>
      </c>
      <c r="J48" s="97">
        <f t="shared" si="7"/>
        <v>-2</v>
      </c>
      <c r="K48" s="91">
        <f t="shared" si="6"/>
        <v>388948.56</v>
      </c>
      <c r="L48" s="94">
        <f t="shared" si="8"/>
        <v>-14959.559999999998</v>
      </c>
      <c r="M48" s="11"/>
      <c r="N48" s="180" t="e">
        <f>#REF!-H48</f>
        <v>#REF!</v>
      </c>
    </row>
    <row r="49" spans="1:14" s="114" customFormat="1">
      <c r="A49" s="96">
        <v>44</v>
      </c>
      <c r="B49" s="96" t="s">
        <v>520</v>
      </c>
      <c r="C49" s="2" t="s">
        <v>805</v>
      </c>
      <c r="D49" s="19">
        <v>450000</v>
      </c>
      <c r="E49" s="19">
        <v>59985</v>
      </c>
      <c r="F49" s="19">
        <v>509985</v>
      </c>
      <c r="G49" s="159">
        <v>50</v>
      </c>
      <c r="H49" s="161">
        <v>10199.700000000001</v>
      </c>
      <c r="I49" s="97">
        <v>42</v>
      </c>
      <c r="J49" s="97">
        <f t="shared" si="7"/>
        <v>8</v>
      </c>
      <c r="K49" s="91">
        <f t="shared" si="6"/>
        <v>428387.4</v>
      </c>
      <c r="L49" s="94">
        <f t="shared" si="8"/>
        <v>81597.599999999977</v>
      </c>
      <c r="M49" s="11"/>
      <c r="N49" s="180" t="e">
        <f>#REF!-H49</f>
        <v>#REF!</v>
      </c>
    </row>
    <row r="50" spans="1:14" s="114" customFormat="1">
      <c r="A50" s="96">
        <v>45</v>
      </c>
      <c r="B50" s="96" t="s">
        <v>715</v>
      </c>
      <c r="C50" s="2" t="s">
        <v>819</v>
      </c>
      <c r="D50" s="19">
        <v>450000</v>
      </c>
      <c r="E50" s="19">
        <v>59985</v>
      </c>
      <c r="F50" s="19">
        <v>509985</v>
      </c>
      <c r="G50" s="159">
        <v>50</v>
      </c>
      <c r="H50" s="209">
        <v>10199.700000000001</v>
      </c>
      <c r="I50" s="101">
        <v>5</v>
      </c>
      <c r="J50" s="97">
        <f t="shared" si="7"/>
        <v>45</v>
      </c>
      <c r="K50" s="91">
        <f t="shared" si="6"/>
        <v>50998.5</v>
      </c>
      <c r="L50" s="94">
        <f t="shared" si="8"/>
        <v>458986.5</v>
      </c>
      <c r="M50" s="218"/>
      <c r="N50" s="180" t="e">
        <f>#REF!-H50</f>
        <v>#REF!</v>
      </c>
    </row>
    <row r="51" spans="1:14" s="114" customFormat="1">
      <c r="A51" s="96">
        <v>46</v>
      </c>
      <c r="B51" s="96" t="s">
        <v>700</v>
      </c>
      <c r="C51" s="2" t="s">
        <v>793</v>
      </c>
      <c r="D51" s="16">
        <v>500000</v>
      </c>
      <c r="E51" s="16">
        <v>66650</v>
      </c>
      <c r="F51" s="41">
        <f>SUM(D51:E51)</f>
        <v>566650</v>
      </c>
      <c r="G51" s="159">
        <v>50</v>
      </c>
      <c r="H51" s="209">
        <v>11333</v>
      </c>
      <c r="I51" s="97">
        <v>52</v>
      </c>
      <c r="J51" s="97">
        <f t="shared" si="7"/>
        <v>-2</v>
      </c>
      <c r="K51" s="91">
        <f t="shared" si="6"/>
        <v>589316</v>
      </c>
      <c r="L51" s="94">
        <f t="shared" si="8"/>
        <v>-22666</v>
      </c>
      <c r="M51" s="11"/>
      <c r="N51" s="180" t="e">
        <f>#REF!-H51</f>
        <v>#REF!</v>
      </c>
    </row>
    <row r="52" spans="1:14" s="114" customFormat="1">
      <c r="A52" s="96">
        <v>47</v>
      </c>
      <c r="B52" s="96" t="s">
        <v>724</v>
      </c>
      <c r="C52" s="2" t="s">
        <v>800</v>
      </c>
      <c r="D52" s="19">
        <v>500000</v>
      </c>
      <c r="E52" s="19">
        <v>66650</v>
      </c>
      <c r="F52" s="19">
        <v>566650</v>
      </c>
      <c r="G52" s="159">
        <v>50</v>
      </c>
      <c r="H52" s="209">
        <v>11333</v>
      </c>
      <c r="I52" s="97">
        <v>16</v>
      </c>
      <c r="J52" s="97">
        <f t="shared" si="7"/>
        <v>34</v>
      </c>
      <c r="K52" s="91">
        <f t="shared" si="6"/>
        <v>181328</v>
      </c>
      <c r="L52" s="91">
        <f t="shared" si="8"/>
        <v>385322</v>
      </c>
      <c r="M52" s="122"/>
      <c r="N52" s="180" t="e">
        <f>#REF!-H52</f>
        <v>#REF!</v>
      </c>
    </row>
    <row r="53" spans="1:14" s="114" customFormat="1">
      <c r="A53" s="96">
        <v>48</v>
      </c>
      <c r="B53" s="96" t="s">
        <v>624</v>
      </c>
      <c r="C53" s="2" t="s">
        <v>843</v>
      </c>
      <c r="D53" s="16">
        <v>150000</v>
      </c>
      <c r="E53" s="16">
        <v>19995</v>
      </c>
      <c r="F53" s="41">
        <f>SUM(D53:E53)</f>
        <v>169995</v>
      </c>
      <c r="G53" s="159">
        <v>50</v>
      </c>
      <c r="H53" s="209">
        <v>3399.9</v>
      </c>
      <c r="I53" s="97">
        <v>40</v>
      </c>
      <c r="J53" s="97">
        <f t="shared" si="7"/>
        <v>10</v>
      </c>
      <c r="K53" s="91">
        <f t="shared" si="6"/>
        <v>135996</v>
      </c>
      <c r="L53" s="94">
        <f t="shared" si="8"/>
        <v>33999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592</v>
      </c>
      <c r="C54" s="2" t="s">
        <v>735</v>
      </c>
      <c r="D54" s="16">
        <v>500000</v>
      </c>
      <c r="E54" s="16">
        <v>53320</v>
      </c>
      <c r="F54" s="41">
        <f>SUM(D54:E54)</f>
        <v>553320</v>
      </c>
      <c r="G54" s="159">
        <v>40</v>
      </c>
      <c r="H54" s="209">
        <v>13833</v>
      </c>
      <c r="I54" s="97">
        <v>52</v>
      </c>
      <c r="J54" s="97">
        <f t="shared" si="7"/>
        <v>-12</v>
      </c>
      <c r="K54" s="91">
        <f t="shared" si="6"/>
        <v>719316</v>
      </c>
      <c r="L54" s="94">
        <f t="shared" si="8"/>
        <v>-165996</v>
      </c>
      <c r="M54" s="11"/>
      <c r="N54" s="180" t="e">
        <f>#REF!-H54</f>
        <v>#REF!</v>
      </c>
    </row>
    <row r="55" spans="1:14" s="114" customFormat="1">
      <c r="A55" s="96">
        <v>50</v>
      </c>
      <c r="B55" s="96" t="s">
        <v>619</v>
      </c>
      <c r="C55" s="2" t="s">
        <v>772</v>
      </c>
      <c r="D55" s="16">
        <v>500000</v>
      </c>
      <c r="E55" s="16">
        <v>66650</v>
      </c>
      <c r="F55" s="16">
        <v>566650</v>
      </c>
      <c r="G55" s="159">
        <v>50</v>
      </c>
      <c r="H55" s="209">
        <v>11333</v>
      </c>
      <c r="I55" s="97">
        <v>31</v>
      </c>
      <c r="J55" s="97">
        <f t="shared" si="7"/>
        <v>19</v>
      </c>
      <c r="K55" s="91">
        <f t="shared" si="6"/>
        <v>351323</v>
      </c>
      <c r="L55" s="94">
        <f t="shared" si="8"/>
        <v>215327</v>
      </c>
      <c r="M55" s="11"/>
      <c r="N55" s="180" t="e">
        <f>#REF!-H55</f>
        <v>#REF!</v>
      </c>
    </row>
    <row r="56" spans="1:14" s="114" customFormat="1">
      <c r="A56" s="96">
        <v>51</v>
      </c>
      <c r="B56" s="96" t="s">
        <v>664</v>
      </c>
      <c r="C56" s="25" t="s">
        <v>834</v>
      </c>
      <c r="D56" s="19">
        <v>330000</v>
      </c>
      <c r="E56" s="19">
        <v>43989</v>
      </c>
      <c r="F56" s="19">
        <f>SUM(D56:E56)</f>
        <v>373989</v>
      </c>
      <c r="G56" s="159">
        <v>50</v>
      </c>
      <c r="H56" s="253">
        <v>7479.78</v>
      </c>
      <c r="I56" s="101">
        <v>5</v>
      </c>
      <c r="J56" s="97">
        <f t="shared" si="7"/>
        <v>45</v>
      </c>
      <c r="K56" s="91">
        <f t="shared" si="6"/>
        <v>37398.9</v>
      </c>
      <c r="L56" s="94">
        <f t="shared" si="8"/>
        <v>336590.1</v>
      </c>
      <c r="M56" s="218"/>
      <c r="N56" s="180" t="e">
        <f>#REF!-H56</f>
        <v>#REF!</v>
      </c>
    </row>
    <row r="57" spans="1:14" s="114" customFormat="1">
      <c r="A57" s="96">
        <v>52</v>
      </c>
      <c r="B57" s="96" t="s">
        <v>516</v>
      </c>
      <c r="C57" s="2" t="s">
        <v>744</v>
      </c>
      <c r="D57" s="16">
        <v>500000</v>
      </c>
      <c r="E57" s="16">
        <v>66650</v>
      </c>
      <c r="F57" s="41">
        <f>SUM(D57:E57)</f>
        <v>566650</v>
      </c>
      <c r="G57" s="159">
        <v>50</v>
      </c>
      <c r="H57" s="164">
        <v>11333</v>
      </c>
      <c r="I57" s="97">
        <v>31</v>
      </c>
      <c r="J57" s="97">
        <f t="shared" si="7"/>
        <v>19</v>
      </c>
      <c r="K57" s="91">
        <f t="shared" si="6"/>
        <v>351323</v>
      </c>
      <c r="L57" s="94">
        <f t="shared" si="8"/>
        <v>215327</v>
      </c>
      <c r="M57" s="11"/>
      <c r="N57" s="180" t="e">
        <f>#REF!-H57</f>
        <v>#REF!</v>
      </c>
    </row>
    <row r="58" spans="1:14" s="114" customFormat="1">
      <c r="A58" s="96">
        <v>53</v>
      </c>
      <c r="B58" s="96" t="s">
        <v>688</v>
      </c>
      <c r="C58" s="2" t="s">
        <v>789</v>
      </c>
      <c r="D58" s="16">
        <v>500000</v>
      </c>
      <c r="E58" s="16">
        <v>66650</v>
      </c>
      <c r="F58" s="41">
        <f>SUM(D58:E58)</f>
        <v>566650</v>
      </c>
      <c r="G58" s="159">
        <v>50</v>
      </c>
      <c r="H58" s="209">
        <v>11333</v>
      </c>
      <c r="I58" s="97">
        <v>36</v>
      </c>
      <c r="J58" s="97">
        <f t="shared" si="7"/>
        <v>14</v>
      </c>
      <c r="K58" s="91">
        <f t="shared" si="6"/>
        <v>407988</v>
      </c>
      <c r="L58" s="94">
        <f t="shared" si="8"/>
        <v>158662</v>
      </c>
      <c r="M58" s="11"/>
      <c r="N58" s="180" t="e">
        <f>#REF!-H58</f>
        <v>#REF!</v>
      </c>
    </row>
    <row r="59" spans="1:14" s="114" customFormat="1">
      <c r="A59" s="96">
        <v>54</v>
      </c>
      <c r="B59" s="96" t="s">
        <v>635</v>
      </c>
      <c r="C59" s="2" t="s">
        <v>775</v>
      </c>
      <c r="D59" s="16">
        <v>500000</v>
      </c>
      <c r="E59" s="16">
        <v>66650</v>
      </c>
      <c r="F59" s="41">
        <f>SUM(D59:E59)</f>
        <v>566650</v>
      </c>
      <c r="G59" s="159">
        <v>50</v>
      </c>
      <c r="H59" s="209">
        <v>11333</v>
      </c>
      <c r="I59" s="97">
        <v>52</v>
      </c>
      <c r="J59" s="97">
        <f t="shared" si="7"/>
        <v>-2</v>
      </c>
      <c r="K59" s="91">
        <f t="shared" si="6"/>
        <v>589316</v>
      </c>
      <c r="L59" s="94">
        <f t="shared" si="8"/>
        <v>-22666</v>
      </c>
      <c r="M59" s="11"/>
      <c r="N59" s="180" t="e">
        <f>#REF!-H59</f>
        <v>#REF!</v>
      </c>
    </row>
    <row r="60" spans="1:14" s="114" customFormat="1">
      <c r="A60" s="96">
        <v>55</v>
      </c>
      <c r="B60" s="96" t="s">
        <v>717</v>
      </c>
      <c r="C60" s="2" t="s">
        <v>820</v>
      </c>
      <c r="D60" s="16">
        <v>450000</v>
      </c>
      <c r="E60" s="16">
        <v>59985</v>
      </c>
      <c r="F60" s="16">
        <v>509985</v>
      </c>
      <c r="G60" s="159">
        <v>50</v>
      </c>
      <c r="H60" s="209">
        <v>10199.700000000001</v>
      </c>
      <c r="I60" s="97">
        <v>19</v>
      </c>
      <c r="J60" s="97">
        <f t="shared" si="7"/>
        <v>31</v>
      </c>
      <c r="K60" s="91">
        <f t="shared" si="6"/>
        <v>193794.30000000002</v>
      </c>
      <c r="L60" s="94">
        <f t="shared" si="8"/>
        <v>316190.69999999995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637</v>
      </c>
      <c r="C61" s="23" t="s">
        <v>776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209">
        <v>11333</v>
      </c>
      <c r="I61" s="97">
        <v>39</v>
      </c>
      <c r="J61" s="97">
        <f t="shared" si="7"/>
        <v>11</v>
      </c>
      <c r="K61" s="91">
        <f t="shared" si="6"/>
        <v>441987</v>
      </c>
      <c r="L61" s="94">
        <f t="shared" si="8"/>
        <v>124663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579</v>
      </c>
      <c r="C62" s="2" t="s">
        <v>301</v>
      </c>
      <c r="D62" s="16">
        <v>500000</v>
      </c>
      <c r="E62" s="16">
        <v>33325</v>
      </c>
      <c r="F62" s="41">
        <f>SUM(D62:E62)</f>
        <v>533325</v>
      </c>
      <c r="G62" s="159">
        <v>25</v>
      </c>
      <c r="H62" s="209">
        <v>21333</v>
      </c>
      <c r="I62" s="97">
        <v>21</v>
      </c>
      <c r="J62" s="97">
        <f t="shared" si="7"/>
        <v>4</v>
      </c>
      <c r="K62" s="91">
        <f t="shared" si="6"/>
        <v>447993</v>
      </c>
      <c r="L62" s="94">
        <f t="shared" si="8"/>
        <v>85332</v>
      </c>
      <c r="M62" s="11"/>
      <c r="N62" s="180" t="e">
        <f>#REF!-H62</f>
        <v>#REF!</v>
      </c>
    </row>
    <row r="63" spans="1:14" s="114" customFormat="1">
      <c r="A63" s="96">
        <v>58</v>
      </c>
      <c r="B63" s="96" t="s">
        <v>698</v>
      </c>
      <c r="C63" s="2" t="s">
        <v>792</v>
      </c>
      <c r="D63" s="19">
        <v>500000</v>
      </c>
      <c r="E63" s="19">
        <v>66650</v>
      </c>
      <c r="F63" s="19">
        <v>566650</v>
      </c>
      <c r="G63" s="159">
        <v>50</v>
      </c>
      <c r="H63" s="209">
        <v>11333</v>
      </c>
      <c r="I63" s="97">
        <v>17</v>
      </c>
      <c r="J63" s="97">
        <f t="shared" si="7"/>
        <v>33</v>
      </c>
      <c r="K63" s="91">
        <f t="shared" si="6"/>
        <v>192661</v>
      </c>
      <c r="L63" s="91">
        <f t="shared" si="8"/>
        <v>373989</v>
      </c>
      <c r="M63" s="11"/>
      <c r="N63" s="180" t="e">
        <f>#REF!-H63</f>
        <v>#REF!</v>
      </c>
    </row>
    <row r="64" spans="1:14" s="114" customFormat="1">
      <c r="A64" s="96">
        <v>59</v>
      </c>
      <c r="B64" s="96" t="s">
        <v>702</v>
      </c>
      <c r="C64" s="2" t="s">
        <v>817</v>
      </c>
      <c r="D64" s="16">
        <v>450000</v>
      </c>
      <c r="E64" s="16">
        <v>59985</v>
      </c>
      <c r="F64" s="16">
        <v>509985</v>
      </c>
      <c r="G64" s="159">
        <v>50</v>
      </c>
      <c r="H64" s="209">
        <v>10199.700000000001</v>
      </c>
      <c r="I64" s="97">
        <v>16</v>
      </c>
      <c r="J64" s="97">
        <f t="shared" si="7"/>
        <v>34</v>
      </c>
      <c r="K64" s="91">
        <f t="shared" si="6"/>
        <v>163195.20000000001</v>
      </c>
      <c r="L64" s="91">
        <f t="shared" si="8"/>
        <v>346789.8</v>
      </c>
      <c r="M64" s="122"/>
      <c r="N64" s="180" t="e">
        <f>#REF!-H64</f>
        <v>#REF!</v>
      </c>
    </row>
    <row r="65" spans="1:14" s="114" customFormat="1">
      <c r="A65" s="96">
        <v>60</v>
      </c>
      <c r="B65" s="96" t="s">
        <v>676</v>
      </c>
      <c r="C65" s="2" t="s">
        <v>845</v>
      </c>
      <c r="D65" s="155">
        <v>150000</v>
      </c>
      <c r="E65" s="155">
        <v>19995</v>
      </c>
      <c r="F65" s="155">
        <f>SUM(D65:E65)</f>
        <v>169995</v>
      </c>
      <c r="G65" s="159">
        <v>50</v>
      </c>
      <c r="H65" s="209">
        <v>3399.9</v>
      </c>
      <c r="I65" s="97">
        <v>17</v>
      </c>
      <c r="J65" s="97">
        <f t="shared" si="7"/>
        <v>33</v>
      </c>
      <c r="K65" s="91">
        <f t="shared" si="6"/>
        <v>57798.3</v>
      </c>
      <c r="L65" s="91">
        <f t="shared" si="8"/>
        <v>112196.7</v>
      </c>
      <c r="M65" s="122"/>
      <c r="N65" s="180" t="e">
        <f>#REF!-H65</f>
        <v>#REF!</v>
      </c>
    </row>
    <row r="66" spans="1:14" s="114" customFormat="1">
      <c r="A66" s="96">
        <v>61</v>
      </c>
      <c r="B66" s="96" t="s">
        <v>644</v>
      </c>
      <c r="C66" s="2" t="s">
        <v>813</v>
      </c>
      <c r="D66" s="12">
        <v>450000</v>
      </c>
      <c r="E66" s="12">
        <v>59985</v>
      </c>
      <c r="F66" s="15">
        <f>SUM(D66:E66)</f>
        <v>509985</v>
      </c>
      <c r="G66" s="14">
        <v>50</v>
      </c>
      <c r="H66" s="203">
        <v>10199.700000000001</v>
      </c>
      <c r="I66" s="14">
        <v>37</v>
      </c>
      <c r="J66" s="97">
        <f t="shared" si="7"/>
        <v>13</v>
      </c>
      <c r="K66" s="91">
        <f t="shared" si="6"/>
        <v>377388.9</v>
      </c>
      <c r="L66" s="15">
        <f t="shared" si="8"/>
        <v>132596.09999999998</v>
      </c>
      <c r="M66" s="8"/>
      <c r="N66" s="180" t="e">
        <f>#REF!-H66</f>
        <v>#REF!</v>
      </c>
    </row>
    <row r="67" spans="1:14" s="114" customFormat="1">
      <c r="A67" s="96">
        <v>62</v>
      </c>
      <c r="B67" s="96" t="s">
        <v>621</v>
      </c>
      <c r="C67" s="2" t="s">
        <v>773</v>
      </c>
      <c r="D67" s="16">
        <v>500000</v>
      </c>
      <c r="E67" s="16">
        <v>66650</v>
      </c>
      <c r="F67" s="41">
        <f>SUM(D67:E67)</f>
        <v>566650</v>
      </c>
      <c r="G67" s="159">
        <v>50</v>
      </c>
      <c r="H67" s="209">
        <v>11333</v>
      </c>
      <c r="I67" s="97">
        <v>40</v>
      </c>
      <c r="J67" s="97">
        <f t="shared" si="7"/>
        <v>10</v>
      </c>
      <c r="K67" s="91">
        <f t="shared" si="6"/>
        <v>453320</v>
      </c>
      <c r="L67" s="94">
        <f t="shared" si="8"/>
        <v>113330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604</v>
      </c>
      <c r="C68" s="2" t="s">
        <v>768</v>
      </c>
      <c r="D68" s="16">
        <v>500000</v>
      </c>
      <c r="E68" s="16">
        <v>66650</v>
      </c>
      <c r="F68" s="41">
        <f>SUM(D68:E68)</f>
        <v>566650</v>
      </c>
      <c r="G68" s="159">
        <v>50</v>
      </c>
      <c r="H68" s="209">
        <v>11333</v>
      </c>
      <c r="I68" s="97">
        <v>52</v>
      </c>
      <c r="J68" s="97">
        <f t="shared" si="7"/>
        <v>-2</v>
      </c>
      <c r="K68" s="91">
        <f t="shared" si="6"/>
        <v>589316</v>
      </c>
      <c r="L68" s="94">
        <f t="shared" si="8"/>
        <v>-22666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503</v>
      </c>
      <c r="C69" s="25" t="s">
        <v>840</v>
      </c>
      <c r="D69" s="16">
        <v>150000</v>
      </c>
      <c r="E69" s="16">
        <v>19995</v>
      </c>
      <c r="F69" s="41">
        <f>SUM(D69:E69)</f>
        <v>169995</v>
      </c>
      <c r="G69" s="159">
        <v>50</v>
      </c>
      <c r="H69" s="209">
        <v>3399.9</v>
      </c>
      <c r="I69" s="97">
        <v>40</v>
      </c>
      <c r="J69" s="97">
        <f t="shared" si="7"/>
        <v>10</v>
      </c>
      <c r="K69" s="91">
        <f t="shared" ref="K69:K95" si="9">I69*H69</f>
        <v>135996</v>
      </c>
      <c r="L69" s="94">
        <f t="shared" si="8"/>
        <v>33999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522</v>
      </c>
      <c r="C70" s="2" t="s">
        <v>746</v>
      </c>
      <c r="D70" s="19">
        <v>500000</v>
      </c>
      <c r="E70" s="19">
        <v>66650</v>
      </c>
      <c r="F70" s="19">
        <v>566650</v>
      </c>
      <c r="G70" s="159">
        <v>50</v>
      </c>
      <c r="H70" s="209">
        <v>11333</v>
      </c>
      <c r="I70" s="97">
        <v>17</v>
      </c>
      <c r="J70" s="97">
        <f t="shared" ref="J70:J101" si="10">G70-I70</f>
        <v>33</v>
      </c>
      <c r="K70" s="91">
        <f t="shared" si="9"/>
        <v>192661</v>
      </c>
      <c r="L70" s="91">
        <f t="shared" ref="L70:L101" si="11">F70-K70</f>
        <v>373989</v>
      </c>
      <c r="M70" s="122"/>
      <c r="N70" s="180" t="e">
        <f>#REF!-H70</f>
        <v>#REF!</v>
      </c>
    </row>
    <row r="71" spans="1:14" s="114" customFormat="1">
      <c r="A71" s="96">
        <v>66</v>
      </c>
      <c r="B71" s="96" t="s">
        <v>666</v>
      </c>
      <c r="C71" s="173" t="s">
        <v>846</v>
      </c>
      <c r="D71" s="19">
        <v>150000</v>
      </c>
      <c r="E71" s="19">
        <v>19995</v>
      </c>
      <c r="F71" s="19">
        <f>SUM(D71:E71)</f>
        <v>169995</v>
      </c>
      <c r="G71" s="159">
        <v>50</v>
      </c>
      <c r="H71" s="209">
        <v>3339.9</v>
      </c>
      <c r="I71" s="188">
        <v>3</v>
      </c>
      <c r="J71" s="97">
        <f t="shared" si="10"/>
        <v>47</v>
      </c>
      <c r="K71" s="91">
        <f t="shared" si="9"/>
        <v>10019.700000000001</v>
      </c>
      <c r="L71" s="94">
        <f t="shared" si="11"/>
        <v>159975.29999999999</v>
      </c>
      <c r="M71" s="214"/>
      <c r="N71" s="180" t="e">
        <f>#REF!-H71</f>
        <v>#REF!</v>
      </c>
    </row>
    <row r="72" spans="1:14" s="114" customFormat="1">
      <c r="A72" s="96">
        <v>67</v>
      </c>
      <c r="B72" s="96" t="s">
        <v>686</v>
      </c>
      <c r="C72" s="2" t="s">
        <v>788</v>
      </c>
      <c r="D72" s="16">
        <v>500000</v>
      </c>
      <c r="E72" s="16">
        <v>66650</v>
      </c>
      <c r="F72" s="41">
        <f>SUM(D72:E72)</f>
        <v>566650</v>
      </c>
      <c r="G72" s="159">
        <v>50</v>
      </c>
      <c r="H72" s="209">
        <v>11333</v>
      </c>
      <c r="I72" s="97">
        <v>30</v>
      </c>
      <c r="J72" s="97">
        <f t="shared" si="10"/>
        <v>20</v>
      </c>
      <c r="K72" s="91">
        <f t="shared" si="9"/>
        <v>339990</v>
      </c>
      <c r="L72" s="94">
        <f t="shared" si="11"/>
        <v>226660</v>
      </c>
      <c r="M72" s="11"/>
      <c r="N72" s="180" t="e">
        <f>#REF!-H72</f>
        <v>#REF!</v>
      </c>
    </row>
    <row r="73" spans="1:14" s="114" customFormat="1">
      <c r="A73" s="96">
        <v>68</v>
      </c>
      <c r="B73" s="96" t="s">
        <v>530</v>
      </c>
      <c r="C73" s="2" t="s">
        <v>748</v>
      </c>
      <c r="D73" s="16">
        <v>500000</v>
      </c>
      <c r="E73" s="16">
        <v>66650</v>
      </c>
      <c r="F73" s="16">
        <v>566650</v>
      </c>
      <c r="G73" s="159">
        <v>50</v>
      </c>
      <c r="H73" s="209">
        <v>11333</v>
      </c>
      <c r="I73" s="97">
        <v>30</v>
      </c>
      <c r="J73" s="97">
        <f t="shared" si="10"/>
        <v>20</v>
      </c>
      <c r="K73" s="91">
        <f t="shared" si="9"/>
        <v>339990</v>
      </c>
      <c r="L73" s="94">
        <f t="shared" si="11"/>
        <v>226660</v>
      </c>
      <c r="M73" s="11"/>
      <c r="N73" s="180" t="e">
        <f>#REF!-H73</f>
        <v>#REF!</v>
      </c>
    </row>
    <row r="74" spans="1:14" s="114" customFormat="1">
      <c r="A74" s="96">
        <v>69</v>
      </c>
      <c r="B74" s="96" t="s">
        <v>544</v>
      </c>
      <c r="C74" s="25" t="s">
        <v>807</v>
      </c>
      <c r="D74" s="16">
        <v>450000</v>
      </c>
      <c r="E74" s="16">
        <v>59985</v>
      </c>
      <c r="F74" s="16">
        <v>509985</v>
      </c>
      <c r="G74" s="159">
        <v>50</v>
      </c>
      <c r="H74" s="209">
        <v>10199.700000000001</v>
      </c>
      <c r="I74" s="97">
        <v>24</v>
      </c>
      <c r="J74" s="97">
        <f t="shared" si="10"/>
        <v>26</v>
      </c>
      <c r="K74" s="91">
        <f t="shared" si="9"/>
        <v>244792.80000000002</v>
      </c>
      <c r="L74" s="94">
        <f t="shared" si="11"/>
        <v>265192.19999999995</v>
      </c>
      <c r="M74" s="122"/>
      <c r="N74" s="180" t="e">
        <f>#REF!-H74</f>
        <v>#REF!</v>
      </c>
    </row>
    <row r="75" spans="1:14" s="114" customFormat="1">
      <c r="A75" s="96">
        <v>70</v>
      </c>
      <c r="B75" s="96" t="s">
        <v>651</v>
      </c>
      <c r="C75" s="2" t="s">
        <v>814</v>
      </c>
      <c r="D75" s="16">
        <v>450000</v>
      </c>
      <c r="E75" s="16">
        <v>59985</v>
      </c>
      <c r="F75" s="41">
        <f>SUM(D75:E75)</f>
        <v>509985</v>
      </c>
      <c r="G75" s="159">
        <v>50</v>
      </c>
      <c r="H75" s="209">
        <v>10199.700000000001</v>
      </c>
      <c r="I75" s="97">
        <v>36</v>
      </c>
      <c r="J75" s="97">
        <f t="shared" si="10"/>
        <v>14</v>
      </c>
      <c r="K75" s="91">
        <f t="shared" si="9"/>
        <v>367189.2</v>
      </c>
      <c r="L75" s="94">
        <f t="shared" si="11"/>
        <v>142795.79999999999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555</v>
      </c>
      <c r="C76" s="2" t="s">
        <v>757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09">
        <v>11333</v>
      </c>
      <c r="I76" s="97">
        <v>31</v>
      </c>
      <c r="J76" s="97">
        <f t="shared" si="10"/>
        <v>19</v>
      </c>
      <c r="K76" s="91">
        <f t="shared" si="9"/>
        <v>351323</v>
      </c>
      <c r="L76" s="94">
        <f t="shared" si="11"/>
        <v>215327</v>
      </c>
      <c r="M76" s="11"/>
      <c r="N76" s="180" t="e">
        <f>#REF!-H76</f>
        <v>#REF!</v>
      </c>
    </row>
    <row r="77" spans="1:14" s="114" customFormat="1">
      <c r="A77" s="96">
        <v>72</v>
      </c>
      <c r="B77" s="96" t="s">
        <v>571</v>
      </c>
      <c r="C77" s="25" t="s">
        <v>760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209">
        <v>11333</v>
      </c>
      <c r="I77" s="97">
        <v>31</v>
      </c>
      <c r="J77" s="97">
        <f t="shared" si="10"/>
        <v>19</v>
      </c>
      <c r="K77" s="91">
        <f t="shared" si="9"/>
        <v>351323</v>
      </c>
      <c r="L77" s="94">
        <f t="shared" si="11"/>
        <v>215327</v>
      </c>
      <c r="M77" s="11"/>
      <c r="N77" s="180" t="e">
        <f>#REF!-H77</f>
        <v>#REF!</v>
      </c>
    </row>
    <row r="78" spans="1:14" s="114" customFormat="1">
      <c r="A78" s="96">
        <v>73</v>
      </c>
      <c r="B78" s="11" t="s">
        <v>707</v>
      </c>
      <c r="C78" s="11" t="s">
        <v>803</v>
      </c>
      <c r="D78" s="16">
        <v>500000</v>
      </c>
      <c r="E78" s="16">
        <v>66650</v>
      </c>
      <c r="F78" s="16">
        <v>566650</v>
      </c>
      <c r="G78" s="159">
        <v>50</v>
      </c>
      <c r="H78" s="254">
        <v>11333</v>
      </c>
      <c r="I78" s="96">
        <v>30</v>
      </c>
      <c r="J78" s="97">
        <f t="shared" si="10"/>
        <v>20</v>
      </c>
      <c r="K78" s="91">
        <f t="shared" si="9"/>
        <v>339990</v>
      </c>
      <c r="L78" s="94">
        <f t="shared" si="11"/>
        <v>226660</v>
      </c>
      <c r="M78" s="11"/>
      <c r="N78" s="180" t="e">
        <f>#REF!-H78</f>
        <v>#REF!</v>
      </c>
    </row>
    <row r="79" spans="1:14" s="114" customFormat="1">
      <c r="A79" s="96">
        <v>74</v>
      </c>
      <c r="B79" s="96" t="s">
        <v>598</v>
      </c>
      <c r="C79" s="2" t="s">
        <v>767</v>
      </c>
      <c r="D79" s="16">
        <v>500000</v>
      </c>
      <c r="E79" s="16">
        <v>66650</v>
      </c>
      <c r="F79" s="41">
        <f>SUM(D79:E79)</f>
        <v>566650</v>
      </c>
      <c r="G79" s="159">
        <v>50</v>
      </c>
      <c r="H79" s="209">
        <v>11333</v>
      </c>
      <c r="I79" s="97">
        <v>52</v>
      </c>
      <c r="J79" s="97">
        <f t="shared" si="10"/>
        <v>-2</v>
      </c>
      <c r="K79" s="91">
        <f t="shared" si="9"/>
        <v>589316</v>
      </c>
      <c r="L79" s="94">
        <f t="shared" si="11"/>
        <v>-22666</v>
      </c>
      <c r="M79" s="11"/>
      <c r="N79" s="180" t="e">
        <f>#REF!-H79</f>
        <v>#REF!</v>
      </c>
    </row>
    <row r="80" spans="1:14" s="114" customFormat="1">
      <c r="A80" s="96">
        <v>75</v>
      </c>
      <c r="B80" s="96" t="s">
        <v>551</v>
      </c>
      <c r="C80" s="2" t="s">
        <v>755</v>
      </c>
      <c r="D80" s="19">
        <v>500000</v>
      </c>
      <c r="E80" s="19">
        <v>66650</v>
      </c>
      <c r="F80" s="19">
        <v>566650</v>
      </c>
      <c r="G80" s="159">
        <v>50</v>
      </c>
      <c r="H80" s="209">
        <v>11333</v>
      </c>
      <c r="I80" s="97">
        <v>17</v>
      </c>
      <c r="J80" s="97">
        <f t="shared" si="10"/>
        <v>33</v>
      </c>
      <c r="K80" s="91">
        <f t="shared" si="9"/>
        <v>192661</v>
      </c>
      <c r="L80" s="91">
        <f t="shared" si="11"/>
        <v>373989</v>
      </c>
      <c r="M80" s="11"/>
      <c r="N80" s="180" t="e">
        <f>#REF!-H80</f>
        <v>#REF!</v>
      </c>
    </row>
    <row r="81" spans="1:14" s="114" customFormat="1">
      <c r="A81" s="96">
        <v>76</v>
      </c>
      <c r="B81" s="96" t="s">
        <v>569</v>
      </c>
      <c r="C81" s="2" t="s">
        <v>759</v>
      </c>
      <c r="D81" s="16">
        <v>500000</v>
      </c>
      <c r="E81" s="16">
        <v>66650</v>
      </c>
      <c r="F81" s="41">
        <f>SUM(D81:E81)</f>
        <v>566650</v>
      </c>
      <c r="G81" s="159">
        <v>50</v>
      </c>
      <c r="H81" s="209">
        <v>11333</v>
      </c>
      <c r="I81" s="97">
        <v>31</v>
      </c>
      <c r="J81" s="97">
        <f t="shared" si="10"/>
        <v>19</v>
      </c>
      <c r="K81" s="91">
        <f t="shared" si="9"/>
        <v>351323</v>
      </c>
      <c r="L81" s="94">
        <f t="shared" si="11"/>
        <v>215327</v>
      </c>
      <c r="M81" s="11"/>
      <c r="N81" s="180" t="e">
        <f>#REF!-H81</f>
        <v>#REF!</v>
      </c>
    </row>
    <row r="82" spans="1:14" s="114" customFormat="1">
      <c r="A82" s="96">
        <v>77</v>
      </c>
      <c r="B82" s="96" t="s">
        <v>518</v>
      </c>
      <c r="C82" s="2" t="s">
        <v>745</v>
      </c>
      <c r="D82" s="19">
        <v>500000</v>
      </c>
      <c r="E82" s="19">
        <v>66650</v>
      </c>
      <c r="F82" s="19">
        <v>566650</v>
      </c>
      <c r="G82" s="159">
        <v>50</v>
      </c>
      <c r="H82" s="209">
        <v>11333</v>
      </c>
      <c r="I82" s="97">
        <v>17</v>
      </c>
      <c r="J82" s="97">
        <f t="shared" si="10"/>
        <v>33</v>
      </c>
      <c r="K82" s="91">
        <f t="shared" si="9"/>
        <v>192661</v>
      </c>
      <c r="L82" s="91">
        <f t="shared" si="11"/>
        <v>373989</v>
      </c>
      <c r="M82" s="122"/>
      <c r="N82" s="180" t="e">
        <f>#REF!-H82</f>
        <v>#REF!</v>
      </c>
    </row>
    <row r="83" spans="1:14" s="114" customFormat="1">
      <c r="A83" s="96">
        <v>78</v>
      </c>
      <c r="B83" s="96" t="s">
        <v>655</v>
      </c>
      <c r="C83" s="2" t="s">
        <v>815</v>
      </c>
      <c r="D83" s="16">
        <v>450000</v>
      </c>
      <c r="E83" s="16">
        <v>59985</v>
      </c>
      <c r="F83" s="41">
        <f>SUM(D83:E83)</f>
        <v>509985</v>
      </c>
      <c r="G83" s="159">
        <v>50</v>
      </c>
      <c r="H83" s="209">
        <v>10199.700000000001</v>
      </c>
      <c r="I83" s="97">
        <v>31</v>
      </c>
      <c r="J83" s="97">
        <f t="shared" si="10"/>
        <v>19</v>
      </c>
      <c r="K83" s="91">
        <f t="shared" si="9"/>
        <v>316190.7</v>
      </c>
      <c r="L83" s="94">
        <f t="shared" si="11"/>
        <v>193794.3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553</v>
      </c>
      <c r="C84" s="2" t="s">
        <v>756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09">
        <v>11333</v>
      </c>
      <c r="I84" s="97">
        <v>52</v>
      </c>
      <c r="J84" s="97">
        <f t="shared" si="10"/>
        <v>-2</v>
      </c>
      <c r="K84" s="91">
        <f t="shared" si="9"/>
        <v>589316</v>
      </c>
      <c r="L84" s="94">
        <f t="shared" si="11"/>
        <v>-22666</v>
      </c>
      <c r="M84" s="11"/>
      <c r="N84" s="180" t="e">
        <f>#REF!-H84</f>
        <v>#REF!</v>
      </c>
    </row>
    <row r="85" spans="1:14" s="114" customFormat="1">
      <c r="A85" s="96">
        <v>80</v>
      </c>
      <c r="B85" s="96" t="s">
        <v>536</v>
      </c>
      <c r="C85" s="2" t="s">
        <v>750</v>
      </c>
      <c r="D85" s="12">
        <v>500000</v>
      </c>
      <c r="E85" s="12">
        <v>66650</v>
      </c>
      <c r="F85" s="15">
        <f>SUM(D85:E85)</f>
        <v>566650</v>
      </c>
      <c r="G85" s="14">
        <v>50</v>
      </c>
      <c r="H85" s="237">
        <v>11333</v>
      </c>
      <c r="I85" s="14">
        <v>36</v>
      </c>
      <c r="J85" s="97">
        <f t="shared" si="10"/>
        <v>14</v>
      </c>
      <c r="K85" s="91">
        <f t="shared" si="9"/>
        <v>407988</v>
      </c>
      <c r="L85" s="15">
        <f t="shared" si="11"/>
        <v>158662</v>
      </c>
      <c r="M85" s="8"/>
      <c r="N85" s="180" t="e">
        <f>#REF!-H85</f>
        <v>#REF!</v>
      </c>
    </row>
    <row r="86" spans="1:14" s="114" customFormat="1">
      <c r="A86" s="96">
        <v>81</v>
      </c>
      <c r="B86" s="96" t="s">
        <v>550</v>
      </c>
      <c r="C86" s="23" t="s">
        <v>754</v>
      </c>
      <c r="D86" s="16">
        <v>500000</v>
      </c>
      <c r="E86" s="16">
        <v>66650</v>
      </c>
      <c r="F86" s="41">
        <f>SUM(D86:E86)</f>
        <v>566650</v>
      </c>
      <c r="G86" s="159">
        <v>50</v>
      </c>
      <c r="H86" s="209">
        <v>11333</v>
      </c>
      <c r="I86" s="97">
        <v>39</v>
      </c>
      <c r="J86" s="97">
        <f t="shared" si="10"/>
        <v>11</v>
      </c>
      <c r="K86" s="91">
        <f t="shared" si="9"/>
        <v>441987</v>
      </c>
      <c r="L86" s="94">
        <f t="shared" si="11"/>
        <v>124663</v>
      </c>
      <c r="M86" s="11"/>
      <c r="N86" s="180" t="e">
        <f>#REF!-H86</f>
        <v>#REF!</v>
      </c>
    </row>
    <row r="87" spans="1:14" s="114" customFormat="1">
      <c r="A87" s="96">
        <v>82</v>
      </c>
      <c r="B87" s="96" t="s">
        <v>596</v>
      </c>
      <c r="C87" s="2" t="s">
        <v>766</v>
      </c>
      <c r="D87" s="19">
        <v>500000</v>
      </c>
      <c r="E87" s="19">
        <v>66650</v>
      </c>
      <c r="F87" s="19">
        <v>566650</v>
      </c>
      <c r="G87" s="159">
        <v>50</v>
      </c>
      <c r="H87" s="209">
        <v>11333</v>
      </c>
      <c r="I87" s="97">
        <v>17</v>
      </c>
      <c r="J87" s="97">
        <f t="shared" si="10"/>
        <v>33</v>
      </c>
      <c r="K87" s="91">
        <f t="shared" si="9"/>
        <v>192661</v>
      </c>
      <c r="L87" s="91">
        <f t="shared" si="11"/>
        <v>373989</v>
      </c>
      <c r="M87" s="122"/>
      <c r="N87" s="180" t="e">
        <f>#REF!-H87</f>
        <v>#REF!</v>
      </c>
    </row>
    <row r="88" spans="1:14" s="114" customFormat="1">
      <c r="A88" s="96">
        <v>83</v>
      </c>
      <c r="B88" s="96" t="s">
        <v>607</v>
      </c>
      <c r="C88" s="2" t="s">
        <v>811</v>
      </c>
      <c r="D88" s="16">
        <v>450000</v>
      </c>
      <c r="E88" s="16">
        <v>59985</v>
      </c>
      <c r="F88" s="41">
        <f>SUM(D88:E88)</f>
        <v>509985</v>
      </c>
      <c r="G88" s="159">
        <v>50</v>
      </c>
      <c r="H88" s="209">
        <v>10199.700000000001</v>
      </c>
      <c r="I88" s="159">
        <v>40</v>
      </c>
      <c r="J88" s="97">
        <f t="shared" si="10"/>
        <v>10</v>
      </c>
      <c r="K88" s="91">
        <f t="shared" si="9"/>
        <v>407988</v>
      </c>
      <c r="L88" s="94">
        <f t="shared" si="11"/>
        <v>101997</v>
      </c>
      <c r="M88" s="11"/>
      <c r="N88" s="180" t="e">
        <f>#REF!-H88</f>
        <v>#REF!</v>
      </c>
    </row>
    <row r="89" spans="1:14" s="114" customFormat="1">
      <c r="A89" s="96">
        <v>84</v>
      </c>
      <c r="B89" s="96" t="s">
        <v>642</v>
      </c>
      <c r="C89" s="2" t="s">
        <v>779</v>
      </c>
      <c r="D89" s="16">
        <v>500000</v>
      </c>
      <c r="E89" s="16">
        <v>66650</v>
      </c>
      <c r="F89" s="16">
        <v>566650</v>
      </c>
      <c r="G89" s="159">
        <v>50</v>
      </c>
      <c r="H89" s="253">
        <v>11333</v>
      </c>
      <c r="I89" s="101">
        <v>5</v>
      </c>
      <c r="J89" s="97">
        <f t="shared" si="10"/>
        <v>45</v>
      </c>
      <c r="K89" s="91">
        <f t="shared" si="9"/>
        <v>56665</v>
      </c>
      <c r="L89" s="94">
        <f t="shared" si="11"/>
        <v>509985</v>
      </c>
      <c r="M89" s="218"/>
      <c r="N89" s="180" t="e">
        <f>#REF!-H89</f>
        <v>#REF!</v>
      </c>
    </row>
    <row r="90" spans="1:14" s="114" customFormat="1">
      <c r="A90" s="96">
        <v>85</v>
      </c>
      <c r="B90" s="96" t="s">
        <v>661</v>
      </c>
      <c r="C90" s="2" t="s">
        <v>784</v>
      </c>
      <c r="D90" s="19">
        <v>500000</v>
      </c>
      <c r="E90" s="19">
        <v>66650</v>
      </c>
      <c r="F90" s="19">
        <v>566650</v>
      </c>
      <c r="G90" s="159">
        <v>50</v>
      </c>
      <c r="H90" s="209">
        <v>11333</v>
      </c>
      <c r="I90" s="97">
        <v>16</v>
      </c>
      <c r="J90" s="97">
        <f t="shared" si="10"/>
        <v>34</v>
      </c>
      <c r="K90" s="91">
        <f t="shared" si="9"/>
        <v>181328</v>
      </c>
      <c r="L90" s="91">
        <f t="shared" si="11"/>
        <v>385322</v>
      </c>
      <c r="M90" s="11"/>
      <c r="N90" s="180" t="e">
        <f>#REF!-H90</f>
        <v>#REF!</v>
      </c>
    </row>
    <row r="91" spans="1:14" s="114" customFormat="1">
      <c r="A91" s="96">
        <v>86</v>
      </c>
      <c r="B91" s="96" t="s">
        <v>587</v>
      </c>
      <c r="C91" s="2" t="s">
        <v>763</v>
      </c>
      <c r="D91" s="12">
        <v>500000</v>
      </c>
      <c r="E91" s="12">
        <v>66650</v>
      </c>
      <c r="F91" s="15">
        <f>SUM(D91:E91)</f>
        <v>566650</v>
      </c>
      <c r="G91" s="14">
        <v>50</v>
      </c>
      <c r="H91" s="143">
        <v>11333</v>
      </c>
      <c r="I91" s="14">
        <v>34</v>
      </c>
      <c r="J91" s="97">
        <f t="shared" si="10"/>
        <v>16</v>
      </c>
      <c r="K91" s="91">
        <f t="shared" si="9"/>
        <v>385322</v>
      </c>
      <c r="L91" s="15">
        <f t="shared" si="11"/>
        <v>181328</v>
      </c>
      <c r="M91" s="8"/>
      <c r="N91" s="180" t="e">
        <f>#REF!-H91</f>
        <v>#REF!</v>
      </c>
    </row>
    <row r="92" spans="1:14" s="114" customFormat="1">
      <c r="A92" s="96">
        <v>87</v>
      </c>
      <c r="B92" s="96" t="s">
        <v>719</v>
      </c>
      <c r="C92" s="2" t="s">
        <v>798</v>
      </c>
      <c r="D92" s="16">
        <v>500000</v>
      </c>
      <c r="E92" s="16">
        <v>66650</v>
      </c>
      <c r="F92" s="16">
        <v>566650</v>
      </c>
      <c r="G92" s="159">
        <v>50</v>
      </c>
      <c r="H92" s="209">
        <v>11333</v>
      </c>
      <c r="I92" s="101">
        <v>5</v>
      </c>
      <c r="J92" s="97">
        <f t="shared" si="10"/>
        <v>45</v>
      </c>
      <c r="K92" s="91">
        <f t="shared" si="9"/>
        <v>56665</v>
      </c>
      <c r="L92" s="94">
        <f t="shared" si="11"/>
        <v>509985</v>
      </c>
      <c r="M92" s="218"/>
      <c r="N92" s="180" t="e">
        <f>#REF!-H92</f>
        <v>#REF!</v>
      </c>
    </row>
    <row r="93" spans="1:14" s="114" customFormat="1">
      <c r="A93" s="96">
        <v>88</v>
      </c>
      <c r="B93" s="96" t="s">
        <v>668</v>
      </c>
      <c r="C93" s="2" t="s">
        <v>816</v>
      </c>
      <c r="D93" s="16">
        <v>450000</v>
      </c>
      <c r="E93" s="16">
        <v>59985</v>
      </c>
      <c r="F93" s="16">
        <v>509985</v>
      </c>
      <c r="G93" s="159">
        <v>50</v>
      </c>
      <c r="H93" s="209">
        <v>10199.700000000001</v>
      </c>
      <c r="I93" s="97">
        <v>16</v>
      </c>
      <c r="J93" s="97">
        <f t="shared" si="10"/>
        <v>34</v>
      </c>
      <c r="K93" s="91">
        <f t="shared" si="9"/>
        <v>163195.20000000001</v>
      </c>
      <c r="L93" s="91">
        <f t="shared" si="11"/>
        <v>346789.8</v>
      </c>
      <c r="M93" s="122"/>
      <c r="N93" s="180" t="e">
        <f>#REF!-H93</f>
        <v>#REF!</v>
      </c>
    </row>
    <row r="94" spans="1:14" s="114" customFormat="1">
      <c r="A94" s="96">
        <v>89</v>
      </c>
      <c r="B94" s="96" t="s">
        <v>594</v>
      </c>
      <c r="C94" s="2" t="s">
        <v>765</v>
      </c>
      <c r="D94" s="16">
        <v>500000</v>
      </c>
      <c r="E94" s="16">
        <v>66650</v>
      </c>
      <c r="F94" s="41">
        <f t="shared" ref="F94:F104" si="12">SUM(D94:E94)</f>
        <v>566650</v>
      </c>
      <c r="G94" s="159">
        <v>50</v>
      </c>
      <c r="H94" s="209">
        <v>11333</v>
      </c>
      <c r="I94" s="97">
        <v>31</v>
      </c>
      <c r="J94" s="97">
        <f t="shared" si="10"/>
        <v>19</v>
      </c>
      <c r="K94" s="91">
        <f t="shared" si="9"/>
        <v>351323</v>
      </c>
      <c r="L94" s="94">
        <f t="shared" si="11"/>
        <v>215327</v>
      </c>
      <c r="M94" s="11"/>
      <c r="N94" s="180" t="e">
        <f>#REF!-H94</f>
        <v>#REF!</v>
      </c>
    </row>
    <row r="95" spans="1:14" s="114" customFormat="1">
      <c r="A95" s="96">
        <v>90</v>
      </c>
      <c r="B95" s="96" t="s">
        <v>585</v>
      </c>
      <c r="C95" s="2" t="s">
        <v>762</v>
      </c>
      <c r="D95" s="161">
        <v>500000</v>
      </c>
      <c r="E95" s="161">
        <v>66650</v>
      </c>
      <c r="F95" s="162">
        <f t="shared" si="12"/>
        <v>566650</v>
      </c>
      <c r="G95" s="96">
        <v>50</v>
      </c>
      <c r="H95" s="209">
        <v>11333</v>
      </c>
      <c r="I95" s="97">
        <v>31</v>
      </c>
      <c r="J95" s="97">
        <f t="shared" si="10"/>
        <v>19</v>
      </c>
      <c r="K95" s="146">
        <f t="shared" si="9"/>
        <v>351323</v>
      </c>
      <c r="L95" s="164">
        <f t="shared" si="11"/>
        <v>215327</v>
      </c>
      <c r="M95" s="123"/>
      <c r="N95" s="180" t="e">
        <f>#REF!-H95</f>
        <v>#REF!</v>
      </c>
    </row>
    <row r="96" spans="1:14" s="114" customFormat="1">
      <c r="A96" s="96">
        <v>91</v>
      </c>
      <c r="B96" s="96" t="s">
        <v>647</v>
      </c>
      <c r="C96" s="2" t="s">
        <v>781</v>
      </c>
      <c r="D96" s="16">
        <v>500000</v>
      </c>
      <c r="E96" s="16">
        <v>66650</v>
      </c>
      <c r="F96" s="41">
        <f t="shared" si="12"/>
        <v>566650</v>
      </c>
      <c r="G96" s="159">
        <v>50</v>
      </c>
      <c r="H96" s="209">
        <v>11333</v>
      </c>
      <c r="I96" s="97">
        <v>9</v>
      </c>
      <c r="J96" s="97">
        <f t="shared" si="10"/>
        <v>41</v>
      </c>
      <c r="K96" s="156">
        <f>(1*11333)</f>
        <v>11333</v>
      </c>
      <c r="L96" s="91">
        <f t="shared" si="11"/>
        <v>555317</v>
      </c>
      <c r="M96" s="122"/>
      <c r="N96" s="180" t="e">
        <f>#REF!-H96</f>
        <v>#REF!</v>
      </c>
    </row>
    <row r="97" spans="1:14" s="114" customFormat="1">
      <c r="A97" s="96">
        <v>92</v>
      </c>
      <c r="B97" s="96" t="s">
        <v>600</v>
      </c>
      <c r="C97" s="2" t="s">
        <v>810</v>
      </c>
      <c r="D97" s="16">
        <v>450000</v>
      </c>
      <c r="E97" s="16">
        <v>59985</v>
      </c>
      <c r="F97" s="41">
        <f t="shared" si="12"/>
        <v>509985</v>
      </c>
      <c r="G97" s="159">
        <v>50</v>
      </c>
      <c r="H97" s="209">
        <v>10199.700000000001</v>
      </c>
      <c r="I97" s="97">
        <v>30</v>
      </c>
      <c r="J97" s="97">
        <f t="shared" si="10"/>
        <v>20</v>
      </c>
      <c r="K97" s="91">
        <f>I97*H97</f>
        <v>305991</v>
      </c>
      <c r="L97" s="94">
        <f t="shared" si="11"/>
        <v>203994</v>
      </c>
      <c r="M97" s="11"/>
      <c r="N97" s="180" t="e">
        <f>#REF!-H97</f>
        <v>#REF!</v>
      </c>
    </row>
    <row r="98" spans="1:14" s="114" customFormat="1">
      <c r="A98" s="96">
        <v>93</v>
      </c>
      <c r="B98" s="96" t="s">
        <v>546</v>
      </c>
      <c r="C98" s="23" t="s">
        <v>821</v>
      </c>
      <c r="D98" s="19">
        <v>330000</v>
      </c>
      <c r="E98" s="19">
        <v>43989</v>
      </c>
      <c r="F98" s="19">
        <f t="shared" si="12"/>
        <v>373989</v>
      </c>
      <c r="G98" s="159">
        <v>40</v>
      </c>
      <c r="H98" s="209">
        <v>9129.7800000000007</v>
      </c>
      <c r="I98" s="159">
        <v>5</v>
      </c>
      <c r="J98" s="97">
        <f t="shared" si="10"/>
        <v>35</v>
      </c>
      <c r="K98" s="91">
        <f>I98*H98</f>
        <v>45648.9</v>
      </c>
      <c r="L98" s="94">
        <f t="shared" si="11"/>
        <v>328340.09999999998</v>
      </c>
      <c r="M98" s="214"/>
      <c r="N98" s="180" t="e">
        <f>#REF!-H98</f>
        <v>#REF!</v>
      </c>
    </row>
    <row r="99" spans="1:14" s="114" customFormat="1">
      <c r="A99" s="96">
        <v>94</v>
      </c>
      <c r="B99" s="96" t="s">
        <v>638</v>
      </c>
      <c r="C99" s="2" t="s">
        <v>777</v>
      </c>
      <c r="D99" s="16">
        <v>500000</v>
      </c>
      <c r="E99" s="16">
        <v>66650</v>
      </c>
      <c r="F99" s="41">
        <f t="shared" si="12"/>
        <v>566650</v>
      </c>
      <c r="G99" s="159">
        <v>50</v>
      </c>
      <c r="H99" s="209">
        <v>11333</v>
      </c>
      <c r="I99" s="97">
        <v>9</v>
      </c>
      <c r="J99" s="97">
        <f t="shared" si="10"/>
        <v>41</v>
      </c>
      <c r="K99" s="156">
        <f>(1*11333)</f>
        <v>11333</v>
      </c>
      <c r="L99" s="91">
        <f t="shared" si="11"/>
        <v>555317</v>
      </c>
      <c r="M99" s="11"/>
      <c r="N99" s="180" t="e">
        <f>#REF!-H99</f>
        <v>#REF!</v>
      </c>
    </row>
    <row r="100" spans="1:14" s="114" customFormat="1">
      <c r="A100" s="96">
        <v>95</v>
      </c>
      <c r="B100" s="96" t="s">
        <v>629</v>
      </c>
      <c r="C100" s="2" t="s">
        <v>832</v>
      </c>
      <c r="D100" s="12">
        <v>330000</v>
      </c>
      <c r="E100" s="12">
        <v>43989</v>
      </c>
      <c r="F100" s="15">
        <f t="shared" si="12"/>
        <v>373989</v>
      </c>
      <c r="G100" s="14">
        <v>50</v>
      </c>
      <c r="H100" s="146">
        <v>7479.78</v>
      </c>
      <c r="I100" s="14">
        <v>36</v>
      </c>
      <c r="J100" s="97">
        <f t="shared" si="10"/>
        <v>14</v>
      </c>
      <c r="K100" s="91">
        <f t="shared" ref="K100:K123" si="13">I100*H100</f>
        <v>269272.08</v>
      </c>
      <c r="L100" s="15">
        <f t="shared" si="11"/>
        <v>104716.91999999998</v>
      </c>
      <c r="M100" s="8"/>
      <c r="N100" s="180" t="e">
        <f>#REF!-H100</f>
        <v>#REF!</v>
      </c>
    </row>
    <row r="101" spans="1:14" s="114" customFormat="1">
      <c r="A101" s="96">
        <v>96</v>
      </c>
      <c r="B101" s="96" t="s">
        <v>645</v>
      </c>
      <c r="C101" s="2" t="s">
        <v>780</v>
      </c>
      <c r="D101" s="16">
        <v>500000</v>
      </c>
      <c r="E101" s="16">
        <v>66650</v>
      </c>
      <c r="F101" s="41">
        <f t="shared" si="12"/>
        <v>566650</v>
      </c>
      <c r="G101" s="159">
        <v>50</v>
      </c>
      <c r="H101" s="209">
        <v>11333</v>
      </c>
      <c r="I101" s="97">
        <v>30</v>
      </c>
      <c r="J101" s="97">
        <f t="shared" si="10"/>
        <v>20</v>
      </c>
      <c r="K101" s="91">
        <f t="shared" si="13"/>
        <v>339990</v>
      </c>
      <c r="L101" s="94">
        <f t="shared" si="11"/>
        <v>226660</v>
      </c>
      <c r="M101" s="11"/>
      <c r="N101" s="180" t="e">
        <f>#REF!-H101</f>
        <v>#REF!</v>
      </c>
    </row>
    <row r="102" spans="1:14" s="114" customFormat="1">
      <c r="A102" s="96">
        <v>97</v>
      </c>
      <c r="B102" s="96" t="s">
        <v>540</v>
      </c>
      <c r="C102" s="173" t="s">
        <v>752</v>
      </c>
      <c r="D102" s="16">
        <v>500000</v>
      </c>
      <c r="E102" s="16">
        <v>66650</v>
      </c>
      <c r="F102" s="41">
        <f t="shared" si="12"/>
        <v>566650</v>
      </c>
      <c r="G102" s="159">
        <v>50</v>
      </c>
      <c r="H102" s="209">
        <v>11333</v>
      </c>
      <c r="I102" s="97">
        <v>35</v>
      </c>
      <c r="J102" s="97">
        <f t="shared" ref="J102:J123" si="14">G102-I102</f>
        <v>15</v>
      </c>
      <c r="K102" s="91">
        <f t="shared" si="13"/>
        <v>396655</v>
      </c>
      <c r="L102" s="94">
        <f t="shared" ref="L102:L123" si="15">F102-K102</f>
        <v>169995</v>
      </c>
      <c r="M102" s="11"/>
      <c r="N102" s="180" t="e">
        <f>#REF!-H102</f>
        <v>#REF!</v>
      </c>
    </row>
    <row r="103" spans="1:14" s="114" customFormat="1">
      <c r="A103" s="96">
        <v>98</v>
      </c>
      <c r="B103" s="96" t="s">
        <v>548</v>
      </c>
      <c r="C103" s="2" t="s">
        <v>824</v>
      </c>
      <c r="D103" s="12">
        <v>330000</v>
      </c>
      <c r="E103" s="12">
        <v>43989</v>
      </c>
      <c r="F103" s="15">
        <f t="shared" si="12"/>
        <v>373989</v>
      </c>
      <c r="G103" s="14">
        <v>50</v>
      </c>
      <c r="H103" s="146">
        <v>7479.78</v>
      </c>
      <c r="I103" s="14">
        <v>36</v>
      </c>
      <c r="J103" s="97">
        <f t="shared" si="14"/>
        <v>14</v>
      </c>
      <c r="K103" s="91">
        <f t="shared" si="13"/>
        <v>269272.08</v>
      </c>
      <c r="L103" s="15">
        <f t="shared" si="15"/>
        <v>104716.91999999998</v>
      </c>
      <c r="M103" s="8"/>
      <c r="N103" s="180" t="e">
        <f>#REF!-H103</f>
        <v>#REF!</v>
      </c>
    </row>
    <row r="104" spans="1:14" s="114" customFormat="1">
      <c r="A104" s="96">
        <v>99</v>
      </c>
      <c r="B104" s="96" t="s">
        <v>678</v>
      </c>
      <c r="C104" s="23" t="s">
        <v>733</v>
      </c>
      <c r="D104" s="16">
        <v>500000</v>
      </c>
      <c r="E104" s="16">
        <v>47992</v>
      </c>
      <c r="F104" s="41">
        <f t="shared" si="12"/>
        <v>547992</v>
      </c>
      <c r="G104" s="159">
        <v>36</v>
      </c>
      <c r="H104" s="203">
        <v>15222</v>
      </c>
      <c r="I104" s="97">
        <v>30</v>
      </c>
      <c r="J104" s="97">
        <f t="shared" si="14"/>
        <v>6</v>
      </c>
      <c r="K104" s="91">
        <f t="shared" si="13"/>
        <v>456660</v>
      </c>
      <c r="L104" s="94">
        <f t="shared" si="15"/>
        <v>91332</v>
      </c>
      <c r="M104" s="11"/>
      <c r="N104" s="180" t="e">
        <f>#REF!-H104</f>
        <v>#REF!</v>
      </c>
    </row>
    <row r="105" spans="1:14" s="114" customFormat="1">
      <c r="A105" s="96">
        <v>100</v>
      </c>
      <c r="B105" s="96" t="s">
        <v>501</v>
      </c>
      <c r="C105" s="2" t="s">
        <v>739</v>
      </c>
      <c r="D105" s="16">
        <v>500000</v>
      </c>
      <c r="E105" s="16">
        <v>66650</v>
      </c>
      <c r="F105" s="16">
        <v>566650</v>
      </c>
      <c r="G105" s="159">
        <v>50</v>
      </c>
      <c r="H105" s="203">
        <v>11333</v>
      </c>
      <c r="I105" s="159">
        <v>5</v>
      </c>
      <c r="J105" s="97">
        <f t="shared" si="14"/>
        <v>45</v>
      </c>
      <c r="K105" s="91">
        <f t="shared" si="13"/>
        <v>56665</v>
      </c>
      <c r="L105" s="94">
        <f t="shared" si="15"/>
        <v>509985</v>
      </c>
      <c r="M105" s="214"/>
      <c r="N105" s="180" t="e">
        <f>#REF!-H105</f>
        <v>#REF!</v>
      </c>
    </row>
    <row r="106" spans="1:14" s="114" customFormat="1">
      <c r="A106" s="96">
        <v>101</v>
      </c>
      <c r="B106" s="96" t="s">
        <v>514</v>
      </c>
      <c r="C106" s="2" t="s">
        <v>743</v>
      </c>
      <c r="D106" s="16">
        <v>500000</v>
      </c>
      <c r="E106" s="16">
        <v>66650</v>
      </c>
      <c r="F106" s="41">
        <f>SUM(D106:E106)</f>
        <v>566650</v>
      </c>
      <c r="G106" s="159">
        <v>50</v>
      </c>
      <c r="H106" s="209">
        <v>11333</v>
      </c>
      <c r="I106" s="97">
        <v>52</v>
      </c>
      <c r="J106" s="97">
        <f t="shared" si="14"/>
        <v>-2</v>
      </c>
      <c r="K106" s="91">
        <f t="shared" si="13"/>
        <v>589316</v>
      </c>
      <c r="L106" s="94">
        <f t="shared" si="15"/>
        <v>-22666</v>
      </c>
      <c r="M106" s="11"/>
      <c r="N106" s="180" t="e">
        <f>#REF!-H106</f>
        <v>#REF!</v>
      </c>
    </row>
    <row r="107" spans="1:14" s="114" customFormat="1">
      <c r="A107" s="96">
        <v>102</v>
      </c>
      <c r="B107" s="96" t="s">
        <v>557</v>
      </c>
      <c r="C107" s="2" t="s">
        <v>808</v>
      </c>
      <c r="D107" s="16">
        <v>450000</v>
      </c>
      <c r="E107" s="16">
        <v>59985</v>
      </c>
      <c r="F107" s="41">
        <f>SUM(D107:E107)</f>
        <v>509985</v>
      </c>
      <c r="G107" s="159">
        <v>50</v>
      </c>
      <c r="H107" s="209">
        <v>10199.700000000001</v>
      </c>
      <c r="I107" s="97">
        <v>31</v>
      </c>
      <c r="J107" s="97">
        <f t="shared" si="14"/>
        <v>19</v>
      </c>
      <c r="K107" s="91">
        <f t="shared" si="13"/>
        <v>316190.7</v>
      </c>
      <c r="L107" s="94">
        <f t="shared" si="15"/>
        <v>193794.3</v>
      </c>
      <c r="M107" s="11"/>
      <c r="N107" s="180" t="e">
        <f>#REF!-H107</f>
        <v>#REF!</v>
      </c>
    </row>
    <row r="108" spans="1:14" s="114" customFormat="1">
      <c r="A108" s="96">
        <v>103</v>
      </c>
      <c r="B108" s="96" t="s">
        <v>583</v>
      </c>
      <c r="C108" s="2" t="s">
        <v>761</v>
      </c>
      <c r="D108" s="16">
        <v>500000</v>
      </c>
      <c r="E108" s="16">
        <v>66650</v>
      </c>
      <c r="F108" s="41">
        <f>SUM(D108:E108)</f>
        <v>566650</v>
      </c>
      <c r="G108" s="159">
        <v>50</v>
      </c>
      <c r="H108" s="209">
        <v>11333</v>
      </c>
      <c r="I108" s="97">
        <v>31</v>
      </c>
      <c r="J108" s="97">
        <f t="shared" si="14"/>
        <v>19</v>
      </c>
      <c r="K108" s="91">
        <f t="shared" si="13"/>
        <v>351323</v>
      </c>
      <c r="L108" s="94">
        <f t="shared" si="15"/>
        <v>215327</v>
      </c>
      <c r="M108" s="11"/>
      <c r="N108" s="180" t="e">
        <f>#REF!-H108</f>
        <v>#REF!</v>
      </c>
    </row>
    <row r="109" spans="1:14" s="114" customFormat="1">
      <c r="A109" s="96">
        <v>104</v>
      </c>
      <c r="B109" s="96" t="s">
        <v>561</v>
      </c>
      <c r="C109" s="2" t="s">
        <v>809</v>
      </c>
      <c r="D109" s="16">
        <v>450000</v>
      </c>
      <c r="E109" s="16">
        <v>59985</v>
      </c>
      <c r="F109" s="41">
        <f>SUM(D109:E109)</f>
        <v>509985</v>
      </c>
      <c r="G109" s="159">
        <v>50</v>
      </c>
      <c r="H109" s="209">
        <v>10199.700000000001</v>
      </c>
      <c r="I109" s="97">
        <v>31</v>
      </c>
      <c r="J109" s="97">
        <f t="shared" si="14"/>
        <v>19</v>
      </c>
      <c r="K109" s="91">
        <f t="shared" si="13"/>
        <v>316190.7</v>
      </c>
      <c r="L109" s="94">
        <f t="shared" si="15"/>
        <v>193794.3</v>
      </c>
      <c r="M109" s="11"/>
      <c r="N109" s="180" t="e">
        <f>#REF!-H109</f>
        <v>#REF!</v>
      </c>
    </row>
    <row r="110" spans="1:14" s="114" customFormat="1">
      <c r="A110" s="96">
        <v>105</v>
      </c>
      <c r="B110" s="96" t="s">
        <v>684</v>
      </c>
      <c r="C110" s="2" t="s">
        <v>787</v>
      </c>
      <c r="D110" s="19">
        <v>500000</v>
      </c>
      <c r="E110" s="19">
        <v>66650</v>
      </c>
      <c r="F110" s="19">
        <v>566650</v>
      </c>
      <c r="G110" s="159">
        <v>50</v>
      </c>
      <c r="H110" s="209">
        <v>11333</v>
      </c>
      <c r="I110" s="97">
        <v>17</v>
      </c>
      <c r="J110" s="97">
        <f t="shared" si="14"/>
        <v>33</v>
      </c>
      <c r="K110" s="91">
        <f t="shared" si="13"/>
        <v>192661</v>
      </c>
      <c r="L110" s="91">
        <f t="shared" si="15"/>
        <v>373989</v>
      </c>
      <c r="M110" s="122"/>
    </row>
    <row r="111" spans="1:14" s="114" customFormat="1">
      <c r="A111" s="96">
        <v>106</v>
      </c>
      <c r="B111" s="96" t="s">
        <v>611</v>
      </c>
      <c r="C111" s="2" t="s">
        <v>770</v>
      </c>
      <c r="D111" s="12">
        <v>500000</v>
      </c>
      <c r="E111" s="12">
        <v>66650</v>
      </c>
      <c r="F111" s="15">
        <f>SUM(D111:E111)</f>
        <v>566650</v>
      </c>
      <c r="G111" s="14">
        <v>50</v>
      </c>
      <c r="H111" s="203">
        <v>11333</v>
      </c>
      <c r="I111" s="14">
        <v>36</v>
      </c>
      <c r="J111" s="97">
        <f t="shared" si="14"/>
        <v>14</v>
      </c>
      <c r="K111" s="91">
        <f t="shared" si="13"/>
        <v>407988</v>
      </c>
      <c r="L111" s="15">
        <f t="shared" si="15"/>
        <v>158662</v>
      </c>
      <c r="M111" s="8"/>
    </row>
    <row r="112" spans="1:14" s="114" customFormat="1">
      <c r="A112" s="96">
        <v>107</v>
      </c>
      <c r="B112" s="96" t="s">
        <v>670</v>
      </c>
      <c r="C112" s="2" t="s">
        <v>835</v>
      </c>
      <c r="D112" s="16">
        <v>330000</v>
      </c>
      <c r="E112" s="16">
        <v>43989</v>
      </c>
      <c r="F112" s="41">
        <f>SUM(D112:E112)</f>
        <v>373989</v>
      </c>
      <c r="G112" s="159">
        <v>50</v>
      </c>
      <c r="H112" s="209">
        <v>7479.78</v>
      </c>
      <c r="I112" s="159">
        <v>39</v>
      </c>
      <c r="J112" s="97">
        <f t="shared" si="14"/>
        <v>11</v>
      </c>
      <c r="K112" s="91">
        <f t="shared" si="13"/>
        <v>291711.42</v>
      </c>
      <c r="L112" s="94">
        <f t="shared" si="15"/>
        <v>82277.580000000016</v>
      </c>
      <c r="M112" s="11"/>
    </row>
    <row r="113" spans="1:15" s="114" customFormat="1">
      <c r="A113" s="96">
        <v>108</v>
      </c>
      <c r="B113" s="96" t="s">
        <v>563</v>
      </c>
      <c r="C113" s="2" t="s">
        <v>825</v>
      </c>
      <c r="D113" s="19">
        <v>330000</v>
      </c>
      <c r="E113" s="19">
        <v>43989</v>
      </c>
      <c r="F113" s="19">
        <f>SUM(D113:E113)</f>
        <v>373989</v>
      </c>
      <c r="G113" s="159">
        <v>50</v>
      </c>
      <c r="H113" s="203">
        <v>7479.78</v>
      </c>
      <c r="I113" s="97">
        <v>17</v>
      </c>
      <c r="J113" s="97">
        <f t="shared" si="14"/>
        <v>33</v>
      </c>
      <c r="K113" s="91">
        <f t="shared" si="13"/>
        <v>127156.26</v>
      </c>
      <c r="L113" s="91">
        <f t="shared" si="15"/>
        <v>246832.74</v>
      </c>
      <c r="M113" s="122"/>
      <c r="N113" s="120"/>
    </row>
    <row r="114" spans="1:15" s="114" customFormat="1">
      <c r="A114" s="96">
        <v>109</v>
      </c>
      <c r="B114" s="96" t="s">
        <v>577</v>
      </c>
      <c r="C114" s="23" t="s">
        <v>828</v>
      </c>
      <c r="D114" s="19">
        <v>330000</v>
      </c>
      <c r="E114" s="19">
        <v>43989</v>
      </c>
      <c r="F114" s="19">
        <f>SUM(D114:E114)</f>
        <v>373989</v>
      </c>
      <c r="G114" s="159">
        <v>50</v>
      </c>
      <c r="H114" s="209">
        <v>7479.78</v>
      </c>
      <c r="I114" s="159">
        <v>5</v>
      </c>
      <c r="J114" s="97">
        <f t="shared" si="14"/>
        <v>45</v>
      </c>
      <c r="K114" s="91">
        <f t="shared" si="13"/>
        <v>37398.9</v>
      </c>
      <c r="L114" s="94">
        <f t="shared" si="15"/>
        <v>336590.1</v>
      </c>
      <c r="M114" s="214"/>
      <c r="N114"/>
    </row>
    <row r="115" spans="1:15" s="114" customFormat="1">
      <c r="A115" s="96">
        <v>110</v>
      </c>
      <c r="B115" s="96" t="s">
        <v>509</v>
      </c>
      <c r="C115" s="2" t="s">
        <v>804</v>
      </c>
      <c r="D115" s="19">
        <v>450000</v>
      </c>
      <c r="E115" s="19">
        <v>59985</v>
      </c>
      <c r="F115" s="19">
        <v>509985</v>
      </c>
      <c r="G115" s="159">
        <v>50</v>
      </c>
      <c r="H115" s="209">
        <v>10199.700000000001</v>
      </c>
      <c r="I115" s="97">
        <v>17</v>
      </c>
      <c r="J115" s="97">
        <f t="shared" si="14"/>
        <v>33</v>
      </c>
      <c r="K115" s="91">
        <f t="shared" si="13"/>
        <v>173394.90000000002</v>
      </c>
      <c r="L115" s="91">
        <f t="shared" si="15"/>
        <v>336590.1</v>
      </c>
      <c r="M115" s="122"/>
      <c r="N115"/>
    </row>
    <row r="116" spans="1:15" s="114" customFormat="1">
      <c r="A116" s="96">
        <v>111</v>
      </c>
      <c r="B116" s="96" t="s">
        <v>613</v>
      </c>
      <c r="C116" s="2" t="s">
        <v>771</v>
      </c>
      <c r="D116" s="16">
        <v>500000</v>
      </c>
      <c r="E116" s="16">
        <v>66650</v>
      </c>
      <c r="F116" s="41">
        <f>SUM(D116:E116)</f>
        <v>566650</v>
      </c>
      <c r="G116" s="159">
        <v>50</v>
      </c>
      <c r="H116" s="209">
        <v>11333</v>
      </c>
      <c r="I116" s="97">
        <v>51</v>
      </c>
      <c r="J116" s="97">
        <f t="shared" si="14"/>
        <v>-1</v>
      </c>
      <c r="K116" s="91">
        <f t="shared" si="13"/>
        <v>577983</v>
      </c>
      <c r="L116" s="94">
        <f t="shared" si="15"/>
        <v>-11333</v>
      </c>
      <c r="M116" s="11"/>
      <c r="N116"/>
    </row>
    <row r="117" spans="1:15" s="114" customFormat="1">
      <c r="A117" s="96">
        <v>112</v>
      </c>
      <c r="B117" s="96" t="s">
        <v>711</v>
      </c>
      <c r="C117" s="2" t="s">
        <v>796</v>
      </c>
      <c r="D117" s="16">
        <v>500000</v>
      </c>
      <c r="E117" s="16">
        <v>66650</v>
      </c>
      <c r="F117" s="41">
        <f>SUM(D117:E117)</f>
        <v>566650</v>
      </c>
      <c r="G117" s="159">
        <v>50</v>
      </c>
      <c r="H117" s="209">
        <v>11333</v>
      </c>
      <c r="I117" s="97">
        <v>30</v>
      </c>
      <c r="J117" s="97">
        <f t="shared" si="14"/>
        <v>20</v>
      </c>
      <c r="K117" s="91">
        <f t="shared" si="13"/>
        <v>339990</v>
      </c>
      <c r="L117" s="94">
        <f t="shared" si="15"/>
        <v>226660</v>
      </c>
      <c r="M117" s="11"/>
      <c r="N117"/>
    </row>
    <row r="118" spans="1:15" s="114" customFormat="1">
      <c r="A118" s="96">
        <v>113</v>
      </c>
      <c r="B118" s="96" t="s">
        <v>538</v>
      </c>
      <c r="C118" s="2" t="s">
        <v>751</v>
      </c>
      <c r="D118" s="12">
        <v>500000</v>
      </c>
      <c r="E118" s="12">
        <v>66650</v>
      </c>
      <c r="F118" s="15">
        <f>SUM(D118:E118)</f>
        <v>566650</v>
      </c>
      <c r="G118" s="14">
        <v>50</v>
      </c>
      <c r="H118" s="203">
        <v>11333</v>
      </c>
      <c r="I118" s="14">
        <v>36</v>
      </c>
      <c r="J118" s="97">
        <f t="shared" si="14"/>
        <v>14</v>
      </c>
      <c r="K118" s="91">
        <f t="shared" si="13"/>
        <v>407988</v>
      </c>
      <c r="L118" s="15">
        <f t="shared" si="15"/>
        <v>158662</v>
      </c>
      <c r="M118" s="8"/>
      <c r="N118"/>
    </row>
    <row r="119" spans="1:15" s="114" customFormat="1">
      <c r="A119" s="96">
        <v>114</v>
      </c>
      <c r="B119" s="96" t="s">
        <v>507</v>
      </c>
      <c r="C119" s="2" t="s">
        <v>741</v>
      </c>
      <c r="D119" s="16">
        <v>500000</v>
      </c>
      <c r="E119" s="16">
        <v>66650</v>
      </c>
      <c r="F119" s="16">
        <v>566650</v>
      </c>
      <c r="G119" s="159">
        <v>50</v>
      </c>
      <c r="H119" s="209">
        <v>11333</v>
      </c>
      <c r="I119" s="97">
        <v>17</v>
      </c>
      <c r="J119" s="97">
        <f t="shared" si="14"/>
        <v>33</v>
      </c>
      <c r="K119" s="91">
        <f t="shared" si="13"/>
        <v>192661</v>
      </c>
      <c r="L119" s="91">
        <f t="shared" si="15"/>
        <v>373989</v>
      </c>
      <c r="M119" s="11"/>
      <c r="N119"/>
    </row>
    <row r="120" spans="1:15" s="114" customFormat="1">
      <c r="A120" s="96">
        <v>115</v>
      </c>
      <c r="B120" s="96" t="s">
        <v>728</v>
      </c>
      <c r="C120" s="2" t="s">
        <v>734</v>
      </c>
      <c r="D120" s="16">
        <v>500000</v>
      </c>
      <c r="E120" s="16">
        <v>47992</v>
      </c>
      <c r="F120" s="41">
        <f>SUM(D120:E120)</f>
        <v>547992</v>
      </c>
      <c r="G120" s="159">
        <v>36</v>
      </c>
      <c r="H120" s="203">
        <v>15222</v>
      </c>
      <c r="I120" s="97">
        <v>30</v>
      </c>
      <c r="J120" s="97">
        <f t="shared" si="14"/>
        <v>6</v>
      </c>
      <c r="K120" s="91">
        <f t="shared" si="13"/>
        <v>456660</v>
      </c>
      <c r="L120" s="94">
        <f t="shared" si="15"/>
        <v>91332</v>
      </c>
      <c r="M120" s="11"/>
      <c r="N120"/>
    </row>
    <row r="121" spans="1:15" s="114" customFormat="1">
      <c r="A121" s="96">
        <v>116</v>
      </c>
      <c r="B121" s="96" t="s">
        <v>590</v>
      </c>
      <c r="C121" s="25" t="s">
        <v>842</v>
      </c>
      <c r="D121" s="19">
        <v>150000</v>
      </c>
      <c r="E121" s="19">
        <v>19995</v>
      </c>
      <c r="F121" s="19">
        <f>SUM(D121:E121)</f>
        <v>169995</v>
      </c>
      <c r="G121" s="159">
        <v>50</v>
      </c>
      <c r="H121" s="203">
        <v>3399.9</v>
      </c>
      <c r="I121" s="97">
        <v>30</v>
      </c>
      <c r="J121" s="97">
        <f t="shared" si="14"/>
        <v>20</v>
      </c>
      <c r="K121" s="91">
        <f t="shared" si="13"/>
        <v>101997</v>
      </c>
      <c r="L121" s="94">
        <f t="shared" si="15"/>
        <v>67998</v>
      </c>
      <c r="M121" s="11"/>
      <c r="N121"/>
    </row>
    <row r="122" spans="1:15" s="114" customFormat="1">
      <c r="A122" s="96">
        <v>117</v>
      </c>
      <c r="B122" s="96" t="s">
        <v>631</v>
      </c>
      <c r="C122" s="25" t="s">
        <v>774</v>
      </c>
      <c r="D122" s="16">
        <v>500000</v>
      </c>
      <c r="E122" s="16">
        <v>66650</v>
      </c>
      <c r="F122" s="41">
        <f>SUM(D122:E122)</f>
        <v>566650</v>
      </c>
      <c r="G122" s="159">
        <v>50</v>
      </c>
      <c r="H122" s="209">
        <v>11333</v>
      </c>
      <c r="I122" s="159">
        <v>52</v>
      </c>
      <c r="J122" s="97">
        <f t="shared" si="14"/>
        <v>-2</v>
      </c>
      <c r="K122" s="91">
        <f t="shared" si="13"/>
        <v>589316</v>
      </c>
      <c r="L122" s="94">
        <f t="shared" si="15"/>
        <v>-22666</v>
      </c>
      <c r="M122" s="11"/>
    </row>
    <row r="123" spans="1:15" s="114" customFormat="1">
      <c r="A123" s="96">
        <v>118</v>
      </c>
      <c r="B123" s="96" t="s">
        <v>705</v>
      </c>
      <c r="C123" s="170" t="s">
        <v>818</v>
      </c>
      <c r="D123" s="19">
        <v>450000</v>
      </c>
      <c r="E123" s="19">
        <v>59985</v>
      </c>
      <c r="F123" s="19">
        <v>509985</v>
      </c>
      <c r="G123" s="159">
        <v>50</v>
      </c>
      <c r="H123" s="209">
        <v>10199.700000000001</v>
      </c>
      <c r="I123" s="159">
        <v>5</v>
      </c>
      <c r="J123" s="97">
        <f t="shared" si="14"/>
        <v>45</v>
      </c>
      <c r="K123" s="91">
        <f t="shared" si="13"/>
        <v>50998.5</v>
      </c>
      <c r="L123" s="94">
        <f t="shared" si="15"/>
        <v>458986.5</v>
      </c>
      <c r="M123" s="11"/>
    </row>
    <row r="124" spans="1:15" s="114" customFormat="1">
      <c r="A124" s="96">
        <v>119</v>
      </c>
      <c r="B124" s="8" t="s">
        <v>606</v>
      </c>
      <c r="C124" s="11" t="s">
        <v>853</v>
      </c>
      <c r="D124" s="19">
        <v>150000</v>
      </c>
      <c r="E124" s="19">
        <v>19995</v>
      </c>
      <c r="F124" s="19">
        <f>SUM(D124:E124)</f>
        <v>169995</v>
      </c>
      <c r="G124" s="159">
        <v>50</v>
      </c>
      <c r="H124" s="254">
        <v>3399.9</v>
      </c>
      <c r="I124" s="159">
        <v>1</v>
      </c>
      <c r="J124" s="97">
        <f t="shared" ref="J124:J129" si="16">G124-I124</f>
        <v>49</v>
      </c>
      <c r="K124" s="91">
        <f t="shared" ref="K124:K129" si="17">I124*H124</f>
        <v>3399.9</v>
      </c>
      <c r="L124" s="94">
        <f t="shared" ref="L124:L129" si="18">F124-K124</f>
        <v>166595.1</v>
      </c>
      <c r="M124" s="11"/>
    </row>
    <row r="125" spans="1:15" s="114" customFormat="1">
      <c r="A125" s="96">
        <v>120</v>
      </c>
      <c r="B125" s="8" t="s">
        <v>623</v>
      </c>
      <c r="C125" s="11" t="s">
        <v>857</v>
      </c>
      <c r="D125" s="19">
        <v>450000</v>
      </c>
      <c r="E125" s="19">
        <v>59985</v>
      </c>
      <c r="F125" s="19">
        <v>509985</v>
      </c>
      <c r="G125" s="159">
        <v>50</v>
      </c>
      <c r="H125" s="254">
        <v>10199.700000000001</v>
      </c>
      <c r="I125" s="159">
        <v>1</v>
      </c>
      <c r="J125" s="97">
        <f t="shared" si="16"/>
        <v>49</v>
      </c>
      <c r="K125" s="91">
        <f t="shared" si="17"/>
        <v>10199.700000000001</v>
      </c>
      <c r="L125" s="94">
        <f t="shared" si="18"/>
        <v>499785.3</v>
      </c>
      <c r="M125" s="11"/>
    </row>
    <row r="126" spans="1:15" s="114" customFormat="1">
      <c r="A126" s="96">
        <v>121</v>
      </c>
      <c r="B126" s="8" t="s">
        <v>663</v>
      </c>
      <c r="C126" s="11" t="s">
        <v>854</v>
      </c>
      <c r="D126" s="19">
        <v>330000</v>
      </c>
      <c r="E126" s="19">
        <v>43989</v>
      </c>
      <c r="F126" s="19">
        <f>SUM(D126:E126)</f>
        <v>373989</v>
      </c>
      <c r="G126" s="159">
        <v>50</v>
      </c>
      <c r="H126" s="254">
        <v>7479.78</v>
      </c>
      <c r="I126" s="159">
        <v>1</v>
      </c>
      <c r="J126" s="97">
        <f t="shared" si="16"/>
        <v>49</v>
      </c>
      <c r="K126" s="91">
        <f t="shared" si="17"/>
        <v>7479.78</v>
      </c>
      <c r="L126" s="94">
        <f t="shared" si="18"/>
        <v>366509.22</v>
      </c>
      <c r="M126" s="11"/>
      <c r="O126" s="120"/>
    </row>
    <row r="127" spans="1:15" s="114" customFormat="1">
      <c r="A127" s="96">
        <v>122</v>
      </c>
      <c r="B127" s="8" t="s">
        <v>868</v>
      </c>
      <c r="C127" s="11" t="s">
        <v>851</v>
      </c>
      <c r="D127" s="19">
        <v>150000</v>
      </c>
      <c r="E127" s="19">
        <v>19995</v>
      </c>
      <c r="F127" s="19">
        <f>SUM(D127:E127)</f>
        <v>169995</v>
      </c>
      <c r="G127" s="159">
        <v>50</v>
      </c>
      <c r="H127" s="254">
        <v>3399.9</v>
      </c>
      <c r="I127" s="159">
        <v>1</v>
      </c>
      <c r="J127" s="97">
        <f t="shared" si="16"/>
        <v>49</v>
      </c>
      <c r="K127" s="91">
        <f t="shared" si="17"/>
        <v>3399.9</v>
      </c>
      <c r="L127" s="94">
        <f t="shared" si="18"/>
        <v>166595.1</v>
      </c>
      <c r="M127" s="11"/>
    </row>
    <row r="128" spans="1:15" s="114" customFormat="1">
      <c r="A128" s="96">
        <v>123</v>
      </c>
      <c r="B128" s="8" t="s">
        <v>723</v>
      </c>
      <c r="C128" s="11" t="s">
        <v>861</v>
      </c>
      <c r="D128" s="16">
        <v>500000</v>
      </c>
      <c r="E128" s="16">
        <v>66650</v>
      </c>
      <c r="F128" s="41">
        <f>SUM(D128:E128)</f>
        <v>566650</v>
      </c>
      <c r="G128" s="159">
        <v>50</v>
      </c>
      <c r="H128" s="254">
        <v>11333</v>
      </c>
      <c r="I128" s="159">
        <v>1</v>
      </c>
      <c r="J128" s="97">
        <f t="shared" si="16"/>
        <v>49</v>
      </c>
      <c r="K128" s="91">
        <f t="shared" si="17"/>
        <v>11333</v>
      </c>
      <c r="L128" s="94">
        <f t="shared" si="18"/>
        <v>555317</v>
      </c>
      <c r="M128" s="11"/>
    </row>
    <row r="129" spans="1:15" s="114" customFormat="1">
      <c r="A129" s="96">
        <v>124</v>
      </c>
      <c r="B129" s="8" t="s">
        <v>628</v>
      </c>
      <c r="C129" s="11" t="s">
        <v>858</v>
      </c>
      <c r="D129" s="19">
        <v>450000</v>
      </c>
      <c r="E129" s="19">
        <v>59985</v>
      </c>
      <c r="F129" s="19">
        <v>509985</v>
      </c>
      <c r="G129" s="159">
        <v>50</v>
      </c>
      <c r="H129" s="254">
        <v>5099.8500000000004</v>
      </c>
      <c r="I129" s="159">
        <v>1</v>
      </c>
      <c r="J129" s="97">
        <f t="shared" si="16"/>
        <v>49</v>
      </c>
      <c r="K129" s="91">
        <f t="shared" si="17"/>
        <v>5099.8500000000004</v>
      </c>
      <c r="L129" s="94">
        <f t="shared" si="18"/>
        <v>504885.15</v>
      </c>
      <c r="M129" s="11"/>
    </row>
    <row r="130" spans="1:15" s="114" customFormat="1">
      <c r="A130" s="126"/>
      <c r="B130" s="126"/>
      <c r="C130" s="8"/>
      <c r="D130" s="34">
        <f>SUM(D6:D129)</f>
        <v>53192000</v>
      </c>
      <c r="E130" s="34">
        <f>SUM(E6:E129)</f>
        <v>6979862.5999999996</v>
      </c>
      <c r="F130" s="34">
        <f>SUM(F6:F129)</f>
        <v>60171862.600000001</v>
      </c>
      <c r="G130" s="36"/>
      <c r="H130" s="34">
        <f>SUM(H6:H129)</f>
        <v>1232924.0799999998</v>
      </c>
      <c r="I130" s="34"/>
      <c r="J130" s="34"/>
      <c r="K130" s="34">
        <f>SUM(K6:K129)</f>
        <v>34298639.339999996</v>
      </c>
      <c r="L130" s="34">
        <f>SUM(L6:L129)</f>
        <v>25873223.260000009</v>
      </c>
      <c r="M130" s="8"/>
    </row>
    <row r="131" spans="1:15" s="114" customFormat="1">
      <c r="A131" s="44"/>
      <c r="B131" s="44"/>
      <c r="C131" s="184"/>
      <c r="D131"/>
      <c r="E131"/>
      <c r="F131"/>
      <c r="G131" s="43"/>
      <c r="H131" s="39">
        <v>1232924.0799999987</v>
      </c>
      <c r="I131" s="99"/>
      <c r="J131" s="99"/>
      <c r="K131"/>
      <c r="L131"/>
      <c r="M131"/>
    </row>
    <row r="132" spans="1:15" s="114" customFormat="1">
      <c r="A132" s="44"/>
      <c r="B132" s="44"/>
      <c r="C132" s="184"/>
      <c r="D132"/>
      <c r="E132"/>
      <c r="F132"/>
      <c r="G132" s="43"/>
      <c r="H132"/>
      <c r="I132" s="99"/>
      <c r="J132" s="99"/>
      <c r="K132"/>
      <c r="L132"/>
      <c r="M132"/>
    </row>
    <row r="133" spans="1:15" s="120" customFormat="1">
      <c r="A133" s="44"/>
      <c r="B133" s="44"/>
      <c r="C133" s="184"/>
      <c r="D133"/>
      <c r="E133"/>
      <c r="F133"/>
      <c r="G133" s="43"/>
      <c r="H133" s="39">
        <f>H131-H130</f>
        <v>0</v>
      </c>
      <c r="I133" s="99"/>
      <c r="J133" s="99"/>
      <c r="K133"/>
      <c r="L133"/>
      <c r="M133"/>
      <c r="O133" s="114"/>
    </row>
    <row r="134" spans="1:15" s="114" customFormat="1"/>
    <row r="135" spans="1:15" s="114" customFormat="1"/>
    <row r="136" spans="1:15" s="114" customFormat="1"/>
    <row r="137" spans="1:15" s="114" customFormat="1">
      <c r="A137" s="96">
        <v>1</v>
      </c>
      <c r="B137" s="241"/>
      <c r="C137" s="4" t="s">
        <v>383</v>
      </c>
      <c r="D137" s="41">
        <v>200000</v>
      </c>
      <c r="E137" s="41">
        <v>26660</v>
      </c>
      <c r="F137" s="41">
        <f t="shared" ref="F137:F142" si="19">SUM(D137:E137)</f>
        <v>226660</v>
      </c>
      <c r="G137" s="159">
        <v>40</v>
      </c>
      <c r="H137" s="208">
        <v>5666.5</v>
      </c>
      <c r="I137" s="96">
        <v>42</v>
      </c>
      <c r="J137" s="96">
        <f t="shared" ref="J137:J146" si="20">G137-I137</f>
        <v>-2</v>
      </c>
      <c r="K137" s="16">
        <f t="shared" ref="K137:K146" si="21">I137*H137</f>
        <v>237993</v>
      </c>
      <c r="L137" s="41">
        <f t="shared" ref="L137:L146" si="22">F137-K137</f>
        <v>-11333</v>
      </c>
      <c r="M137" s="11"/>
      <c r="N137" s="180" t="e">
        <f>#REF!-H137</f>
        <v>#REF!</v>
      </c>
    </row>
    <row r="138" spans="1:15" s="114" customFormat="1">
      <c r="A138" s="96">
        <v>5</v>
      </c>
      <c r="B138" s="241"/>
      <c r="C138" s="4" t="s">
        <v>413</v>
      </c>
      <c r="D138" s="12">
        <v>180000</v>
      </c>
      <c r="E138" s="12">
        <v>23994</v>
      </c>
      <c r="F138" s="15">
        <f t="shared" si="19"/>
        <v>203994</v>
      </c>
      <c r="G138" s="14">
        <v>40</v>
      </c>
      <c r="H138" s="208">
        <v>5099.8500000000004</v>
      </c>
      <c r="I138" s="159">
        <v>38</v>
      </c>
      <c r="J138" s="97">
        <f t="shared" si="20"/>
        <v>2</v>
      </c>
      <c r="K138" s="91">
        <f t="shared" si="21"/>
        <v>193794.30000000002</v>
      </c>
      <c r="L138" s="15">
        <f t="shared" si="22"/>
        <v>10199.699999999983</v>
      </c>
      <c r="M138" s="8"/>
      <c r="N138" s="180" t="e">
        <f>#REF!-H138</f>
        <v>#REF!</v>
      </c>
    </row>
    <row r="139" spans="1:15" s="114" customFormat="1">
      <c r="A139" s="96">
        <v>12</v>
      </c>
      <c r="B139" s="96"/>
      <c r="C139" s="2" t="s">
        <v>389</v>
      </c>
      <c r="D139" s="41">
        <v>200000</v>
      </c>
      <c r="E139" s="41">
        <v>26660</v>
      </c>
      <c r="F139" s="41">
        <f t="shared" si="19"/>
        <v>226660</v>
      </c>
      <c r="G139" s="220">
        <v>40</v>
      </c>
      <c r="H139" s="208">
        <v>5666.5</v>
      </c>
      <c r="I139" s="96">
        <v>53</v>
      </c>
      <c r="J139" s="96">
        <f t="shared" si="20"/>
        <v>-13</v>
      </c>
      <c r="K139" s="16">
        <f t="shared" si="21"/>
        <v>300324.5</v>
      </c>
      <c r="L139" s="41">
        <f t="shared" si="22"/>
        <v>-73664.5</v>
      </c>
      <c r="M139" s="152"/>
      <c r="N139" s="180" t="e">
        <f>#REF!-H139</f>
        <v>#REF!</v>
      </c>
    </row>
    <row r="140" spans="1:15" s="114" customFormat="1">
      <c r="A140" s="96">
        <v>29</v>
      </c>
      <c r="B140" s="241"/>
      <c r="C140" s="4" t="s">
        <v>414</v>
      </c>
      <c r="D140" s="16">
        <v>180000</v>
      </c>
      <c r="E140" s="16">
        <v>23994</v>
      </c>
      <c r="F140" s="41">
        <f t="shared" si="19"/>
        <v>203994</v>
      </c>
      <c r="G140" s="159">
        <v>40</v>
      </c>
      <c r="H140" s="208">
        <v>5099.8500000000004</v>
      </c>
      <c r="I140" s="97">
        <v>40</v>
      </c>
      <c r="J140" s="97">
        <f t="shared" si="20"/>
        <v>0</v>
      </c>
      <c r="K140" s="91">
        <f t="shared" si="21"/>
        <v>203994</v>
      </c>
      <c r="L140" s="94">
        <f t="shared" si="22"/>
        <v>0</v>
      </c>
      <c r="M140" s="11"/>
      <c r="N140" s="180" t="e">
        <f>#REF!-H140</f>
        <v>#REF!</v>
      </c>
    </row>
    <row r="141" spans="1:15" s="114" customFormat="1">
      <c r="A141" s="96">
        <v>64</v>
      </c>
      <c r="B141" s="241"/>
      <c r="C141" s="4" t="s">
        <v>403</v>
      </c>
      <c r="D141" s="41">
        <v>200000</v>
      </c>
      <c r="E141" s="41">
        <v>26660</v>
      </c>
      <c r="F141" s="41">
        <f t="shared" si="19"/>
        <v>226660</v>
      </c>
      <c r="G141" s="159">
        <v>40</v>
      </c>
      <c r="H141" s="208">
        <v>5666.5</v>
      </c>
      <c r="I141" s="97">
        <v>42</v>
      </c>
      <c r="J141" s="97">
        <f t="shared" si="20"/>
        <v>-2</v>
      </c>
      <c r="K141" s="91">
        <f t="shared" si="21"/>
        <v>237993</v>
      </c>
      <c r="L141" s="94">
        <f t="shared" si="22"/>
        <v>-11333</v>
      </c>
      <c r="M141" s="11"/>
      <c r="N141" s="180" t="e">
        <f>#REF!-H141</f>
        <v>#REF!</v>
      </c>
    </row>
    <row r="142" spans="1:15" s="114" customFormat="1">
      <c r="A142" s="96">
        <v>68</v>
      </c>
      <c r="B142" s="241"/>
      <c r="C142" s="4" t="s">
        <v>422</v>
      </c>
      <c r="D142" s="16">
        <v>132000</v>
      </c>
      <c r="E142" s="16">
        <v>17595.599999999999</v>
      </c>
      <c r="F142" s="41">
        <f t="shared" si="19"/>
        <v>149595.6</v>
      </c>
      <c r="G142" s="159">
        <v>40</v>
      </c>
      <c r="H142" s="208">
        <v>3739.89</v>
      </c>
      <c r="I142" s="97">
        <v>42</v>
      </c>
      <c r="J142" s="97">
        <f t="shared" si="20"/>
        <v>-2</v>
      </c>
      <c r="K142" s="91">
        <f t="shared" si="21"/>
        <v>157075.38</v>
      </c>
      <c r="L142" s="94">
        <f t="shared" si="22"/>
        <v>-7479.7799999999988</v>
      </c>
      <c r="M142" s="11"/>
      <c r="N142" s="180" t="e">
        <f>#REF!-H142</f>
        <v>#REF!</v>
      </c>
    </row>
    <row r="143" spans="1:15" s="114" customFormat="1">
      <c r="A143" s="96">
        <v>86</v>
      </c>
      <c r="B143" s="241"/>
      <c r="C143" s="4" t="s">
        <v>407</v>
      </c>
      <c r="D143" s="41">
        <v>200000</v>
      </c>
      <c r="E143" s="41">
        <v>26660</v>
      </c>
      <c r="F143" s="41">
        <v>226660</v>
      </c>
      <c r="G143" s="159">
        <v>40</v>
      </c>
      <c r="H143" s="208">
        <v>5666.5</v>
      </c>
      <c r="I143" s="97">
        <v>42</v>
      </c>
      <c r="J143" s="97">
        <f t="shared" si="20"/>
        <v>-2</v>
      </c>
      <c r="K143" s="91">
        <f t="shared" si="21"/>
        <v>237993</v>
      </c>
      <c r="L143" s="94">
        <f t="shared" si="22"/>
        <v>-11333</v>
      </c>
      <c r="M143" s="11"/>
      <c r="N143" s="180" t="e">
        <f>#REF!-H143</f>
        <v>#REF!</v>
      </c>
    </row>
    <row r="144" spans="1:15" s="114" customFormat="1">
      <c r="A144" s="96">
        <v>94</v>
      </c>
      <c r="B144" s="241"/>
      <c r="C144" s="4" t="s">
        <v>408</v>
      </c>
      <c r="D144" s="41">
        <v>200000</v>
      </c>
      <c r="E144" s="41">
        <v>26660</v>
      </c>
      <c r="F144" s="41">
        <v>226660</v>
      </c>
      <c r="G144" s="159">
        <v>40</v>
      </c>
      <c r="H144" s="208">
        <v>5666.5</v>
      </c>
      <c r="I144" s="97">
        <v>42</v>
      </c>
      <c r="J144" s="97">
        <f t="shared" si="20"/>
        <v>-2</v>
      </c>
      <c r="K144" s="91">
        <f t="shared" si="21"/>
        <v>237993</v>
      </c>
      <c r="L144" s="94">
        <f t="shared" si="22"/>
        <v>-11333</v>
      </c>
      <c r="M144" s="11"/>
      <c r="N144" s="180" t="e">
        <f>#REF!-H144</f>
        <v>#REF!</v>
      </c>
    </row>
    <row r="145" spans="1:15" s="114" customFormat="1">
      <c r="A145" s="96">
        <v>99</v>
      </c>
      <c r="B145" s="241"/>
      <c r="C145" s="4" t="s">
        <v>409</v>
      </c>
      <c r="D145" s="41">
        <v>200000</v>
      </c>
      <c r="E145" s="41">
        <v>26660</v>
      </c>
      <c r="F145" s="41">
        <f>SUM(D145:E145)</f>
        <v>226660</v>
      </c>
      <c r="G145" s="159">
        <v>40</v>
      </c>
      <c r="H145" s="208">
        <v>5666.5</v>
      </c>
      <c r="I145" s="97">
        <v>42</v>
      </c>
      <c r="J145" s="97">
        <f t="shared" si="20"/>
        <v>-2</v>
      </c>
      <c r="K145" s="91">
        <f t="shared" si="21"/>
        <v>237993</v>
      </c>
      <c r="L145" s="94">
        <f t="shared" si="22"/>
        <v>-11333</v>
      </c>
      <c r="M145" s="11"/>
      <c r="N145" s="180" t="e">
        <f>#REF!-H145</f>
        <v>#REF!</v>
      </c>
    </row>
    <row r="146" spans="1:15" s="114" customFormat="1">
      <c r="A146" s="96">
        <v>107</v>
      </c>
      <c r="B146" s="241"/>
      <c r="C146" s="4" t="s">
        <v>35</v>
      </c>
      <c r="D146" s="155">
        <v>150000</v>
      </c>
      <c r="E146" s="155">
        <v>19995</v>
      </c>
      <c r="F146" s="155">
        <f>SUM(D146:E146)</f>
        <v>169995</v>
      </c>
      <c r="G146" s="159">
        <v>50</v>
      </c>
      <c r="H146" s="208">
        <v>3399.9</v>
      </c>
      <c r="I146" s="97">
        <v>14</v>
      </c>
      <c r="J146" s="97">
        <f t="shared" si="20"/>
        <v>36</v>
      </c>
      <c r="K146" s="91">
        <f t="shared" si="21"/>
        <v>47598.6</v>
      </c>
      <c r="L146" s="91">
        <f t="shared" si="22"/>
        <v>122396.4</v>
      </c>
      <c r="M146" s="122"/>
      <c r="N146" s="180" t="e">
        <f>#REF!-H146</f>
        <v>#REF!</v>
      </c>
    </row>
    <row r="147" spans="1:15" s="114" customFormat="1"/>
    <row r="148" spans="1:15" s="114" customFormat="1">
      <c r="A148" s="96">
        <v>30</v>
      </c>
      <c r="B148" s="96"/>
      <c r="C148" s="25" t="s">
        <v>362</v>
      </c>
      <c r="D148" s="12">
        <v>450000</v>
      </c>
      <c r="E148" s="12">
        <v>59985</v>
      </c>
      <c r="F148" s="15">
        <f>SUM(D148:E148)</f>
        <v>509985</v>
      </c>
      <c r="G148" s="14">
        <v>50</v>
      </c>
      <c r="H148" s="212">
        <v>10199.700000000001</v>
      </c>
      <c r="I148" s="14">
        <v>30</v>
      </c>
      <c r="J148" s="97">
        <f t="shared" ref="J148:J155" si="23">G148-I148</f>
        <v>20</v>
      </c>
      <c r="K148" s="91">
        <f>I148*H148</f>
        <v>305991</v>
      </c>
      <c r="L148" s="15">
        <f t="shared" ref="L148:L155" si="24">F148-K148</f>
        <v>203994</v>
      </c>
      <c r="M148" s="8"/>
      <c r="N148" s="180" t="e">
        <f>#REF!-H148</f>
        <v>#REF!</v>
      </c>
    </row>
    <row r="149" spans="1:15" s="114" customFormat="1">
      <c r="A149" s="96">
        <v>102</v>
      </c>
      <c r="B149" s="241"/>
      <c r="C149" s="46" t="s">
        <v>289</v>
      </c>
      <c r="D149" s="16">
        <v>180000</v>
      </c>
      <c r="E149" s="16">
        <v>23994</v>
      </c>
      <c r="F149" s="16">
        <v>203994</v>
      </c>
      <c r="G149" s="221">
        <v>40</v>
      </c>
      <c r="H149" s="167">
        <v>5099.8500000000004</v>
      </c>
      <c r="I149" s="97">
        <v>40</v>
      </c>
      <c r="J149" s="97">
        <f t="shared" si="23"/>
        <v>0</v>
      </c>
      <c r="K149" s="156">
        <f>(36*5099.85)</f>
        <v>183594.6</v>
      </c>
      <c r="L149" s="91">
        <f t="shared" si="24"/>
        <v>20399.399999999994</v>
      </c>
      <c r="M149" s="122"/>
      <c r="N149" s="180" t="e">
        <f>#REF!-H149</f>
        <v>#REF!</v>
      </c>
    </row>
    <row r="150" spans="1:15" s="114" customFormat="1">
      <c r="A150" s="96">
        <v>90</v>
      </c>
      <c r="B150" s="241"/>
      <c r="C150" s="4" t="s">
        <v>416</v>
      </c>
      <c r="D150" s="12">
        <v>180000</v>
      </c>
      <c r="E150" s="12">
        <v>23994</v>
      </c>
      <c r="F150" s="15">
        <f>SUM(D150:E150)</f>
        <v>203994</v>
      </c>
      <c r="G150" s="21">
        <v>40</v>
      </c>
      <c r="H150" s="167">
        <v>5099.8500000000004</v>
      </c>
      <c r="I150" s="14">
        <v>47</v>
      </c>
      <c r="J150" s="97">
        <f t="shared" si="23"/>
        <v>-7</v>
      </c>
      <c r="K150" s="91">
        <f t="shared" ref="K150:K155" si="25">I150*H150</f>
        <v>239692.95</v>
      </c>
      <c r="L150" s="15">
        <f t="shared" si="24"/>
        <v>-35698.950000000012</v>
      </c>
      <c r="M150" s="10"/>
      <c r="N150" s="180" t="e">
        <f>#REF!-H150</f>
        <v>#REF!</v>
      </c>
    </row>
    <row r="151" spans="1:15" s="114" customFormat="1">
      <c r="A151" s="96">
        <v>4</v>
      </c>
      <c r="B151" s="241"/>
      <c r="C151" s="4" t="s">
        <v>384</v>
      </c>
      <c r="D151" s="41">
        <v>200000</v>
      </c>
      <c r="E151" s="41">
        <v>26660</v>
      </c>
      <c r="F151" s="41">
        <f>SUM(D151:E151)</f>
        <v>226660</v>
      </c>
      <c r="G151" s="159">
        <v>40</v>
      </c>
      <c r="H151" s="167">
        <v>5666.5</v>
      </c>
      <c r="I151" s="96">
        <v>32</v>
      </c>
      <c r="J151" s="96">
        <f t="shared" si="23"/>
        <v>8</v>
      </c>
      <c r="K151" s="16">
        <f t="shared" si="25"/>
        <v>181328</v>
      </c>
      <c r="L151" s="41">
        <f t="shared" si="24"/>
        <v>45332</v>
      </c>
      <c r="M151" s="11"/>
      <c r="N151" s="180" t="e">
        <f>#REF!-H151</f>
        <v>#REF!</v>
      </c>
    </row>
    <row r="152" spans="1:15" s="114" customFormat="1">
      <c r="A152" s="96">
        <v>10</v>
      </c>
      <c r="B152" s="241"/>
      <c r="C152" s="4" t="s">
        <v>388</v>
      </c>
      <c r="D152" s="15">
        <v>200000</v>
      </c>
      <c r="E152" s="15">
        <v>26660</v>
      </c>
      <c r="F152" s="15">
        <f>SUM(D152:E152)</f>
        <v>226660</v>
      </c>
      <c r="G152" s="14">
        <v>40</v>
      </c>
      <c r="H152" s="24">
        <v>5666.5</v>
      </c>
      <c r="I152" s="14">
        <v>38</v>
      </c>
      <c r="J152" s="97">
        <f t="shared" si="23"/>
        <v>2</v>
      </c>
      <c r="K152" s="91">
        <f t="shared" si="25"/>
        <v>215327</v>
      </c>
      <c r="L152" s="15">
        <f t="shared" si="24"/>
        <v>11333</v>
      </c>
      <c r="M152" s="8"/>
      <c r="N152" s="180" t="e">
        <f>#REF!-H152</f>
        <v>#REF!</v>
      </c>
    </row>
    <row r="153" spans="1:15" s="114" customFormat="1">
      <c r="A153" s="96">
        <v>25</v>
      </c>
      <c r="B153" s="241"/>
      <c r="C153" s="4" t="s">
        <v>140</v>
      </c>
      <c r="D153" s="15">
        <v>200000</v>
      </c>
      <c r="E153" s="15">
        <v>26660</v>
      </c>
      <c r="F153" s="15">
        <f>SUM(D153:E153)</f>
        <v>226660</v>
      </c>
      <c r="G153" s="14">
        <v>40</v>
      </c>
      <c r="H153" s="167">
        <v>5666.5</v>
      </c>
      <c r="I153" s="14">
        <v>34</v>
      </c>
      <c r="J153" s="97">
        <f t="shared" si="23"/>
        <v>6</v>
      </c>
      <c r="K153" s="91">
        <f t="shared" si="25"/>
        <v>192661</v>
      </c>
      <c r="L153" s="15">
        <f t="shared" si="24"/>
        <v>33999</v>
      </c>
      <c r="M153" s="8"/>
      <c r="N153" s="180" t="e">
        <f>#REF!-H153</f>
        <v>#REF!</v>
      </c>
    </row>
    <row r="154" spans="1:15" s="114" customFormat="1">
      <c r="A154" s="96">
        <v>31</v>
      </c>
      <c r="B154" s="96"/>
      <c r="C154" s="2" t="s">
        <v>284</v>
      </c>
      <c r="D154" s="19">
        <v>500000</v>
      </c>
      <c r="E154" s="19">
        <v>66650</v>
      </c>
      <c r="F154" s="19">
        <v>566650</v>
      </c>
      <c r="G154" s="159">
        <v>50</v>
      </c>
      <c r="H154" s="167">
        <v>11333</v>
      </c>
      <c r="I154" s="97">
        <v>34</v>
      </c>
      <c r="J154" s="97">
        <f t="shared" si="23"/>
        <v>16</v>
      </c>
      <c r="K154" s="91">
        <f t="shared" si="25"/>
        <v>385322</v>
      </c>
      <c r="L154" s="91">
        <f t="shared" si="24"/>
        <v>181328</v>
      </c>
      <c r="M154" s="122"/>
      <c r="N154" s="180" t="e">
        <f>#REF!-H154</f>
        <v>#REF!</v>
      </c>
    </row>
    <row r="155" spans="1:15" s="114" customFormat="1">
      <c r="A155" s="96">
        <v>122</v>
      </c>
      <c r="B155" s="241"/>
      <c r="C155" s="168" t="s">
        <v>382</v>
      </c>
      <c r="D155" s="12">
        <v>330000</v>
      </c>
      <c r="E155" s="12">
        <v>43989</v>
      </c>
      <c r="F155" s="15">
        <f>SUM(D155:E155)</f>
        <v>373989</v>
      </c>
      <c r="G155" s="14">
        <v>50</v>
      </c>
      <c r="H155" s="222">
        <v>7479.78</v>
      </c>
      <c r="I155" s="14">
        <v>32</v>
      </c>
      <c r="J155" s="97">
        <f t="shared" si="23"/>
        <v>18</v>
      </c>
      <c r="K155" s="91">
        <f t="shared" si="25"/>
        <v>239352.95999999999</v>
      </c>
      <c r="L155" s="15">
        <f t="shared" si="24"/>
        <v>134636.04</v>
      </c>
      <c r="M155" s="8"/>
      <c r="N155"/>
      <c r="O155"/>
    </row>
    <row r="156" spans="1:15" s="114" customFormat="1">
      <c r="O156"/>
    </row>
    <row r="157" spans="1:15" s="114" customFormat="1">
      <c r="A157" s="96">
        <v>96</v>
      </c>
      <c r="B157" s="241"/>
      <c r="C157" s="4" t="s">
        <v>482</v>
      </c>
      <c r="D157" s="12">
        <v>60000</v>
      </c>
      <c r="E157" s="12">
        <v>7998</v>
      </c>
      <c r="F157" s="15">
        <f>SUM(D157:E157)</f>
        <v>67998</v>
      </c>
      <c r="G157" s="14">
        <v>40</v>
      </c>
      <c r="H157" s="172">
        <v>1699.95</v>
      </c>
      <c r="I157" s="97">
        <v>41</v>
      </c>
      <c r="J157" s="97">
        <f>G157-I157</f>
        <v>-1</v>
      </c>
      <c r="K157" s="91">
        <f>I157*H157</f>
        <v>69697.95</v>
      </c>
      <c r="L157" s="94">
        <f>F157-K157</f>
        <v>-1699.9499999999971</v>
      </c>
      <c r="M157" s="122"/>
      <c r="O157"/>
    </row>
    <row r="158" spans="1:15" s="114" customFormat="1">
      <c r="O158"/>
    </row>
    <row r="159" spans="1:15" s="114" customFormat="1" ht="14.25" customHeight="1">
      <c r="A159" s="96">
        <v>121</v>
      </c>
      <c r="B159" s="241"/>
      <c r="C159" s="4" t="s">
        <v>429</v>
      </c>
      <c r="D159" s="16">
        <v>60000</v>
      </c>
      <c r="E159" s="16">
        <v>7998</v>
      </c>
      <c r="F159" s="41">
        <f>SUM(D159:E159)</f>
        <v>67998</v>
      </c>
      <c r="G159" s="159">
        <v>40</v>
      </c>
      <c r="H159" s="167">
        <v>1699.95</v>
      </c>
      <c r="I159" s="97">
        <v>40</v>
      </c>
      <c r="J159" s="97">
        <f>G159-I159</f>
        <v>0</v>
      </c>
      <c r="K159" s="91">
        <f>I159*H159</f>
        <v>67998</v>
      </c>
      <c r="L159" s="94">
        <f>F159-K159</f>
        <v>0</v>
      </c>
      <c r="M159" s="11"/>
      <c r="N159" s="180" t="e">
        <f>#REF!-H159</f>
        <v>#REF!</v>
      </c>
      <c r="O159"/>
    </row>
    <row r="160" spans="1:15" s="114" customFormat="1" ht="14.25" customHeight="1">
      <c r="A160" s="44"/>
      <c r="B160" s="44"/>
      <c r="C160" s="184"/>
      <c r="D160"/>
      <c r="E160"/>
      <c r="F160"/>
      <c r="G160" s="43"/>
      <c r="H160"/>
      <c r="I160" s="99"/>
      <c r="J160" s="99"/>
      <c r="K160"/>
      <c r="L160"/>
      <c r="M160"/>
      <c r="N160"/>
      <c r="O160"/>
    </row>
    <row r="161" spans="1:15" ht="14.25" customHeight="1">
      <c r="A161" s="96">
        <v>12</v>
      </c>
      <c r="B161" s="96"/>
      <c r="C161" s="2" t="s">
        <v>373</v>
      </c>
      <c r="D161" s="16">
        <v>330000</v>
      </c>
      <c r="E161" s="16">
        <v>43989</v>
      </c>
      <c r="F161" s="41">
        <f>SUM(D161:E161)</f>
        <v>373989</v>
      </c>
      <c r="G161" s="33">
        <v>50</v>
      </c>
      <c r="H161" s="16">
        <v>7479.78</v>
      </c>
      <c r="I161" s="96">
        <v>26</v>
      </c>
      <c r="J161" s="96">
        <f>G161-I161</f>
        <v>24</v>
      </c>
      <c r="K161" s="16">
        <f>I161*H161</f>
        <v>194474.28</v>
      </c>
      <c r="L161" s="41">
        <f>F161-K161</f>
        <v>179514.72</v>
      </c>
      <c r="M161" s="11"/>
      <c r="N161" s="180" t="e">
        <f>#REF!-H161</f>
        <v>#REF!</v>
      </c>
    </row>
    <row r="162" spans="1:15" ht="14.25" customHeight="1">
      <c r="A162" s="96">
        <v>87</v>
      </c>
      <c r="B162" s="96"/>
      <c r="C162" s="2" t="s">
        <v>421</v>
      </c>
      <c r="D162" s="16">
        <v>132000</v>
      </c>
      <c r="E162" s="16">
        <v>17595.599999999999</v>
      </c>
      <c r="F162" s="16">
        <v>149595.6</v>
      </c>
      <c r="G162" s="45">
        <v>40</v>
      </c>
      <c r="H162" s="19">
        <v>3739.89</v>
      </c>
      <c r="I162" s="97">
        <v>46</v>
      </c>
      <c r="J162" s="97">
        <f>G162-I162</f>
        <v>-6</v>
      </c>
      <c r="K162" s="91">
        <f>I162*H162</f>
        <v>172034.94</v>
      </c>
      <c r="L162" s="94">
        <f>F162-K162</f>
        <v>-22439.339999999997</v>
      </c>
      <c r="M162" s="11"/>
      <c r="N162" s="180" t="e">
        <f>#REF!-H162</f>
        <v>#REF!</v>
      </c>
    </row>
    <row r="163" spans="1:15" ht="14.25" customHeight="1">
      <c r="A163" s="96">
        <v>116</v>
      </c>
      <c r="B163" s="96"/>
      <c r="C163" s="2" t="s">
        <v>377</v>
      </c>
      <c r="D163" s="155">
        <v>330000</v>
      </c>
      <c r="E163" s="155">
        <v>43989</v>
      </c>
      <c r="F163" s="155">
        <f>SUM(D163:E163)</f>
        <v>373989</v>
      </c>
      <c r="G163" s="33">
        <v>50</v>
      </c>
      <c r="H163" s="154">
        <v>7479.78</v>
      </c>
      <c r="I163" s="97">
        <v>12</v>
      </c>
      <c r="J163" s="97">
        <f>G163-I163</f>
        <v>38</v>
      </c>
      <c r="K163" s="91">
        <f>I163*H163</f>
        <v>89757.36</v>
      </c>
      <c r="L163" s="91">
        <f>F163-K163</f>
        <v>284231.64</v>
      </c>
      <c r="M163" s="122"/>
      <c r="N163" s="180" t="e">
        <f>#REF!-H163</f>
        <v>#REF!</v>
      </c>
    </row>
    <row r="164" spans="1:15" ht="14.25" customHeight="1"/>
    <row r="165" spans="1:15" ht="14.25" customHeight="1">
      <c r="A165" s="96">
        <v>144</v>
      </c>
      <c r="B165" s="96"/>
      <c r="C165" s="2" t="s">
        <v>410</v>
      </c>
      <c r="D165" s="41">
        <v>200000</v>
      </c>
      <c r="E165" s="41">
        <v>26660</v>
      </c>
      <c r="F165" s="41">
        <f>SUM(D165:E165)</f>
        <v>226660</v>
      </c>
      <c r="G165" s="33">
        <v>40</v>
      </c>
      <c r="H165" s="41">
        <v>5666.5</v>
      </c>
      <c r="I165" s="97">
        <v>40</v>
      </c>
      <c r="J165" s="97">
        <f>G165-I165</f>
        <v>0</v>
      </c>
      <c r="K165" s="91">
        <f>I165*H165</f>
        <v>226660</v>
      </c>
      <c r="L165" s="94">
        <f>F165-K165</f>
        <v>0</v>
      </c>
      <c r="M165" s="11"/>
      <c r="N165" s="180" t="e">
        <f>#REF!-H165</f>
        <v>#REF!</v>
      </c>
    </row>
    <row r="166" spans="1:15" ht="14.25" customHeight="1">
      <c r="A166" s="96">
        <v>147</v>
      </c>
      <c r="B166" s="96"/>
      <c r="C166" s="2" t="s">
        <v>411</v>
      </c>
      <c r="D166" s="41">
        <v>200000</v>
      </c>
      <c r="E166" s="41">
        <v>26660</v>
      </c>
      <c r="F166" s="41">
        <v>226660</v>
      </c>
      <c r="G166" s="33">
        <v>40</v>
      </c>
      <c r="H166" s="19">
        <v>5666.5</v>
      </c>
      <c r="I166" s="97">
        <v>40</v>
      </c>
      <c r="J166" s="97">
        <f>G166-I166</f>
        <v>0</v>
      </c>
      <c r="K166" s="91">
        <f>I166*H166</f>
        <v>226660</v>
      </c>
      <c r="L166" s="94">
        <f>F166-K166</f>
        <v>0</v>
      </c>
      <c r="M166" s="11"/>
      <c r="N166" s="180" t="e">
        <f>#REF!-H166</f>
        <v>#REF!</v>
      </c>
    </row>
    <row r="167" spans="1:15" ht="14.25" customHeight="1">
      <c r="A167" s="96">
        <v>148</v>
      </c>
      <c r="B167" s="96"/>
      <c r="C167" s="2" t="s">
        <v>412</v>
      </c>
      <c r="D167" s="41">
        <v>200000</v>
      </c>
      <c r="E167" s="41">
        <v>26660</v>
      </c>
      <c r="F167" s="41">
        <f>SUM(D167:E167)</f>
        <v>226660</v>
      </c>
      <c r="G167" s="33">
        <v>40</v>
      </c>
      <c r="H167" s="41">
        <v>5666.5</v>
      </c>
      <c r="I167" s="97">
        <v>40</v>
      </c>
      <c r="J167" s="97">
        <f>G167-I167</f>
        <v>0</v>
      </c>
      <c r="K167" s="91">
        <f>I167*H167</f>
        <v>226660</v>
      </c>
      <c r="L167" s="94">
        <f>F167-K167</f>
        <v>0</v>
      </c>
      <c r="M167" s="11"/>
      <c r="N167" s="180" t="e">
        <f>#REF!-H167</f>
        <v>#REF!</v>
      </c>
    </row>
    <row r="168" spans="1:15" ht="14.25" customHeight="1">
      <c r="O168" s="121"/>
    </row>
    <row r="169" spans="1:15" ht="14.25" customHeight="1">
      <c r="A169" s="96">
        <v>6</v>
      </c>
      <c r="B169" s="96"/>
      <c r="C169" s="2" t="s">
        <v>418</v>
      </c>
      <c r="D169" s="16">
        <v>132000</v>
      </c>
      <c r="E169" s="16">
        <v>17595.599999999999</v>
      </c>
      <c r="F169" s="41">
        <f t="shared" ref="F169:F181" si="26">SUM(D169:E169)</f>
        <v>149595.6</v>
      </c>
      <c r="G169" s="33">
        <v>40</v>
      </c>
      <c r="H169" s="16">
        <v>3739.89</v>
      </c>
      <c r="I169" s="96">
        <v>40</v>
      </c>
      <c r="J169" s="96">
        <f t="shared" ref="J169:J189" si="27">G169-I169</f>
        <v>0</v>
      </c>
      <c r="K169" s="16">
        <f t="shared" ref="K169:K189" si="28">I169*H169</f>
        <v>149595.6</v>
      </c>
      <c r="L169" s="41">
        <f t="shared" ref="L169:L189" si="29">F169-K169</f>
        <v>0</v>
      </c>
      <c r="M169" s="11"/>
      <c r="N169" s="180" t="e">
        <f>#REF!-H169</f>
        <v>#REF!</v>
      </c>
    </row>
    <row r="170" spans="1:15">
      <c r="A170" s="96">
        <v>11</v>
      </c>
      <c r="B170" s="96"/>
      <c r="C170" s="2" t="s">
        <v>386</v>
      </c>
      <c r="D170" s="41">
        <v>200000</v>
      </c>
      <c r="E170" s="41">
        <v>26660</v>
      </c>
      <c r="F170" s="41">
        <f t="shared" si="26"/>
        <v>226660</v>
      </c>
      <c r="G170" s="33">
        <v>40</v>
      </c>
      <c r="H170" s="41">
        <v>5666.5</v>
      </c>
      <c r="I170" s="96">
        <v>40</v>
      </c>
      <c r="J170" s="96">
        <f t="shared" si="27"/>
        <v>0</v>
      </c>
      <c r="K170" s="16">
        <f t="shared" si="28"/>
        <v>226660</v>
      </c>
      <c r="L170" s="41">
        <f t="shared" si="29"/>
        <v>0</v>
      </c>
      <c r="M170" s="11"/>
      <c r="N170" s="180" t="e">
        <f>#REF!-H170</f>
        <v>#REF!</v>
      </c>
    </row>
    <row r="171" spans="1:15">
      <c r="A171" s="96">
        <v>13</v>
      </c>
      <c r="B171" s="96"/>
      <c r="C171" s="2" t="s">
        <v>387</v>
      </c>
      <c r="D171" s="41">
        <v>200000</v>
      </c>
      <c r="E171" s="41">
        <v>26660</v>
      </c>
      <c r="F171" s="41">
        <f t="shared" si="26"/>
        <v>226660</v>
      </c>
      <c r="G171" s="33">
        <v>40</v>
      </c>
      <c r="H171" s="41">
        <v>5666.5</v>
      </c>
      <c r="I171" s="96">
        <v>40</v>
      </c>
      <c r="J171" s="96">
        <f t="shared" si="27"/>
        <v>0</v>
      </c>
      <c r="K171" s="16">
        <f t="shared" si="28"/>
        <v>226660</v>
      </c>
      <c r="L171" s="41">
        <f t="shared" si="29"/>
        <v>0</v>
      </c>
      <c r="M171" s="11"/>
      <c r="N171" s="180" t="e">
        <f>#REF!-H171</f>
        <v>#REF!</v>
      </c>
    </row>
    <row r="172" spans="1:15">
      <c r="A172" s="96">
        <v>20</v>
      </c>
      <c r="B172" s="96"/>
      <c r="C172" s="2" t="s">
        <v>390</v>
      </c>
      <c r="D172" s="41">
        <v>200000</v>
      </c>
      <c r="E172" s="41">
        <v>26660</v>
      </c>
      <c r="F172" s="41">
        <f t="shared" si="26"/>
        <v>226660</v>
      </c>
      <c r="G172" s="33">
        <v>40</v>
      </c>
      <c r="H172" s="41">
        <v>5666.5</v>
      </c>
      <c r="I172" s="96">
        <v>40</v>
      </c>
      <c r="J172" s="96">
        <f t="shared" si="27"/>
        <v>0</v>
      </c>
      <c r="K172" s="16">
        <f t="shared" si="28"/>
        <v>226660</v>
      </c>
      <c r="L172" s="41">
        <f t="shared" si="29"/>
        <v>0</v>
      </c>
      <c r="M172" s="11"/>
      <c r="N172" s="180" t="e">
        <f>#REF!-H172</f>
        <v>#REF!</v>
      </c>
    </row>
    <row r="173" spans="1:15" s="121" customFormat="1">
      <c r="A173" s="96">
        <v>29</v>
      </c>
      <c r="B173" s="96"/>
      <c r="C173" s="2" t="s">
        <v>391</v>
      </c>
      <c r="D173" s="41">
        <v>200000</v>
      </c>
      <c r="E173" s="41">
        <v>26660</v>
      </c>
      <c r="F173" s="41">
        <f t="shared" si="26"/>
        <v>226660</v>
      </c>
      <c r="G173" s="33">
        <v>40</v>
      </c>
      <c r="H173" s="41">
        <v>5666.5</v>
      </c>
      <c r="I173" s="97">
        <v>40</v>
      </c>
      <c r="J173" s="97">
        <f t="shared" si="27"/>
        <v>0</v>
      </c>
      <c r="K173" s="91">
        <f t="shared" si="28"/>
        <v>226660</v>
      </c>
      <c r="L173" s="94">
        <f t="shared" si="29"/>
        <v>0</v>
      </c>
      <c r="M173" s="11"/>
      <c r="N173" s="180" t="e">
        <f>#REF!-H173</f>
        <v>#REF!</v>
      </c>
      <c r="O173"/>
    </row>
    <row r="174" spans="1:15">
      <c r="A174" s="96">
        <v>31</v>
      </c>
      <c r="B174" s="96"/>
      <c r="C174" s="2" t="s">
        <v>392</v>
      </c>
      <c r="D174" s="41">
        <v>200000</v>
      </c>
      <c r="E174" s="41">
        <v>26660</v>
      </c>
      <c r="F174" s="41">
        <f t="shared" si="26"/>
        <v>226660</v>
      </c>
      <c r="G174" s="33">
        <v>40</v>
      </c>
      <c r="H174" s="41">
        <v>5666.5</v>
      </c>
      <c r="I174" s="97">
        <v>40</v>
      </c>
      <c r="J174" s="97">
        <f t="shared" si="27"/>
        <v>0</v>
      </c>
      <c r="K174" s="91">
        <f t="shared" si="28"/>
        <v>226660</v>
      </c>
      <c r="L174" s="94">
        <f t="shared" si="29"/>
        <v>0</v>
      </c>
      <c r="M174" s="11"/>
      <c r="N174" s="180" t="e">
        <f>#REF!-H174</f>
        <v>#REF!</v>
      </c>
    </row>
    <row r="175" spans="1:15">
      <c r="A175" s="96">
        <v>34</v>
      </c>
      <c r="B175" s="96"/>
      <c r="C175" s="2" t="s">
        <v>393</v>
      </c>
      <c r="D175" s="41">
        <v>200000</v>
      </c>
      <c r="E175" s="41">
        <v>26660</v>
      </c>
      <c r="F175" s="41">
        <f t="shared" si="26"/>
        <v>226660</v>
      </c>
      <c r="G175" s="33">
        <v>40</v>
      </c>
      <c r="H175" s="41">
        <v>5666.5</v>
      </c>
      <c r="I175" s="97">
        <v>40</v>
      </c>
      <c r="J175" s="97">
        <f t="shared" si="27"/>
        <v>0</v>
      </c>
      <c r="K175" s="91">
        <f t="shared" si="28"/>
        <v>226660</v>
      </c>
      <c r="L175" s="94">
        <f t="shared" si="29"/>
        <v>0</v>
      </c>
      <c r="M175" s="11"/>
      <c r="N175" s="180" t="e">
        <f>#REF!-H175</f>
        <v>#REF!</v>
      </c>
    </row>
    <row r="176" spans="1:15">
      <c r="A176" s="96">
        <v>41</v>
      </c>
      <c r="B176" s="96"/>
      <c r="C176" s="2" t="s">
        <v>415</v>
      </c>
      <c r="D176" s="16">
        <v>180000</v>
      </c>
      <c r="E176" s="16">
        <v>23994</v>
      </c>
      <c r="F176" s="41">
        <f t="shared" si="26"/>
        <v>203994</v>
      </c>
      <c r="G176" s="33">
        <v>40</v>
      </c>
      <c r="H176" s="16">
        <v>5099.8500000000004</v>
      </c>
      <c r="I176" s="97">
        <v>40</v>
      </c>
      <c r="J176" s="97">
        <f t="shared" si="27"/>
        <v>0</v>
      </c>
      <c r="K176" s="91">
        <f t="shared" si="28"/>
        <v>203994</v>
      </c>
      <c r="L176" s="94">
        <f t="shared" si="29"/>
        <v>0</v>
      </c>
      <c r="M176" s="11"/>
      <c r="N176" s="180" t="e">
        <f>#REF!-H176</f>
        <v>#REF!</v>
      </c>
    </row>
    <row r="177" spans="1:14">
      <c r="A177" s="96">
        <v>45</v>
      </c>
      <c r="B177" s="96"/>
      <c r="C177" s="2" t="s">
        <v>394</v>
      </c>
      <c r="D177" s="41">
        <v>200000</v>
      </c>
      <c r="E177" s="41">
        <v>26660</v>
      </c>
      <c r="F177" s="41">
        <f t="shared" si="26"/>
        <v>226660</v>
      </c>
      <c r="G177" s="33">
        <v>40</v>
      </c>
      <c r="H177" s="41">
        <v>5666.5</v>
      </c>
      <c r="I177" s="97">
        <v>40</v>
      </c>
      <c r="J177" s="97">
        <f t="shared" si="27"/>
        <v>0</v>
      </c>
      <c r="K177" s="91">
        <f t="shared" si="28"/>
        <v>226660</v>
      </c>
      <c r="L177" s="94">
        <f t="shared" si="29"/>
        <v>0</v>
      </c>
      <c r="M177" s="11"/>
      <c r="N177" s="180" t="e">
        <f>#REF!-H177</f>
        <v>#REF!</v>
      </c>
    </row>
    <row r="178" spans="1:14">
      <c r="A178" s="96">
        <v>51</v>
      </c>
      <c r="B178" s="96"/>
      <c r="C178" s="2" t="s">
        <v>395</v>
      </c>
      <c r="D178" s="15">
        <v>200000</v>
      </c>
      <c r="E178" s="15">
        <v>26660</v>
      </c>
      <c r="F178" s="15">
        <f t="shared" si="26"/>
        <v>226660</v>
      </c>
      <c r="G178" s="31">
        <v>40</v>
      </c>
      <c r="H178" s="15">
        <v>5666.5</v>
      </c>
      <c r="I178" s="14">
        <v>38</v>
      </c>
      <c r="J178" s="97">
        <f t="shared" si="27"/>
        <v>2</v>
      </c>
      <c r="K178" s="91">
        <f t="shared" si="28"/>
        <v>215327</v>
      </c>
      <c r="L178" s="15">
        <f t="shared" si="29"/>
        <v>11333</v>
      </c>
      <c r="M178" s="8"/>
      <c r="N178" s="180" t="e">
        <f>#REF!-H178</f>
        <v>#REF!</v>
      </c>
    </row>
    <row r="179" spans="1:14">
      <c r="A179" s="96">
        <v>59</v>
      </c>
      <c r="B179" s="96"/>
      <c r="C179" s="2" t="s">
        <v>419</v>
      </c>
      <c r="D179" s="16">
        <v>132000</v>
      </c>
      <c r="E179" s="16">
        <v>17595.599999999999</v>
      </c>
      <c r="F179" s="41">
        <f t="shared" si="26"/>
        <v>149595.6</v>
      </c>
      <c r="G179" s="33">
        <v>40</v>
      </c>
      <c r="H179" s="16">
        <v>3739.89</v>
      </c>
      <c r="I179" s="97">
        <v>40</v>
      </c>
      <c r="J179" s="97">
        <f t="shared" si="27"/>
        <v>0</v>
      </c>
      <c r="K179" s="91">
        <f t="shared" si="28"/>
        <v>149595.6</v>
      </c>
      <c r="L179" s="94">
        <f t="shared" si="29"/>
        <v>0</v>
      </c>
      <c r="M179" s="11"/>
      <c r="N179" s="180" t="e">
        <f>#REF!-H179</f>
        <v>#REF!</v>
      </c>
    </row>
    <row r="180" spans="1:14">
      <c r="A180" s="96">
        <v>60</v>
      </c>
      <c r="B180" s="96"/>
      <c r="C180" s="2" t="s">
        <v>396</v>
      </c>
      <c r="D180" s="41">
        <v>200000</v>
      </c>
      <c r="E180" s="41">
        <v>26660</v>
      </c>
      <c r="F180" s="41">
        <f t="shared" si="26"/>
        <v>226660</v>
      </c>
      <c r="G180" s="33">
        <v>40</v>
      </c>
      <c r="H180" s="41">
        <v>5666.5</v>
      </c>
      <c r="I180" s="97">
        <v>40</v>
      </c>
      <c r="J180" s="97">
        <f t="shared" si="27"/>
        <v>0</v>
      </c>
      <c r="K180" s="91">
        <f t="shared" si="28"/>
        <v>226660</v>
      </c>
      <c r="L180" s="94">
        <f t="shared" si="29"/>
        <v>0</v>
      </c>
      <c r="M180" s="11"/>
      <c r="N180" s="180" t="e">
        <f>#REF!-H180</f>
        <v>#REF!</v>
      </c>
    </row>
    <row r="181" spans="1:14">
      <c r="A181" s="96">
        <v>65</v>
      </c>
      <c r="B181" s="96"/>
      <c r="C181" s="2" t="s">
        <v>420</v>
      </c>
      <c r="D181" s="16">
        <v>132000</v>
      </c>
      <c r="E181" s="16">
        <v>17595.599999999999</v>
      </c>
      <c r="F181" s="41">
        <f t="shared" si="26"/>
        <v>149595.6</v>
      </c>
      <c r="G181" s="33">
        <v>40</v>
      </c>
      <c r="H181" s="16">
        <v>3739.89</v>
      </c>
      <c r="I181" s="97">
        <v>40</v>
      </c>
      <c r="J181" s="97">
        <f t="shared" si="27"/>
        <v>0</v>
      </c>
      <c r="K181" s="91">
        <f t="shared" si="28"/>
        <v>149595.6</v>
      </c>
      <c r="L181" s="94">
        <f t="shared" si="29"/>
        <v>0</v>
      </c>
      <c r="M181" s="11"/>
      <c r="N181" s="180" t="e">
        <f>#REF!-H181</f>
        <v>#REF!</v>
      </c>
    </row>
    <row r="182" spans="1:14">
      <c r="A182" s="96">
        <v>67</v>
      </c>
      <c r="B182" s="96"/>
      <c r="C182" s="2" t="s">
        <v>397</v>
      </c>
      <c r="D182" s="41">
        <v>200000</v>
      </c>
      <c r="E182" s="41">
        <v>26660</v>
      </c>
      <c r="F182" s="41">
        <v>226660</v>
      </c>
      <c r="G182" s="33">
        <v>40</v>
      </c>
      <c r="H182" s="19">
        <v>5666.5</v>
      </c>
      <c r="I182" s="97">
        <v>40</v>
      </c>
      <c r="J182" s="97">
        <f t="shared" si="27"/>
        <v>0</v>
      </c>
      <c r="K182" s="91">
        <f t="shared" si="28"/>
        <v>226660</v>
      </c>
      <c r="L182" s="94">
        <f t="shared" si="29"/>
        <v>0</v>
      </c>
      <c r="M182" s="11"/>
      <c r="N182" s="180" t="e">
        <f>#REF!-H182</f>
        <v>#REF!</v>
      </c>
    </row>
    <row r="183" spans="1:14">
      <c r="A183" s="96">
        <v>69</v>
      </c>
      <c r="B183" s="96"/>
      <c r="C183" s="2" t="s">
        <v>398</v>
      </c>
      <c r="D183" s="41">
        <v>200000</v>
      </c>
      <c r="E183" s="41">
        <v>26660</v>
      </c>
      <c r="F183" s="41">
        <f>SUM(D183:E183)</f>
        <v>226660</v>
      </c>
      <c r="G183" s="33">
        <v>40</v>
      </c>
      <c r="H183" s="41">
        <v>5666.5</v>
      </c>
      <c r="I183" s="97">
        <v>40</v>
      </c>
      <c r="J183" s="97">
        <f t="shared" si="27"/>
        <v>0</v>
      </c>
      <c r="K183" s="91">
        <f t="shared" si="28"/>
        <v>226660</v>
      </c>
      <c r="L183" s="94">
        <f t="shared" si="29"/>
        <v>0</v>
      </c>
      <c r="M183" s="11"/>
      <c r="N183" s="180" t="e">
        <f>#REF!-H183</f>
        <v>#REF!</v>
      </c>
    </row>
    <row r="184" spans="1:14">
      <c r="A184" s="96">
        <v>72</v>
      </c>
      <c r="B184" s="96"/>
      <c r="C184" s="2" t="s">
        <v>399</v>
      </c>
      <c r="D184" s="41">
        <v>200000</v>
      </c>
      <c r="E184" s="41">
        <v>26660</v>
      </c>
      <c r="F184" s="41">
        <f>SUM(D184:E184)</f>
        <v>226660</v>
      </c>
      <c r="G184" s="33">
        <v>40</v>
      </c>
      <c r="H184" s="41">
        <v>5666.5</v>
      </c>
      <c r="I184" s="97">
        <v>40</v>
      </c>
      <c r="J184" s="97">
        <f t="shared" si="27"/>
        <v>0</v>
      </c>
      <c r="K184" s="91">
        <f t="shared" si="28"/>
        <v>226660</v>
      </c>
      <c r="L184" s="94">
        <f t="shared" si="29"/>
        <v>0</v>
      </c>
      <c r="M184" s="11"/>
      <c r="N184" s="180" t="e">
        <f>#REF!-H184</f>
        <v>#REF!</v>
      </c>
    </row>
    <row r="185" spans="1:14">
      <c r="A185" s="96">
        <v>73</v>
      </c>
      <c r="B185" s="96"/>
      <c r="C185" s="2" t="s">
        <v>428</v>
      </c>
      <c r="D185" s="16">
        <v>60000</v>
      </c>
      <c r="E185" s="16">
        <v>7998</v>
      </c>
      <c r="F185" s="41">
        <f>SUM(D185:E185)</f>
        <v>67998</v>
      </c>
      <c r="G185" s="33">
        <v>40</v>
      </c>
      <c r="H185" s="16">
        <v>1699.95</v>
      </c>
      <c r="I185" s="97">
        <v>40</v>
      </c>
      <c r="J185" s="97">
        <f t="shared" si="27"/>
        <v>0</v>
      </c>
      <c r="K185" s="91">
        <f t="shared" si="28"/>
        <v>67998</v>
      </c>
      <c r="L185" s="94">
        <f t="shared" si="29"/>
        <v>0</v>
      </c>
      <c r="M185" s="11"/>
      <c r="N185" s="180" t="e">
        <f>#REF!-H185</f>
        <v>#REF!</v>
      </c>
    </row>
    <row r="186" spans="1:14">
      <c r="A186" s="96">
        <v>77</v>
      </c>
      <c r="B186" s="96"/>
      <c r="C186" s="2" t="s">
        <v>401</v>
      </c>
      <c r="D186" s="41">
        <v>200000</v>
      </c>
      <c r="E186" s="41">
        <v>26660</v>
      </c>
      <c r="F186" s="41">
        <f>SUM(D186:E186)</f>
        <v>226660</v>
      </c>
      <c r="G186" s="33">
        <v>40</v>
      </c>
      <c r="H186" s="41">
        <v>5666.5</v>
      </c>
      <c r="I186" s="97">
        <v>40</v>
      </c>
      <c r="J186" s="97">
        <f t="shared" si="27"/>
        <v>0</v>
      </c>
      <c r="K186" s="91">
        <f t="shared" si="28"/>
        <v>226660</v>
      </c>
      <c r="L186" s="94">
        <f t="shared" si="29"/>
        <v>0</v>
      </c>
      <c r="M186" s="11"/>
      <c r="N186" s="180" t="e">
        <f>#REF!-H186</f>
        <v>#REF!</v>
      </c>
    </row>
    <row r="187" spans="1:14">
      <c r="A187" s="96">
        <v>79</v>
      </c>
      <c r="B187" s="96"/>
      <c r="C187" s="2" t="s">
        <v>402</v>
      </c>
      <c r="D187" s="41">
        <v>200000</v>
      </c>
      <c r="E187" s="41">
        <v>26660</v>
      </c>
      <c r="F187" s="41">
        <f>SUM(D187:E187)</f>
        <v>226660</v>
      </c>
      <c r="G187" s="33">
        <v>40</v>
      </c>
      <c r="H187" s="41">
        <v>5666.5</v>
      </c>
      <c r="I187" s="97">
        <v>40</v>
      </c>
      <c r="J187" s="97">
        <f t="shared" si="27"/>
        <v>0</v>
      </c>
      <c r="K187" s="91">
        <f t="shared" si="28"/>
        <v>226660</v>
      </c>
      <c r="L187" s="94">
        <f t="shared" si="29"/>
        <v>0</v>
      </c>
      <c r="M187" s="11"/>
      <c r="N187" s="180" t="e">
        <f>#REF!-H187</f>
        <v>#REF!</v>
      </c>
    </row>
    <row r="188" spans="1:14">
      <c r="A188" s="96">
        <v>82</v>
      </c>
      <c r="B188" s="96"/>
      <c r="C188" s="2" t="s">
        <v>404</v>
      </c>
      <c r="D188" s="41">
        <v>200000</v>
      </c>
      <c r="E188" s="41">
        <v>26660</v>
      </c>
      <c r="F188" s="41">
        <v>226660</v>
      </c>
      <c r="G188" s="33">
        <v>40</v>
      </c>
      <c r="H188" s="19">
        <v>5666.5</v>
      </c>
      <c r="I188" s="97">
        <v>40</v>
      </c>
      <c r="J188" s="97">
        <f t="shared" si="27"/>
        <v>0</v>
      </c>
      <c r="K188" s="91">
        <f t="shared" si="28"/>
        <v>226660</v>
      </c>
      <c r="L188" s="94">
        <f t="shared" si="29"/>
        <v>0</v>
      </c>
      <c r="M188" s="11"/>
      <c r="N188" s="180" t="e">
        <f>#REF!-H188</f>
        <v>#REF!</v>
      </c>
    </row>
    <row r="189" spans="1:14">
      <c r="A189" s="96">
        <v>84</v>
      </c>
      <c r="B189" s="96"/>
      <c r="C189" s="2" t="s">
        <v>405</v>
      </c>
      <c r="D189" s="41">
        <v>200000</v>
      </c>
      <c r="E189" s="41">
        <v>26660</v>
      </c>
      <c r="F189" s="41">
        <f>SUM(D189:E189)</f>
        <v>226660</v>
      </c>
      <c r="G189" s="33">
        <v>40</v>
      </c>
      <c r="H189" s="41">
        <v>5666.5</v>
      </c>
      <c r="I189" s="97">
        <v>40</v>
      </c>
      <c r="J189" s="97">
        <f t="shared" si="27"/>
        <v>0</v>
      </c>
      <c r="K189" s="91">
        <f t="shared" si="28"/>
        <v>226660</v>
      </c>
      <c r="L189" s="94">
        <f t="shared" si="29"/>
        <v>0</v>
      </c>
      <c r="M189" s="11"/>
      <c r="N189" s="180" t="e">
        <f>#REF!-H189</f>
        <v>#REF!</v>
      </c>
    </row>
    <row r="192" spans="1:14">
      <c r="C192" s="127" t="s">
        <v>226</v>
      </c>
      <c r="D192" s="129">
        <v>200000</v>
      </c>
      <c r="E192" s="129">
        <v>26660</v>
      </c>
      <c r="F192" s="129">
        <v>226660</v>
      </c>
      <c r="G192" s="130">
        <v>40</v>
      </c>
      <c r="H192" s="137">
        <v>5666.5</v>
      </c>
      <c r="I192" s="134">
        <v>40</v>
      </c>
      <c r="J192" s="134">
        <f t="shared" ref="J192:J212" si="30">G192-I192</f>
        <v>0</v>
      </c>
      <c r="K192" s="135">
        <f t="shared" ref="K192:K212" si="31">I192*H192</f>
        <v>226660</v>
      </c>
      <c r="L192" s="136">
        <f t="shared" ref="L192:L212" si="32">F192-K192</f>
        <v>0</v>
      </c>
      <c r="M192" s="132"/>
      <c r="N192" s="121"/>
    </row>
    <row r="193" spans="1:15">
      <c r="C193" s="127" t="s">
        <v>181</v>
      </c>
      <c r="D193" s="129">
        <v>200000</v>
      </c>
      <c r="E193" s="129">
        <v>26660</v>
      </c>
      <c r="F193" s="129">
        <f t="shared" ref="F193:F199" si="33">SUM(D193:E193)</f>
        <v>226660</v>
      </c>
      <c r="G193" s="130">
        <v>40</v>
      </c>
      <c r="H193" s="129">
        <v>5666.5</v>
      </c>
      <c r="I193" s="134">
        <v>40</v>
      </c>
      <c r="J193" s="134">
        <f t="shared" si="30"/>
        <v>0</v>
      </c>
      <c r="K193" s="135">
        <f t="shared" si="31"/>
        <v>226660</v>
      </c>
      <c r="L193" s="136">
        <f t="shared" si="32"/>
        <v>0</v>
      </c>
      <c r="M193" s="132"/>
    </row>
    <row r="194" spans="1:15">
      <c r="C194" s="127" t="s">
        <v>249</v>
      </c>
      <c r="D194" s="128">
        <v>180000</v>
      </c>
      <c r="E194" s="128">
        <v>23994</v>
      </c>
      <c r="F194" s="129">
        <f t="shared" si="33"/>
        <v>203994</v>
      </c>
      <c r="G194" s="130">
        <v>40</v>
      </c>
      <c r="H194" s="128">
        <v>5099.8500000000004</v>
      </c>
      <c r="I194" s="134">
        <v>45</v>
      </c>
      <c r="J194" s="134">
        <f t="shared" si="30"/>
        <v>-5</v>
      </c>
      <c r="K194" s="135">
        <f t="shared" si="31"/>
        <v>229493.25000000003</v>
      </c>
      <c r="L194" s="136">
        <f t="shared" si="32"/>
        <v>-25499.250000000029</v>
      </c>
      <c r="M194" s="132"/>
    </row>
    <row r="195" spans="1:15">
      <c r="C195" s="127" t="s">
        <v>188</v>
      </c>
      <c r="D195" s="128">
        <v>180000</v>
      </c>
      <c r="E195" s="128">
        <v>23994</v>
      </c>
      <c r="F195" s="129">
        <f t="shared" si="33"/>
        <v>203994</v>
      </c>
      <c r="G195" s="130">
        <v>40</v>
      </c>
      <c r="H195" s="128">
        <v>5099.8500000000004</v>
      </c>
      <c r="I195" s="131">
        <v>37</v>
      </c>
      <c r="J195" s="131">
        <f t="shared" si="30"/>
        <v>3</v>
      </c>
      <c r="K195" s="128">
        <f t="shared" si="31"/>
        <v>188694.45</v>
      </c>
      <c r="L195" s="129">
        <f t="shared" si="32"/>
        <v>15299.549999999988</v>
      </c>
      <c r="M195" s="132"/>
      <c r="O195" s="114"/>
    </row>
    <row r="196" spans="1:15">
      <c r="C196" s="127" t="s">
        <v>124</v>
      </c>
      <c r="D196" s="129">
        <v>200000</v>
      </c>
      <c r="E196" s="129">
        <v>26660</v>
      </c>
      <c r="F196" s="129">
        <f t="shared" si="33"/>
        <v>226660</v>
      </c>
      <c r="G196" s="130">
        <v>40</v>
      </c>
      <c r="H196" s="129">
        <v>5666.5</v>
      </c>
      <c r="I196" s="131">
        <v>40</v>
      </c>
      <c r="J196" s="131">
        <f t="shared" si="30"/>
        <v>0</v>
      </c>
      <c r="K196" s="128">
        <f t="shared" si="31"/>
        <v>226660</v>
      </c>
      <c r="L196" s="129">
        <f t="shared" si="32"/>
        <v>0</v>
      </c>
      <c r="M196" s="132"/>
      <c r="O196" s="114"/>
    </row>
    <row r="197" spans="1:15">
      <c r="C197" s="127" t="s">
        <v>129</v>
      </c>
      <c r="D197" s="129">
        <v>200000</v>
      </c>
      <c r="E197" s="129">
        <v>26660</v>
      </c>
      <c r="F197" s="129">
        <f t="shared" si="33"/>
        <v>226660</v>
      </c>
      <c r="G197" s="130">
        <v>40</v>
      </c>
      <c r="H197" s="129">
        <v>5666.5</v>
      </c>
      <c r="I197" s="131">
        <v>38</v>
      </c>
      <c r="J197" s="131">
        <f t="shared" si="30"/>
        <v>2</v>
      </c>
      <c r="K197" s="128">
        <f t="shared" si="31"/>
        <v>215327</v>
      </c>
      <c r="L197" s="129">
        <f t="shared" si="32"/>
        <v>11333</v>
      </c>
      <c r="M197" s="132"/>
      <c r="O197" s="114"/>
    </row>
    <row r="198" spans="1:15">
      <c r="C198" s="127" t="s">
        <v>202</v>
      </c>
      <c r="D198" s="128">
        <v>132000</v>
      </c>
      <c r="E198" s="128">
        <v>17595.599999999999</v>
      </c>
      <c r="F198" s="129">
        <f t="shared" si="33"/>
        <v>149595.6</v>
      </c>
      <c r="G198" s="130">
        <v>40</v>
      </c>
      <c r="H198" s="128">
        <v>3739.89</v>
      </c>
      <c r="I198" s="131">
        <v>34</v>
      </c>
      <c r="J198" s="131">
        <f t="shared" si="30"/>
        <v>6</v>
      </c>
      <c r="K198" s="128">
        <f t="shared" si="31"/>
        <v>127156.26</v>
      </c>
      <c r="L198" s="129">
        <f t="shared" si="32"/>
        <v>22439.340000000011</v>
      </c>
      <c r="M198" s="132"/>
    </row>
    <row r="199" spans="1:15">
      <c r="A199" s="101">
        <v>135</v>
      </c>
      <c r="B199" s="244"/>
      <c r="C199" s="125" t="s">
        <v>138</v>
      </c>
      <c r="D199" s="129">
        <v>200000</v>
      </c>
      <c r="E199" s="129">
        <v>26660</v>
      </c>
      <c r="F199" s="129">
        <f t="shared" si="33"/>
        <v>226660</v>
      </c>
      <c r="G199" s="130">
        <v>40</v>
      </c>
      <c r="H199" s="129">
        <v>5666.5</v>
      </c>
      <c r="I199" s="134">
        <v>37</v>
      </c>
      <c r="J199" s="134">
        <f t="shared" si="30"/>
        <v>3</v>
      </c>
      <c r="K199" s="135">
        <f t="shared" si="31"/>
        <v>209660.5</v>
      </c>
      <c r="L199" s="136">
        <f t="shared" si="32"/>
        <v>16999.5</v>
      </c>
      <c r="M199" s="132"/>
      <c r="O199" s="114"/>
    </row>
    <row r="200" spans="1:15">
      <c r="A200" s="101">
        <v>167.333333333333</v>
      </c>
      <c r="B200" s="101"/>
      <c r="C200" s="127" t="s">
        <v>236</v>
      </c>
      <c r="D200" s="128">
        <v>180000</v>
      </c>
      <c r="E200" s="128">
        <v>23994</v>
      </c>
      <c r="F200" s="128">
        <v>203994</v>
      </c>
      <c r="G200" s="139">
        <v>40</v>
      </c>
      <c r="H200" s="137">
        <v>5099.8500000000004</v>
      </c>
      <c r="I200" s="134">
        <v>46</v>
      </c>
      <c r="J200" s="134">
        <f t="shared" si="30"/>
        <v>-6</v>
      </c>
      <c r="K200" s="135">
        <f t="shared" si="31"/>
        <v>234593.1</v>
      </c>
      <c r="L200" s="136">
        <f t="shared" si="32"/>
        <v>-30599.100000000006</v>
      </c>
      <c r="M200" s="140"/>
      <c r="O200" s="114"/>
    </row>
    <row r="201" spans="1:15">
      <c r="A201" s="101">
        <v>144.833333333333</v>
      </c>
      <c r="B201" s="101"/>
      <c r="C201" s="127" t="s">
        <v>234</v>
      </c>
      <c r="D201" s="129">
        <v>200000</v>
      </c>
      <c r="E201" s="129">
        <v>26660</v>
      </c>
      <c r="F201" s="129">
        <v>226660</v>
      </c>
      <c r="G201" s="130">
        <v>40</v>
      </c>
      <c r="H201" s="137">
        <v>5666.5</v>
      </c>
      <c r="I201" s="134">
        <v>40</v>
      </c>
      <c r="J201" s="134">
        <f t="shared" si="30"/>
        <v>0</v>
      </c>
      <c r="K201" s="135">
        <f t="shared" si="31"/>
        <v>226660</v>
      </c>
      <c r="L201" s="136">
        <f t="shared" si="32"/>
        <v>0</v>
      </c>
      <c r="M201" s="132"/>
      <c r="O201" s="114"/>
    </row>
    <row r="202" spans="1:15">
      <c r="A202" s="101">
        <v>146.333333333333</v>
      </c>
      <c r="B202" s="245"/>
      <c r="C202" s="141" t="s">
        <v>187</v>
      </c>
      <c r="D202" s="129">
        <v>150000</v>
      </c>
      <c r="E202" s="129">
        <v>11997</v>
      </c>
      <c r="F202" s="129">
        <f t="shared" ref="F202:F209" si="34">SUM(D202:E202)</f>
        <v>161997</v>
      </c>
      <c r="G202" s="130">
        <v>30</v>
      </c>
      <c r="H202" s="129">
        <v>5399.9</v>
      </c>
      <c r="I202" s="134">
        <v>31</v>
      </c>
      <c r="J202" s="134">
        <f t="shared" si="30"/>
        <v>-1</v>
      </c>
      <c r="K202" s="135">
        <f t="shared" si="31"/>
        <v>167396.9</v>
      </c>
      <c r="L202" s="136">
        <f t="shared" si="32"/>
        <v>-5399.8999999999942</v>
      </c>
      <c r="M202" s="132"/>
    </row>
    <row r="203" spans="1:15">
      <c r="A203" s="101">
        <v>147.833333333333</v>
      </c>
      <c r="B203" s="101"/>
      <c r="C203" s="127" t="s">
        <v>150</v>
      </c>
      <c r="D203" s="129">
        <v>200000</v>
      </c>
      <c r="E203" s="129">
        <v>26660</v>
      </c>
      <c r="F203" s="129">
        <f t="shared" si="34"/>
        <v>226660</v>
      </c>
      <c r="G203" s="130">
        <v>40</v>
      </c>
      <c r="H203" s="129">
        <v>5666.5</v>
      </c>
      <c r="I203" s="134">
        <v>40</v>
      </c>
      <c r="J203" s="134">
        <f t="shared" si="30"/>
        <v>0</v>
      </c>
      <c r="K203" s="135">
        <f t="shared" si="31"/>
        <v>226660</v>
      </c>
      <c r="L203" s="136">
        <f t="shared" si="32"/>
        <v>0</v>
      </c>
      <c r="M203" s="132"/>
    </row>
    <row r="204" spans="1:15">
      <c r="A204" s="101">
        <v>149.333333333333</v>
      </c>
      <c r="B204" s="244"/>
      <c r="C204" s="125" t="s">
        <v>151</v>
      </c>
      <c r="D204" s="129">
        <v>200000</v>
      </c>
      <c r="E204" s="129">
        <v>26660</v>
      </c>
      <c r="F204" s="129">
        <f t="shared" si="34"/>
        <v>226660</v>
      </c>
      <c r="G204" s="130">
        <v>40</v>
      </c>
      <c r="H204" s="129">
        <v>5666.5</v>
      </c>
      <c r="I204" s="134">
        <v>38</v>
      </c>
      <c r="J204" s="134">
        <f t="shared" si="30"/>
        <v>2</v>
      </c>
      <c r="K204" s="135">
        <f t="shared" si="31"/>
        <v>215327</v>
      </c>
      <c r="L204" s="136">
        <f t="shared" si="32"/>
        <v>11333</v>
      </c>
      <c r="M204" s="132"/>
    </row>
    <row r="205" spans="1:15">
      <c r="A205" s="101">
        <v>150.833333333333</v>
      </c>
      <c r="B205" s="244"/>
      <c r="C205" s="186" t="s">
        <v>266</v>
      </c>
      <c r="D205" s="128">
        <v>330000</v>
      </c>
      <c r="E205" s="128">
        <v>43989</v>
      </c>
      <c r="F205" s="129">
        <f t="shared" si="34"/>
        <v>373989</v>
      </c>
      <c r="G205" s="130">
        <v>50</v>
      </c>
      <c r="H205" s="138">
        <v>7479</v>
      </c>
      <c r="I205" s="134">
        <v>8</v>
      </c>
      <c r="J205" s="134">
        <f t="shared" si="30"/>
        <v>42</v>
      </c>
      <c r="K205" s="135">
        <f t="shared" si="31"/>
        <v>59832</v>
      </c>
      <c r="L205" s="136">
        <f t="shared" si="32"/>
        <v>314157</v>
      </c>
      <c r="M205" s="124"/>
    </row>
    <row r="206" spans="1:15">
      <c r="A206" s="101">
        <v>152.333333333333</v>
      </c>
      <c r="B206" s="244"/>
      <c r="C206" s="125" t="s">
        <v>156</v>
      </c>
      <c r="D206" s="129">
        <v>200000</v>
      </c>
      <c r="E206" s="129">
        <v>26660</v>
      </c>
      <c r="F206" s="129">
        <f t="shared" si="34"/>
        <v>226660</v>
      </c>
      <c r="G206" s="130">
        <v>40</v>
      </c>
      <c r="H206" s="133">
        <v>3739.89</v>
      </c>
      <c r="I206" s="134">
        <v>40</v>
      </c>
      <c r="J206" s="134">
        <f t="shared" si="30"/>
        <v>0</v>
      </c>
      <c r="K206" s="135">
        <f t="shared" si="31"/>
        <v>149595.6</v>
      </c>
      <c r="L206" s="136">
        <f t="shared" si="32"/>
        <v>77064.399999999994</v>
      </c>
      <c r="M206" s="132"/>
    </row>
    <row r="207" spans="1:15">
      <c r="A207" s="101">
        <v>153.833333333333</v>
      </c>
      <c r="B207" s="244"/>
      <c r="C207" s="125" t="s">
        <v>157</v>
      </c>
      <c r="D207" s="129">
        <v>200000</v>
      </c>
      <c r="E207" s="129">
        <v>26660</v>
      </c>
      <c r="F207" s="129">
        <f t="shared" si="34"/>
        <v>226660</v>
      </c>
      <c r="G207" s="130">
        <v>40</v>
      </c>
      <c r="H207" s="129">
        <v>5666.5</v>
      </c>
      <c r="I207" s="134">
        <v>40</v>
      </c>
      <c r="J207" s="134">
        <f t="shared" si="30"/>
        <v>0</v>
      </c>
      <c r="K207" s="135">
        <f t="shared" si="31"/>
        <v>226660</v>
      </c>
      <c r="L207" s="136">
        <f t="shared" si="32"/>
        <v>0</v>
      </c>
      <c r="M207" s="132"/>
    </row>
    <row r="208" spans="1:15">
      <c r="A208" s="101">
        <v>155.333333333333</v>
      </c>
      <c r="B208" s="244"/>
      <c r="C208" s="125" t="s">
        <v>158</v>
      </c>
      <c r="D208" s="129">
        <v>200000</v>
      </c>
      <c r="E208" s="129">
        <v>26660</v>
      </c>
      <c r="F208" s="129">
        <f t="shared" si="34"/>
        <v>226660</v>
      </c>
      <c r="G208" s="130">
        <v>40</v>
      </c>
      <c r="H208" s="129">
        <v>5666.5</v>
      </c>
      <c r="I208" s="134">
        <v>40</v>
      </c>
      <c r="J208" s="134">
        <f t="shared" si="30"/>
        <v>0</v>
      </c>
      <c r="K208" s="135">
        <f t="shared" si="31"/>
        <v>226660</v>
      </c>
      <c r="L208" s="136">
        <f t="shared" si="32"/>
        <v>0</v>
      </c>
      <c r="M208" s="132"/>
    </row>
    <row r="209" spans="1:14">
      <c r="A209" s="101">
        <v>156.833333333333</v>
      </c>
      <c r="B209" s="244"/>
      <c r="C209" s="125" t="s">
        <v>159</v>
      </c>
      <c r="D209" s="129">
        <v>200000</v>
      </c>
      <c r="E209" s="129">
        <v>26660</v>
      </c>
      <c r="F209" s="129">
        <f t="shared" si="34"/>
        <v>226660</v>
      </c>
      <c r="G209" s="130">
        <v>40</v>
      </c>
      <c r="H209" s="129">
        <v>5666.5</v>
      </c>
      <c r="I209" s="134">
        <v>31</v>
      </c>
      <c r="J209" s="134">
        <f t="shared" si="30"/>
        <v>9</v>
      </c>
      <c r="K209" s="135">
        <f t="shared" si="31"/>
        <v>175661.5</v>
      </c>
      <c r="L209" s="136">
        <f t="shared" si="32"/>
        <v>50998.5</v>
      </c>
      <c r="M209" s="132"/>
    </row>
    <row r="210" spans="1:14">
      <c r="A210" s="101">
        <v>158.333333333333</v>
      </c>
      <c r="B210" s="101"/>
      <c r="C210" s="127" t="s">
        <v>233</v>
      </c>
      <c r="D210" s="129">
        <v>200000</v>
      </c>
      <c r="E210" s="129">
        <v>26660</v>
      </c>
      <c r="F210" s="129">
        <v>226660</v>
      </c>
      <c r="G210" s="130">
        <v>40</v>
      </c>
      <c r="H210" s="137">
        <v>5666.5</v>
      </c>
      <c r="I210" s="134">
        <v>40</v>
      </c>
      <c r="J210" s="134">
        <f t="shared" si="30"/>
        <v>0</v>
      </c>
      <c r="K210" s="135">
        <f t="shared" si="31"/>
        <v>226660</v>
      </c>
      <c r="L210" s="136">
        <f t="shared" si="32"/>
        <v>0</v>
      </c>
      <c r="M210" s="132"/>
    </row>
    <row r="211" spans="1:14">
      <c r="A211" s="101">
        <v>159.833333333333</v>
      </c>
      <c r="B211" s="101"/>
      <c r="C211" s="127" t="s">
        <v>160</v>
      </c>
      <c r="D211" s="129">
        <v>200000</v>
      </c>
      <c r="E211" s="129">
        <v>26660</v>
      </c>
      <c r="F211" s="129">
        <f>SUM(D211:E211)</f>
        <v>226660</v>
      </c>
      <c r="G211" s="130">
        <v>40</v>
      </c>
      <c r="H211" s="129">
        <v>5666.5</v>
      </c>
      <c r="I211" s="134">
        <v>40</v>
      </c>
      <c r="J211" s="134">
        <f t="shared" si="30"/>
        <v>0</v>
      </c>
      <c r="K211" s="135">
        <f t="shared" si="31"/>
        <v>226660</v>
      </c>
      <c r="L211" s="136">
        <f t="shared" si="32"/>
        <v>0</v>
      </c>
      <c r="M211" s="132"/>
    </row>
    <row r="212" spans="1:14">
      <c r="A212" s="101">
        <v>161.333333333333</v>
      </c>
      <c r="B212" s="101"/>
      <c r="C212" s="127" t="s">
        <v>205</v>
      </c>
      <c r="D212" s="128">
        <v>132000</v>
      </c>
      <c r="E212" s="128">
        <v>17595.599999999999</v>
      </c>
      <c r="F212" s="129">
        <f>SUM(D212:E212)</f>
        <v>149595.6</v>
      </c>
      <c r="G212" s="130">
        <v>40</v>
      </c>
      <c r="H212" s="128">
        <v>3739.89</v>
      </c>
      <c r="I212" s="134">
        <v>40</v>
      </c>
      <c r="J212" s="134">
        <f t="shared" si="30"/>
        <v>0</v>
      </c>
      <c r="K212" s="135">
        <f t="shared" si="31"/>
        <v>149595.6</v>
      </c>
      <c r="L212" s="136">
        <f t="shared" si="32"/>
        <v>0</v>
      </c>
      <c r="M212" s="132"/>
    </row>
    <row r="214" spans="1:14">
      <c r="A214" s="101">
        <v>173.333333333333</v>
      </c>
      <c r="B214" s="245"/>
    </row>
    <row r="215" spans="1:14">
      <c r="A215" s="101">
        <v>174.833333333333</v>
      </c>
      <c r="B215" s="245"/>
    </row>
    <row r="218" spans="1:14">
      <c r="A218" s="160">
        <v>47</v>
      </c>
      <c r="B218" s="160"/>
      <c r="C218" s="181" t="s">
        <v>432</v>
      </c>
      <c r="D218" s="16">
        <v>500000</v>
      </c>
      <c r="E218" s="16">
        <v>66650</v>
      </c>
      <c r="F218" s="41">
        <f>SUM(D218:E218)</f>
        <v>566650</v>
      </c>
      <c r="G218" s="33">
        <v>50</v>
      </c>
      <c r="H218" s="24">
        <v>5666.5</v>
      </c>
      <c r="I218" s="97">
        <v>33</v>
      </c>
      <c r="J218" s="97">
        <f>G218-I218</f>
        <v>17</v>
      </c>
      <c r="K218" s="91">
        <f>I218*H218</f>
        <v>186994.5</v>
      </c>
      <c r="L218" s="94">
        <f>F218-K218</f>
        <v>379655.5</v>
      </c>
      <c r="M218" s="11"/>
      <c r="N218" s="180" t="e">
        <f>#REF!-H218</f>
        <v>#REF!</v>
      </c>
    </row>
    <row r="219" spans="1:14">
      <c r="A219" s="160">
        <v>70</v>
      </c>
      <c r="B219" s="160"/>
      <c r="C219" s="181" t="s">
        <v>433</v>
      </c>
      <c r="D219" s="41">
        <v>200000</v>
      </c>
      <c r="E219" s="41">
        <v>26660</v>
      </c>
      <c r="F219" s="41">
        <f>SUM(D219:E219)</f>
        <v>226660</v>
      </c>
      <c r="G219" s="33">
        <v>40</v>
      </c>
      <c r="H219" s="41">
        <v>5666.5</v>
      </c>
      <c r="I219" s="97">
        <v>40</v>
      </c>
      <c r="J219" s="97">
        <f>G219-I219</f>
        <v>0</v>
      </c>
      <c r="K219" s="91">
        <f>I219*H219</f>
        <v>226660</v>
      </c>
      <c r="L219" s="94">
        <f>F219-K219</f>
        <v>0</v>
      </c>
      <c r="M219" s="11"/>
      <c r="N219" s="180" t="e">
        <f>#REF!-H219</f>
        <v>#REF!</v>
      </c>
    </row>
    <row r="220" spans="1:14">
      <c r="A220" s="160">
        <v>93</v>
      </c>
      <c r="B220" s="160"/>
      <c r="C220" s="181" t="s">
        <v>434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41</v>
      </c>
      <c r="J220" s="97">
        <f>G220-I220</f>
        <v>-1</v>
      </c>
      <c r="K220" s="91">
        <f>I220*H220</f>
        <v>232326.5</v>
      </c>
      <c r="L220" s="94">
        <f>F220-K220</f>
        <v>-5666.5</v>
      </c>
      <c r="M220" s="11"/>
      <c r="N220" s="180" t="e">
        <f>#REF!-H220</f>
        <v>#REF!</v>
      </c>
    </row>
    <row r="221" spans="1:14">
      <c r="A221" s="160">
        <v>10</v>
      </c>
      <c r="B221" s="160"/>
      <c r="C221" s="181" t="s">
        <v>431</v>
      </c>
      <c r="D221" s="16">
        <v>450000</v>
      </c>
      <c r="E221" s="16">
        <v>28792.799999999999</v>
      </c>
      <c r="F221" s="41">
        <f>SUM(D221:E221)</f>
        <v>478792.8</v>
      </c>
      <c r="G221" s="33">
        <v>24</v>
      </c>
      <c r="H221" s="16">
        <v>19949.7</v>
      </c>
      <c r="I221" s="96">
        <v>24</v>
      </c>
      <c r="J221" s="96">
        <f>G221-I221</f>
        <v>0</v>
      </c>
      <c r="K221" s="16">
        <f>I221*H221</f>
        <v>478792.80000000005</v>
      </c>
      <c r="L221" s="41">
        <f>F221-K221</f>
        <v>0</v>
      </c>
      <c r="M221" s="11"/>
      <c r="N221" s="180" t="e">
        <f>#REF!-H221</f>
        <v>#REF!</v>
      </c>
    </row>
    <row r="222" spans="1:14">
      <c r="A222" s="160">
        <v>6</v>
      </c>
      <c r="B222" s="160"/>
      <c r="C222" s="181" t="s">
        <v>430</v>
      </c>
      <c r="D222" s="16">
        <v>330000</v>
      </c>
      <c r="E222" s="16">
        <v>21114.720000000001</v>
      </c>
      <c r="F222" s="41">
        <f>SUM(D222:E222)</f>
        <v>351114.72</v>
      </c>
      <c r="G222" s="33">
        <v>24</v>
      </c>
      <c r="H222" s="24">
        <v>6649.9</v>
      </c>
      <c r="I222" s="96">
        <v>24</v>
      </c>
      <c r="J222" s="96">
        <f>G222-I222</f>
        <v>0</v>
      </c>
      <c r="K222" s="16">
        <f>I222*H222</f>
        <v>159597.59999999998</v>
      </c>
      <c r="L222" s="41">
        <f>F222-K222</f>
        <v>191517.12</v>
      </c>
      <c r="M222" s="11"/>
      <c r="N222" s="180" t="e">
        <f>#REF!-H222</f>
        <v>#REF!</v>
      </c>
    </row>
    <row r="224" spans="1:14">
      <c r="A224" s="96">
        <v>77</v>
      </c>
      <c r="B224" s="96"/>
      <c r="C224" s="170" t="s">
        <v>400</v>
      </c>
      <c r="D224" s="41">
        <v>200000</v>
      </c>
      <c r="E224" s="41">
        <v>26660</v>
      </c>
      <c r="F224" s="41">
        <f>SUM(D224:E224)</f>
        <v>226660</v>
      </c>
      <c r="G224" s="33">
        <v>40</v>
      </c>
      <c r="H224" s="41">
        <v>5666.5</v>
      </c>
      <c r="I224" s="97">
        <v>36</v>
      </c>
      <c r="J224" s="97">
        <f>G224-I224</f>
        <v>4</v>
      </c>
      <c r="K224" s="91">
        <f>I224*H224</f>
        <v>203994</v>
      </c>
      <c r="L224" s="94">
        <f>F224-K224</f>
        <v>22666</v>
      </c>
      <c r="M224" s="11"/>
      <c r="N224" s="180" t="e">
        <f>#REF!-H224</f>
        <v>#REF!</v>
      </c>
    </row>
    <row r="225" spans="1:14">
      <c r="A225" s="96">
        <v>109</v>
      </c>
      <c r="B225" s="96"/>
      <c r="C225" s="142" t="s">
        <v>406</v>
      </c>
      <c r="D225" s="41">
        <v>200000</v>
      </c>
      <c r="E225" s="41">
        <v>26660</v>
      </c>
      <c r="F225" s="41">
        <f>SUM(D225:E225)</f>
        <v>226660</v>
      </c>
      <c r="G225" s="33">
        <v>40</v>
      </c>
      <c r="H225" s="41">
        <v>5666.5</v>
      </c>
      <c r="I225" s="97">
        <v>39</v>
      </c>
      <c r="J225" s="97">
        <f>G225-I225</f>
        <v>1</v>
      </c>
      <c r="K225" s="91">
        <f>I225*H225</f>
        <v>220993.5</v>
      </c>
      <c r="L225" s="94">
        <f>F225-K225</f>
        <v>5666.5</v>
      </c>
      <c r="M225" s="11"/>
      <c r="N225" s="180" t="e">
        <f>#REF!-H225</f>
        <v>#REF!</v>
      </c>
    </row>
    <row r="226" spans="1:14">
      <c r="A226" s="96">
        <v>127</v>
      </c>
      <c r="B226" s="96"/>
      <c r="C226" s="142" t="s">
        <v>423</v>
      </c>
      <c r="D226" s="16">
        <v>132000</v>
      </c>
      <c r="E226" s="16">
        <v>17595.599999999999</v>
      </c>
      <c r="F226" s="41">
        <f>SUM(D226:E226)</f>
        <v>149595.6</v>
      </c>
      <c r="G226" s="33">
        <v>40</v>
      </c>
      <c r="H226" s="16">
        <v>3739.89</v>
      </c>
      <c r="I226" s="97">
        <v>40</v>
      </c>
      <c r="J226" s="97">
        <f>G226-I226</f>
        <v>0</v>
      </c>
      <c r="K226" s="91">
        <f>I226*H226</f>
        <v>149595.6</v>
      </c>
      <c r="L226" s="94">
        <f>F226-K226</f>
        <v>0</v>
      </c>
      <c r="M226" s="11"/>
      <c r="N226" s="180" t="e">
        <f>#REF!-H226</f>
        <v>#REF!</v>
      </c>
    </row>
    <row r="227" spans="1:14">
      <c r="A227" s="96">
        <v>125</v>
      </c>
      <c r="B227" s="96"/>
      <c r="C227" s="142" t="s">
        <v>427</v>
      </c>
      <c r="D227" s="155">
        <v>150000</v>
      </c>
      <c r="E227" s="155">
        <v>19995</v>
      </c>
      <c r="F227" s="155">
        <f>SUM(D227:E227)</f>
        <v>169995</v>
      </c>
      <c r="G227" s="33">
        <v>50</v>
      </c>
      <c r="H227" s="154">
        <v>3399.9</v>
      </c>
      <c r="I227" s="97">
        <v>9</v>
      </c>
      <c r="J227" s="97">
        <f>G227-I227</f>
        <v>41</v>
      </c>
      <c r="K227" s="91">
        <f>I227*H227</f>
        <v>30599.100000000002</v>
      </c>
      <c r="L227" s="91">
        <f>F227-K227</f>
        <v>139395.9</v>
      </c>
      <c r="M227" s="122"/>
      <c r="N227" s="180" t="e">
        <f>#REF!-H227</f>
        <v>#REF!</v>
      </c>
    </row>
    <row r="228" spans="1:14">
      <c r="A228" s="96">
        <v>5</v>
      </c>
      <c r="B228" s="96"/>
      <c r="C228" s="2" t="s">
        <v>385</v>
      </c>
      <c r="D228" s="41">
        <v>200000</v>
      </c>
      <c r="E228" s="41">
        <v>26660</v>
      </c>
      <c r="F228" s="41">
        <f>SUM(D228:E228)</f>
        <v>226660</v>
      </c>
      <c r="G228" s="33">
        <v>40</v>
      </c>
      <c r="H228" s="41">
        <v>5666.5</v>
      </c>
      <c r="I228" s="96">
        <v>40</v>
      </c>
      <c r="J228" s="96">
        <f>G228-I228</f>
        <v>0</v>
      </c>
      <c r="K228" s="16">
        <f>I228*H228</f>
        <v>226660</v>
      </c>
      <c r="L228" s="41">
        <f>F228-K228</f>
        <v>0</v>
      </c>
      <c r="M228" s="11"/>
      <c r="N228" s="180" t="e">
        <f>#REF!-H228</f>
        <v>#REF!</v>
      </c>
    </row>
  </sheetData>
  <sortState ref="B6:M123">
    <sortCondition ref="C6:C123"/>
  </sortState>
  <mergeCells count="2">
    <mergeCell ref="A3:M3"/>
    <mergeCell ref="A4:M4"/>
  </mergeCells>
  <conditionalFormatting sqref="C222">
    <cfRule type="duplicateValues" dxfId="1468" priority="143" stopIfTrue="1"/>
    <cfRule type="duplicateValues" dxfId="1467" priority="144" stopIfTrue="1"/>
  </conditionalFormatting>
  <conditionalFormatting sqref="C222">
    <cfRule type="duplicateValues" dxfId="1466" priority="142" stopIfTrue="1"/>
  </conditionalFormatting>
  <conditionalFormatting sqref="C169">
    <cfRule type="duplicateValues" dxfId="1465" priority="140" stopIfTrue="1"/>
    <cfRule type="duplicateValues" dxfId="1464" priority="141" stopIfTrue="1"/>
  </conditionalFormatting>
  <conditionalFormatting sqref="C169">
    <cfRule type="duplicateValues" dxfId="1463" priority="139" stopIfTrue="1"/>
  </conditionalFormatting>
  <conditionalFormatting sqref="C221">
    <cfRule type="duplicateValues" dxfId="1462" priority="137" stopIfTrue="1"/>
    <cfRule type="duplicateValues" dxfId="1461" priority="138" stopIfTrue="1"/>
  </conditionalFormatting>
  <conditionalFormatting sqref="C221">
    <cfRule type="duplicateValues" dxfId="1460" priority="136" stopIfTrue="1"/>
  </conditionalFormatting>
  <conditionalFormatting sqref="C171">
    <cfRule type="duplicateValues" dxfId="1459" priority="134" stopIfTrue="1"/>
    <cfRule type="duplicateValues" dxfId="1458" priority="135" stopIfTrue="1"/>
  </conditionalFormatting>
  <conditionalFormatting sqref="C171">
    <cfRule type="duplicateValues" dxfId="1457" priority="133" stopIfTrue="1"/>
  </conditionalFormatting>
  <conditionalFormatting sqref="C172">
    <cfRule type="duplicateValues" dxfId="1456" priority="131" stopIfTrue="1"/>
    <cfRule type="duplicateValues" dxfId="1455" priority="132" stopIfTrue="1"/>
  </conditionalFormatting>
  <conditionalFormatting sqref="C172">
    <cfRule type="duplicateValues" dxfId="1454" priority="130" stopIfTrue="1"/>
  </conditionalFormatting>
  <conditionalFormatting sqref="C174">
    <cfRule type="duplicateValues" dxfId="1453" priority="128" stopIfTrue="1"/>
    <cfRule type="duplicateValues" dxfId="1452" priority="129" stopIfTrue="1"/>
  </conditionalFormatting>
  <conditionalFormatting sqref="C174">
    <cfRule type="duplicateValues" dxfId="1451" priority="127" stopIfTrue="1"/>
  </conditionalFormatting>
  <conditionalFormatting sqref="C175">
    <cfRule type="duplicateValues" dxfId="1450" priority="125" stopIfTrue="1"/>
    <cfRule type="duplicateValues" dxfId="1449" priority="126" stopIfTrue="1"/>
  </conditionalFormatting>
  <conditionalFormatting sqref="C175">
    <cfRule type="duplicateValues" dxfId="1448" priority="124" stopIfTrue="1"/>
  </conditionalFormatting>
  <conditionalFormatting sqref="C218">
    <cfRule type="duplicateValues" dxfId="1447" priority="122" stopIfTrue="1"/>
    <cfRule type="duplicateValues" dxfId="1446" priority="123" stopIfTrue="1"/>
  </conditionalFormatting>
  <conditionalFormatting sqref="C218">
    <cfRule type="duplicateValues" dxfId="1445" priority="121" stopIfTrue="1"/>
  </conditionalFormatting>
  <conditionalFormatting sqref="C177">
    <cfRule type="duplicateValues" dxfId="1444" priority="119" stopIfTrue="1"/>
    <cfRule type="duplicateValues" dxfId="1443" priority="120" stopIfTrue="1"/>
  </conditionalFormatting>
  <conditionalFormatting sqref="C177">
    <cfRule type="duplicateValues" dxfId="1442" priority="118" stopIfTrue="1"/>
  </conditionalFormatting>
  <conditionalFormatting sqref="C178">
    <cfRule type="duplicateValues" dxfId="1441" priority="116" stopIfTrue="1"/>
    <cfRule type="duplicateValues" dxfId="1440" priority="117" stopIfTrue="1"/>
  </conditionalFormatting>
  <conditionalFormatting sqref="C178">
    <cfRule type="duplicateValues" dxfId="1439" priority="115" stopIfTrue="1"/>
  </conditionalFormatting>
  <conditionalFormatting sqref="C179">
    <cfRule type="duplicateValues" dxfId="1438" priority="113" stopIfTrue="1"/>
    <cfRule type="duplicateValues" dxfId="1437" priority="114" stopIfTrue="1"/>
  </conditionalFormatting>
  <conditionalFormatting sqref="C179">
    <cfRule type="duplicateValues" dxfId="1436" priority="112" stopIfTrue="1"/>
  </conditionalFormatting>
  <conditionalFormatting sqref="C194">
    <cfRule type="duplicateValues" dxfId="1435" priority="110" stopIfTrue="1"/>
    <cfRule type="duplicateValues" dxfId="1434" priority="111" stopIfTrue="1"/>
  </conditionalFormatting>
  <conditionalFormatting sqref="C194">
    <cfRule type="duplicateValues" dxfId="1433" priority="109" stopIfTrue="1"/>
  </conditionalFormatting>
  <conditionalFormatting sqref="C181">
    <cfRule type="duplicateValues" dxfId="1432" priority="107" stopIfTrue="1"/>
    <cfRule type="duplicateValues" dxfId="1431" priority="108" stopIfTrue="1"/>
  </conditionalFormatting>
  <conditionalFormatting sqref="C181">
    <cfRule type="duplicateValues" dxfId="1430" priority="106" stopIfTrue="1"/>
  </conditionalFormatting>
  <conditionalFormatting sqref="C219">
    <cfRule type="duplicateValues" dxfId="1429" priority="104" stopIfTrue="1"/>
    <cfRule type="duplicateValues" dxfId="1428" priority="105" stopIfTrue="1"/>
  </conditionalFormatting>
  <conditionalFormatting sqref="C219">
    <cfRule type="duplicateValues" dxfId="1427" priority="103" stopIfTrue="1"/>
  </conditionalFormatting>
  <conditionalFormatting sqref="C182">
    <cfRule type="duplicateValues" dxfId="1426" priority="101" stopIfTrue="1"/>
    <cfRule type="duplicateValues" dxfId="1425" priority="102" stopIfTrue="1"/>
  </conditionalFormatting>
  <conditionalFormatting sqref="C182">
    <cfRule type="duplicateValues" dxfId="1424" priority="100" stopIfTrue="1"/>
  </conditionalFormatting>
  <conditionalFormatting sqref="C183">
    <cfRule type="duplicateValues" dxfId="1423" priority="98" stopIfTrue="1"/>
    <cfRule type="duplicateValues" dxfId="1422" priority="99" stopIfTrue="1"/>
  </conditionalFormatting>
  <conditionalFormatting sqref="C183">
    <cfRule type="duplicateValues" dxfId="1421" priority="97" stopIfTrue="1"/>
  </conditionalFormatting>
  <conditionalFormatting sqref="C224">
    <cfRule type="duplicateValues" dxfId="1420" priority="95" stopIfTrue="1"/>
    <cfRule type="duplicateValues" dxfId="1419" priority="96" stopIfTrue="1"/>
  </conditionalFormatting>
  <conditionalFormatting sqref="C224">
    <cfRule type="duplicateValues" dxfId="1418" priority="94" stopIfTrue="1"/>
  </conditionalFormatting>
  <conditionalFormatting sqref="C186">
    <cfRule type="duplicateValues" dxfId="1417" priority="92" stopIfTrue="1"/>
    <cfRule type="duplicateValues" dxfId="1416" priority="93" stopIfTrue="1"/>
  </conditionalFormatting>
  <conditionalFormatting sqref="C186">
    <cfRule type="duplicateValues" dxfId="1415" priority="91" stopIfTrue="1"/>
  </conditionalFormatting>
  <conditionalFormatting sqref="C189">
    <cfRule type="duplicateValues" dxfId="1414" priority="89" stopIfTrue="1"/>
    <cfRule type="duplicateValues" dxfId="1413" priority="90" stopIfTrue="1"/>
  </conditionalFormatting>
  <conditionalFormatting sqref="C189">
    <cfRule type="duplicateValues" dxfId="1412" priority="88" stopIfTrue="1"/>
  </conditionalFormatting>
  <conditionalFormatting sqref="C162">
    <cfRule type="duplicateValues" dxfId="1411" priority="86" stopIfTrue="1"/>
    <cfRule type="duplicateValues" dxfId="1410" priority="87" stopIfTrue="1"/>
  </conditionalFormatting>
  <conditionalFormatting sqref="C162">
    <cfRule type="duplicateValues" dxfId="1409" priority="85" stopIfTrue="1"/>
  </conditionalFormatting>
  <conditionalFormatting sqref="C220">
    <cfRule type="duplicateValues" dxfId="1408" priority="83" stopIfTrue="1"/>
    <cfRule type="duplicateValues" dxfId="1407" priority="84" stopIfTrue="1"/>
  </conditionalFormatting>
  <conditionalFormatting sqref="C220">
    <cfRule type="duplicateValues" dxfId="1406" priority="82" stopIfTrue="1"/>
  </conditionalFormatting>
  <conditionalFormatting sqref="C212">
    <cfRule type="duplicateValues" dxfId="1405" priority="80" stopIfTrue="1"/>
    <cfRule type="duplicateValues" dxfId="1404" priority="81" stopIfTrue="1"/>
  </conditionalFormatting>
  <conditionalFormatting sqref="C212">
    <cfRule type="duplicateValues" dxfId="1403" priority="79" stopIfTrue="1"/>
  </conditionalFormatting>
  <conditionalFormatting sqref="C184">
    <cfRule type="duplicateValues" dxfId="1402" priority="77" stopIfTrue="1"/>
    <cfRule type="duplicateValues" dxfId="1401" priority="78" stopIfTrue="1"/>
  </conditionalFormatting>
  <conditionalFormatting sqref="C184">
    <cfRule type="duplicateValues" dxfId="1400" priority="76" stopIfTrue="1"/>
  </conditionalFormatting>
  <conditionalFormatting sqref="C199">
    <cfRule type="duplicateValues" dxfId="1399" priority="74" stopIfTrue="1"/>
    <cfRule type="duplicateValues" dxfId="1398" priority="75" stopIfTrue="1"/>
  </conditionalFormatting>
  <conditionalFormatting sqref="C199">
    <cfRule type="duplicateValues" dxfId="1397" priority="73" stopIfTrue="1"/>
  </conditionalFormatting>
  <conditionalFormatting sqref="C201">
    <cfRule type="duplicateValues" dxfId="1396" priority="71" stopIfTrue="1"/>
    <cfRule type="duplicateValues" dxfId="1395" priority="72" stopIfTrue="1"/>
  </conditionalFormatting>
  <conditionalFormatting sqref="C201">
    <cfRule type="duplicateValues" dxfId="1394" priority="70" stopIfTrue="1"/>
  </conditionalFormatting>
  <conditionalFormatting sqref="C203">
    <cfRule type="duplicateValues" dxfId="1393" priority="68" stopIfTrue="1"/>
    <cfRule type="duplicateValues" dxfId="1392" priority="69" stopIfTrue="1"/>
  </conditionalFormatting>
  <conditionalFormatting sqref="C203">
    <cfRule type="duplicateValues" dxfId="1391" priority="67" stopIfTrue="1"/>
  </conditionalFormatting>
  <conditionalFormatting sqref="C204">
    <cfRule type="duplicateValues" dxfId="1390" priority="65" stopIfTrue="1"/>
    <cfRule type="duplicateValues" dxfId="1389" priority="66" stopIfTrue="1"/>
  </conditionalFormatting>
  <conditionalFormatting sqref="C204">
    <cfRule type="duplicateValues" dxfId="1388" priority="64" stopIfTrue="1"/>
  </conditionalFormatting>
  <conditionalFormatting sqref="C205">
    <cfRule type="duplicateValues" dxfId="1387" priority="62" stopIfTrue="1"/>
    <cfRule type="duplicateValues" dxfId="1386" priority="63" stopIfTrue="1"/>
  </conditionalFormatting>
  <conditionalFormatting sqref="C205">
    <cfRule type="duplicateValues" dxfId="1385" priority="61" stopIfTrue="1"/>
  </conditionalFormatting>
  <conditionalFormatting sqref="C206">
    <cfRule type="duplicateValues" dxfId="1384" priority="59" stopIfTrue="1"/>
    <cfRule type="duplicateValues" dxfId="1383" priority="60" stopIfTrue="1"/>
  </conditionalFormatting>
  <conditionalFormatting sqref="C206">
    <cfRule type="duplicateValues" dxfId="1382" priority="58" stopIfTrue="1"/>
  </conditionalFormatting>
  <conditionalFormatting sqref="C207">
    <cfRule type="duplicateValues" dxfId="1381" priority="56" stopIfTrue="1"/>
    <cfRule type="duplicateValues" dxfId="1380" priority="57" stopIfTrue="1"/>
  </conditionalFormatting>
  <conditionalFormatting sqref="C207">
    <cfRule type="duplicateValues" dxfId="1379" priority="55" stopIfTrue="1"/>
  </conditionalFormatting>
  <conditionalFormatting sqref="C208">
    <cfRule type="duplicateValues" dxfId="1378" priority="53" stopIfTrue="1"/>
    <cfRule type="duplicateValues" dxfId="1377" priority="54" stopIfTrue="1"/>
  </conditionalFormatting>
  <conditionalFormatting sqref="C208">
    <cfRule type="duplicateValues" dxfId="1376" priority="52" stopIfTrue="1"/>
  </conditionalFormatting>
  <conditionalFormatting sqref="C3">
    <cfRule type="duplicateValues" dxfId="1375" priority="51"/>
  </conditionalFormatting>
  <conditionalFormatting sqref="C209">
    <cfRule type="duplicateValues" dxfId="1374" priority="49" stopIfTrue="1"/>
    <cfRule type="duplicateValues" dxfId="1373" priority="50" stopIfTrue="1"/>
  </conditionalFormatting>
  <conditionalFormatting sqref="C209">
    <cfRule type="duplicateValues" dxfId="1372" priority="48" stopIfTrue="1"/>
  </conditionalFormatting>
  <conditionalFormatting sqref="C161">
    <cfRule type="duplicateValues" dxfId="1371" priority="46" stopIfTrue="1"/>
    <cfRule type="duplicateValues" dxfId="1370" priority="47" stopIfTrue="1"/>
  </conditionalFormatting>
  <conditionalFormatting sqref="C161">
    <cfRule type="duplicateValues" dxfId="1369" priority="45" stopIfTrue="1"/>
  </conditionalFormatting>
  <conditionalFormatting sqref="C173">
    <cfRule type="duplicateValues" dxfId="1368" priority="44"/>
  </conditionalFormatting>
  <conditionalFormatting sqref="C149">
    <cfRule type="duplicateValues" dxfId="1367" priority="43"/>
  </conditionalFormatting>
  <conditionalFormatting sqref="C214 C333:C1048576 C192:C212 C1:C5 C161:C163 C157 C165 C169:C189 C224:C228 C218:C222 C148:C149">
    <cfRule type="duplicateValues" dxfId="1366" priority="42"/>
  </conditionalFormatting>
  <conditionalFormatting sqref="C218:C222 C224:C228 C161:C163 C157 C165 C169:C189 C148:C149">
    <cfRule type="duplicateValues" dxfId="1365" priority="41"/>
  </conditionalFormatting>
  <conditionalFormatting sqref="C195:C196 C163 C225:C227">
    <cfRule type="duplicateValues" dxfId="1364" priority="39" stopIfTrue="1"/>
    <cfRule type="duplicateValues" dxfId="1363" priority="40" stopIfTrue="1"/>
  </conditionalFormatting>
  <conditionalFormatting sqref="C195:C196 C163 C225:C227">
    <cfRule type="duplicateValues" dxfId="1362" priority="38" stopIfTrue="1"/>
  </conditionalFormatting>
  <conditionalFormatting sqref="C195:C196 C225:C227 C163">
    <cfRule type="duplicateValues" dxfId="1361" priority="36" stopIfTrue="1"/>
    <cfRule type="duplicateValues" dxfId="1360" priority="37" stopIfTrue="1"/>
  </conditionalFormatting>
  <conditionalFormatting sqref="C195:C196 C225:C227 C163">
    <cfRule type="duplicateValues" dxfId="1359" priority="35" stopIfTrue="1"/>
  </conditionalFormatting>
  <conditionalFormatting sqref="C148">
    <cfRule type="duplicateValues" dxfId="1358" priority="33" stopIfTrue="1"/>
    <cfRule type="duplicateValues" dxfId="1357" priority="34" stopIfTrue="1"/>
  </conditionalFormatting>
  <conditionalFormatting sqref="C148">
    <cfRule type="duplicateValues" dxfId="1356" priority="32" stopIfTrue="1"/>
  </conditionalFormatting>
  <conditionalFormatting sqref="C228 C159 C171:C173 C169 C161:C163 C175:C189 C165:C167 C157 C149">
    <cfRule type="duplicateValues" dxfId="1355" priority="30" stopIfTrue="1"/>
    <cfRule type="duplicateValues" dxfId="1354" priority="31" stopIfTrue="1"/>
  </conditionalFormatting>
  <conditionalFormatting sqref="C228 C159 C171:C173 C169 C161:C163 C175:C189 C165:C167 C157 C149">
    <cfRule type="duplicateValues" dxfId="1353" priority="29" stopIfTrue="1"/>
  </conditionalFormatting>
  <conditionalFormatting sqref="C159 C157 C148:C149">
    <cfRule type="duplicateValues" dxfId="1352" priority="27" stopIfTrue="1"/>
    <cfRule type="duplicateValues" dxfId="1351" priority="28" stopIfTrue="1"/>
  </conditionalFormatting>
  <conditionalFormatting sqref="C159 C157 C148:C149">
    <cfRule type="duplicateValues" dxfId="1350" priority="26" stopIfTrue="1"/>
  </conditionalFormatting>
  <conditionalFormatting sqref="C159 C157 C149">
    <cfRule type="duplicateValues" dxfId="1349" priority="24" stopIfTrue="1"/>
    <cfRule type="duplicateValues" dxfId="1348" priority="25" stopIfTrue="1"/>
  </conditionalFormatting>
  <conditionalFormatting sqref="C159 C157 C149">
    <cfRule type="duplicateValues" dxfId="1347" priority="23" stopIfTrue="1"/>
  </conditionalFormatting>
  <conditionalFormatting sqref="C224:C228 C175:C189 C171:C173 C169 C161:C163 C159 C165:C167 C157 C148:C149">
    <cfRule type="duplicateValues" dxfId="1346" priority="21" stopIfTrue="1"/>
    <cfRule type="duplicateValues" dxfId="1345" priority="22" stopIfTrue="1"/>
  </conditionalFormatting>
  <conditionalFormatting sqref="C224:C228 C175:C189 C171:C173 C169 C161:C163 C159 C165:C167 C157 C148:C149">
    <cfRule type="duplicateValues" dxfId="1344" priority="20" stopIfTrue="1"/>
  </conditionalFormatting>
  <conditionalFormatting sqref="C149">
    <cfRule type="duplicateValues" dxfId="1343" priority="18" stopIfTrue="1"/>
    <cfRule type="duplicateValues" dxfId="1342" priority="19" stopIfTrue="1"/>
  </conditionalFormatting>
  <conditionalFormatting sqref="C157 C203:C208 C192:C193 C199:C201 C149">
    <cfRule type="duplicateValues" dxfId="1341" priority="16" stopIfTrue="1"/>
    <cfRule type="duplicateValues" dxfId="1340" priority="17" stopIfTrue="1"/>
  </conditionalFormatting>
  <conditionalFormatting sqref="C157 C203:C208 C192:C193 C199:C201 C149">
    <cfRule type="duplicateValues" dxfId="1339" priority="15" stopIfTrue="1"/>
  </conditionalFormatting>
  <conditionalFormatting sqref="C157 C203:C208 C333:C1048576 C210:C212 C161:C163 C1:C2 C4:C5 C174:C187 C224:C228 C218:C222 C169:C172 C189 C199:C201 C192:C196 C149">
    <cfRule type="duplicateValues" dxfId="1338" priority="14"/>
  </conditionalFormatting>
  <conditionalFormatting sqref="C157 C224:C228 C333:C1048576 C1:C5 C218:C222 C161:C163 C169:C172 C192:C196 C199:C201 C174:C187 C203:C212 C189 C149">
    <cfRule type="duplicateValues" dxfId="1337" priority="13"/>
  </conditionalFormatting>
  <conditionalFormatting sqref="C60">
    <cfRule type="duplicateValues" dxfId="1336" priority="11" stopIfTrue="1"/>
    <cfRule type="duplicateValues" dxfId="1335" priority="12" stopIfTrue="1"/>
  </conditionalFormatting>
  <conditionalFormatting sqref="C60">
    <cfRule type="duplicateValues" dxfId="1334" priority="10" stopIfTrue="1"/>
  </conditionalFormatting>
  <conditionalFormatting sqref="C121">
    <cfRule type="duplicateValues" dxfId="1333" priority="8" stopIfTrue="1"/>
    <cfRule type="duplicateValues" dxfId="1332" priority="9" stopIfTrue="1"/>
  </conditionalFormatting>
  <conditionalFormatting sqref="C121">
    <cfRule type="duplicateValues" dxfId="1331" priority="7" stopIfTrue="1"/>
  </conditionalFormatting>
  <conditionalFormatting sqref="C44">
    <cfRule type="duplicateValues" dxfId="1330" priority="5" stopIfTrue="1"/>
    <cfRule type="duplicateValues" dxfId="1329" priority="6" stopIfTrue="1"/>
  </conditionalFormatting>
  <conditionalFormatting sqref="C44">
    <cfRule type="duplicateValues" dxfId="1328" priority="4" stopIfTrue="1"/>
  </conditionalFormatting>
  <conditionalFormatting sqref="C137:C138 C36:C37 C30:C33 C26:C28 C23:C24 C20:C21 C6:C18 C39:C45 C47:C120 C140:C146">
    <cfRule type="duplicateValues" dxfId="1327" priority="2" stopIfTrue="1"/>
    <cfRule type="duplicateValues" dxfId="1326" priority="3" stopIfTrue="1"/>
  </conditionalFormatting>
  <conditionalFormatting sqref="C137:C138 C36:C37 C30:C33 C26:C28 C23:C24 C20:C21 C6:C18 C39:C45 C47:C120 C140:C146">
    <cfRule type="duplicateValues" dxfId="1325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3:O254"/>
  <sheetViews>
    <sheetView topLeftCell="A86" workbookViewId="0">
      <selection activeCell="B86" sqref="A86:XFD86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9.285156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879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11" t="s">
        <v>490</v>
      </c>
      <c r="D6" s="19">
        <v>330000</v>
      </c>
      <c r="E6" s="19">
        <v>43989</v>
      </c>
      <c r="F6" s="19">
        <f t="shared" ref="F6:F14" si="0">SUM(D6:E6)</f>
        <v>373989</v>
      </c>
      <c r="G6" s="240">
        <v>50</v>
      </c>
      <c r="H6" s="203">
        <v>7479.78</v>
      </c>
      <c r="I6" s="247">
        <v>6</v>
      </c>
      <c r="J6" s="97">
        <f t="shared" ref="J6:J37" si="1">G6-I6</f>
        <v>44</v>
      </c>
      <c r="K6" s="91">
        <f t="shared" ref="K6:K16" si="2">I6*H6</f>
        <v>44878.68</v>
      </c>
      <c r="L6" s="94">
        <f t="shared" ref="L6:L37" si="3">F6-K6</f>
        <v>329110.32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11" t="s">
        <v>417</v>
      </c>
      <c r="D7" s="16">
        <v>132000</v>
      </c>
      <c r="E7" s="16">
        <v>17595.599999999999</v>
      </c>
      <c r="F7" s="41">
        <f t="shared" si="0"/>
        <v>149595.6</v>
      </c>
      <c r="G7" s="240">
        <v>40</v>
      </c>
      <c r="H7" s="209">
        <v>3739.89</v>
      </c>
      <c r="I7" s="243">
        <v>38</v>
      </c>
      <c r="J7" s="96">
        <f t="shared" si="1"/>
        <v>2</v>
      </c>
      <c r="K7" s="16">
        <f t="shared" si="2"/>
        <v>142115.82</v>
      </c>
      <c r="L7" s="41">
        <f t="shared" si="3"/>
        <v>7479.7799999999988</v>
      </c>
      <c r="M7" s="11"/>
      <c r="N7" s="180" t="e">
        <f>#REF!-H7</f>
        <v>#REF!</v>
      </c>
    </row>
    <row r="8" spans="1:14" s="114" customFormat="1">
      <c r="A8" s="96">
        <v>3</v>
      </c>
      <c r="B8" s="8" t="s">
        <v>606</v>
      </c>
      <c r="C8" s="123" t="s">
        <v>853</v>
      </c>
      <c r="D8" s="19">
        <v>150000</v>
      </c>
      <c r="E8" s="19">
        <v>19995</v>
      </c>
      <c r="F8" s="19">
        <f t="shared" si="0"/>
        <v>169995</v>
      </c>
      <c r="G8" s="240">
        <v>50</v>
      </c>
      <c r="H8" s="254">
        <v>3399.9</v>
      </c>
      <c r="I8" s="247">
        <v>2</v>
      </c>
      <c r="J8" s="97">
        <f t="shared" si="1"/>
        <v>48</v>
      </c>
      <c r="K8" s="91">
        <f t="shared" si="2"/>
        <v>6799.8</v>
      </c>
      <c r="L8" s="94">
        <f t="shared" si="3"/>
        <v>163195.20000000001</v>
      </c>
      <c r="M8" s="11"/>
    </row>
    <row r="9" spans="1:14" s="114" customFormat="1">
      <c r="A9" s="96">
        <v>4</v>
      </c>
      <c r="B9" s="255" t="s">
        <v>653</v>
      </c>
      <c r="C9" s="11" t="s">
        <v>850</v>
      </c>
      <c r="D9" s="19">
        <v>330000</v>
      </c>
      <c r="E9" s="19">
        <v>43989</v>
      </c>
      <c r="F9" s="19">
        <f t="shared" si="0"/>
        <v>373989</v>
      </c>
      <c r="G9" s="240">
        <v>50</v>
      </c>
      <c r="H9" s="254">
        <v>7479.78</v>
      </c>
      <c r="I9" s="243">
        <v>24</v>
      </c>
      <c r="J9" s="97">
        <f t="shared" si="1"/>
        <v>26</v>
      </c>
      <c r="K9" s="91">
        <f t="shared" si="2"/>
        <v>179514.72</v>
      </c>
      <c r="L9" s="94">
        <f t="shared" si="3"/>
        <v>194474.28</v>
      </c>
      <c r="M9" s="11"/>
      <c r="N9" s="180" t="e">
        <f>#REF!-H9</f>
        <v>#REF!</v>
      </c>
    </row>
    <row r="10" spans="1:14" s="114" customFormat="1">
      <c r="A10" s="96">
        <v>5</v>
      </c>
      <c r="B10" s="241" t="s">
        <v>528</v>
      </c>
      <c r="C10" s="11" t="s">
        <v>307</v>
      </c>
      <c r="D10" s="12">
        <v>500000</v>
      </c>
      <c r="E10" s="12">
        <v>66650</v>
      </c>
      <c r="F10" s="15">
        <f t="shared" si="0"/>
        <v>566650</v>
      </c>
      <c r="G10" s="246">
        <v>50</v>
      </c>
      <c r="H10" s="209">
        <v>11333</v>
      </c>
      <c r="I10" s="248">
        <v>37</v>
      </c>
      <c r="J10" s="97">
        <f t="shared" si="1"/>
        <v>13</v>
      </c>
      <c r="K10" s="91">
        <f t="shared" si="2"/>
        <v>419321</v>
      </c>
      <c r="L10" s="15">
        <f t="shared" si="3"/>
        <v>147329</v>
      </c>
      <c r="M10" s="8"/>
      <c r="N10" s="180" t="e">
        <f>#REF!-H10</f>
        <v>#REF!</v>
      </c>
    </row>
    <row r="11" spans="1:14" s="114" customFormat="1">
      <c r="A11" s="96">
        <v>6</v>
      </c>
      <c r="B11" s="241" t="s">
        <v>674</v>
      </c>
      <c r="C11" s="11" t="s">
        <v>304</v>
      </c>
      <c r="D11" s="16">
        <v>500000</v>
      </c>
      <c r="E11" s="16">
        <v>53320</v>
      </c>
      <c r="F11" s="41">
        <f t="shared" si="0"/>
        <v>553320</v>
      </c>
      <c r="G11" s="240">
        <v>40</v>
      </c>
      <c r="H11" s="209">
        <v>13833</v>
      </c>
      <c r="I11" s="243">
        <v>53</v>
      </c>
      <c r="J11" s="96">
        <f t="shared" si="1"/>
        <v>-13</v>
      </c>
      <c r="K11" s="16">
        <f t="shared" si="2"/>
        <v>733149</v>
      </c>
      <c r="L11" s="41">
        <f t="shared" si="3"/>
        <v>-179829</v>
      </c>
      <c r="M11" s="11"/>
      <c r="N11" s="180" t="e">
        <f>#REF!-H11</f>
        <v>#REF!</v>
      </c>
    </row>
    <row r="12" spans="1:14" s="114" customFormat="1">
      <c r="A12" s="96">
        <v>7</v>
      </c>
      <c r="B12" s="241" t="s">
        <v>692</v>
      </c>
      <c r="C12" s="11" t="s">
        <v>281</v>
      </c>
      <c r="D12" s="16">
        <v>330000</v>
      </c>
      <c r="E12" s="16">
        <v>43989</v>
      </c>
      <c r="F12" s="41">
        <f t="shared" si="0"/>
        <v>373989</v>
      </c>
      <c r="G12" s="240">
        <v>50</v>
      </c>
      <c r="H12" s="209">
        <v>7478.78</v>
      </c>
      <c r="I12" s="247">
        <v>41</v>
      </c>
      <c r="J12" s="96">
        <f t="shared" si="1"/>
        <v>9</v>
      </c>
      <c r="K12" s="16">
        <f t="shared" si="2"/>
        <v>306629.98</v>
      </c>
      <c r="L12" s="41">
        <f t="shared" si="3"/>
        <v>67359.020000000019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602</v>
      </c>
      <c r="C13" s="11" t="s">
        <v>372</v>
      </c>
      <c r="D13" s="16">
        <v>330000</v>
      </c>
      <c r="E13" s="16">
        <v>43989</v>
      </c>
      <c r="F13" s="41">
        <f t="shared" si="0"/>
        <v>373989</v>
      </c>
      <c r="G13" s="159">
        <v>50</v>
      </c>
      <c r="H13" s="203">
        <v>7479.78</v>
      </c>
      <c r="I13" s="96">
        <v>41</v>
      </c>
      <c r="J13" s="96">
        <f t="shared" si="1"/>
        <v>9</v>
      </c>
      <c r="K13" s="16">
        <f t="shared" si="2"/>
        <v>306670.98</v>
      </c>
      <c r="L13" s="41">
        <f t="shared" si="3"/>
        <v>67318.020000000019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640</v>
      </c>
      <c r="C14" s="11" t="s">
        <v>308</v>
      </c>
      <c r="D14" s="16">
        <v>500000</v>
      </c>
      <c r="E14" s="16">
        <v>66650</v>
      </c>
      <c r="F14" s="41">
        <f t="shared" si="0"/>
        <v>566650</v>
      </c>
      <c r="G14" s="159">
        <v>50</v>
      </c>
      <c r="H14" s="209">
        <v>11333</v>
      </c>
      <c r="I14" s="96">
        <v>32</v>
      </c>
      <c r="J14" s="96">
        <f t="shared" si="1"/>
        <v>18</v>
      </c>
      <c r="K14" s="16">
        <f t="shared" si="2"/>
        <v>362656</v>
      </c>
      <c r="L14" s="41">
        <f t="shared" si="3"/>
        <v>203994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709</v>
      </c>
      <c r="C15" s="11" t="s">
        <v>310</v>
      </c>
      <c r="D15" s="19">
        <v>500000</v>
      </c>
      <c r="E15" s="19">
        <v>66650</v>
      </c>
      <c r="F15" s="19">
        <v>566650</v>
      </c>
      <c r="G15" s="159">
        <v>50</v>
      </c>
      <c r="H15" s="209">
        <v>11333</v>
      </c>
      <c r="I15" s="96">
        <v>18</v>
      </c>
      <c r="J15" s="96">
        <f t="shared" si="1"/>
        <v>32</v>
      </c>
      <c r="K15" s="16">
        <f t="shared" si="2"/>
        <v>203994</v>
      </c>
      <c r="L15" s="16">
        <f t="shared" si="3"/>
        <v>362656</v>
      </c>
      <c r="M15" s="122"/>
      <c r="N15" s="180" t="e">
        <f>#REF!-H15</f>
        <v>#REF!</v>
      </c>
    </row>
    <row r="16" spans="1:14" s="114" customFormat="1">
      <c r="A16" s="96">
        <v>11</v>
      </c>
      <c r="B16" s="96" t="s">
        <v>696</v>
      </c>
      <c r="C16" s="11" t="s">
        <v>311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09">
        <v>11333</v>
      </c>
      <c r="I16" s="96">
        <v>53</v>
      </c>
      <c r="J16" s="96">
        <f t="shared" si="1"/>
        <v>-3</v>
      </c>
      <c r="K16" s="16">
        <f t="shared" si="2"/>
        <v>600649</v>
      </c>
      <c r="L16" s="41">
        <f t="shared" si="3"/>
        <v>-33999</v>
      </c>
      <c r="M16" s="11"/>
      <c r="N16" s="180" t="e">
        <f>#REF!-H16</f>
        <v>#REF!</v>
      </c>
    </row>
    <row r="17" spans="1:14" s="114" customFormat="1">
      <c r="A17" s="96">
        <v>12</v>
      </c>
      <c r="B17" s="96" t="s">
        <v>574</v>
      </c>
      <c r="C17" s="11" t="s">
        <v>282</v>
      </c>
      <c r="D17" s="16">
        <v>330000</v>
      </c>
      <c r="E17" s="16">
        <v>43989</v>
      </c>
      <c r="F17" s="41">
        <f>SUM(D17:E17)</f>
        <v>373989</v>
      </c>
      <c r="G17" s="159">
        <v>50</v>
      </c>
      <c r="H17" s="203">
        <v>7479.78</v>
      </c>
      <c r="I17" s="159">
        <v>41</v>
      </c>
      <c r="J17" s="97">
        <f t="shared" si="1"/>
        <v>9</v>
      </c>
      <c r="K17" s="91">
        <f>(32*7479.78)</f>
        <v>239352.95999999999</v>
      </c>
      <c r="L17" s="94">
        <f t="shared" si="3"/>
        <v>134636.04</v>
      </c>
      <c r="M17" s="11"/>
      <c r="N17" s="180" t="e">
        <f>#REF!-H17</f>
        <v>#REF!</v>
      </c>
    </row>
    <row r="18" spans="1:14" s="114" customFormat="1">
      <c r="A18" s="96">
        <v>13</v>
      </c>
      <c r="B18" s="96" t="s">
        <v>721</v>
      </c>
      <c r="C18" s="11" t="s">
        <v>312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209">
        <v>11333</v>
      </c>
      <c r="I18" s="97">
        <v>53</v>
      </c>
      <c r="J18" s="97">
        <f t="shared" si="1"/>
        <v>-3</v>
      </c>
      <c r="K18" s="91">
        <f>I18*H18</f>
        <v>600649</v>
      </c>
      <c r="L18" s="94">
        <f t="shared" si="3"/>
        <v>-33999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649</v>
      </c>
      <c r="C19" s="11" t="s">
        <v>360</v>
      </c>
      <c r="D19" s="16">
        <v>450000</v>
      </c>
      <c r="E19" s="16">
        <v>59985</v>
      </c>
      <c r="F19" s="16">
        <v>509985</v>
      </c>
      <c r="G19" s="159">
        <v>50</v>
      </c>
      <c r="H19" s="209">
        <v>10199.700000000001</v>
      </c>
      <c r="I19" s="97">
        <v>17</v>
      </c>
      <c r="J19" s="97">
        <f t="shared" si="1"/>
        <v>33</v>
      </c>
      <c r="K19" s="91">
        <f>I19*H19</f>
        <v>173394.90000000002</v>
      </c>
      <c r="L19" s="91">
        <f t="shared" si="3"/>
        <v>336590.1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617</v>
      </c>
      <c r="C20" s="11" t="s">
        <v>361</v>
      </c>
      <c r="D20" s="16">
        <v>450000</v>
      </c>
      <c r="E20" s="16">
        <v>59985</v>
      </c>
      <c r="F20" s="16">
        <v>509985</v>
      </c>
      <c r="G20" s="159">
        <v>50</v>
      </c>
      <c r="H20" s="209">
        <v>10199.700000000001</v>
      </c>
      <c r="I20" s="97">
        <v>32</v>
      </c>
      <c r="J20" s="97">
        <f t="shared" si="1"/>
        <v>18</v>
      </c>
      <c r="K20" s="91">
        <f>I20*H20</f>
        <v>326390.40000000002</v>
      </c>
      <c r="L20" s="94">
        <f t="shared" si="3"/>
        <v>183594.59999999998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672</v>
      </c>
      <c r="C21" s="11" t="s">
        <v>305</v>
      </c>
      <c r="D21" s="16">
        <v>500000</v>
      </c>
      <c r="E21" s="16">
        <v>53320</v>
      </c>
      <c r="F21" s="41">
        <f>SUM(D21:E21)</f>
        <v>553320</v>
      </c>
      <c r="G21" s="159">
        <v>40</v>
      </c>
      <c r="H21" s="209">
        <v>13833</v>
      </c>
      <c r="I21" s="97">
        <v>53</v>
      </c>
      <c r="J21" s="97">
        <f t="shared" si="1"/>
        <v>-13</v>
      </c>
      <c r="K21" s="91">
        <f>I21*H21</f>
        <v>733149</v>
      </c>
      <c r="L21" s="94">
        <f t="shared" si="3"/>
        <v>-179829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505</v>
      </c>
      <c r="C22" s="11" t="s">
        <v>313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09">
        <v>11333</v>
      </c>
      <c r="I22" s="97">
        <v>32</v>
      </c>
      <c r="J22" s="97">
        <f t="shared" si="1"/>
        <v>18</v>
      </c>
      <c r="K22" s="91">
        <f>I22*H22</f>
        <v>362656</v>
      </c>
      <c r="L22" s="94">
        <f t="shared" si="3"/>
        <v>203994</v>
      </c>
      <c r="M22" s="11"/>
      <c r="N22" s="180" t="e">
        <f>#REF!-H22</f>
        <v>#REF!</v>
      </c>
    </row>
    <row r="23" spans="1:14" s="114" customFormat="1">
      <c r="A23" s="96">
        <v>18</v>
      </c>
      <c r="B23" s="96" t="s">
        <v>565</v>
      </c>
      <c r="C23" s="11" t="s">
        <v>298</v>
      </c>
      <c r="D23" s="16">
        <v>60000</v>
      </c>
      <c r="E23" s="16">
        <v>7998</v>
      </c>
      <c r="F23" s="41">
        <f>SUM(D23:E23)</f>
        <v>67998</v>
      </c>
      <c r="G23" s="159">
        <v>40</v>
      </c>
      <c r="H23" s="209">
        <v>1699.95</v>
      </c>
      <c r="I23" s="97">
        <v>7</v>
      </c>
      <c r="J23" s="97">
        <f t="shared" si="1"/>
        <v>33</v>
      </c>
      <c r="K23" s="91"/>
      <c r="L23" s="94">
        <f t="shared" si="3"/>
        <v>67998</v>
      </c>
      <c r="M23" s="11"/>
      <c r="N23" s="180" t="e">
        <f>#REF!-H23</f>
        <v>#REF!</v>
      </c>
    </row>
    <row r="24" spans="1:14" s="114" customFormat="1">
      <c r="A24" s="96">
        <v>19</v>
      </c>
      <c r="B24" s="96" t="s">
        <v>659</v>
      </c>
      <c r="C24" s="11" t="s">
        <v>299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09">
        <v>11333</v>
      </c>
      <c r="I24" s="97">
        <v>42</v>
      </c>
      <c r="J24" s="97">
        <f t="shared" si="1"/>
        <v>8</v>
      </c>
      <c r="K24" s="91">
        <f t="shared" ref="K24:K30" si="4">I24*H24</f>
        <v>475986</v>
      </c>
      <c r="L24" s="94">
        <f t="shared" si="3"/>
        <v>90664</v>
      </c>
      <c r="M24" s="11" t="s">
        <v>276</v>
      </c>
      <c r="N24" s="180" t="e">
        <f>#REF!-H24</f>
        <v>#REF!</v>
      </c>
    </row>
    <row r="25" spans="1:14" s="114" customFormat="1">
      <c r="A25" s="96">
        <v>20</v>
      </c>
      <c r="B25" s="96" t="s">
        <v>559</v>
      </c>
      <c r="C25" s="11" t="s">
        <v>441</v>
      </c>
      <c r="D25" s="16">
        <v>500000</v>
      </c>
      <c r="E25" s="16">
        <v>66650</v>
      </c>
      <c r="F25" s="16">
        <v>566650</v>
      </c>
      <c r="G25" s="159">
        <v>50</v>
      </c>
      <c r="H25" s="146">
        <v>11333</v>
      </c>
      <c r="I25" s="96">
        <v>6</v>
      </c>
      <c r="J25" s="97">
        <f t="shared" si="1"/>
        <v>44</v>
      </c>
      <c r="K25" s="91">
        <f t="shared" si="4"/>
        <v>67998</v>
      </c>
      <c r="L25" s="94">
        <f t="shared" si="3"/>
        <v>498652</v>
      </c>
      <c r="M25" s="215"/>
    </row>
    <row r="26" spans="1:14" s="114" customFormat="1">
      <c r="A26" s="96">
        <v>21</v>
      </c>
      <c r="B26" s="96" t="s">
        <v>690</v>
      </c>
      <c r="C26" s="11" t="s">
        <v>496</v>
      </c>
      <c r="D26" s="16">
        <v>500000</v>
      </c>
      <c r="E26" s="16">
        <v>66650</v>
      </c>
      <c r="F26" s="41">
        <f>SUM(D26:E26)</f>
        <v>566650</v>
      </c>
      <c r="G26" s="159">
        <v>50</v>
      </c>
      <c r="H26" s="209">
        <v>11333</v>
      </c>
      <c r="I26" s="188">
        <v>4</v>
      </c>
      <c r="J26" s="97">
        <f t="shared" si="1"/>
        <v>46</v>
      </c>
      <c r="K26" s="91">
        <f t="shared" si="4"/>
        <v>45332</v>
      </c>
      <c r="L26" s="94">
        <f t="shared" si="3"/>
        <v>521318</v>
      </c>
      <c r="M26" s="214"/>
      <c r="N26" s="180" t="e">
        <f>#REF!-H26</f>
        <v>#REF!</v>
      </c>
    </row>
    <row r="27" spans="1:14" s="114" customFormat="1">
      <c r="A27" s="96">
        <v>22</v>
      </c>
      <c r="B27" s="96" t="s">
        <v>581</v>
      </c>
      <c r="C27" s="11" t="s">
        <v>107</v>
      </c>
      <c r="D27" s="16">
        <v>330000</v>
      </c>
      <c r="E27" s="16">
        <v>43989</v>
      </c>
      <c r="F27" s="41">
        <f>SUM(D27:E27)</f>
        <v>373989</v>
      </c>
      <c r="G27" s="159">
        <v>50</v>
      </c>
      <c r="H27" s="209">
        <v>7479.78</v>
      </c>
      <c r="I27" s="97">
        <v>53</v>
      </c>
      <c r="J27" s="97">
        <f t="shared" si="1"/>
        <v>-3</v>
      </c>
      <c r="K27" s="91">
        <f t="shared" si="4"/>
        <v>396428.33999999997</v>
      </c>
      <c r="L27" s="94">
        <f t="shared" si="3"/>
        <v>-22439.339999999967</v>
      </c>
      <c r="M27" s="11"/>
      <c r="N27" s="180" t="e">
        <f>#REF!-H27</f>
        <v>#REF!</v>
      </c>
    </row>
    <row r="28" spans="1:14" s="114" customFormat="1">
      <c r="A28" s="96">
        <v>23</v>
      </c>
      <c r="B28" s="96" t="s">
        <v>567</v>
      </c>
      <c r="C28" s="11" t="s">
        <v>374</v>
      </c>
      <c r="D28" s="16">
        <v>330000</v>
      </c>
      <c r="E28" s="16">
        <v>43989</v>
      </c>
      <c r="F28" s="41">
        <f>SUM(D28:E28)</f>
        <v>373989</v>
      </c>
      <c r="G28" s="159">
        <v>50</v>
      </c>
      <c r="H28" s="209">
        <v>7479.78</v>
      </c>
      <c r="I28" s="97">
        <v>53</v>
      </c>
      <c r="J28" s="97">
        <f t="shared" si="1"/>
        <v>-3</v>
      </c>
      <c r="K28" s="91">
        <f t="shared" si="4"/>
        <v>396428.33999999997</v>
      </c>
      <c r="L28" s="94">
        <f t="shared" si="3"/>
        <v>-22439.339999999967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726</v>
      </c>
      <c r="C29" s="11" t="s">
        <v>314</v>
      </c>
      <c r="D29" s="19">
        <v>500000</v>
      </c>
      <c r="E29" s="19">
        <v>66650</v>
      </c>
      <c r="F29" s="19">
        <v>566650</v>
      </c>
      <c r="G29" s="159">
        <v>50</v>
      </c>
      <c r="H29" s="209">
        <v>11333</v>
      </c>
      <c r="I29" s="97">
        <v>18</v>
      </c>
      <c r="J29" s="97">
        <f t="shared" si="1"/>
        <v>32</v>
      </c>
      <c r="K29" s="91">
        <f t="shared" si="4"/>
        <v>203994</v>
      </c>
      <c r="L29" s="91">
        <f t="shared" si="3"/>
        <v>362656</v>
      </c>
      <c r="M29" s="122"/>
      <c r="N29" s="180" t="e">
        <f>#REF!-H29</f>
        <v>#REF!</v>
      </c>
    </row>
    <row r="30" spans="1:14" s="114" customFormat="1">
      <c r="A30" s="96">
        <v>25</v>
      </c>
      <c r="B30" s="96" t="s">
        <v>680</v>
      </c>
      <c r="C30" s="11" t="s">
        <v>315</v>
      </c>
      <c r="D30" s="19">
        <v>500000</v>
      </c>
      <c r="E30" s="19">
        <v>66650</v>
      </c>
      <c r="F30" s="19">
        <v>566650</v>
      </c>
      <c r="G30" s="159">
        <v>50</v>
      </c>
      <c r="H30" s="209">
        <v>11333</v>
      </c>
      <c r="I30" s="97">
        <v>18</v>
      </c>
      <c r="J30" s="97">
        <f t="shared" si="1"/>
        <v>32</v>
      </c>
      <c r="K30" s="91">
        <f t="shared" si="4"/>
        <v>203994</v>
      </c>
      <c r="L30" s="91">
        <f t="shared" si="3"/>
        <v>362656</v>
      </c>
      <c r="M30" s="122"/>
      <c r="N30" s="180" t="e">
        <f>#REF!-H30</f>
        <v>#REF!</v>
      </c>
    </row>
    <row r="31" spans="1:14" s="114" customFormat="1">
      <c r="A31" s="96">
        <v>26</v>
      </c>
      <c r="B31" s="96" t="s">
        <v>576</v>
      </c>
      <c r="C31" s="11" t="s">
        <v>216</v>
      </c>
      <c r="D31" s="16">
        <v>60000</v>
      </c>
      <c r="E31" s="16">
        <v>7998</v>
      </c>
      <c r="F31" s="41">
        <f>SUM(D31:E31)</f>
        <v>67998</v>
      </c>
      <c r="G31" s="159">
        <v>40</v>
      </c>
      <c r="H31" s="209">
        <v>1699.95</v>
      </c>
      <c r="I31" s="97">
        <v>7</v>
      </c>
      <c r="J31" s="97">
        <f t="shared" si="1"/>
        <v>33</v>
      </c>
      <c r="K31" s="91"/>
      <c r="L31" s="94">
        <f t="shared" si="3"/>
        <v>67998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588</v>
      </c>
      <c r="C32" s="11" t="s">
        <v>316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209">
        <v>11333</v>
      </c>
      <c r="I32" s="97">
        <v>31</v>
      </c>
      <c r="J32" s="97">
        <f t="shared" si="1"/>
        <v>19</v>
      </c>
      <c r="K32" s="91">
        <f>I32*H32</f>
        <v>351323</v>
      </c>
      <c r="L32" s="94">
        <f t="shared" si="3"/>
        <v>215327</v>
      </c>
      <c r="M32" s="11"/>
      <c r="N32" s="180" t="e">
        <f>#REF!-H32</f>
        <v>#REF!</v>
      </c>
    </row>
    <row r="33" spans="1:14" s="114" customFormat="1">
      <c r="A33" s="96">
        <v>28</v>
      </c>
      <c r="B33" s="96" t="s">
        <v>512</v>
      </c>
      <c r="C33" s="11" t="s">
        <v>317</v>
      </c>
      <c r="D33" s="16">
        <v>500000</v>
      </c>
      <c r="E33" s="16">
        <v>66650</v>
      </c>
      <c r="F33" s="41">
        <f>SUM(D33:E33)</f>
        <v>566650</v>
      </c>
      <c r="G33" s="159">
        <v>50</v>
      </c>
      <c r="H33" s="209">
        <v>11333</v>
      </c>
      <c r="I33" s="97">
        <v>41</v>
      </c>
      <c r="J33" s="97">
        <f t="shared" si="1"/>
        <v>9</v>
      </c>
      <c r="K33" s="91">
        <f>I33*H33</f>
        <v>464653</v>
      </c>
      <c r="L33" s="94">
        <f t="shared" si="3"/>
        <v>101997</v>
      </c>
      <c r="M33" s="11"/>
      <c r="N33" s="180" t="e">
        <f>#REF!-H33</f>
        <v>#REF!</v>
      </c>
    </row>
    <row r="34" spans="1:14" s="114" customFormat="1">
      <c r="A34" s="96">
        <v>29</v>
      </c>
      <c r="B34" s="96" t="s">
        <v>532</v>
      </c>
      <c r="C34" s="11" t="s">
        <v>318</v>
      </c>
      <c r="D34" s="16">
        <v>500000</v>
      </c>
      <c r="E34" s="16">
        <v>66650</v>
      </c>
      <c r="F34" s="41">
        <f>SUM(D34:E34)</f>
        <v>566650</v>
      </c>
      <c r="G34" s="159">
        <v>50</v>
      </c>
      <c r="H34" s="209">
        <v>11333</v>
      </c>
      <c r="I34" s="97">
        <v>41</v>
      </c>
      <c r="J34" s="97">
        <f t="shared" si="1"/>
        <v>9</v>
      </c>
      <c r="K34" s="91">
        <f>I34*H34</f>
        <v>464653</v>
      </c>
      <c r="L34" s="94">
        <f t="shared" si="3"/>
        <v>101997</v>
      </c>
      <c r="M34" s="11"/>
      <c r="N34" s="180" t="e">
        <f>#REF!-H34</f>
        <v>#REF!</v>
      </c>
    </row>
    <row r="35" spans="1:14" s="114" customFormat="1">
      <c r="A35" s="96">
        <v>30</v>
      </c>
      <c r="B35" s="96" t="s">
        <v>633</v>
      </c>
      <c r="C35" s="11" t="s">
        <v>457</v>
      </c>
      <c r="D35" s="19">
        <v>150000</v>
      </c>
      <c r="E35" s="19">
        <v>19995</v>
      </c>
      <c r="F35" s="19">
        <f>SUM(D35:E35)</f>
        <v>169995</v>
      </c>
      <c r="G35" s="159">
        <v>50</v>
      </c>
      <c r="H35" s="252">
        <v>3399.9</v>
      </c>
      <c r="I35" s="101">
        <v>6</v>
      </c>
      <c r="J35" s="97">
        <f t="shared" si="1"/>
        <v>44</v>
      </c>
      <c r="K35" s="91">
        <f>I35*H35</f>
        <v>20399.400000000001</v>
      </c>
      <c r="L35" s="94">
        <f t="shared" si="3"/>
        <v>149595.6</v>
      </c>
      <c r="M35" s="218"/>
      <c r="N35" s="180" t="e">
        <f>#REF!-H35</f>
        <v>#REF!</v>
      </c>
    </row>
    <row r="36" spans="1:14" s="114" customFormat="1">
      <c r="A36" s="96">
        <v>31</v>
      </c>
      <c r="B36" s="96" t="s">
        <v>534</v>
      </c>
      <c r="C36" s="11" t="s">
        <v>363</v>
      </c>
      <c r="D36" s="16">
        <v>450000</v>
      </c>
      <c r="E36" s="16">
        <v>59985</v>
      </c>
      <c r="F36" s="16">
        <v>509985</v>
      </c>
      <c r="G36" s="159">
        <v>50</v>
      </c>
      <c r="H36" s="209">
        <v>10199.700000000001</v>
      </c>
      <c r="I36" s="97">
        <v>10</v>
      </c>
      <c r="J36" s="97">
        <f t="shared" si="1"/>
        <v>40</v>
      </c>
      <c r="K36" s="91">
        <f>(1*10199.7)</f>
        <v>10199.700000000001</v>
      </c>
      <c r="L36" s="94">
        <f t="shared" si="3"/>
        <v>499785.3</v>
      </c>
      <c r="M36" s="11"/>
    </row>
    <row r="37" spans="1:14" s="114" customFormat="1">
      <c r="A37" s="96">
        <v>32</v>
      </c>
      <c r="B37" s="96" t="s">
        <v>713</v>
      </c>
      <c r="C37" s="11" t="s">
        <v>319</v>
      </c>
      <c r="D37" s="16">
        <v>450000</v>
      </c>
      <c r="E37" s="16">
        <v>59985</v>
      </c>
      <c r="F37" s="41">
        <f>SUM(D37:E37)</f>
        <v>509985</v>
      </c>
      <c r="G37" s="159">
        <v>50</v>
      </c>
      <c r="H37" s="209">
        <v>11333</v>
      </c>
      <c r="I37" s="97">
        <v>21</v>
      </c>
      <c r="J37" s="97">
        <f t="shared" si="1"/>
        <v>29</v>
      </c>
      <c r="K37" s="91">
        <f t="shared" ref="K37:K68" si="5">I37*H37</f>
        <v>237993</v>
      </c>
      <c r="L37" s="94">
        <f t="shared" si="3"/>
        <v>271992</v>
      </c>
      <c r="M37" s="11"/>
    </row>
    <row r="38" spans="1:14" s="114" customFormat="1">
      <c r="A38" s="96">
        <v>33</v>
      </c>
      <c r="B38" s="96" t="s">
        <v>499</v>
      </c>
      <c r="C38" s="11" t="s">
        <v>497</v>
      </c>
      <c r="D38" s="16">
        <v>500000</v>
      </c>
      <c r="E38" s="16">
        <v>66650</v>
      </c>
      <c r="F38" s="41">
        <f>SUM(D38:E38)</f>
        <v>566650</v>
      </c>
      <c r="G38" s="159">
        <v>50</v>
      </c>
      <c r="H38" s="203">
        <v>11333</v>
      </c>
      <c r="I38" s="188">
        <v>4</v>
      </c>
      <c r="J38" s="97">
        <f t="shared" ref="J38:J69" si="6">G38-I38</f>
        <v>46</v>
      </c>
      <c r="K38" s="91">
        <f t="shared" si="5"/>
        <v>45332</v>
      </c>
      <c r="L38" s="94">
        <f t="shared" ref="L38:L69" si="7">F38-K38</f>
        <v>521318</v>
      </c>
      <c r="M38" s="214"/>
      <c r="N38" s="180" t="e">
        <f>#REF!-H38</f>
        <v>#REF!</v>
      </c>
    </row>
    <row r="39" spans="1:14" s="114" customFormat="1">
      <c r="A39" s="96">
        <v>34</v>
      </c>
      <c r="B39" s="96" t="s">
        <v>572</v>
      </c>
      <c r="C39" s="11" t="s">
        <v>424</v>
      </c>
      <c r="D39" s="12">
        <v>150000</v>
      </c>
      <c r="E39" s="12">
        <v>19995</v>
      </c>
      <c r="F39" s="15">
        <f>SUM(D39:E39)</f>
        <v>169995</v>
      </c>
      <c r="G39" s="14">
        <v>50</v>
      </c>
      <c r="H39" s="209">
        <v>3399.9</v>
      </c>
      <c r="I39" s="14">
        <v>37</v>
      </c>
      <c r="J39" s="97">
        <f t="shared" si="6"/>
        <v>13</v>
      </c>
      <c r="K39" s="91">
        <f t="shared" si="5"/>
        <v>125796.3</v>
      </c>
      <c r="L39" s="15">
        <f t="shared" si="7"/>
        <v>44198.7</v>
      </c>
      <c r="M39" s="8"/>
      <c r="N39" s="180" t="e">
        <f>#REF!-H39</f>
        <v>#REF!</v>
      </c>
    </row>
    <row r="40" spans="1:14" s="114" customFormat="1">
      <c r="A40" s="96">
        <v>35</v>
      </c>
      <c r="B40" s="96" t="s">
        <v>626</v>
      </c>
      <c r="C40" s="11" t="s">
        <v>375</v>
      </c>
      <c r="D40" s="16">
        <v>330000</v>
      </c>
      <c r="E40" s="16">
        <v>43989</v>
      </c>
      <c r="F40" s="41">
        <f>SUM(D40:E40)</f>
        <v>373989</v>
      </c>
      <c r="G40" s="159">
        <v>50</v>
      </c>
      <c r="H40" s="209">
        <v>7479.78</v>
      </c>
      <c r="I40" s="97">
        <v>32</v>
      </c>
      <c r="J40" s="97">
        <f t="shared" si="6"/>
        <v>18</v>
      </c>
      <c r="K40" s="91">
        <f t="shared" si="5"/>
        <v>239352.95999999999</v>
      </c>
      <c r="L40" s="94">
        <f t="shared" si="7"/>
        <v>134636.04</v>
      </c>
      <c r="M40" s="11"/>
      <c r="N40" s="180" t="e">
        <f>#REF!-H40</f>
        <v>#REF!</v>
      </c>
    </row>
    <row r="41" spans="1:14" s="114" customFormat="1">
      <c r="A41" s="96">
        <v>36</v>
      </c>
      <c r="B41" s="96" t="s">
        <v>730</v>
      </c>
      <c r="C41" s="11" t="s">
        <v>320</v>
      </c>
      <c r="D41" s="16">
        <v>500000</v>
      </c>
      <c r="E41" s="16">
        <v>66650</v>
      </c>
      <c r="F41" s="41">
        <f>SUM(D41:E41)</f>
        <v>566650</v>
      </c>
      <c r="G41" s="159">
        <v>50</v>
      </c>
      <c r="H41" s="209">
        <v>11333</v>
      </c>
      <c r="I41" s="188">
        <v>8</v>
      </c>
      <c r="J41" s="188">
        <f t="shared" si="6"/>
        <v>42</v>
      </c>
      <c r="K41" s="91">
        <f t="shared" si="5"/>
        <v>90664</v>
      </c>
      <c r="L41" s="94">
        <f t="shared" si="7"/>
        <v>475986</v>
      </c>
      <c r="M41" s="122"/>
      <c r="N41" s="180" t="e">
        <f>#REF!-H41</f>
        <v>#REF!</v>
      </c>
    </row>
    <row r="42" spans="1:14" s="114" customFormat="1">
      <c r="A42" s="96">
        <v>37</v>
      </c>
      <c r="B42" s="8" t="s">
        <v>623</v>
      </c>
      <c r="C42" s="11" t="s">
        <v>857</v>
      </c>
      <c r="D42" s="19">
        <v>450000</v>
      </c>
      <c r="E42" s="19">
        <v>59985</v>
      </c>
      <c r="F42" s="19">
        <v>509985</v>
      </c>
      <c r="G42" s="159">
        <v>50</v>
      </c>
      <c r="H42" s="254">
        <v>10199.700000000001</v>
      </c>
      <c r="I42" s="159">
        <v>2</v>
      </c>
      <c r="J42" s="97">
        <f t="shared" si="6"/>
        <v>48</v>
      </c>
      <c r="K42" s="91">
        <f t="shared" si="5"/>
        <v>20399.400000000001</v>
      </c>
      <c r="L42" s="94">
        <f t="shared" si="7"/>
        <v>489585.6</v>
      </c>
      <c r="M42" s="11"/>
    </row>
    <row r="43" spans="1:14" s="114" customFormat="1">
      <c r="A43" s="96">
        <v>38</v>
      </c>
      <c r="B43" s="96" t="s">
        <v>526</v>
      </c>
      <c r="C43" s="11" t="s">
        <v>112</v>
      </c>
      <c r="D43" s="16">
        <v>330000</v>
      </c>
      <c r="E43" s="16">
        <v>43989</v>
      </c>
      <c r="F43" s="41">
        <f t="shared" ref="F43:F48" si="8">SUM(D43:E43)</f>
        <v>373989</v>
      </c>
      <c r="G43" s="159">
        <v>50</v>
      </c>
      <c r="H43" s="203">
        <v>7479.78</v>
      </c>
      <c r="I43" s="97">
        <v>32</v>
      </c>
      <c r="J43" s="97">
        <f t="shared" si="6"/>
        <v>18</v>
      </c>
      <c r="K43" s="91">
        <f t="shared" si="5"/>
        <v>239352.95999999999</v>
      </c>
      <c r="L43" s="94">
        <f t="shared" si="7"/>
        <v>134636.04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609</v>
      </c>
      <c r="C44" s="11" t="s">
        <v>321</v>
      </c>
      <c r="D44" s="16">
        <v>500000</v>
      </c>
      <c r="E44" s="16">
        <v>66650</v>
      </c>
      <c r="F44" s="41">
        <f t="shared" si="8"/>
        <v>566650</v>
      </c>
      <c r="G44" s="159">
        <v>50</v>
      </c>
      <c r="H44" s="209">
        <v>11333</v>
      </c>
      <c r="I44" s="97">
        <v>31</v>
      </c>
      <c r="J44" s="97">
        <f t="shared" si="6"/>
        <v>19</v>
      </c>
      <c r="K44" s="91">
        <f t="shared" si="5"/>
        <v>351323</v>
      </c>
      <c r="L44" s="94">
        <f t="shared" si="7"/>
        <v>215327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682</v>
      </c>
      <c r="C45" s="11" t="s">
        <v>322</v>
      </c>
      <c r="D45" s="16">
        <v>500000</v>
      </c>
      <c r="E45" s="16">
        <v>66650</v>
      </c>
      <c r="F45" s="41">
        <f t="shared" si="8"/>
        <v>566650</v>
      </c>
      <c r="G45" s="159">
        <v>50</v>
      </c>
      <c r="H45" s="209">
        <v>11333</v>
      </c>
      <c r="I45" s="97">
        <v>32</v>
      </c>
      <c r="J45" s="97">
        <f t="shared" si="6"/>
        <v>18</v>
      </c>
      <c r="K45" s="91">
        <f t="shared" si="5"/>
        <v>362656</v>
      </c>
      <c r="L45" s="94">
        <f t="shared" si="7"/>
        <v>203994</v>
      </c>
      <c r="M45" s="11"/>
      <c r="N45" s="180"/>
    </row>
    <row r="46" spans="1:14" s="114" customFormat="1">
      <c r="A46" s="96">
        <v>41</v>
      </c>
      <c r="B46" s="96" t="s">
        <v>542</v>
      </c>
      <c r="C46" s="11" t="s">
        <v>323</v>
      </c>
      <c r="D46" s="16">
        <v>500000</v>
      </c>
      <c r="E46" s="16">
        <v>66650</v>
      </c>
      <c r="F46" s="41">
        <f t="shared" si="8"/>
        <v>566650</v>
      </c>
      <c r="G46" s="159">
        <v>50</v>
      </c>
      <c r="H46" s="209">
        <v>11333</v>
      </c>
      <c r="I46" s="97">
        <v>31</v>
      </c>
      <c r="J46" s="97">
        <f t="shared" si="6"/>
        <v>19</v>
      </c>
      <c r="K46" s="91">
        <f t="shared" si="5"/>
        <v>351323</v>
      </c>
      <c r="L46" s="94">
        <f t="shared" si="7"/>
        <v>215327</v>
      </c>
      <c r="M46" s="11"/>
      <c r="N46" s="180" t="e">
        <f>#REF!-H46</f>
        <v>#REF!</v>
      </c>
    </row>
    <row r="47" spans="1:14" s="114" customFormat="1">
      <c r="A47" s="96">
        <v>42</v>
      </c>
      <c r="B47" s="96" t="s">
        <v>657</v>
      </c>
      <c r="C47" s="11" t="s">
        <v>324</v>
      </c>
      <c r="D47" s="12">
        <v>500000</v>
      </c>
      <c r="E47" s="12">
        <v>66650</v>
      </c>
      <c r="F47" s="15">
        <f t="shared" si="8"/>
        <v>566650</v>
      </c>
      <c r="G47" s="14">
        <v>50</v>
      </c>
      <c r="H47" s="203">
        <v>11333</v>
      </c>
      <c r="I47" s="14">
        <v>37</v>
      </c>
      <c r="J47" s="97">
        <f t="shared" si="6"/>
        <v>13</v>
      </c>
      <c r="K47" s="91">
        <f t="shared" si="5"/>
        <v>419321</v>
      </c>
      <c r="L47" s="15">
        <f t="shared" si="7"/>
        <v>147329</v>
      </c>
      <c r="M47" s="8"/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11" t="s">
        <v>376</v>
      </c>
      <c r="D48" s="16">
        <v>330000</v>
      </c>
      <c r="E48" s="16">
        <v>43989</v>
      </c>
      <c r="F48" s="41">
        <f t="shared" si="8"/>
        <v>373989</v>
      </c>
      <c r="G48" s="159">
        <v>50</v>
      </c>
      <c r="H48" s="209">
        <v>7479.78</v>
      </c>
      <c r="I48" s="97">
        <v>53</v>
      </c>
      <c r="J48" s="97">
        <f t="shared" si="6"/>
        <v>-3</v>
      </c>
      <c r="K48" s="91">
        <f t="shared" si="5"/>
        <v>396428.33999999997</v>
      </c>
      <c r="L48" s="94">
        <f t="shared" si="7"/>
        <v>-22439.339999999967</v>
      </c>
      <c r="M48" s="11"/>
      <c r="N48" s="180" t="e">
        <f>#REF!-H48</f>
        <v>#REF!</v>
      </c>
    </row>
    <row r="49" spans="1:14" s="114" customFormat="1">
      <c r="A49" s="96">
        <v>44</v>
      </c>
      <c r="B49" s="96" t="s">
        <v>520</v>
      </c>
      <c r="C49" s="11" t="s">
        <v>485</v>
      </c>
      <c r="D49" s="19">
        <v>450000</v>
      </c>
      <c r="E49" s="19">
        <v>59985</v>
      </c>
      <c r="F49" s="19">
        <v>509985</v>
      </c>
      <c r="G49" s="159">
        <v>50</v>
      </c>
      <c r="H49" s="161">
        <v>10199.700000000001</v>
      </c>
      <c r="I49" s="97">
        <v>43</v>
      </c>
      <c r="J49" s="97">
        <f t="shared" si="6"/>
        <v>7</v>
      </c>
      <c r="K49" s="91">
        <f t="shared" si="5"/>
        <v>438587.10000000003</v>
      </c>
      <c r="L49" s="94">
        <f t="shared" si="7"/>
        <v>71397.899999999965</v>
      </c>
      <c r="M49" s="11"/>
      <c r="N49" s="180" t="e">
        <f>#REF!-H49</f>
        <v>#REF!</v>
      </c>
    </row>
    <row r="50" spans="1:14" s="114" customFormat="1">
      <c r="A50" s="96">
        <v>45</v>
      </c>
      <c r="B50" s="96" t="s">
        <v>715</v>
      </c>
      <c r="C50" s="11" t="s">
        <v>489</v>
      </c>
      <c r="D50" s="19">
        <v>450000</v>
      </c>
      <c r="E50" s="19">
        <v>59985</v>
      </c>
      <c r="F50" s="19">
        <v>509985</v>
      </c>
      <c r="G50" s="159">
        <v>50</v>
      </c>
      <c r="H50" s="209">
        <v>10199.700000000001</v>
      </c>
      <c r="I50" s="101">
        <v>6</v>
      </c>
      <c r="J50" s="97">
        <f t="shared" si="6"/>
        <v>44</v>
      </c>
      <c r="K50" s="91">
        <f t="shared" si="5"/>
        <v>61198.200000000004</v>
      </c>
      <c r="L50" s="94">
        <f t="shared" si="7"/>
        <v>448786.8</v>
      </c>
      <c r="M50" s="218"/>
      <c r="N50" s="180" t="e">
        <f>#REF!-H50</f>
        <v>#REF!</v>
      </c>
    </row>
    <row r="51" spans="1:14" s="114" customFormat="1">
      <c r="A51" s="96">
        <v>46</v>
      </c>
      <c r="B51" s="96" t="s">
        <v>700</v>
      </c>
      <c r="C51" s="11" t="s">
        <v>325</v>
      </c>
      <c r="D51" s="16">
        <v>500000</v>
      </c>
      <c r="E51" s="16">
        <v>66650</v>
      </c>
      <c r="F51" s="41">
        <f>SUM(D51:E51)</f>
        <v>566650</v>
      </c>
      <c r="G51" s="159">
        <v>50</v>
      </c>
      <c r="H51" s="209">
        <v>11333</v>
      </c>
      <c r="I51" s="97">
        <v>53</v>
      </c>
      <c r="J51" s="97">
        <f t="shared" si="6"/>
        <v>-3</v>
      </c>
      <c r="K51" s="91">
        <f t="shared" si="5"/>
        <v>600649</v>
      </c>
      <c r="L51" s="94">
        <f t="shared" si="7"/>
        <v>-33999</v>
      </c>
      <c r="M51" s="11"/>
      <c r="N51" s="180" t="e">
        <f>#REF!-H51</f>
        <v>#REF!</v>
      </c>
    </row>
    <row r="52" spans="1:14" s="114" customFormat="1">
      <c r="A52" s="96">
        <v>47</v>
      </c>
      <c r="B52" s="96" t="s">
        <v>724</v>
      </c>
      <c r="C52" s="11" t="s">
        <v>326</v>
      </c>
      <c r="D52" s="19">
        <v>500000</v>
      </c>
      <c r="E52" s="19">
        <v>66650</v>
      </c>
      <c r="F52" s="19">
        <v>566650</v>
      </c>
      <c r="G52" s="159">
        <v>50</v>
      </c>
      <c r="H52" s="209">
        <v>11333</v>
      </c>
      <c r="I52" s="97">
        <v>17</v>
      </c>
      <c r="J52" s="97">
        <f t="shared" si="6"/>
        <v>33</v>
      </c>
      <c r="K52" s="91">
        <f t="shared" si="5"/>
        <v>192661</v>
      </c>
      <c r="L52" s="91">
        <f t="shared" si="7"/>
        <v>373989</v>
      </c>
      <c r="M52" s="122"/>
      <c r="N52" s="180" t="e">
        <f>#REF!-H52</f>
        <v>#REF!</v>
      </c>
    </row>
    <row r="53" spans="1:14" s="114" customFormat="1">
      <c r="A53" s="96">
        <v>48</v>
      </c>
      <c r="B53" s="96" t="s">
        <v>624</v>
      </c>
      <c r="C53" s="11" t="s">
        <v>212</v>
      </c>
      <c r="D53" s="16">
        <v>150000</v>
      </c>
      <c r="E53" s="16">
        <v>19995</v>
      </c>
      <c r="F53" s="41">
        <f>SUM(D53:E53)</f>
        <v>169995</v>
      </c>
      <c r="G53" s="159">
        <v>50</v>
      </c>
      <c r="H53" s="209">
        <v>3399.9</v>
      </c>
      <c r="I53" s="97">
        <v>41</v>
      </c>
      <c r="J53" s="97">
        <f t="shared" si="6"/>
        <v>9</v>
      </c>
      <c r="K53" s="91">
        <f t="shared" si="5"/>
        <v>139395.9</v>
      </c>
      <c r="L53" s="94">
        <f t="shared" si="7"/>
        <v>30599.100000000006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592</v>
      </c>
      <c r="C54" s="11" t="s">
        <v>306</v>
      </c>
      <c r="D54" s="16">
        <v>500000</v>
      </c>
      <c r="E54" s="16">
        <v>53320</v>
      </c>
      <c r="F54" s="41">
        <f>SUM(D54:E54)</f>
        <v>553320</v>
      </c>
      <c r="G54" s="159">
        <v>40</v>
      </c>
      <c r="H54" s="209">
        <v>13833</v>
      </c>
      <c r="I54" s="97">
        <v>53</v>
      </c>
      <c r="J54" s="97">
        <f t="shared" si="6"/>
        <v>-13</v>
      </c>
      <c r="K54" s="91">
        <f t="shared" si="5"/>
        <v>733149</v>
      </c>
      <c r="L54" s="94">
        <f t="shared" si="7"/>
        <v>-179829</v>
      </c>
      <c r="M54" s="11"/>
      <c r="N54" s="180" t="e">
        <f>#REF!-H54</f>
        <v>#REF!</v>
      </c>
    </row>
    <row r="55" spans="1:14" s="114" customFormat="1">
      <c r="A55" s="96">
        <v>50</v>
      </c>
      <c r="B55" s="96" t="s">
        <v>619</v>
      </c>
      <c r="C55" s="11" t="s">
        <v>327</v>
      </c>
      <c r="D55" s="16">
        <v>500000</v>
      </c>
      <c r="E55" s="16">
        <v>66650</v>
      </c>
      <c r="F55" s="16">
        <v>566650</v>
      </c>
      <c r="G55" s="159">
        <v>50</v>
      </c>
      <c r="H55" s="209">
        <v>11333</v>
      </c>
      <c r="I55" s="97">
        <v>32</v>
      </c>
      <c r="J55" s="97">
        <f t="shared" si="6"/>
        <v>18</v>
      </c>
      <c r="K55" s="91">
        <f t="shared" si="5"/>
        <v>362656</v>
      </c>
      <c r="L55" s="94">
        <f t="shared" si="7"/>
        <v>203994</v>
      </c>
      <c r="M55" s="11"/>
      <c r="N55" s="180" t="e">
        <f>#REF!-H55</f>
        <v>#REF!</v>
      </c>
    </row>
    <row r="56" spans="1:14" s="114" customFormat="1">
      <c r="A56" s="96">
        <v>51</v>
      </c>
      <c r="B56" s="8" t="s">
        <v>663</v>
      </c>
      <c r="C56" s="11" t="s">
        <v>854</v>
      </c>
      <c r="D56" s="19">
        <v>330000</v>
      </c>
      <c r="E56" s="19">
        <v>43989</v>
      </c>
      <c r="F56" s="19">
        <f>SUM(D56:E56)</f>
        <v>373989</v>
      </c>
      <c r="G56" s="159">
        <v>50</v>
      </c>
      <c r="H56" s="254">
        <v>7479.78</v>
      </c>
      <c r="I56" s="159">
        <v>2</v>
      </c>
      <c r="J56" s="97">
        <f t="shared" si="6"/>
        <v>48</v>
      </c>
      <c r="K56" s="91">
        <f t="shared" si="5"/>
        <v>14959.56</v>
      </c>
      <c r="L56" s="94">
        <f t="shared" si="7"/>
        <v>359029.44</v>
      </c>
      <c r="M56" s="11"/>
    </row>
    <row r="57" spans="1:14" s="114" customFormat="1">
      <c r="A57" s="96">
        <v>52</v>
      </c>
      <c r="B57" s="96" t="s">
        <v>664</v>
      </c>
      <c r="C57" s="11" t="s">
        <v>294</v>
      </c>
      <c r="D57" s="19">
        <v>330000</v>
      </c>
      <c r="E57" s="19">
        <v>43989</v>
      </c>
      <c r="F57" s="19">
        <f>SUM(D57:E57)</f>
        <v>373989</v>
      </c>
      <c r="G57" s="159">
        <v>50</v>
      </c>
      <c r="H57" s="253">
        <v>7479.78</v>
      </c>
      <c r="I57" s="101">
        <v>6</v>
      </c>
      <c r="J57" s="97">
        <f t="shared" si="6"/>
        <v>44</v>
      </c>
      <c r="K57" s="91">
        <f t="shared" si="5"/>
        <v>44878.68</v>
      </c>
      <c r="L57" s="94">
        <f t="shared" si="7"/>
        <v>329110.32</v>
      </c>
      <c r="M57" s="218"/>
      <c r="N57" s="180" t="e">
        <f>#REF!-H57</f>
        <v>#REF!</v>
      </c>
    </row>
    <row r="58" spans="1:14" s="114" customFormat="1">
      <c r="A58" s="96">
        <v>53</v>
      </c>
      <c r="B58" s="96" t="s">
        <v>516</v>
      </c>
      <c r="C58" s="11" t="s">
        <v>328</v>
      </c>
      <c r="D58" s="16">
        <v>500000</v>
      </c>
      <c r="E58" s="16">
        <v>66650</v>
      </c>
      <c r="F58" s="41">
        <f>SUM(D58:E58)</f>
        <v>566650</v>
      </c>
      <c r="G58" s="159">
        <v>50</v>
      </c>
      <c r="H58" s="164">
        <v>11333</v>
      </c>
      <c r="I58" s="97">
        <v>32</v>
      </c>
      <c r="J58" s="97">
        <f t="shared" si="6"/>
        <v>18</v>
      </c>
      <c r="K58" s="91">
        <f t="shared" si="5"/>
        <v>362656</v>
      </c>
      <c r="L58" s="94">
        <f t="shared" si="7"/>
        <v>203994</v>
      </c>
      <c r="M58" s="11"/>
      <c r="N58" s="180" t="e">
        <f>#REF!-H58</f>
        <v>#REF!</v>
      </c>
    </row>
    <row r="59" spans="1:14" s="114" customFormat="1">
      <c r="A59" s="96">
        <v>54</v>
      </c>
      <c r="B59" s="96" t="s">
        <v>688</v>
      </c>
      <c r="C59" s="11" t="s">
        <v>329</v>
      </c>
      <c r="D59" s="16">
        <v>500000</v>
      </c>
      <c r="E59" s="16">
        <v>66650</v>
      </c>
      <c r="F59" s="41">
        <f>SUM(D59:E59)</f>
        <v>566650</v>
      </c>
      <c r="G59" s="159">
        <v>50</v>
      </c>
      <c r="H59" s="209">
        <v>11333</v>
      </c>
      <c r="I59" s="97">
        <v>37</v>
      </c>
      <c r="J59" s="97">
        <f t="shared" si="6"/>
        <v>13</v>
      </c>
      <c r="K59" s="91">
        <f t="shared" si="5"/>
        <v>419321</v>
      </c>
      <c r="L59" s="94">
        <f t="shared" si="7"/>
        <v>147329</v>
      </c>
      <c r="M59" s="11"/>
      <c r="N59" s="180" t="e">
        <f>#REF!-H59</f>
        <v>#REF!</v>
      </c>
    </row>
    <row r="60" spans="1:14" s="114" customFormat="1">
      <c r="A60" s="96">
        <v>55</v>
      </c>
      <c r="B60" s="96" t="s">
        <v>635</v>
      </c>
      <c r="C60" s="11" t="s">
        <v>330</v>
      </c>
      <c r="D60" s="16">
        <v>500000</v>
      </c>
      <c r="E60" s="16">
        <v>66650</v>
      </c>
      <c r="F60" s="41">
        <f>SUM(D60:E60)</f>
        <v>566650</v>
      </c>
      <c r="G60" s="159">
        <v>50</v>
      </c>
      <c r="H60" s="209">
        <v>11333</v>
      </c>
      <c r="I60" s="97">
        <v>53</v>
      </c>
      <c r="J60" s="97">
        <f t="shared" si="6"/>
        <v>-3</v>
      </c>
      <c r="K60" s="91">
        <f t="shared" si="5"/>
        <v>600649</v>
      </c>
      <c r="L60" s="94">
        <f t="shared" si="7"/>
        <v>-33999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717</v>
      </c>
      <c r="C61" s="11" t="s">
        <v>286</v>
      </c>
      <c r="D61" s="16">
        <v>450000</v>
      </c>
      <c r="E61" s="16">
        <v>59985</v>
      </c>
      <c r="F61" s="16">
        <v>509985</v>
      </c>
      <c r="G61" s="159">
        <v>50</v>
      </c>
      <c r="H61" s="209">
        <v>10199.700000000001</v>
      </c>
      <c r="I61" s="97">
        <v>20</v>
      </c>
      <c r="J61" s="97">
        <f t="shared" si="6"/>
        <v>30</v>
      </c>
      <c r="K61" s="91">
        <f t="shared" si="5"/>
        <v>203994</v>
      </c>
      <c r="L61" s="94">
        <f t="shared" si="7"/>
        <v>305991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579</v>
      </c>
      <c r="C62" s="11" t="s">
        <v>301</v>
      </c>
      <c r="D62" s="16">
        <v>500000</v>
      </c>
      <c r="E62" s="16">
        <v>33325</v>
      </c>
      <c r="F62" s="41">
        <f>SUM(D62:E62)</f>
        <v>533325</v>
      </c>
      <c r="G62" s="159">
        <v>25</v>
      </c>
      <c r="H62" s="209">
        <v>21333</v>
      </c>
      <c r="I62" s="97">
        <v>22</v>
      </c>
      <c r="J62" s="97">
        <f t="shared" si="6"/>
        <v>3</v>
      </c>
      <c r="K62" s="91">
        <f t="shared" si="5"/>
        <v>469326</v>
      </c>
      <c r="L62" s="94">
        <f t="shared" si="7"/>
        <v>63999</v>
      </c>
      <c r="M62" s="11"/>
      <c r="N62" s="180" t="e">
        <f>#REF!-H62</f>
        <v>#REF!</v>
      </c>
    </row>
    <row r="63" spans="1:14" s="114" customFormat="1">
      <c r="A63" s="96">
        <v>58</v>
      </c>
      <c r="B63" s="96" t="s">
        <v>698</v>
      </c>
      <c r="C63" s="11" t="s">
        <v>332</v>
      </c>
      <c r="D63" s="19">
        <v>500000</v>
      </c>
      <c r="E63" s="19">
        <v>66650</v>
      </c>
      <c r="F63" s="19">
        <v>566650</v>
      </c>
      <c r="G63" s="159">
        <v>50</v>
      </c>
      <c r="H63" s="209">
        <v>11333</v>
      </c>
      <c r="I63" s="97">
        <v>18</v>
      </c>
      <c r="J63" s="97">
        <f t="shared" si="6"/>
        <v>32</v>
      </c>
      <c r="K63" s="91">
        <f t="shared" si="5"/>
        <v>203994</v>
      </c>
      <c r="L63" s="91">
        <f t="shared" si="7"/>
        <v>362656</v>
      </c>
      <c r="M63" s="11"/>
      <c r="N63" s="180" t="e">
        <f>#REF!-H63</f>
        <v>#REF!</v>
      </c>
    </row>
    <row r="64" spans="1:14" s="114" customFormat="1">
      <c r="A64" s="96">
        <v>59</v>
      </c>
      <c r="B64" s="96" t="s">
        <v>702</v>
      </c>
      <c r="C64" s="11" t="s">
        <v>364</v>
      </c>
      <c r="D64" s="16">
        <v>450000</v>
      </c>
      <c r="E64" s="16">
        <v>59985</v>
      </c>
      <c r="F64" s="16">
        <v>509985</v>
      </c>
      <c r="G64" s="159">
        <v>50</v>
      </c>
      <c r="H64" s="209">
        <v>10199.700000000001</v>
      </c>
      <c r="I64" s="97">
        <v>17</v>
      </c>
      <c r="J64" s="97">
        <f t="shared" si="6"/>
        <v>33</v>
      </c>
      <c r="K64" s="91">
        <f t="shared" si="5"/>
        <v>173394.90000000002</v>
      </c>
      <c r="L64" s="91">
        <f t="shared" si="7"/>
        <v>336590.1</v>
      </c>
      <c r="M64" s="122"/>
      <c r="N64" s="180" t="e">
        <f>#REF!-H64</f>
        <v>#REF!</v>
      </c>
    </row>
    <row r="65" spans="1:14" s="114" customFormat="1">
      <c r="A65" s="96">
        <v>60</v>
      </c>
      <c r="B65" s="96" t="s">
        <v>676</v>
      </c>
      <c r="C65" s="11" t="s">
        <v>425</v>
      </c>
      <c r="D65" s="155">
        <v>150000</v>
      </c>
      <c r="E65" s="155">
        <v>19995</v>
      </c>
      <c r="F65" s="155">
        <f>SUM(D65:E65)</f>
        <v>169995</v>
      </c>
      <c r="G65" s="159">
        <v>50</v>
      </c>
      <c r="H65" s="209">
        <v>3399.9</v>
      </c>
      <c r="I65" s="97">
        <v>18</v>
      </c>
      <c r="J65" s="97">
        <f t="shared" si="6"/>
        <v>32</v>
      </c>
      <c r="K65" s="91">
        <f t="shared" si="5"/>
        <v>61198.200000000004</v>
      </c>
      <c r="L65" s="91">
        <f t="shared" si="7"/>
        <v>108796.79999999999</v>
      </c>
      <c r="M65" s="122"/>
      <c r="N65" s="180" t="e">
        <f>#REF!-H65</f>
        <v>#REF!</v>
      </c>
    </row>
    <row r="66" spans="1:14" s="114" customFormat="1">
      <c r="A66" s="96">
        <v>61</v>
      </c>
      <c r="B66" s="96" t="s">
        <v>644</v>
      </c>
      <c r="C66" s="11" t="s">
        <v>874</v>
      </c>
      <c r="D66" s="12">
        <v>450000</v>
      </c>
      <c r="E66" s="12">
        <v>59985</v>
      </c>
      <c r="F66" s="15">
        <f>SUM(D66:E66)</f>
        <v>509985</v>
      </c>
      <c r="G66" s="14">
        <v>50</v>
      </c>
      <c r="H66" s="203">
        <v>10199.700000000001</v>
      </c>
      <c r="I66" s="14">
        <v>38</v>
      </c>
      <c r="J66" s="97">
        <f t="shared" si="6"/>
        <v>12</v>
      </c>
      <c r="K66" s="91">
        <f t="shared" si="5"/>
        <v>387588.60000000003</v>
      </c>
      <c r="L66" s="15">
        <f t="shared" si="7"/>
        <v>122396.39999999997</v>
      </c>
      <c r="M66" s="8"/>
      <c r="N66" s="180" t="e">
        <f>#REF!-H66</f>
        <v>#REF!</v>
      </c>
    </row>
    <row r="67" spans="1:14" s="114" customFormat="1">
      <c r="A67" s="96">
        <v>62</v>
      </c>
      <c r="B67" s="96" t="s">
        <v>621</v>
      </c>
      <c r="C67" s="11" t="s">
        <v>73</v>
      </c>
      <c r="D67" s="16">
        <v>500000</v>
      </c>
      <c r="E67" s="16">
        <v>66650</v>
      </c>
      <c r="F67" s="41">
        <f>SUM(D67:E67)</f>
        <v>566650</v>
      </c>
      <c r="G67" s="159">
        <v>50</v>
      </c>
      <c r="H67" s="209">
        <v>11333</v>
      </c>
      <c r="I67" s="97">
        <v>41</v>
      </c>
      <c r="J67" s="97">
        <f t="shared" si="6"/>
        <v>9</v>
      </c>
      <c r="K67" s="91">
        <f t="shared" si="5"/>
        <v>464653</v>
      </c>
      <c r="L67" s="94">
        <f t="shared" si="7"/>
        <v>101997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604</v>
      </c>
      <c r="C68" s="11" t="s">
        <v>333</v>
      </c>
      <c r="D68" s="16">
        <v>500000</v>
      </c>
      <c r="E68" s="16">
        <v>66650</v>
      </c>
      <c r="F68" s="41">
        <f>SUM(D68:E68)</f>
        <v>566650</v>
      </c>
      <c r="G68" s="159">
        <v>50</v>
      </c>
      <c r="H68" s="209">
        <v>11333</v>
      </c>
      <c r="I68" s="97">
        <v>53</v>
      </c>
      <c r="J68" s="97">
        <f t="shared" si="6"/>
        <v>-3</v>
      </c>
      <c r="K68" s="91">
        <f t="shared" si="5"/>
        <v>600649</v>
      </c>
      <c r="L68" s="94">
        <f t="shared" si="7"/>
        <v>-33999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503</v>
      </c>
      <c r="C69" s="11" t="s">
        <v>426</v>
      </c>
      <c r="D69" s="16">
        <v>150000</v>
      </c>
      <c r="E69" s="16">
        <v>19995</v>
      </c>
      <c r="F69" s="41">
        <f>SUM(D69:E69)</f>
        <v>169995</v>
      </c>
      <c r="G69" s="159">
        <v>50</v>
      </c>
      <c r="H69" s="209">
        <v>3399.9</v>
      </c>
      <c r="I69" s="97">
        <v>41</v>
      </c>
      <c r="J69" s="97">
        <f t="shared" si="6"/>
        <v>9</v>
      </c>
      <c r="K69" s="91">
        <f t="shared" ref="K69:K96" si="9">I69*H69</f>
        <v>139395.9</v>
      </c>
      <c r="L69" s="94">
        <f t="shared" si="7"/>
        <v>30599.100000000006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522</v>
      </c>
      <c r="C70" s="11" t="s">
        <v>334</v>
      </c>
      <c r="D70" s="19">
        <v>500000</v>
      </c>
      <c r="E70" s="19">
        <v>66650</v>
      </c>
      <c r="F70" s="19">
        <v>566650</v>
      </c>
      <c r="G70" s="159">
        <v>50</v>
      </c>
      <c r="H70" s="209">
        <v>11333</v>
      </c>
      <c r="I70" s="97">
        <v>18</v>
      </c>
      <c r="J70" s="97">
        <f t="shared" ref="J70:J101" si="10">G70-I70</f>
        <v>32</v>
      </c>
      <c r="K70" s="91">
        <f t="shared" si="9"/>
        <v>203994</v>
      </c>
      <c r="L70" s="91">
        <f t="shared" ref="L70:L101" si="11">F70-K70</f>
        <v>362656</v>
      </c>
      <c r="M70" s="122"/>
      <c r="N70" s="180" t="e">
        <f>#REF!-H70</f>
        <v>#REF!</v>
      </c>
    </row>
    <row r="71" spans="1:14" s="114" customFormat="1">
      <c r="A71" s="96">
        <v>66</v>
      </c>
      <c r="B71" s="96" t="s">
        <v>666</v>
      </c>
      <c r="C71" s="11" t="s">
        <v>494</v>
      </c>
      <c r="D71" s="19">
        <v>150000</v>
      </c>
      <c r="E71" s="19">
        <v>19995</v>
      </c>
      <c r="F71" s="19">
        <f>SUM(D71:E71)</f>
        <v>169995</v>
      </c>
      <c r="G71" s="159">
        <v>50</v>
      </c>
      <c r="H71" s="209">
        <v>3339.9</v>
      </c>
      <c r="I71" s="188">
        <v>4</v>
      </c>
      <c r="J71" s="97">
        <f t="shared" si="10"/>
        <v>46</v>
      </c>
      <c r="K71" s="91">
        <f t="shared" si="9"/>
        <v>13359.6</v>
      </c>
      <c r="L71" s="94">
        <f t="shared" si="11"/>
        <v>156635.4</v>
      </c>
      <c r="M71" s="214"/>
      <c r="N71" s="180" t="e">
        <f>#REF!-H71</f>
        <v>#REF!</v>
      </c>
    </row>
    <row r="72" spans="1:14" s="114" customFormat="1">
      <c r="A72" s="96">
        <v>67</v>
      </c>
      <c r="B72" s="96" t="s">
        <v>686</v>
      </c>
      <c r="C72" s="11" t="s">
        <v>335</v>
      </c>
      <c r="D72" s="16">
        <v>500000</v>
      </c>
      <c r="E72" s="16">
        <v>66650</v>
      </c>
      <c r="F72" s="41">
        <f>SUM(D72:E72)</f>
        <v>566650</v>
      </c>
      <c r="G72" s="159">
        <v>50</v>
      </c>
      <c r="H72" s="209">
        <v>11333</v>
      </c>
      <c r="I72" s="97">
        <v>31</v>
      </c>
      <c r="J72" s="97">
        <f t="shared" si="10"/>
        <v>19</v>
      </c>
      <c r="K72" s="91">
        <f t="shared" si="9"/>
        <v>351323</v>
      </c>
      <c r="L72" s="94">
        <f t="shared" si="11"/>
        <v>215327</v>
      </c>
      <c r="M72" s="11"/>
      <c r="N72" s="180" t="e">
        <f>#REF!-H72</f>
        <v>#REF!</v>
      </c>
    </row>
    <row r="73" spans="1:14" s="114" customFormat="1">
      <c r="A73" s="96">
        <v>68</v>
      </c>
      <c r="B73" s="96" t="s">
        <v>530</v>
      </c>
      <c r="C73" s="11" t="s">
        <v>336</v>
      </c>
      <c r="D73" s="16">
        <v>500000</v>
      </c>
      <c r="E73" s="16">
        <v>66650</v>
      </c>
      <c r="F73" s="16">
        <v>566650</v>
      </c>
      <c r="G73" s="159">
        <v>50</v>
      </c>
      <c r="H73" s="209">
        <v>11333</v>
      </c>
      <c r="I73" s="97">
        <v>31</v>
      </c>
      <c r="J73" s="97">
        <f t="shared" si="10"/>
        <v>19</v>
      </c>
      <c r="K73" s="91">
        <f t="shared" si="9"/>
        <v>351323</v>
      </c>
      <c r="L73" s="94">
        <f t="shared" si="11"/>
        <v>215327</v>
      </c>
      <c r="M73" s="11"/>
      <c r="N73" s="180" t="e">
        <f>#REF!-H73</f>
        <v>#REF!</v>
      </c>
    </row>
    <row r="74" spans="1:14" s="114" customFormat="1">
      <c r="A74" s="96">
        <v>69</v>
      </c>
      <c r="B74" s="96" t="s">
        <v>544</v>
      </c>
      <c r="C74" s="11" t="s">
        <v>287</v>
      </c>
      <c r="D74" s="16">
        <v>450000</v>
      </c>
      <c r="E74" s="16">
        <v>59985</v>
      </c>
      <c r="F74" s="16">
        <v>509985</v>
      </c>
      <c r="G74" s="159">
        <v>50</v>
      </c>
      <c r="H74" s="209">
        <v>10199.700000000001</v>
      </c>
      <c r="I74" s="97">
        <v>25</v>
      </c>
      <c r="J74" s="97">
        <f t="shared" si="10"/>
        <v>25</v>
      </c>
      <c r="K74" s="91">
        <f t="shared" si="9"/>
        <v>254992.50000000003</v>
      </c>
      <c r="L74" s="94">
        <f t="shared" si="11"/>
        <v>254992.49999999997</v>
      </c>
      <c r="M74" s="122"/>
      <c r="N74" s="180" t="e">
        <f>#REF!-H74</f>
        <v>#REF!</v>
      </c>
    </row>
    <row r="75" spans="1:14" s="114" customFormat="1">
      <c r="A75" s="96">
        <v>70</v>
      </c>
      <c r="B75" s="96" t="s">
        <v>651</v>
      </c>
      <c r="C75" s="11" t="s">
        <v>366</v>
      </c>
      <c r="D75" s="16">
        <v>450000</v>
      </c>
      <c r="E75" s="16">
        <v>59985</v>
      </c>
      <c r="F75" s="41">
        <f>SUM(D75:E75)</f>
        <v>509985</v>
      </c>
      <c r="G75" s="159">
        <v>50</v>
      </c>
      <c r="H75" s="209">
        <v>10199.700000000001</v>
      </c>
      <c r="I75" s="97">
        <v>37</v>
      </c>
      <c r="J75" s="97">
        <f t="shared" si="10"/>
        <v>13</v>
      </c>
      <c r="K75" s="91">
        <f t="shared" si="9"/>
        <v>377388.9</v>
      </c>
      <c r="L75" s="94">
        <f t="shared" si="11"/>
        <v>132596.09999999998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555</v>
      </c>
      <c r="C76" s="11" t="s">
        <v>337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09">
        <v>11333</v>
      </c>
      <c r="I76" s="97">
        <v>32</v>
      </c>
      <c r="J76" s="97">
        <f t="shared" si="10"/>
        <v>18</v>
      </c>
      <c r="K76" s="91">
        <f t="shared" si="9"/>
        <v>362656</v>
      </c>
      <c r="L76" s="94">
        <f t="shared" si="11"/>
        <v>203994</v>
      </c>
      <c r="M76" s="11"/>
      <c r="N76" s="180" t="e">
        <f>#REF!-H76</f>
        <v>#REF!</v>
      </c>
    </row>
    <row r="77" spans="1:14" s="114" customFormat="1">
      <c r="A77" s="96">
        <v>72</v>
      </c>
      <c r="B77" s="96" t="s">
        <v>571</v>
      </c>
      <c r="C77" s="11" t="s">
        <v>865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209">
        <v>11333</v>
      </c>
      <c r="I77" s="97">
        <v>32</v>
      </c>
      <c r="J77" s="97">
        <f t="shared" si="10"/>
        <v>18</v>
      </c>
      <c r="K77" s="91">
        <f t="shared" si="9"/>
        <v>362656</v>
      </c>
      <c r="L77" s="94">
        <f t="shared" si="11"/>
        <v>203994</v>
      </c>
      <c r="M77" s="11"/>
      <c r="N77" s="180" t="e">
        <f>#REF!-H77</f>
        <v>#REF!</v>
      </c>
    </row>
    <row r="78" spans="1:14" s="114" customFormat="1">
      <c r="A78" s="96">
        <v>73</v>
      </c>
      <c r="B78" s="11" t="s">
        <v>707</v>
      </c>
      <c r="C78" s="11" t="s">
        <v>855</v>
      </c>
      <c r="D78" s="16">
        <v>500000</v>
      </c>
      <c r="E78" s="16">
        <v>66650</v>
      </c>
      <c r="F78" s="16">
        <v>566650</v>
      </c>
      <c r="G78" s="159">
        <v>50</v>
      </c>
      <c r="H78" s="254">
        <v>11333</v>
      </c>
      <c r="I78" s="96">
        <v>31</v>
      </c>
      <c r="J78" s="97">
        <f t="shared" si="10"/>
        <v>19</v>
      </c>
      <c r="K78" s="91">
        <f t="shared" si="9"/>
        <v>351323</v>
      </c>
      <c r="L78" s="94">
        <f t="shared" si="11"/>
        <v>215327</v>
      </c>
      <c r="M78" s="11"/>
      <c r="N78" s="180" t="e">
        <f>#REF!-H78</f>
        <v>#REF!</v>
      </c>
    </row>
    <row r="79" spans="1:14" s="114" customFormat="1">
      <c r="A79" s="96">
        <v>74</v>
      </c>
      <c r="B79" s="96" t="s">
        <v>598</v>
      </c>
      <c r="C79" s="11" t="s">
        <v>338</v>
      </c>
      <c r="D79" s="16">
        <v>500000</v>
      </c>
      <c r="E79" s="16">
        <v>66650</v>
      </c>
      <c r="F79" s="41">
        <f>SUM(D79:E79)</f>
        <v>566650</v>
      </c>
      <c r="G79" s="159">
        <v>50</v>
      </c>
      <c r="H79" s="209">
        <v>11333</v>
      </c>
      <c r="I79" s="97">
        <v>53</v>
      </c>
      <c r="J79" s="97">
        <f t="shared" si="10"/>
        <v>-3</v>
      </c>
      <c r="K79" s="91">
        <f t="shared" si="9"/>
        <v>600649</v>
      </c>
      <c r="L79" s="94">
        <f t="shared" si="11"/>
        <v>-33999</v>
      </c>
      <c r="M79" s="11"/>
      <c r="N79" s="180" t="e">
        <f>#REF!-H79</f>
        <v>#REF!</v>
      </c>
    </row>
    <row r="80" spans="1:14" s="114" customFormat="1">
      <c r="A80" s="96">
        <v>75</v>
      </c>
      <c r="B80" s="96" t="s">
        <v>551</v>
      </c>
      <c r="C80" s="11" t="s">
        <v>339</v>
      </c>
      <c r="D80" s="19">
        <v>500000</v>
      </c>
      <c r="E80" s="19">
        <v>66650</v>
      </c>
      <c r="F80" s="19">
        <v>566650</v>
      </c>
      <c r="G80" s="159">
        <v>50</v>
      </c>
      <c r="H80" s="209">
        <v>11333</v>
      </c>
      <c r="I80" s="97">
        <v>18</v>
      </c>
      <c r="J80" s="97">
        <f t="shared" si="10"/>
        <v>32</v>
      </c>
      <c r="K80" s="91">
        <f t="shared" si="9"/>
        <v>203994</v>
      </c>
      <c r="L80" s="91">
        <f t="shared" si="11"/>
        <v>362656</v>
      </c>
      <c r="M80" s="11"/>
      <c r="N80" s="180" t="e">
        <f>#REF!-H80</f>
        <v>#REF!</v>
      </c>
    </row>
    <row r="81" spans="1:14" s="114" customFormat="1">
      <c r="A81" s="96">
        <v>76</v>
      </c>
      <c r="B81" s="96" t="s">
        <v>569</v>
      </c>
      <c r="C81" s="11" t="s">
        <v>340</v>
      </c>
      <c r="D81" s="16">
        <v>500000</v>
      </c>
      <c r="E81" s="16">
        <v>66650</v>
      </c>
      <c r="F81" s="41">
        <f>SUM(D81:E81)</f>
        <v>566650</v>
      </c>
      <c r="G81" s="159">
        <v>50</v>
      </c>
      <c r="H81" s="209">
        <v>11333</v>
      </c>
      <c r="I81" s="97">
        <v>32</v>
      </c>
      <c r="J81" s="97">
        <f t="shared" si="10"/>
        <v>18</v>
      </c>
      <c r="K81" s="91">
        <f t="shared" si="9"/>
        <v>362656</v>
      </c>
      <c r="L81" s="94">
        <f t="shared" si="11"/>
        <v>203994</v>
      </c>
      <c r="M81" s="11"/>
      <c r="N81" s="180" t="e">
        <f>#REF!-H81</f>
        <v>#REF!</v>
      </c>
    </row>
    <row r="82" spans="1:14" s="114" customFormat="1">
      <c r="A82" s="96">
        <v>77</v>
      </c>
      <c r="B82" s="96" t="s">
        <v>518</v>
      </c>
      <c r="C82" s="11" t="s">
        <v>341</v>
      </c>
      <c r="D82" s="19">
        <v>500000</v>
      </c>
      <c r="E82" s="19">
        <v>66650</v>
      </c>
      <c r="F82" s="19">
        <v>566650</v>
      </c>
      <c r="G82" s="159">
        <v>50</v>
      </c>
      <c r="H82" s="209">
        <v>11333</v>
      </c>
      <c r="I82" s="97">
        <v>18</v>
      </c>
      <c r="J82" s="97">
        <f t="shared" si="10"/>
        <v>32</v>
      </c>
      <c r="K82" s="91">
        <f t="shared" si="9"/>
        <v>203994</v>
      </c>
      <c r="L82" s="91">
        <f t="shared" si="11"/>
        <v>362656</v>
      </c>
      <c r="M82" s="122"/>
      <c r="N82" s="180" t="e">
        <f>#REF!-H82</f>
        <v>#REF!</v>
      </c>
    </row>
    <row r="83" spans="1:14" s="114" customFormat="1">
      <c r="A83" s="96">
        <v>78</v>
      </c>
      <c r="B83" s="96" t="s">
        <v>655</v>
      </c>
      <c r="C83" s="11" t="s">
        <v>367</v>
      </c>
      <c r="D83" s="16">
        <v>450000</v>
      </c>
      <c r="E83" s="16">
        <v>59985</v>
      </c>
      <c r="F83" s="41">
        <f>SUM(D83:E83)</f>
        <v>509985</v>
      </c>
      <c r="G83" s="159">
        <v>50</v>
      </c>
      <c r="H83" s="209">
        <v>10199.700000000001</v>
      </c>
      <c r="I83" s="97">
        <v>32</v>
      </c>
      <c r="J83" s="97">
        <f t="shared" si="10"/>
        <v>18</v>
      </c>
      <c r="K83" s="91">
        <f t="shared" si="9"/>
        <v>326390.40000000002</v>
      </c>
      <c r="L83" s="94">
        <f t="shared" si="11"/>
        <v>183594.59999999998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553</v>
      </c>
      <c r="C84" s="11" t="s">
        <v>342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09">
        <v>11333</v>
      </c>
      <c r="I84" s="97">
        <v>53</v>
      </c>
      <c r="J84" s="97">
        <f t="shared" si="10"/>
        <v>-3</v>
      </c>
      <c r="K84" s="91">
        <f t="shared" si="9"/>
        <v>600649</v>
      </c>
      <c r="L84" s="94">
        <f t="shared" si="11"/>
        <v>-33999</v>
      </c>
      <c r="M84" s="11"/>
      <c r="N84" s="180" t="e">
        <f>#REF!-H84</f>
        <v>#REF!</v>
      </c>
    </row>
    <row r="85" spans="1:14" s="114" customFormat="1">
      <c r="A85" s="96">
        <v>80</v>
      </c>
      <c r="B85" s="96" t="s">
        <v>536</v>
      </c>
      <c r="C85" s="11" t="s">
        <v>343</v>
      </c>
      <c r="D85" s="12">
        <v>500000</v>
      </c>
      <c r="E85" s="12">
        <v>66650</v>
      </c>
      <c r="F85" s="15">
        <f>SUM(D85:E85)</f>
        <v>566650</v>
      </c>
      <c r="G85" s="14">
        <v>50</v>
      </c>
      <c r="H85" s="256">
        <v>11333</v>
      </c>
      <c r="I85" s="14">
        <v>37</v>
      </c>
      <c r="J85" s="97">
        <f t="shared" si="10"/>
        <v>13</v>
      </c>
      <c r="K85" s="91">
        <f t="shared" si="9"/>
        <v>419321</v>
      </c>
      <c r="L85" s="15">
        <f t="shared" si="11"/>
        <v>147329</v>
      </c>
      <c r="M85" s="8"/>
      <c r="N85" s="180" t="e">
        <f>#REF!-H85</f>
        <v>#REF!</v>
      </c>
    </row>
    <row r="86" spans="1:14" s="114" customFormat="1">
      <c r="A86" s="96">
        <v>81</v>
      </c>
      <c r="B86" s="96" t="s">
        <v>550</v>
      </c>
      <c r="C86" s="11" t="s">
        <v>867</v>
      </c>
      <c r="D86" s="16">
        <v>500000</v>
      </c>
      <c r="E86" s="16">
        <v>66650</v>
      </c>
      <c r="F86" s="41">
        <f>SUM(D86:E86)</f>
        <v>566650</v>
      </c>
      <c r="G86" s="159">
        <v>50</v>
      </c>
      <c r="H86" s="209">
        <v>11333</v>
      </c>
      <c r="I86" s="97">
        <v>40</v>
      </c>
      <c r="J86" s="97">
        <f t="shared" si="10"/>
        <v>10</v>
      </c>
      <c r="K86" s="91">
        <f t="shared" si="9"/>
        <v>453320</v>
      </c>
      <c r="L86" s="94">
        <f t="shared" si="11"/>
        <v>113330</v>
      </c>
      <c r="M86" s="11"/>
      <c r="N86" s="180" t="e">
        <f>#REF!-H86</f>
        <v>#REF!</v>
      </c>
    </row>
    <row r="87" spans="1:14" s="114" customFormat="1">
      <c r="A87" s="96">
        <v>82</v>
      </c>
      <c r="B87" s="96" t="s">
        <v>596</v>
      </c>
      <c r="C87" s="11" t="s">
        <v>345</v>
      </c>
      <c r="D87" s="19">
        <v>500000</v>
      </c>
      <c r="E87" s="19">
        <v>66650</v>
      </c>
      <c r="F87" s="19">
        <v>566650</v>
      </c>
      <c r="G87" s="159">
        <v>50</v>
      </c>
      <c r="H87" s="209">
        <v>11333</v>
      </c>
      <c r="I87" s="97">
        <v>18</v>
      </c>
      <c r="J87" s="97">
        <f t="shared" si="10"/>
        <v>32</v>
      </c>
      <c r="K87" s="91">
        <f t="shared" si="9"/>
        <v>203994</v>
      </c>
      <c r="L87" s="91">
        <f t="shared" si="11"/>
        <v>362656</v>
      </c>
      <c r="M87" s="122"/>
      <c r="N87" s="180" t="e">
        <f>#REF!-H87</f>
        <v>#REF!</v>
      </c>
    </row>
    <row r="88" spans="1:14" s="114" customFormat="1">
      <c r="A88" s="96">
        <v>83</v>
      </c>
      <c r="B88" s="96" t="s">
        <v>607</v>
      </c>
      <c r="C88" s="11" t="s">
        <v>99</v>
      </c>
      <c r="D88" s="16">
        <v>450000</v>
      </c>
      <c r="E88" s="16">
        <v>59985</v>
      </c>
      <c r="F88" s="41">
        <f>SUM(D88:E88)</f>
        <v>509985</v>
      </c>
      <c r="G88" s="159">
        <v>50</v>
      </c>
      <c r="H88" s="209">
        <v>10199.700000000001</v>
      </c>
      <c r="I88" s="159">
        <v>41</v>
      </c>
      <c r="J88" s="97">
        <f t="shared" si="10"/>
        <v>9</v>
      </c>
      <c r="K88" s="91">
        <f t="shared" si="9"/>
        <v>418187.7</v>
      </c>
      <c r="L88" s="94">
        <f t="shared" si="11"/>
        <v>91797.299999999988</v>
      </c>
      <c r="M88" s="11"/>
      <c r="N88" s="180" t="e">
        <f>#REF!-H88</f>
        <v>#REF!</v>
      </c>
    </row>
    <row r="89" spans="1:14" s="114" customFormat="1">
      <c r="A89" s="96">
        <v>84</v>
      </c>
      <c r="B89" s="8" t="s">
        <v>868</v>
      </c>
      <c r="C89" s="11" t="s">
        <v>851</v>
      </c>
      <c r="D89" s="19">
        <v>150000</v>
      </c>
      <c r="E89" s="19">
        <v>19995</v>
      </c>
      <c r="F89" s="19">
        <f>SUM(D89:E89)</f>
        <v>169995</v>
      </c>
      <c r="G89" s="159">
        <v>50</v>
      </c>
      <c r="H89" s="254">
        <v>3399.9</v>
      </c>
      <c r="I89" s="159">
        <v>2</v>
      </c>
      <c r="J89" s="97">
        <f t="shared" si="10"/>
        <v>48</v>
      </c>
      <c r="K89" s="91">
        <f t="shared" si="9"/>
        <v>6799.8</v>
      </c>
      <c r="L89" s="94">
        <f t="shared" si="11"/>
        <v>163195.20000000001</v>
      </c>
      <c r="M89" s="11"/>
    </row>
    <row r="90" spans="1:14" s="114" customFormat="1">
      <c r="A90" s="96">
        <v>85</v>
      </c>
      <c r="B90" s="96" t="s">
        <v>642</v>
      </c>
      <c r="C90" s="11" t="s">
        <v>444</v>
      </c>
      <c r="D90" s="16">
        <v>500000</v>
      </c>
      <c r="E90" s="16">
        <v>66650</v>
      </c>
      <c r="F90" s="16">
        <v>566650</v>
      </c>
      <c r="G90" s="159">
        <v>50</v>
      </c>
      <c r="H90" s="253">
        <v>11333</v>
      </c>
      <c r="I90" s="101">
        <v>6</v>
      </c>
      <c r="J90" s="97">
        <f t="shared" si="10"/>
        <v>44</v>
      </c>
      <c r="K90" s="91">
        <f t="shared" si="9"/>
        <v>67998</v>
      </c>
      <c r="L90" s="94">
        <f t="shared" si="11"/>
        <v>498652</v>
      </c>
      <c r="M90" s="218"/>
      <c r="N90" s="180" t="e">
        <f>#REF!-H90</f>
        <v>#REF!</v>
      </c>
    </row>
    <row r="91" spans="1:14" s="114" customFormat="1">
      <c r="A91" s="96">
        <v>86</v>
      </c>
      <c r="B91" s="96" t="s">
        <v>661</v>
      </c>
      <c r="C91" s="11" t="s">
        <v>346</v>
      </c>
      <c r="D91" s="19">
        <v>500000</v>
      </c>
      <c r="E91" s="19">
        <v>66650</v>
      </c>
      <c r="F91" s="19">
        <v>566650</v>
      </c>
      <c r="G91" s="159">
        <v>50</v>
      </c>
      <c r="H91" s="209">
        <v>11333</v>
      </c>
      <c r="I91" s="97">
        <v>17</v>
      </c>
      <c r="J91" s="97">
        <f t="shared" si="10"/>
        <v>33</v>
      </c>
      <c r="K91" s="91">
        <f t="shared" si="9"/>
        <v>192661</v>
      </c>
      <c r="L91" s="91">
        <f t="shared" si="11"/>
        <v>373989</v>
      </c>
      <c r="M91" s="11"/>
      <c r="N91" s="180" t="e">
        <f>#REF!-H91</f>
        <v>#REF!</v>
      </c>
    </row>
    <row r="92" spans="1:14" s="114" customFormat="1">
      <c r="A92" s="96">
        <v>87</v>
      </c>
      <c r="B92" s="8" t="s">
        <v>723</v>
      </c>
      <c r="C92" s="132" t="s">
        <v>861</v>
      </c>
      <c r="D92" s="16">
        <v>500000</v>
      </c>
      <c r="E92" s="16">
        <v>66650</v>
      </c>
      <c r="F92" s="41">
        <f>SUM(D92:E92)</f>
        <v>566650</v>
      </c>
      <c r="G92" s="159">
        <v>50</v>
      </c>
      <c r="H92" s="254">
        <v>11333</v>
      </c>
      <c r="I92" s="159">
        <v>2</v>
      </c>
      <c r="J92" s="97">
        <f t="shared" si="10"/>
        <v>48</v>
      </c>
      <c r="K92" s="91">
        <f t="shared" si="9"/>
        <v>22666</v>
      </c>
      <c r="L92" s="94">
        <f t="shared" si="11"/>
        <v>543984</v>
      </c>
      <c r="M92" s="11"/>
    </row>
    <row r="93" spans="1:14" s="114" customFormat="1">
      <c r="A93" s="96">
        <v>88</v>
      </c>
      <c r="B93" s="96" t="s">
        <v>719</v>
      </c>
      <c r="C93" s="11" t="s">
        <v>487</v>
      </c>
      <c r="D93" s="16">
        <v>500000</v>
      </c>
      <c r="E93" s="16">
        <v>66650</v>
      </c>
      <c r="F93" s="16">
        <v>566650</v>
      </c>
      <c r="G93" s="159">
        <v>50</v>
      </c>
      <c r="H93" s="209">
        <v>11333</v>
      </c>
      <c r="I93" s="101">
        <v>6</v>
      </c>
      <c r="J93" s="97">
        <f t="shared" si="10"/>
        <v>44</v>
      </c>
      <c r="K93" s="91">
        <f t="shared" si="9"/>
        <v>67998</v>
      </c>
      <c r="L93" s="94">
        <f t="shared" si="11"/>
        <v>498652</v>
      </c>
      <c r="M93" s="218"/>
      <c r="N93" s="180" t="e">
        <f>#REF!-H93</f>
        <v>#REF!</v>
      </c>
    </row>
    <row r="94" spans="1:14" s="114" customFormat="1">
      <c r="A94" s="96">
        <v>89</v>
      </c>
      <c r="B94" s="96" t="s">
        <v>668</v>
      </c>
      <c r="C94" s="11" t="s">
        <v>368</v>
      </c>
      <c r="D94" s="16">
        <v>450000</v>
      </c>
      <c r="E94" s="16">
        <v>59985</v>
      </c>
      <c r="F94" s="16">
        <v>509985</v>
      </c>
      <c r="G94" s="159">
        <v>50</v>
      </c>
      <c r="H94" s="209">
        <v>10199.700000000001</v>
      </c>
      <c r="I94" s="97">
        <v>17</v>
      </c>
      <c r="J94" s="97">
        <f t="shared" si="10"/>
        <v>33</v>
      </c>
      <c r="K94" s="91">
        <f t="shared" si="9"/>
        <v>173394.90000000002</v>
      </c>
      <c r="L94" s="91">
        <f t="shared" si="11"/>
        <v>336590.1</v>
      </c>
      <c r="M94" s="122"/>
      <c r="N94" s="180" t="e">
        <f>#REF!-H94</f>
        <v>#REF!</v>
      </c>
    </row>
    <row r="95" spans="1:14" s="114" customFormat="1">
      <c r="A95" s="96">
        <v>90</v>
      </c>
      <c r="B95" s="96" t="s">
        <v>594</v>
      </c>
      <c r="C95" s="11" t="s">
        <v>347</v>
      </c>
      <c r="D95" s="16">
        <v>500000</v>
      </c>
      <c r="E95" s="16">
        <v>66650</v>
      </c>
      <c r="F95" s="41">
        <f t="shared" ref="F95:F103" si="12">SUM(D95:E95)</f>
        <v>566650</v>
      </c>
      <c r="G95" s="159">
        <v>50</v>
      </c>
      <c r="H95" s="209">
        <v>11333</v>
      </c>
      <c r="I95" s="97">
        <v>32</v>
      </c>
      <c r="J95" s="97">
        <f t="shared" si="10"/>
        <v>18</v>
      </c>
      <c r="K95" s="91">
        <f t="shared" si="9"/>
        <v>362656</v>
      </c>
      <c r="L95" s="94">
        <f t="shared" si="11"/>
        <v>203994</v>
      </c>
      <c r="M95" s="11"/>
      <c r="N95" s="180" t="e">
        <f>#REF!-H95</f>
        <v>#REF!</v>
      </c>
    </row>
    <row r="96" spans="1:14" s="114" customFormat="1">
      <c r="A96" s="96">
        <v>91</v>
      </c>
      <c r="B96" s="96" t="s">
        <v>585</v>
      </c>
      <c r="C96" s="11" t="s">
        <v>348</v>
      </c>
      <c r="D96" s="161">
        <v>500000</v>
      </c>
      <c r="E96" s="161">
        <v>66650</v>
      </c>
      <c r="F96" s="162">
        <f t="shared" si="12"/>
        <v>566650</v>
      </c>
      <c r="G96" s="96">
        <v>50</v>
      </c>
      <c r="H96" s="209">
        <v>11333</v>
      </c>
      <c r="I96" s="97">
        <v>32</v>
      </c>
      <c r="J96" s="97">
        <f t="shared" si="10"/>
        <v>18</v>
      </c>
      <c r="K96" s="146">
        <f t="shared" si="9"/>
        <v>362656</v>
      </c>
      <c r="L96" s="164">
        <f t="shared" si="11"/>
        <v>203994</v>
      </c>
      <c r="M96" s="123"/>
      <c r="N96" s="180" t="e">
        <f>#REF!-H96</f>
        <v>#REF!</v>
      </c>
    </row>
    <row r="97" spans="1:14" s="114" customFormat="1">
      <c r="A97" s="96">
        <v>92</v>
      </c>
      <c r="B97" s="96" t="s">
        <v>647</v>
      </c>
      <c r="C97" s="11" t="s">
        <v>349</v>
      </c>
      <c r="D97" s="16">
        <v>500000</v>
      </c>
      <c r="E97" s="16">
        <v>66650</v>
      </c>
      <c r="F97" s="41">
        <f t="shared" si="12"/>
        <v>566650</v>
      </c>
      <c r="G97" s="159">
        <v>50</v>
      </c>
      <c r="H97" s="209">
        <v>11333</v>
      </c>
      <c r="I97" s="97">
        <v>10</v>
      </c>
      <c r="J97" s="97">
        <f t="shared" si="10"/>
        <v>40</v>
      </c>
      <c r="K97" s="156">
        <f>(1*11333)</f>
        <v>11333</v>
      </c>
      <c r="L97" s="91">
        <f t="shared" si="11"/>
        <v>555317</v>
      </c>
      <c r="M97" s="122"/>
      <c r="N97" s="180" t="e">
        <f>#REF!-H97</f>
        <v>#REF!</v>
      </c>
    </row>
    <row r="98" spans="1:14" s="114" customFormat="1">
      <c r="A98" s="96">
        <v>93</v>
      </c>
      <c r="B98" s="96" t="s">
        <v>600</v>
      </c>
      <c r="C98" s="11" t="s">
        <v>369</v>
      </c>
      <c r="D98" s="16">
        <v>450000</v>
      </c>
      <c r="E98" s="16">
        <v>59985</v>
      </c>
      <c r="F98" s="41">
        <f t="shared" si="12"/>
        <v>509985</v>
      </c>
      <c r="G98" s="159">
        <v>50</v>
      </c>
      <c r="H98" s="209">
        <v>10199.700000000001</v>
      </c>
      <c r="I98" s="97">
        <v>31</v>
      </c>
      <c r="J98" s="97">
        <f t="shared" si="10"/>
        <v>19</v>
      </c>
      <c r="K98" s="91">
        <f>I98*H98</f>
        <v>316190.7</v>
      </c>
      <c r="L98" s="94">
        <f t="shared" si="11"/>
        <v>193794.3</v>
      </c>
      <c r="M98" s="11"/>
      <c r="N98" s="180" t="e">
        <f>#REF!-H98</f>
        <v>#REF!</v>
      </c>
    </row>
    <row r="99" spans="1:14" s="114" customFormat="1">
      <c r="A99" s="96">
        <v>94</v>
      </c>
      <c r="B99" s="96" t="s">
        <v>546</v>
      </c>
      <c r="C99" s="11" t="s">
        <v>296</v>
      </c>
      <c r="D99" s="19">
        <v>330000</v>
      </c>
      <c r="E99" s="19">
        <v>43989</v>
      </c>
      <c r="F99" s="19">
        <f t="shared" si="12"/>
        <v>373989</v>
      </c>
      <c r="G99" s="159">
        <v>40</v>
      </c>
      <c r="H99" s="209">
        <v>9129.7800000000007</v>
      </c>
      <c r="I99" s="159">
        <v>6</v>
      </c>
      <c r="J99" s="97">
        <f t="shared" si="10"/>
        <v>34</v>
      </c>
      <c r="K99" s="91">
        <f>I99*H99</f>
        <v>54778.680000000008</v>
      </c>
      <c r="L99" s="94">
        <f t="shared" si="11"/>
        <v>319210.32</v>
      </c>
      <c r="M99" s="214"/>
      <c r="N99" s="180" t="e">
        <f>#REF!-H99</f>
        <v>#REF!</v>
      </c>
    </row>
    <row r="100" spans="1:14" s="114" customFormat="1">
      <c r="A100" s="96">
        <v>95</v>
      </c>
      <c r="B100" s="96" t="s">
        <v>638</v>
      </c>
      <c r="C100" s="11" t="s">
        <v>350</v>
      </c>
      <c r="D100" s="16">
        <v>500000</v>
      </c>
      <c r="E100" s="16">
        <v>66650</v>
      </c>
      <c r="F100" s="41">
        <f t="shared" si="12"/>
        <v>566650</v>
      </c>
      <c r="G100" s="159">
        <v>50</v>
      </c>
      <c r="H100" s="209">
        <v>11333</v>
      </c>
      <c r="I100" s="97">
        <v>10</v>
      </c>
      <c r="J100" s="97">
        <f t="shared" si="10"/>
        <v>40</v>
      </c>
      <c r="K100" s="156">
        <f>(1*11333)</f>
        <v>11333</v>
      </c>
      <c r="L100" s="91">
        <f t="shared" si="11"/>
        <v>555317</v>
      </c>
      <c r="M100" s="11"/>
      <c r="N100" s="180" t="e">
        <f>#REF!-H100</f>
        <v>#REF!</v>
      </c>
    </row>
    <row r="101" spans="1:14" s="114" customFormat="1">
      <c r="A101" s="96">
        <v>96</v>
      </c>
      <c r="B101" s="96" t="s">
        <v>629</v>
      </c>
      <c r="C101" s="11" t="s">
        <v>378</v>
      </c>
      <c r="D101" s="12">
        <v>330000</v>
      </c>
      <c r="E101" s="12">
        <v>43989</v>
      </c>
      <c r="F101" s="15">
        <f t="shared" si="12"/>
        <v>373989</v>
      </c>
      <c r="G101" s="14">
        <v>50</v>
      </c>
      <c r="H101" s="146">
        <v>7479.78</v>
      </c>
      <c r="I101" s="14">
        <v>37</v>
      </c>
      <c r="J101" s="97">
        <f t="shared" si="10"/>
        <v>13</v>
      </c>
      <c r="K101" s="91">
        <f t="shared" ref="K101:K125" si="13">I101*H101</f>
        <v>276751.86</v>
      </c>
      <c r="L101" s="15">
        <f t="shared" si="11"/>
        <v>97237.140000000014</v>
      </c>
      <c r="M101" s="8"/>
      <c r="N101" s="180" t="e">
        <f>#REF!-H101</f>
        <v>#REF!</v>
      </c>
    </row>
    <row r="102" spans="1:14" s="114" customFormat="1">
      <c r="A102" s="96">
        <v>97</v>
      </c>
      <c r="B102" s="96" t="s">
        <v>645</v>
      </c>
      <c r="C102" s="11" t="s">
        <v>351</v>
      </c>
      <c r="D102" s="16">
        <v>500000</v>
      </c>
      <c r="E102" s="16">
        <v>66650</v>
      </c>
      <c r="F102" s="41">
        <f t="shared" si="12"/>
        <v>566650</v>
      </c>
      <c r="G102" s="159">
        <v>50</v>
      </c>
      <c r="H102" s="209">
        <v>11333</v>
      </c>
      <c r="I102" s="97">
        <v>31</v>
      </c>
      <c r="J102" s="97">
        <f t="shared" ref="J102:J125" si="14">G102-I102</f>
        <v>19</v>
      </c>
      <c r="K102" s="91">
        <f t="shared" si="13"/>
        <v>351323</v>
      </c>
      <c r="L102" s="94">
        <f t="shared" ref="L102:L124" si="15">F102-K102</f>
        <v>215327</v>
      </c>
      <c r="M102" s="11"/>
      <c r="N102" s="180" t="e">
        <f>#REF!-H102</f>
        <v>#REF!</v>
      </c>
    </row>
    <row r="103" spans="1:14" s="114" customFormat="1">
      <c r="A103" s="96">
        <v>98</v>
      </c>
      <c r="B103" s="96" t="s">
        <v>540</v>
      </c>
      <c r="C103" s="11" t="s">
        <v>300</v>
      </c>
      <c r="D103" s="16">
        <v>500000</v>
      </c>
      <c r="E103" s="16">
        <v>66650</v>
      </c>
      <c r="F103" s="41">
        <f t="shared" si="12"/>
        <v>566650</v>
      </c>
      <c r="G103" s="159">
        <v>50</v>
      </c>
      <c r="H103" s="209">
        <v>11333</v>
      </c>
      <c r="I103" s="97">
        <v>36</v>
      </c>
      <c r="J103" s="97">
        <f t="shared" si="14"/>
        <v>14</v>
      </c>
      <c r="K103" s="91">
        <f t="shared" si="13"/>
        <v>407988</v>
      </c>
      <c r="L103" s="94">
        <f t="shared" si="15"/>
        <v>158662</v>
      </c>
      <c r="M103" s="11"/>
      <c r="N103" s="180" t="e">
        <f>#REF!-H103</f>
        <v>#REF!</v>
      </c>
    </row>
    <row r="104" spans="1:14" s="114" customFormat="1">
      <c r="A104" s="96">
        <v>99</v>
      </c>
      <c r="B104" s="8" t="s">
        <v>628</v>
      </c>
      <c r="C104" s="11" t="s">
        <v>858</v>
      </c>
      <c r="D104" s="19">
        <v>450000</v>
      </c>
      <c r="E104" s="19">
        <v>59985</v>
      </c>
      <c r="F104" s="19">
        <v>509985</v>
      </c>
      <c r="G104" s="159">
        <v>50</v>
      </c>
      <c r="H104" s="254">
        <v>10199.700000000001</v>
      </c>
      <c r="I104" s="159">
        <v>2</v>
      </c>
      <c r="J104" s="97">
        <f t="shared" si="14"/>
        <v>48</v>
      </c>
      <c r="K104" s="91">
        <f t="shared" si="13"/>
        <v>20399.400000000001</v>
      </c>
      <c r="L104" s="94">
        <f t="shared" si="15"/>
        <v>489585.6</v>
      </c>
      <c r="M104" s="11"/>
    </row>
    <row r="105" spans="1:14" s="114" customFormat="1">
      <c r="A105" s="96">
        <v>100</v>
      </c>
      <c r="B105" s="96" t="s">
        <v>548</v>
      </c>
      <c r="C105" s="11" t="s">
        <v>379</v>
      </c>
      <c r="D105" s="12">
        <v>330000</v>
      </c>
      <c r="E105" s="12">
        <v>43989</v>
      </c>
      <c r="F105" s="15">
        <f>SUM(D105:E105)</f>
        <v>373989</v>
      </c>
      <c r="G105" s="14">
        <v>50</v>
      </c>
      <c r="H105" s="146">
        <v>7479.78</v>
      </c>
      <c r="I105" s="14">
        <v>37</v>
      </c>
      <c r="J105" s="97">
        <f t="shared" si="14"/>
        <v>13</v>
      </c>
      <c r="K105" s="91">
        <f t="shared" si="13"/>
        <v>276751.86</v>
      </c>
      <c r="L105" s="15">
        <f t="shared" si="15"/>
        <v>97237.140000000014</v>
      </c>
      <c r="M105" s="8"/>
      <c r="N105" s="180" t="e">
        <f>#REF!-H105</f>
        <v>#REF!</v>
      </c>
    </row>
    <row r="106" spans="1:14" s="114" customFormat="1">
      <c r="A106" s="96">
        <v>101</v>
      </c>
      <c r="B106" s="96" t="s">
        <v>501</v>
      </c>
      <c r="C106" s="11" t="s">
        <v>488</v>
      </c>
      <c r="D106" s="16">
        <v>500000</v>
      </c>
      <c r="E106" s="16">
        <v>66650</v>
      </c>
      <c r="F106" s="16">
        <v>566650</v>
      </c>
      <c r="G106" s="159">
        <v>50</v>
      </c>
      <c r="H106" s="203">
        <v>11333</v>
      </c>
      <c r="I106" s="159">
        <v>6</v>
      </c>
      <c r="J106" s="97">
        <f t="shared" si="14"/>
        <v>44</v>
      </c>
      <c r="K106" s="91">
        <f t="shared" si="13"/>
        <v>67998</v>
      </c>
      <c r="L106" s="94">
        <f t="shared" si="15"/>
        <v>498652</v>
      </c>
      <c r="M106" s="214"/>
      <c r="N106" s="180" t="e">
        <f>#REF!-H106</f>
        <v>#REF!</v>
      </c>
    </row>
    <row r="107" spans="1:14" s="114" customFormat="1">
      <c r="A107" s="96">
        <v>102</v>
      </c>
      <c r="B107" s="96" t="s">
        <v>514</v>
      </c>
      <c r="C107" s="11" t="s">
        <v>87</v>
      </c>
      <c r="D107" s="16">
        <v>500000</v>
      </c>
      <c r="E107" s="16">
        <v>66650</v>
      </c>
      <c r="F107" s="41">
        <f>SUM(D107:E107)</f>
        <v>566650</v>
      </c>
      <c r="G107" s="159">
        <v>50</v>
      </c>
      <c r="H107" s="209">
        <v>11333</v>
      </c>
      <c r="I107" s="97">
        <v>53</v>
      </c>
      <c r="J107" s="97">
        <f t="shared" si="14"/>
        <v>-3</v>
      </c>
      <c r="K107" s="91">
        <f t="shared" si="13"/>
        <v>600649</v>
      </c>
      <c r="L107" s="94">
        <f t="shared" si="15"/>
        <v>-33999</v>
      </c>
      <c r="M107" s="11"/>
      <c r="N107" s="180" t="e">
        <f>#REF!-H107</f>
        <v>#REF!</v>
      </c>
    </row>
    <row r="108" spans="1:14" s="114" customFormat="1">
      <c r="A108" s="96">
        <v>103</v>
      </c>
      <c r="B108" s="96" t="s">
        <v>557</v>
      </c>
      <c r="C108" s="11" t="s">
        <v>370</v>
      </c>
      <c r="D108" s="16">
        <v>450000</v>
      </c>
      <c r="E108" s="16">
        <v>59985</v>
      </c>
      <c r="F108" s="41">
        <f>SUM(D108:E108)</f>
        <v>509985</v>
      </c>
      <c r="G108" s="159">
        <v>50</v>
      </c>
      <c r="H108" s="209">
        <v>10199.700000000001</v>
      </c>
      <c r="I108" s="97">
        <v>32</v>
      </c>
      <c r="J108" s="97">
        <f t="shared" si="14"/>
        <v>18</v>
      </c>
      <c r="K108" s="91">
        <f t="shared" si="13"/>
        <v>326390.40000000002</v>
      </c>
      <c r="L108" s="94">
        <f t="shared" si="15"/>
        <v>183594.59999999998</v>
      </c>
      <c r="M108" s="11"/>
      <c r="N108" s="180" t="e">
        <f>#REF!-H108</f>
        <v>#REF!</v>
      </c>
    </row>
    <row r="109" spans="1:14" s="114" customFormat="1">
      <c r="A109" s="96">
        <v>104</v>
      </c>
      <c r="B109" s="96" t="s">
        <v>583</v>
      </c>
      <c r="C109" s="11" t="s">
        <v>352</v>
      </c>
      <c r="D109" s="16">
        <v>500000</v>
      </c>
      <c r="E109" s="16">
        <v>66650</v>
      </c>
      <c r="F109" s="41">
        <f>SUM(D109:E109)</f>
        <v>566650</v>
      </c>
      <c r="G109" s="159">
        <v>50</v>
      </c>
      <c r="H109" s="209">
        <v>11333</v>
      </c>
      <c r="I109" s="97">
        <v>32</v>
      </c>
      <c r="J109" s="97">
        <f t="shared" si="14"/>
        <v>18</v>
      </c>
      <c r="K109" s="91">
        <f t="shared" si="13"/>
        <v>362656</v>
      </c>
      <c r="L109" s="94">
        <f t="shared" si="15"/>
        <v>203994</v>
      </c>
      <c r="M109" s="11"/>
      <c r="N109" s="180" t="e">
        <f>#REF!-H109</f>
        <v>#REF!</v>
      </c>
    </row>
    <row r="110" spans="1:14" s="114" customFormat="1">
      <c r="A110" s="96">
        <v>105</v>
      </c>
      <c r="B110" s="96" t="s">
        <v>561</v>
      </c>
      <c r="C110" s="11" t="s">
        <v>371</v>
      </c>
      <c r="D110" s="16">
        <v>450000</v>
      </c>
      <c r="E110" s="16">
        <v>59985</v>
      </c>
      <c r="F110" s="41">
        <f>SUM(D110:E110)</f>
        <v>509985</v>
      </c>
      <c r="G110" s="159">
        <v>50</v>
      </c>
      <c r="H110" s="209">
        <v>10199.700000000001</v>
      </c>
      <c r="I110" s="97">
        <v>32</v>
      </c>
      <c r="J110" s="97">
        <f t="shared" si="14"/>
        <v>18</v>
      </c>
      <c r="K110" s="91">
        <f t="shared" si="13"/>
        <v>326390.40000000002</v>
      </c>
      <c r="L110" s="94">
        <f t="shared" si="15"/>
        <v>183594.59999999998</v>
      </c>
      <c r="M110" s="11"/>
      <c r="N110" s="180" t="e">
        <f>#REF!-H110</f>
        <v>#REF!</v>
      </c>
    </row>
    <row r="111" spans="1:14" s="114" customFormat="1">
      <c r="A111" s="96">
        <v>106</v>
      </c>
      <c r="B111" s="96" t="s">
        <v>684</v>
      </c>
      <c r="C111" s="11" t="s">
        <v>353</v>
      </c>
      <c r="D111" s="19">
        <v>500000</v>
      </c>
      <c r="E111" s="19">
        <v>66650</v>
      </c>
      <c r="F111" s="19">
        <v>566650</v>
      </c>
      <c r="G111" s="159">
        <v>50</v>
      </c>
      <c r="H111" s="209">
        <v>11333</v>
      </c>
      <c r="I111" s="97">
        <v>18</v>
      </c>
      <c r="J111" s="97">
        <f t="shared" si="14"/>
        <v>32</v>
      </c>
      <c r="K111" s="91">
        <f t="shared" si="13"/>
        <v>203994</v>
      </c>
      <c r="L111" s="91">
        <f t="shared" si="15"/>
        <v>362656</v>
      </c>
      <c r="M111" s="122"/>
    </row>
    <row r="112" spans="1:14" s="114" customFormat="1">
      <c r="A112" s="96">
        <v>107</v>
      </c>
      <c r="B112" s="96" t="s">
        <v>611</v>
      </c>
      <c r="C112" s="11" t="s">
        <v>354</v>
      </c>
      <c r="D112" s="12">
        <v>500000</v>
      </c>
      <c r="E112" s="12">
        <v>66650</v>
      </c>
      <c r="F112" s="15">
        <f>SUM(D112:E112)</f>
        <v>566650</v>
      </c>
      <c r="G112" s="14">
        <v>50</v>
      </c>
      <c r="H112" s="203">
        <v>11333</v>
      </c>
      <c r="I112" s="14">
        <v>37</v>
      </c>
      <c r="J112" s="97">
        <f t="shared" si="14"/>
        <v>13</v>
      </c>
      <c r="K112" s="91">
        <f t="shared" si="13"/>
        <v>419321</v>
      </c>
      <c r="L112" s="15">
        <f t="shared" si="15"/>
        <v>147329</v>
      </c>
      <c r="M112" s="8"/>
    </row>
    <row r="113" spans="1:15" s="114" customFormat="1">
      <c r="A113" s="96">
        <v>108</v>
      </c>
      <c r="B113" s="96" t="s">
        <v>670</v>
      </c>
      <c r="C113" s="11" t="s">
        <v>380</v>
      </c>
      <c r="D113" s="16">
        <v>330000</v>
      </c>
      <c r="E113" s="16">
        <v>43989</v>
      </c>
      <c r="F113" s="41">
        <f>SUM(D113:E113)</f>
        <v>373989</v>
      </c>
      <c r="G113" s="159">
        <v>50</v>
      </c>
      <c r="H113" s="209">
        <v>7479.78</v>
      </c>
      <c r="I113" s="159">
        <v>40</v>
      </c>
      <c r="J113" s="97">
        <f t="shared" si="14"/>
        <v>10</v>
      </c>
      <c r="K113" s="91">
        <f t="shared" si="13"/>
        <v>299191.2</v>
      </c>
      <c r="L113" s="94">
        <f t="shared" si="15"/>
        <v>74797.799999999988</v>
      </c>
      <c r="M113" s="11"/>
    </row>
    <row r="114" spans="1:15" s="114" customFormat="1">
      <c r="A114" s="96">
        <v>109</v>
      </c>
      <c r="B114" s="96" t="s">
        <v>563</v>
      </c>
      <c r="C114" s="11" t="s">
        <v>381</v>
      </c>
      <c r="D114" s="19">
        <v>330000</v>
      </c>
      <c r="E114" s="19">
        <v>43989</v>
      </c>
      <c r="F114" s="19">
        <f>SUM(D114:E114)</f>
        <v>373989</v>
      </c>
      <c r="G114" s="159">
        <v>50</v>
      </c>
      <c r="H114" s="203">
        <v>7479.78</v>
      </c>
      <c r="I114" s="97">
        <v>18</v>
      </c>
      <c r="J114" s="97">
        <f t="shared" si="14"/>
        <v>32</v>
      </c>
      <c r="K114" s="91">
        <f t="shared" si="13"/>
        <v>134636.04</v>
      </c>
      <c r="L114" s="91">
        <f t="shared" si="15"/>
        <v>239352.95999999999</v>
      </c>
      <c r="M114" s="122"/>
      <c r="N114" s="120"/>
    </row>
    <row r="115" spans="1:15" s="114" customFormat="1">
      <c r="A115" s="96">
        <v>110</v>
      </c>
      <c r="B115" s="96" t="s">
        <v>577</v>
      </c>
      <c r="C115" s="11" t="s">
        <v>491</v>
      </c>
      <c r="D115" s="19">
        <v>330000</v>
      </c>
      <c r="E115" s="19">
        <v>43989</v>
      </c>
      <c r="F115" s="19">
        <f>SUM(D115:E115)</f>
        <v>373989</v>
      </c>
      <c r="G115" s="159">
        <v>50</v>
      </c>
      <c r="H115" s="209">
        <v>7479.78</v>
      </c>
      <c r="I115" s="159">
        <v>6</v>
      </c>
      <c r="J115" s="97">
        <f t="shared" si="14"/>
        <v>44</v>
      </c>
      <c r="K115" s="91">
        <f t="shared" si="13"/>
        <v>44878.68</v>
      </c>
      <c r="L115" s="94">
        <f t="shared" si="15"/>
        <v>329110.32</v>
      </c>
      <c r="M115" s="214"/>
      <c r="N115"/>
    </row>
    <row r="116" spans="1:15" s="114" customFormat="1">
      <c r="A116" s="96">
        <v>111</v>
      </c>
      <c r="B116" s="96" t="s">
        <v>509</v>
      </c>
      <c r="C116" s="11" t="s">
        <v>29</v>
      </c>
      <c r="D116" s="19">
        <v>450000</v>
      </c>
      <c r="E116" s="19">
        <v>59985</v>
      </c>
      <c r="F116" s="19">
        <v>509985</v>
      </c>
      <c r="G116" s="159">
        <v>50</v>
      </c>
      <c r="H116" s="209">
        <v>10199.700000000001</v>
      </c>
      <c r="I116" s="97">
        <v>18</v>
      </c>
      <c r="J116" s="97">
        <f t="shared" si="14"/>
        <v>32</v>
      </c>
      <c r="K116" s="91">
        <f t="shared" si="13"/>
        <v>183594.6</v>
      </c>
      <c r="L116" s="91">
        <f t="shared" si="15"/>
        <v>326390.40000000002</v>
      </c>
      <c r="M116" s="122"/>
      <c r="N116"/>
    </row>
    <row r="117" spans="1:15" s="114" customFormat="1">
      <c r="A117" s="96">
        <v>112</v>
      </c>
      <c r="B117" s="96" t="s">
        <v>613</v>
      </c>
      <c r="C117" s="11" t="s">
        <v>355</v>
      </c>
      <c r="D117" s="16">
        <v>500000</v>
      </c>
      <c r="E117" s="16">
        <v>66650</v>
      </c>
      <c r="F117" s="41">
        <f>SUM(D117:E117)</f>
        <v>566650</v>
      </c>
      <c r="G117" s="159">
        <v>50</v>
      </c>
      <c r="H117" s="209">
        <v>11333</v>
      </c>
      <c r="I117" s="97">
        <v>52</v>
      </c>
      <c r="J117" s="97">
        <f t="shared" si="14"/>
        <v>-2</v>
      </c>
      <c r="K117" s="91">
        <f t="shared" si="13"/>
        <v>589316</v>
      </c>
      <c r="L117" s="94">
        <f t="shared" si="15"/>
        <v>-22666</v>
      </c>
      <c r="M117" s="11"/>
      <c r="N117"/>
    </row>
    <row r="118" spans="1:15" s="114" customFormat="1">
      <c r="A118" s="96">
        <v>113</v>
      </c>
      <c r="B118" s="96" t="s">
        <v>711</v>
      </c>
      <c r="C118" s="11" t="s">
        <v>356</v>
      </c>
      <c r="D118" s="16">
        <v>500000</v>
      </c>
      <c r="E118" s="16">
        <v>66650</v>
      </c>
      <c r="F118" s="41">
        <f>SUM(D118:E118)</f>
        <v>566650</v>
      </c>
      <c r="G118" s="159">
        <v>50</v>
      </c>
      <c r="H118" s="209">
        <v>11333</v>
      </c>
      <c r="I118" s="97">
        <v>31</v>
      </c>
      <c r="J118" s="97">
        <f t="shared" si="14"/>
        <v>19</v>
      </c>
      <c r="K118" s="91">
        <f t="shared" si="13"/>
        <v>351323</v>
      </c>
      <c r="L118" s="94">
        <f t="shared" si="15"/>
        <v>215327</v>
      </c>
      <c r="M118" s="11"/>
      <c r="N118"/>
    </row>
    <row r="119" spans="1:15" s="114" customFormat="1">
      <c r="A119" s="96">
        <v>114</v>
      </c>
      <c r="B119" s="96" t="s">
        <v>538</v>
      </c>
      <c r="C119" s="11" t="s">
        <v>357</v>
      </c>
      <c r="D119" s="12">
        <v>500000</v>
      </c>
      <c r="E119" s="12">
        <v>66650</v>
      </c>
      <c r="F119" s="15">
        <f>SUM(D119:E119)</f>
        <v>566650</v>
      </c>
      <c r="G119" s="14">
        <v>50</v>
      </c>
      <c r="H119" s="203">
        <v>11333</v>
      </c>
      <c r="I119" s="14">
        <v>37</v>
      </c>
      <c r="J119" s="97">
        <f t="shared" si="14"/>
        <v>13</v>
      </c>
      <c r="K119" s="91">
        <f t="shared" si="13"/>
        <v>419321</v>
      </c>
      <c r="L119" s="15">
        <f t="shared" si="15"/>
        <v>147329</v>
      </c>
      <c r="M119" s="8"/>
      <c r="N119"/>
    </row>
    <row r="120" spans="1:15" s="114" customFormat="1">
      <c r="A120" s="96">
        <v>115</v>
      </c>
      <c r="B120" s="96" t="s">
        <v>507</v>
      </c>
      <c r="C120" s="11" t="s">
        <v>358</v>
      </c>
      <c r="D120" s="16">
        <v>500000</v>
      </c>
      <c r="E120" s="16">
        <v>66650</v>
      </c>
      <c r="F120" s="16">
        <v>566650</v>
      </c>
      <c r="G120" s="159">
        <v>50</v>
      </c>
      <c r="H120" s="209">
        <v>11333</v>
      </c>
      <c r="I120" s="97">
        <v>18</v>
      </c>
      <c r="J120" s="97">
        <f t="shared" si="14"/>
        <v>32</v>
      </c>
      <c r="K120" s="91">
        <f t="shared" si="13"/>
        <v>203994</v>
      </c>
      <c r="L120" s="91">
        <f t="shared" si="15"/>
        <v>362656</v>
      </c>
      <c r="M120" s="11"/>
      <c r="N120"/>
    </row>
    <row r="121" spans="1:15" s="114" customFormat="1">
      <c r="A121" s="96">
        <v>116</v>
      </c>
      <c r="B121" s="96" t="s">
        <v>728</v>
      </c>
      <c r="C121" s="11" t="s">
        <v>303</v>
      </c>
      <c r="D121" s="16">
        <v>500000</v>
      </c>
      <c r="E121" s="16">
        <v>47992</v>
      </c>
      <c r="F121" s="41">
        <f>SUM(D121:E121)</f>
        <v>547992</v>
      </c>
      <c r="G121" s="159">
        <v>36</v>
      </c>
      <c r="H121" s="203">
        <v>15222</v>
      </c>
      <c r="I121" s="97">
        <v>31</v>
      </c>
      <c r="J121" s="97">
        <f t="shared" si="14"/>
        <v>5</v>
      </c>
      <c r="K121" s="91">
        <f t="shared" si="13"/>
        <v>471882</v>
      </c>
      <c r="L121" s="94">
        <f t="shared" si="15"/>
        <v>76110</v>
      </c>
      <c r="M121" s="11"/>
      <c r="N121"/>
    </row>
    <row r="122" spans="1:15" s="114" customFormat="1">
      <c r="A122" s="96">
        <v>117</v>
      </c>
      <c r="B122" s="96" t="s">
        <v>590</v>
      </c>
      <c r="C122" s="11" t="s">
        <v>290</v>
      </c>
      <c r="D122" s="19">
        <v>150000</v>
      </c>
      <c r="E122" s="19">
        <v>19995</v>
      </c>
      <c r="F122" s="19">
        <f>SUM(D122:E122)</f>
        <v>169995</v>
      </c>
      <c r="G122" s="159">
        <v>50</v>
      </c>
      <c r="H122" s="203">
        <v>3399.9</v>
      </c>
      <c r="I122" s="97">
        <v>31</v>
      </c>
      <c r="J122" s="97">
        <f t="shared" si="14"/>
        <v>19</v>
      </c>
      <c r="K122" s="91">
        <f t="shared" si="13"/>
        <v>105396.90000000001</v>
      </c>
      <c r="L122" s="94">
        <f t="shared" si="15"/>
        <v>64598.099999999991</v>
      </c>
      <c r="M122" s="11"/>
      <c r="N122"/>
    </row>
    <row r="123" spans="1:15" s="114" customFormat="1">
      <c r="A123" s="96">
        <v>118</v>
      </c>
      <c r="B123" s="96" t="s">
        <v>631</v>
      </c>
      <c r="C123" s="11" t="s">
        <v>359</v>
      </c>
      <c r="D123" s="16">
        <v>500000</v>
      </c>
      <c r="E123" s="16">
        <v>66650</v>
      </c>
      <c r="F123" s="41">
        <f>SUM(D123:E123)</f>
        <v>566650</v>
      </c>
      <c r="G123" s="159">
        <v>50</v>
      </c>
      <c r="H123" s="209">
        <v>11333</v>
      </c>
      <c r="I123" s="159">
        <v>53</v>
      </c>
      <c r="J123" s="97">
        <f t="shared" si="14"/>
        <v>-3</v>
      </c>
      <c r="K123" s="91">
        <f t="shared" si="13"/>
        <v>600649</v>
      </c>
      <c r="L123" s="94">
        <f t="shared" si="15"/>
        <v>-33999</v>
      </c>
      <c r="M123" s="11"/>
    </row>
    <row r="124" spans="1:15" s="114" customFormat="1">
      <c r="A124" s="96">
        <v>119</v>
      </c>
      <c r="B124" s="96" t="s">
        <v>705</v>
      </c>
      <c r="C124" s="11" t="s">
        <v>297</v>
      </c>
      <c r="D124" s="19">
        <v>450000</v>
      </c>
      <c r="E124" s="19">
        <v>59985</v>
      </c>
      <c r="F124" s="19">
        <v>509985</v>
      </c>
      <c r="G124" s="159">
        <v>50</v>
      </c>
      <c r="H124" s="209">
        <v>10199.700000000001</v>
      </c>
      <c r="I124" s="159">
        <v>6</v>
      </c>
      <c r="J124" s="97">
        <f t="shared" si="14"/>
        <v>44</v>
      </c>
      <c r="K124" s="91">
        <f t="shared" si="13"/>
        <v>61198.200000000004</v>
      </c>
      <c r="L124" s="94">
        <f t="shared" si="15"/>
        <v>448786.8</v>
      </c>
      <c r="M124" s="11"/>
    </row>
    <row r="125" spans="1:15" s="114" customFormat="1">
      <c r="A125" s="96">
        <v>120</v>
      </c>
      <c r="B125" s="122"/>
      <c r="C125" s="123" t="s">
        <v>732</v>
      </c>
      <c r="D125" s="19">
        <v>150000</v>
      </c>
      <c r="E125" s="19">
        <v>19995</v>
      </c>
      <c r="F125" s="19">
        <f>SUM(D125:E125)</f>
        <v>169995</v>
      </c>
      <c r="G125" s="159">
        <v>50</v>
      </c>
      <c r="H125" s="254">
        <v>3399.9</v>
      </c>
      <c r="I125" s="188">
        <v>1</v>
      </c>
      <c r="J125" s="188">
        <f t="shared" si="14"/>
        <v>49</v>
      </c>
      <c r="K125" s="257">
        <f t="shared" si="13"/>
        <v>3399.9</v>
      </c>
      <c r="L125" s="94">
        <f t="shared" ref="L125:L144" si="16">F125-K125</f>
        <v>166595.1</v>
      </c>
      <c r="M125" s="122"/>
      <c r="O125" s="120"/>
    </row>
    <row r="126" spans="1:15" s="114" customFormat="1">
      <c r="A126" s="96">
        <v>121</v>
      </c>
      <c r="B126" s="122"/>
      <c r="C126" s="123" t="s">
        <v>295</v>
      </c>
      <c r="D126" s="16">
        <v>500000</v>
      </c>
      <c r="E126" s="16">
        <v>66650</v>
      </c>
      <c r="F126" s="41">
        <f>SUM(D126:E126)</f>
        <v>566650</v>
      </c>
      <c r="G126" s="159">
        <v>50</v>
      </c>
      <c r="H126" s="254">
        <v>11333</v>
      </c>
      <c r="I126" s="188">
        <v>1</v>
      </c>
      <c r="J126" s="188">
        <f t="shared" ref="J126:J144" si="17">G126-I126</f>
        <v>49</v>
      </c>
      <c r="K126" s="257">
        <f t="shared" ref="K126:K144" si="18">I126*H126</f>
        <v>11333</v>
      </c>
      <c r="L126" s="94">
        <f t="shared" si="16"/>
        <v>555317</v>
      </c>
      <c r="M126" s="122"/>
    </row>
    <row r="127" spans="1:15" s="114" customFormat="1">
      <c r="A127" s="96">
        <v>122</v>
      </c>
      <c r="B127" s="122"/>
      <c r="C127" s="123" t="s">
        <v>864</v>
      </c>
      <c r="D127" s="16">
        <v>500000</v>
      </c>
      <c r="E127" s="16">
        <v>66650</v>
      </c>
      <c r="F127" s="41">
        <f>SUM(D127:E127)</f>
        <v>566650</v>
      </c>
      <c r="G127" s="159">
        <v>50</v>
      </c>
      <c r="H127" s="254">
        <v>11333</v>
      </c>
      <c r="I127" s="188">
        <v>1</v>
      </c>
      <c r="J127" s="188">
        <f t="shared" si="17"/>
        <v>49</v>
      </c>
      <c r="K127" s="257">
        <f t="shared" si="18"/>
        <v>11333</v>
      </c>
      <c r="L127" s="94">
        <f t="shared" si="16"/>
        <v>555317</v>
      </c>
      <c r="M127" s="122"/>
    </row>
    <row r="128" spans="1:15" s="114" customFormat="1">
      <c r="A128" s="96">
        <v>123</v>
      </c>
      <c r="B128" s="122"/>
      <c r="C128" s="123" t="s">
        <v>412</v>
      </c>
      <c r="D128" s="16">
        <v>500000</v>
      </c>
      <c r="E128" s="16">
        <v>66650</v>
      </c>
      <c r="F128" s="41">
        <f>SUM(D128:E128)</f>
        <v>566650</v>
      </c>
      <c r="G128" s="159">
        <v>50</v>
      </c>
      <c r="H128" s="254">
        <v>11333</v>
      </c>
      <c r="I128" s="188">
        <v>1</v>
      </c>
      <c r="J128" s="188">
        <f t="shared" si="17"/>
        <v>49</v>
      </c>
      <c r="K128" s="257">
        <f t="shared" si="18"/>
        <v>11333</v>
      </c>
      <c r="L128" s="94">
        <f t="shared" si="16"/>
        <v>555317</v>
      </c>
      <c r="M128" s="122"/>
    </row>
    <row r="129" spans="1:15" s="114" customFormat="1">
      <c r="A129" s="96">
        <v>124</v>
      </c>
      <c r="B129" s="122"/>
      <c r="C129" s="123" t="s">
        <v>852</v>
      </c>
      <c r="D129" s="19">
        <v>330000</v>
      </c>
      <c r="E129" s="19">
        <v>43989</v>
      </c>
      <c r="F129" s="19">
        <f>SUM(D129:E129)</f>
        <v>373989</v>
      </c>
      <c r="G129" s="159">
        <v>50</v>
      </c>
      <c r="H129" s="254">
        <v>7479.78</v>
      </c>
      <c r="I129" s="188">
        <v>1</v>
      </c>
      <c r="J129" s="188">
        <f t="shared" si="17"/>
        <v>49</v>
      </c>
      <c r="K129" s="257">
        <f t="shared" si="18"/>
        <v>7479.78</v>
      </c>
      <c r="L129" s="94">
        <f t="shared" si="16"/>
        <v>366509.22</v>
      </c>
      <c r="M129" s="122"/>
    </row>
    <row r="130" spans="1:15" s="114" customFormat="1">
      <c r="A130" s="96">
        <v>125</v>
      </c>
      <c r="B130" s="122"/>
      <c r="C130" s="123" t="s">
        <v>871</v>
      </c>
      <c r="D130" s="19">
        <v>450000</v>
      </c>
      <c r="E130" s="19">
        <v>59985</v>
      </c>
      <c r="F130" s="19">
        <v>509985</v>
      </c>
      <c r="G130" s="159">
        <v>50</v>
      </c>
      <c r="H130" s="254">
        <v>13699.7</v>
      </c>
      <c r="I130" s="188">
        <v>1</v>
      </c>
      <c r="J130" s="188">
        <f t="shared" si="17"/>
        <v>49</v>
      </c>
      <c r="K130" s="257">
        <f t="shared" si="18"/>
        <v>13699.7</v>
      </c>
      <c r="L130" s="94">
        <f t="shared" si="16"/>
        <v>496285.3</v>
      </c>
      <c r="M130" s="122" t="s">
        <v>251</v>
      </c>
    </row>
    <row r="131" spans="1:15" s="114" customFormat="1">
      <c r="A131" s="96">
        <v>126</v>
      </c>
      <c r="B131" s="122"/>
      <c r="C131" s="123" t="s">
        <v>877</v>
      </c>
      <c r="D131" s="19">
        <v>330000</v>
      </c>
      <c r="E131" s="19">
        <v>43989</v>
      </c>
      <c r="F131" s="19">
        <f>SUM(D131:E131)</f>
        <v>373989</v>
      </c>
      <c r="G131" s="159">
        <v>50</v>
      </c>
      <c r="H131" s="254">
        <v>7479.78</v>
      </c>
      <c r="I131" s="188">
        <v>1</v>
      </c>
      <c r="J131" s="188">
        <f t="shared" si="17"/>
        <v>49</v>
      </c>
      <c r="K131" s="257">
        <f t="shared" si="18"/>
        <v>7479.78</v>
      </c>
      <c r="L131" s="94">
        <f t="shared" si="16"/>
        <v>366509.22</v>
      </c>
      <c r="M131" s="122" t="s">
        <v>251</v>
      </c>
    </row>
    <row r="132" spans="1:15" s="114" customFormat="1">
      <c r="A132" s="96">
        <v>127</v>
      </c>
      <c r="B132" s="122"/>
      <c r="C132" s="123" t="s">
        <v>862</v>
      </c>
      <c r="D132" s="16">
        <v>500000</v>
      </c>
      <c r="E132" s="16">
        <v>66650</v>
      </c>
      <c r="F132" s="41">
        <f>SUM(D132:E132)</f>
        <v>566650</v>
      </c>
      <c r="G132" s="159">
        <v>50</v>
      </c>
      <c r="H132" s="254">
        <v>11333</v>
      </c>
      <c r="I132" s="188">
        <v>1</v>
      </c>
      <c r="J132" s="188">
        <f t="shared" si="17"/>
        <v>49</v>
      </c>
      <c r="K132" s="257">
        <f t="shared" si="18"/>
        <v>11333</v>
      </c>
      <c r="L132" s="94">
        <f t="shared" si="16"/>
        <v>555317</v>
      </c>
      <c r="M132" s="122" t="s">
        <v>251</v>
      </c>
    </row>
    <row r="133" spans="1:15" s="120" customFormat="1">
      <c r="A133" s="96">
        <v>128</v>
      </c>
      <c r="B133" s="122"/>
      <c r="C133" s="123" t="s">
        <v>878</v>
      </c>
      <c r="D133" s="19">
        <v>330000</v>
      </c>
      <c r="E133" s="19">
        <v>43989</v>
      </c>
      <c r="F133" s="19">
        <f>SUM(D133:E133)</f>
        <v>373989</v>
      </c>
      <c r="G133" s="159">
        <v>50</v>
      </c>
      <c r="H133" s="254">
        <v>7479.78</v>
      </c>
      <c r="I133" s="188">
        <v>1</v>
      </c>
      <c r="J133" s="188">
        <f t="shared" si="17"/>
        <v>49</v>
      </c>
      <c r="K133" s="257">
        <f t="shared" si="18"/>
        <v>7479.78</v>
      </c>
      <c r="L133" s="94">
        <f t="shared" si="16"/>
        <v>366509.22</v>
      </c>
      <c r="M133" s="122" t="s">
        <v>251</v>
      </c>
      <c r="N133" s="114"/>
      <c r="O133" s="114"/>
    </row>
    <row r="134" spans="1:15" s="114" customFormat="1">
      <c r="A134" s="96">
        <v>129</v>
      </c>
      <c r="B134" s="122"/>
      <c r="C134" s="123" t="s">
        <v>875</v>
      </c>
      <c r="D134" s="19">
        <v>450000</v>
      </c>
      <c r="E134" s="19">
        <v>59985</v>
      </c>
      <c r="F134" s="19">
        <v>509985</v>
      </c>
      <c r="G134" s="159">
        <v>50</v>
      </c>
      <c r="H134" s="254">
        <v>10199.700000000001</v>
      </c>
      <c r="I134" s="188">
        <v>1</v>
      </c>
      <c r="J134" s="188">
        <f t="shared" si="17"/>
        <v>49</v>
      </c>
      <c r="K134" s="257">
        <f t="shared" si="18"/>
        <v>10199.700000000001</v>
      </c>
      <c r="L134" s="94">
        <f t="shared" si="16"/>
        <v>499785.3</v>
      </c>
      <c r="M134" s="122" t="s">
        <v>251</v>
      </c>
    </row>
    <row r="135" spans="1:15" s="114" customFormat="1">
      <c r="A135" s="96">
        <v>130</v>
      </c>
      <c r="B135" s="122"/>
      <c r="C135" s="123" t="s">
        <v>866</v>
      </c>
      <c r="D135" s="16">
        <v>500000</v>
      </c>
      <c r="E135" s="16">
        <v>66650</v>
      </c>
      <c r="F135" s="41">
        <f>SUM(D135:E135)</f>
        <v>566650</v>
      </c>
      <c r="G135" s="159">
        <v>50</v>
      </c>
      <c r="H135" s="254">
        <v>11333</v>
      </c>
      <c r="I135" s="188">
        <v>1</v>
      </c>
      <c r="J135" s="188">
        <f t="shared" si="17"/>
        <v>49</v>
      </c>
      <c r="K135" s="257">
        <f t="shared" si="18"/>
        <v>11333</v>
      </c>
      <c r="L135" s="94">
        <f t="shared" si="16"/>
        <v>555317</v>
      </c>
      <c r="M135" s="122" t="s">
        <v>251</v>
      </c>
    </row>
    <row r="136" spans="1:15" s="114" customFormat="1">
      <c r="A136" s="96">
        <v>131</v>
      </c>
      <c r="B136" s="122"/>
      <c r="C136" s="123" t="s">
        <v>860</v>
      </c>
      <c r="D136" s="19">
        <v>450000</v>
      </c>
      <c r="E136" s="19">
        <v>59985</v>
      </c>
      <c r="F136" s="19">
        <v>509985</v>
      </c>
      <c r="G136" s="159">
        <v>50</v>
      </c>
      <c r="H136" s="254">
        <v>10199.700000000001</v>
      </c>
      <c r="I136" s="188">
        <v>1</v>
      </c>
      <c r="J136" s="188">
        <f t="shared" si="17"/>
        <v>49</v>
      </c>
      <c r="K136" s="257">
        <f t="shared" si="18"/>
        <v>10199.700000000001</v>
      </c>
      <c r="L136" s="94">
        <f t="shared" si="16"/>
        <v>499785.3</v>
      </c>
      <c r="M136" s="122" t="s">
        <v>251</v>
      </c>
    </row>
    <row r="137" spans="1:15" s="114" customFormat="1">
      <c r="A137" s="96">
        <v>132</v>
      </c>
      <c r="B137" s="122"/>
      <c r="C137" s="123" t="s">
        <v>870</v>
      </c>
      <c r="D137" s="16">
        <v>500000</v>
      </c>
      <c r="E137" s="16">
        <v>66650</v>
      </c>
      <c r="F137" s="41">
        <f>SUM(D137:E137)</f>
        <v>566650</v>
      </c>
      <c r="G137" s="159">
        <v>50</v>
      </c>
      <c r="H137" s="254">
        <v>13833</v>
      </c>
      <c r="I137" s="188">
        <v>1</v>
      </c>
      <c r="J137" s="188">
        <f t="shared" si="17"/>
        <v>49</v>
      </c>
      <c r="K137" s="257">
        <f t="shared" si="18"/>
        <v>13833</v>
      </c>
      <c r="L137" s="94">
        <f t="shared" si="16"/>
        <v>552817</v>
      </c>
      <c r="M137" s="122" t="s">
        <v>251</v>
      </c>
    </row>
    <row r="138" spans="1:15" s="114" customFormat="1">
      <c r="A138" s="96">
        <v>133</v>
      </c>
      <c r="B138" s="122"/>
      <c r="C138" s="123" t="s">
        <v>876</v>
      </c>
      <c r="D138" s="19">
        <v>330000</v>
      </c>
      <c r="E138" s="19">
        <v>43989</v>
      </c>
      <c r="F138" s="19">
        <f>SUM(D138:E138)</f>
        <v>373989</v>
      </c>
      <c r="G138" s="159">
        <v>50</v>
      </c>
      <c r="H138" s="254">
        <v>7479.78</v>
      </c>
      <c r="I138" s="188">
        <v>1</v>
      </c>
      <c r="J138" s="188">
        <f t="shared" si="17"/>
        <v>49</v>
      </c>
      <c r="K138" s="257">
        <f t="shared" si="18"/>
        <v>7479.78</v>
      </c>
      <c r="L138" s="94">
        <f t="shared" si="16"/>
        <v>366509.22</v>
      </c>
      <c r="M138" s="122" t="s">
        <v>251</v>
      </c>
    </row>
    <row r="139" spans="1:15" s="114" customFormat="1">
      <c r="A139" s="96">
        <v>134</v>
      </c>
      <c r="B139" s="122"/>
      <c r="C139" s="123" t="s">
        <v>859</v>
      </c>
      <c r="D139" s="19">
        <v>450000</v>
      </c>
      <c r="E139" s="19">
        <v>59985</v>
      </c>
      <c r="F139" s="19">
        <v>509985</v>
      </c>
      <c r="G139" s="159">
        <v>50</v>
      </c>
      <c r="H139" s="254">
        <v>10199.700000000001</v>
      </c>
      <c r="I139" s="188">
        <v>1</v>
      </c>
      <c r="J139" s="188">
        <f t="shared" si="17"/>
        <v>49</v>
      </c>
      <c r="K139" s="257">
        <f t="shared" si="18"/>
        <v>10199.700000000001</v>
      </c>
      <c r="L139" s="94">
        <f t="shared" si="16"/>
        <v>499785.3</v>
      </c>
      <c r="M139" s="122" t="s">
        <v>251</v>
      </c>
    </row>
    <row r="140" spans="1:15" s="114" customFormat="1">
      <c r="A140" s="96">
        <v>135</v>
      </c>
      <c r="B140" s="122"/>
      <c r="C140" s="123" t="s">
        <v>872</v>
      </c>
      <c r="D140" s="19">
        <v>450000</v>
      </c>
      <c r="E140" s="19">
        <v>59985</v>
      </c>
      <c r="F140" s="19">
        <v>509985</v>
      </c>
      <c r="G140" s="159">
        <v>50</v>
      </c>
      <c r="H140" s="254">
        <v>10199.700000000001</v>
      </c>
      <c r="I140" s="188">
        <v>1</v>
      </c>
      <c r="J140" s="188">
        <f t="shared" si="17"/>
        <v>49</v>
      </c>
      <c r="K140" s="257">
        <f t="shared" si="18"/>
        <v>10199.700000000001</v>
      </c>
      <c r="L140" s="94">
        <f t="shared" si="16"/>
        <v>499785.3</v>
      </c>
      <c r="M140" s="122" t="s">
        <v>251</v>
      </c>
      <c r="N140" s="120"/>
    </row>
    <row r="141" spans="1:15" s="114" customFormat="1">
      <c r="A141" s="96">
        <v>136</v>
      </c>
      <c r="B141" s="122"/>
      <c r="C141" s="123" t="s">
        <v>863</v>
      </c>
      <c r="D141" s="16">
        <v>500000</v>
      </c>
      <c r="E141" s="16">
        <v>66650</v>
      </c>
      <c r="F141" s="41">
        <f>SUM(D141:E141)</f>
        <v>566650</v>
      </c>
      <c r="G141" s="159">
        <v>50</v>
      </c>
      <c r="H141" s="254">
        <v>11333</v>
      </c>
      <c r="I141" s="188">
        <v>1</v>
      </c>
      <c r="J141" s="188">
        <f t="shared" si="17"/>
        <v>49</v>
      </c>
      <c r="K141" s="257">
        <f t="shared" si="18"/>
        <v>11333</v>
      </c>
      <c r="L141" s="94">
        <f t="shared" si="16"/>
        <v>555317</v>
      </c>
      <c r="M141" s="122" t="s">
        <v>251</v>
      </c>
    </row>
    <row r="142" spans="1:15" s="114" customFormat="1">
      <c r="A142" s="96">
        <v>137</v>
      </c>
      <c r="B142" s="122"/>
      <c r="C142" s="123" t="s">
        <v>856</v>
      </c>
      <c r="D142" s="19">
        <v>450000</v>
      </c>
      <c r="E142" s="19">
        <v>59985</v>
      </c>
      <c r="F142" s="19">
        <v>509985</v>
      </c>
      <c r="G142" s="159">
        <v>50</v>
      </c>
      <c r="H142" s="254">
        <v>10199.700000000001</v>
      </c>
      <c r="I142" s="188">
        <v>1</v>
      </c>
      <c r="J142" s="188">
        <f t="shared" si="17"/>
        <v>49</v>
      </c>
      <c r="K142" s="257">
        <f t="shared" si="18"/>
        <v>10199.700000000001</v>
      </c>
      <c r="L142" s="94">
        <f t="shared" si="16"/>
        <v>499785.3</v>
      </c>
      <c r="M142" s="122" t="s">
        <v>251</v>
      </c>
    </row>
    <row r="143" spans="1:15" s="114" customFormat="1">
      <c r="A143" s="96">
        <v>138</v>
      </c>
      <c r="B143" s="122"/>
      <c r="C143" s="123" t="s">
        <v>873</v>
      </c>
      <c r="D143" s="19">
        <v>450000</v>
      </c>
      <c r="E143" s="19">
        <v>59985</v>
      </c>
      <c r="F143" s="19">
        <v>509985</v>
      </c>
      <c r="G143" s="159">
        <v>50</v>
      </c>
      <c r="H143" s="254">
        <v>10199.700000000001</v>
      </c>
      <c r="I143" s="188">
        <v>1</v>
      </c>
      <c r="J143" s="188">
        <f t="shared" si="17"/>
        <v>49</v>
      </c>
      <c r="K143" s="257">
        <f t="shared" si="18"/>
        <v>10199.700000000001</v>
      </c>
      <c r="L143" s="94">
        <f t="shared" si="16"/>
        <v>499785.3</v>
      </c>
      <c r="M143" s="122" t="s">
        <v>251</v>
      </c>
    </row>
    <row r="144" spans="1:15" s="114" customFormat="1">
      <c r="A144" s="96">
        <v>139</v>
      </c>
      <c r="B144" s="122"/>
      <c r="C144" s="123" t="s">
        <v>302</v>
      </c>
      <c r="D144" s="16">
        <v>500000</v>
      </c>
      <c r="E144" s="16">
        <v>66650</v>
      </c>
      <c r="F144" s="41">
        <f>SUM(D144:E144)</f>
        <v>566650</v>
      </c>
      <c r="G144" s="159">
        <v>50</v>
      </c>
      <c r="H144" s="254">
        <v>15222</v>
      </c>
      <c r="I144" s="188">
        <v>1</v>
      </c>
      <c r="J144" s="188">
        <f t="shared" si="17"/>
        <v>49</v>
      </c>
      <c r="K144" s="257">
        <f t="shared" si="18"/>
        <v>15222</v>
      </c>
      <c r="L144" s="94">
        <f t="shared" si="16"/>
        <v>551428</v>
      </c>
      <c r="M144" s="122" t="s">
        <v>251</v>
      </c>
    </row>
    <row r="145" spans="1:14" s="114" customFormat="1">
      <c r="A145" s="126"/>
      <c r="B145" s="126"/>
      <c r="C145" s="8"/>
      <c r="D145" s="34">
        <f>SUM(D6:D144)</f>
        <v>59612000</v>
      </c>
      <c r="E145" s="34">
        <f>SUM(E6:E144)</f>
        <v>7854306.5999999996</v>
      </c>
      <c r="F145" s="34">
        <f>SUM(F6:F144)</f>
        <v>67466306.599999994</v>
      </c>
      <c r="G145" s="34"/>
      <c r="H145" s="34">
        <f>SUM(H6:H144)</f>
        <v>1386593.8499999996</v>
      </c>
      <c r="I145" s="34"/>
      <c r="J145" s="34"/>
      <c r="K145" s="34">
        <f>SUM(K6:K144)</f>
        <v>33782155.660000019</v>
      </c>
      <c r="L145" s="34">
        <f>SUM(L6:L144)</f>
        <v>33684150.940000013</v>
      </c>
      <c r="M145" s="8"/>
    </row>
    <row r="146" spans="1:14" s="114" customFormat="1">
      <c r="A146" s="44"/>
      <c r="B146" s="44"/>
      <c r="C146" s="184"/>
      <c r="D146"/>
      <c r="E146"/>
      <c r="F146"/>
      <c r="G146" s="43"/>
      <c r="H146" s="39">
        <v>1232924.0799999987</v>
      </c>
      <c r="I146" s="99"/>
      <c r="J146" s="99"/>
      <c r="K146"/>
      <c r="L146"/>
      <c r="M146"/>
    </row>
    <row r="147" spans="1:14" s="114" customFormat="1">
      <c r="A147" s="44"/>
      <c r="B147" s="44"/>
      <c r="C147" s="184"/>
      <c r="D147"/>
      <c r="E147"/>
      <c r="F147"/>
      <c r="G147" s="43"/>
      <c r="H147"/>
      <c r="I147" s="99"/>
      <c r="J147" s="99"/>
      <c r="K147"/>
      <c r="L147"/>
      <c r="M147"/>
    </row>
    <row r="148" spans="1:14" s="114" customFormat="1" ht="18" customHeight="1">
      <c r="A148" s="44"/>
      <c r="B148" s="44"/>
      <c r="C148" s="184"/>
      <c r="D148"/>
      <c r="E148"/>
      <c r="F148"/>
      <c r="G148" s="43"/>
      <c r="H148" s="39">
        <f>H146-H145</f>
        <v>-153669.77000000095</v>
      </c>
      <c r="I148" s="99"/>
      <c r="J148" s="99"/>
      <c r="K148"/>
      <c r="L148"/>
      <c r="M148"/>
    </row>
    <row r="149" spans="1:14" s="114" customFormat="1" ht="18" customHeight="1">
      <c r="A149" s="44"/>
      <c r="B149" s="44"/>
      <c r="C149" s="184"/>
      <c r="D149"/>
      <c r="E149"/>
      <c r="F149"/>
      <c r="G149" s="43"/>
      <c r="H149" s="39"/>
      <c r="I149" s="99"/>
      <c r="J149" s="99"/>
      <c r="K149"/>
      <c r="L149"/>
      <c r="M149"/>
    </row>
    <row r="150" spans="1:14" s="114" customFormat="1" ht="18" customHeight="1">
      <c r="A150" s="44"/>
      <c r="B150" s="44"/>
      <c r="C150" s="184"/>
      <c r="D150"/>
      <c r="E150"/>
      <c r="F150"/>
      <c r="G150" s="43"/>
      <c r="H150" s="39"/>
      <c r="I150" s="99"/>
      <c r="J150" s="99"/>
      <c r="K150"/>
      <c r="L150"/>
      <c r="M150"/>
    </row>
    <row r="151" spans="1:14" s="114" customFormat="1" ht="18" customHeight="1">
      <c r="A151" s="44"/>
      <c r="B151" s="44"/>
      <c r="C151" s="184"/>
      <c r="D151"/>
      <c r="E151"/>
      <c r="F151"/>
      <c r="G151" s="43"/>
      <c r="H151" s="39"/>
      <c r="I151" s="99"/>
      <c r="J151" s="99"/>
      <c r="K151"/>
      <c r="L151"/>
      <c r="M151"/>
    </row>
    <row r="152" spans="1:14" s="114" customFormat="1" ht="18" customHeight="1">
      <c r="A152" s="44"/>
      <c r="B152" s="44"/>
      <c r="C152" s="184"/>
      <c r="D152"/>
      <c r="E152"/>
      <c r="F152"/>
      <c r="G152" s="43"/>
      <c r="H152" s="39"/>
      <c r="I152" s="99"/>
      <c r="J152" s="99"/>
      <c r="K152"/>
      <c r="L152"/>
      <c r="M152"/>
    </row>
    <row r="153" spans="1:14" s="114" customFormat="1" ht="18" customHeight="1">
      <c r="A153" s="44"/>
      <c r="B153" s="44"/>
      <c r="C153" s="184"/>
      <c r="D153"/>
      <c r="E153"/>
      <c r="F153"/>
      <c r="G153" s="43"/>
      <c r="H153" s="39"/>
      <c r="I153" s="99"/>
      <c r="J153" s="99"/>
      <c r="K153"/>
      <c r="L153"/>
      <c r="M153"/>
    </row>
    <row r="154" spans="1:14" s="114" customFormat="1" ht="18" customHeight="1">
      <c r="A154" s="44"/>
      <c r="B154" s="44"/>
      <c r="C154" s="184"/>
      <c r="D154"/>
      <c r="E154"/>
      <c r="F154"/>
      <c r="G154" s="43"/>
      <c r="H154" s="39"/>
      <c r="I154" s="99"/>
      <c r="J154" s="99"/>
      <c r="K154"/>
      <c r="L154"/>
      <c r="M154"/>
    </row>
    <row r="155" spans="1:14" s="114" customFormat="1" ht="18" customHeight="1">
      <c r="A155" s="44"/>
      <c r="B155" s="44"/>
      <c r="C155" s="184"/>
      <c r="D155"/>
      <c r="E155"/>
      <c r="F155"/>
      <c r="G155" s="43"/>
      <c r="H155" s="39"/>
      <c r="I155" s="99"/>
      <c r="J155" s="99"/>
      <c r="K155"/>
      <c r="L155"/>
      <c r="M155"/>
    </row>
    <row r="156" spans="1:14" s="114" customFormat="1" ht="18" customHeight="1">
      <c r="A156" s="44"/>
      <c r="B156" s="44"/>
      <c r="C156" s="184"/>
      <c r="D156"/>
      <c r="E156"/>
      <c r="F156"/>
      <c r="G156" s="43"/>
      <c r="H156" s="39"/>
      <c r="I156" s="99"/>
      <c r="J156" s="99"/>
      <c r="K156"/>
      <c r="L156"/>
      <c r="M156"/>
    </row>
    <row r="157" spans="1:14" s="114" customFormat="1">
      <c r="A157" s="96">
        <v>9</v>
      </c>
      <c r="B157" s="96" t="s">
        <v>704</v>
      </c>
      <c r="C157" s="2" t="s">
        <v>794</v>
      </c>
      <c r="D157" s="16">
        <v>500000</v>
      </c>
      <c r="E157" s="16">
        <v>66650</v>
      </c>
      <c r="F157" s="41">
        <f>SUM(D157:E157)</f>
        <v>566650</v>
      </c>
      <c r="G157" s="159">
        <v>50</v>
      </c>
      <c r="H157" s="209">
        <v>11333</v>
      </c>
      <c r="I157" s="96">
        <v>40</v>
      </c>
      <c r="J157" s="96">
        <f>G157-I157</f>
        <v>10</v>
      </c>
      <c r="K157" s="16">
        <f>I157*H157</f>
        <v>453320</v>
      </c>
      <c r="L157" s="41">
        <f>F157-K157</f>
        <v>113330</v>
      </c>
      <c r="M157" s="11"/>
      <c r="N157" s="180" t="e">
        <f>#REF!-H157</f>
        <v>#REF!</v>
      </c>
    </row>
    <row r="158" spans="1:14" s="114" customFormat="1">
      <c r="A158" s="96">
        <v>38</v>
      </c>
      <c r="B158" s="96" t="s">
        <v>511</v>
      </c>
      <c r="C158" s="173" t="s">
        <v>837</v>
      </c>
      <c r="D158" s="41">
        <v>200000</v>
      </c>
      <c r="E158" s="41">
        <v>26660</v>
      </c>
      <c r="F158" s="41">
        <f>SUM(D158:E158)</f>
        <v>226660</v>
      </c>
      <c r="G158" s="159">
        <v>40</v>
      </c>
      <c r="H158" s="203">
        <v>7479</v>
      </c>
      <c r="I158" s="97">
        <v>17</v>
      </c>
      <c r="J158" s="97">
        <f>G158-I158</f>
        <v>23</v>
      </c>
      <c r="K158" s="91">
        <f>I158*H158</f>
        <v>127143</v>
      </c>
      <c r="L158" s="94">
        <f>F158-K158</f>
        <v>99517</v>
      </c>
      <c r="M158" s="11"/>
      <c r="N158" s="180" t="e">
        <f>#REF!-H158</f>
        <v>#REF!</v>
      </c>
    </row>
    <row r="159" spans="1:14" s="114" customFormat="1">
      <c r="A159" s="96">
        <v>56</v>
      </c>
      <c r="B159" s="96" t="s">
        <v>637</v>
      </c>
      <c r="C159" s="23" t="s">
        <v>776</v>
      </c>
      <c r="D159" s="16">
        <v>500000</v>
      </c>
      <c r="E159" s="16">
        <v>66650</v>
      </c>
      <c r="F159" s="41">
        <f>SUM(D159:E159)</f>
        <v>566650</v>
      </c>
      <c r="G159" s="159">
        <v>50</v>
      </c>
      <c r="H159" s="209">
        <v>11333</v>
      </c>
      <c r="I159" s="97">
        <v>39</v>
      </c>
      <c r="J159" s="97">
        <f>G159-I159</f>
        <v>11</v>
      </c>
      <c r="K159" s="91">
        <f>I159*H159</f>
        <v>441987</v>
      </c>
      <c r="L159" s="94">
        <f>F159-K159</f>
        <v>124663</v>
      </c>
      <c r="M159" s="11"/>
      <c r="N159" s="180" t="e">
        <f>#REF!-H159</f>
        <v>#REF!</v>
      </c>
    </row>
    <row r="160" spans="1:14" s="114" customFormat="1">
      <c r="A160" s="96">
        <v>91</v>
      </c>
      <c r="B160" s="96" t="s">
        <v>587</v>
      </c>
      <c r="C160" s="2" t="s">
        <v>763</v>
      </c>
      <c r="D160" s="12">
        <v>500000</v>
      </c>
      <c r="E160" s="12">
        <v>66650</v>
      </c>
      <c r="F160" s="15">
        <f>SUM(D160:E160)</f>
        <v>566650</v>
      </c>
      <c r="G160" s="14">
        <v>50</v>
      </c>
      <c r="H160" s="143">
        <v>11333</v>
      </c>
      <c r="I160" s="14">
        <v>34</v>
      </c>
      <c r="J160" s="97">
        <f>G160-I160</f>
        <v>16</v>
      </c>
      <c r="K160" s="91">
        <f>I160*H160</f>
        <v>385322</v>
      </c>
      <c r="L160" s="15">
        <f>F160-K160</f>
        <v>181328</v>
      </c>
      <c r="M160" s="8"/>
      <c r="N160" s="180" t="e">
        <f>#REF!-H160</f>
        <v>#REF!</v>
      </c>
    </row>
    <row r="161" spans="1:15" s="114" customFormat="1">
      <c r="A161" s="96">
        <v>105</v>
      </c>
      <c r="B161" s="96" t="s">
        <v>678</v>
      </c>
      <c r="C161" s="23" t="s">
        <v>733</v>
      </c>
      <c r="D161" s="16">
        <v>500000</v>
      </c>
      <c r="E161" s="16">
        <v>47992</v>
      </c>
      <c r="F161" s="41">
        <f>SUM(D161:E161)</f>
        <v>547992</v>
      </c>
      <c r="G161" s="159">
        <v>36</v>
      </c>
      <c r="H161" s="203">
        <v>15222</v>
      </c>
      <c r="I161" s="97">
        <v>30</v>
      </c>
      <c r="J161" s="97">
        <f>G161-I161</f>
        <v>6</v>
      </c>
      <c r="K161" s="91">
        <f>I161*H161</f>
        <v>456660</v>
      </c>
      <c r="L161" s="94">
        <f>F161-K161</f>
        <v>91332</v>
      </c>
      <c r="M161" s="11"/>
      <c r="N161" s="180" t="e">
        <f>#REF!-H161</f>
        <v>#REF!</v>
      </c>
    </row>
    <row r="162" spans="1:15" s="114" customFormat="1"/>
    <row r="163" spans="1:15" s="114" customFormat="1">
      <c r="A163" s="96">
        <v>1</v>
      </c>
      <c r="B163" s="241"/>
      <c r="C163" s="4" t="s">
        <v>383</v>
      </c>
      <c r="D163" s="41">
        <v>200000</v>
      </c>
      <c r="E163" s="41">
        <v>26660</v>
      </c>
      <c r="F163" s="41">
        <f t="shared" ref="F163:F168" si="19">SUM(D163:E163)</f>
        <v>226660</v>
      </c>
      <c r="G163" s="159">
        <v>40</v>
      </c>
      <c r="H163" s="208">
        <v>5666.5</v>
      </c>
      <c r="I163" s="96">
        <v>42</v>
      </c>
      <c r="J163" s="96">
        <f t="shared" ref="J163:J172" si="20">G163-I163</f>
        <v>-2</v>
      </c>
      <c r="K163" s="16">
        <f t="shared" ref="K163:K172" si="21">I163*H163</f>
        <v>237993</v>
      </c>
      <c r="L163" s="41">
        <f t="shared" ref="L163:L172" si="22">F163-K163</f>
        <v>-11333</v>
      </c>
      <c r="M163" s="11"/>
      <c r="N163" s="180" t="e">
        <f>#REF!-H163</f>
        <v>#REF!</v>
      </c>
    </row>
    <row r="164" spans="1:15" s="114" customFormat="1">
      <c r="A164" s="96">
        <v>5</v>
      </c>
      <c r="B164" s="241"/>
      <c r="C164" s="4" t="s">
        <v>413</v>
      </c>
      <c r="D164" s="12">
        <v>180000</v>
      </c>
      <c r="E164" s="12">
        <v>23994</v>
      </c>
      <c r="F164" s="15">
        <f t="shared" si="19"/>
        <v>203994</v>
      </c>
      <c r="G164" s="14">
        <v>40</v>
      </c>
      <c r="H164" s="208">
        <v>5099.8500000000004</v>
      </c>
      <c r="I164" s="159">
        <v>38</v>
      </c>
      <c r="J164" s="97">
        <f t="shared" si="20"/>
        <v>2</v>
      </c>
      <c r="K164" s="91">
        <f t="shared" si="21"/>
        <v>193794.30000000002</v>
      </c>
      <c r="L164" s="15">
        <f t="shared" si="22"/>
        <v>10199.699999999983</v>
      </c>
      <c r="M164" s="8"/>
      <c r="N164" s="180" t="e">
        <f>#REF!-H164</f>
        <v>#REF!</v>
      </c>
    </row>
    <row r="165" spans="1:15" s="114" customFormat="1">
      <c r="A165" s="96">
        <v>12</v>
      </c>
      <c r="B165" s="96"/>
      <c r="C165" s="2" t="s">
        <v>389</v>
      </c>
      <c r="D165" s="41">
        <v>200000</v>
      </c>
      <c r="E165" s="41">
        <v>26660</v>
      </c>
      <c r="F165" s="41">
        <f t="shared" si="19"/>
        <v>226660</v>
      </c>
      <c r="G165" s="220">
        <v>40</v>
      </c>
      <c r="H165" s="208">
        <v>5666.5</v>
      </c>
      <c r="I165" s="96">
        <v>53</v>
      </c>
      <c r="J165" s="96">
        <f t="shared" si="20"/>
        <v>-13</v>
      </c>
      <c r="K165" s="16">
        <f t="shared" si="21"/>
        <v>300324.5</v>
      </c>
      <c r="L165" s="41">
        <f t="shared" si="22"/>
        <v>-73664.5</v>
      </c>
      <c r="M165" s="152"/>
      <c r="N165" s="180" t="e">
        <f>#REF!-H165</f>
        <v>#REF!</v>
      </c>
    </row>
    <row r="166" spans="1:15" s="114" customFormat="1">
      <c r="A166" s="96">
        <v>29</v>
      </c>
      <c r="B166" s="241"/>
      <c r="C166" s="4" t="s">
        <v>414</v>
      </c>
      <c r="D166" s="16">
        <v>180000</v>
      </c>
      <c r="E166" s="16">
        <v>23994</v>
      </c>
      <c r="F166" s="41">
        <f t="shared" si="19"/>
        <v>203994</v>
      </c>
      <c r="G166" s="159">
        <v>40</v>
      </c>
      <c r="H166" s="208">
        <v>5099.8500000000004</v>
      </c>
      <c r="I166" s="97">
        <v>40</v>
      </c>
      <c r="J166" s="97">
        <f t="shared" si="20"/>
        <v>0</v>
      </c>
      <c r="K166" s="91">
        <f t="shared" si="21"/>
        <v>203994</v>
      </c>
      <c r="L166" s="94">
        <f t="shared" si="22"/>
        <v>0</v>
      </c>
      <c r="M166" s="11"/>
      <c r="N166" s="180" t="e">
        <f>#REF!-H166</f>
        <v>#REF!</v>
      </c>
    </row>
    <row r="167" spans="1:15" s="114" customFormat="1">
      <c r="A167" s="96">
        <v>64</v>
      </c>
      <c r="B167" s="241"/>
      <c r="C167" s="4" t="s">
        <v>403</v>
      </c>
      <c r="D167" s="41">
        <v>200000</v>
      </c>
      <c r="E167" s="41">
        <v>26660</v>
      </c>
      <c r="F167" s="41">
        <f t="shared" si="19"/>
        <v>226660</v>
      </c>
      <c r="G167" s="159">
        <v>40</v>
      </c>
      <c r="H167" s="208">
        <v>5666.5</v>
      </c>
      <c r="I167" s="97">
        <v>42</v>
      </c>
      <c r="J167" s="97">
        <f t="shared" si="20"/>
        <v>-2</v>
      </c>
      <c r="K167" s="91">
        <f t="shared" si="21"/>
        <v>237993</v>
      </c>
      <c r="L167" s="94">
        <f t="shared" si="22"/>
        <v>-11333</v>
      </c>
      <c r="M167" s="11"/>
      <c r="N167" s="180" t="e">
        <f>#REF!-H167</f>
        <v>#REF!</v>
      </c>
    </row>
    <row r="168" spans="1:15" s="114" customFormat="1">
      <c r="A168" s="96">
        <v>68</v>
      </c>
      <c r="B168" s="241"/>
      <c r="C168" s="4" t="s">
        <v>422</v>
      </c>
      <c r="D168" s="16">
        <v>132000</v>
      </c>
      <c r="E168" s="16">
        <v>17595.599999999999</v>
      </c>
      <c r="F168" s="41">
        <f t="shared" si="19"/>
        <v>149595.6</v>
      </c>
      <c r="G168" s="159">
        <v>40</v>
      </c>
      <c r="H168" s="208">
        <v>3739.89</v>
      </c>
      <c r="I168" s="97">
        <v>42</v>
      </c>
      <c r="J168" s="97">
        <f t="shared" si="20"/>
        <v>-2</v>
      </c>
      <c r="K168" s="91">
        <f t="shared" si="21"/>
        <v>157075.38</v>
      </c>
      <c r="L168" s="94">
        <f t="shared" si="22"/>
        <v>-7479.7799999999988</v>
      </c>
      <c r="M168" s="11"/>
      <c r="N168" s="180" t="e">
        <f>#REF!-H168</f>
        <v>#REF!</v>
      </c>
    </row>
    <row r="169" spans="1:15" s="114" customFormat="1">
      <c r="A169" s="96">
        <v>86</v>
      </c>
      <c r="B169" s="241"/>
      <c r="C169" s="4" t="s">
        <v>407</v>
      </c>
      <c r="D169" s="41">
        <v>200000</v>
      </c>
      <c r="E169" s="41">
        <v>26660</v>
      </c>
      <c r="F169" s="41">
        <v>226660</v>
      </c>
      <c r="G169" s="159">
        <v>40</v>
      </c>
      <c r="H169" s="208">
        <v>5666.5</v>
      </c>
      <c r="I169" s="97">
        <v>42</v>
      </c>
      <c r="J169" s="97">
        <f t="shared" si="20"/>
        <v>-2</v>
      </c>
      <c r="K169" s="91">
        <f t="shared" si="21"/>
        <v>237993</v>
      </c>
      <c r="L169" s="94">
        <f t="shared" si="22"/>
        <v>-11333</v>
      </c>
      <c r="M169" s="11"/>
      <c r="N169" s="180" t="e">
        <f>#REF!-H169</f>
        <v>#REF!</v>
      </c>
    </row>
    <row r="170" spans="1:15" s="114" customFormat="1">
      <c r="A170" s="96">
        <v>94</v>
      </c>
      <c r="B170" s="241"/>
      <c r="C170" s="4" t="s">
        <v>408</v>
      </c>
      <c r="D170" s="41">
        <v>200000</v>
      </c>
      <c r="E170" s="41">
        <v>26660</v>
      </c>
      <c r="F170" s="41">
        <v>226660</v>
      </c>
      <c r="G170" s="159">
        <v>40</v>
      </c>
      <c r="H170" s="208">
        <v>5666.5</v>
      </c>
      <c r="I170" s="97">
        <v>42</v>
      </c>
      <c r="J170" s="97">
        <f t="shared" si="20"/>
        <v>-2</v>
      </c>
      <c r="K170" s="91">
        <f t="shared" si="21"/>
        <v>237993</v>
      </c>
      <c r="L170" s="94">
        <f t="shared" si="22"/>
        <v>-11333</v>
      </c>
      <c r="M170" s="11"/>
      <c r="N170" s="180" t="e">
        <f>#REF!-H170</f>
        <v>#REF!</v>
      </c>
    </row>
    <row r="171" spans="1:15" s="114" customFormat="1">
      <c r="A171" s="96">
        <v>99</v>
      </c>
      <c r="B171" s="241"/>
      <c r="C171" s="4" t="s">
        <v>409</v>
      </c>
      <c r="D171" s="41">
        <v>200000</v>
      </c>
      <c r="E171" s="41">
        <v>26660</v>
      </c>
      <c r="F171" s="41">
        <f>SUM(D171:E171)</f>
        <v>226660</v>
      </c>
      <c r="G171" s="159">
        <v>40</v>
      </c>
      <c r="H171" s="208">
        <v>5666.5</v>
      </c>
      <c r="I171" s="97">
        <v>42</v>
      </c>
      <c r="J171" s="97">
        <f t="shared" si="20"/>
        <v>-2</v>
      </c>
      <c r="K171" s="91">
        <f t="shared" si="21"/>
        <v>237993</v>
      </c>
      <c r="L171" s="94">
        <f t="shared" si="22"/>
        <v>-11333</v>
      </c>
      <c r="M171" s="11"/>
      <c r="N171" s="180" t="e">
        <f>#REF!-H171</f>
        <v>#REF!</v>
      </c>
      <c r="O171"/>
    </row>
    <row r="172" spans="1:15" s="114" customFormat="1">
      <c r="A172" s="96">
        <v>107</v>
      </c>
      <c r="B172" s="241"/>
      <c r="C172" s="4" t="s">
        <v>35</v>
      </c>
      <c r="D172" s="155">
        <v>150000</v>
      </c>
      <c r="E172" s="155">
        <v>19995</v>
      </c>
      <c r="F172" s="155">
        <f>SUM(D172:E172)</f>
        <v>169995</v>
      </c>
      <c r="G172" s="159">
        <v>50</v>
      </c>
      <c r="H172" s="208">
        <v>3399.9</v>
      </c>
      <c r="I172" s="97">
        <v>14</v>
      </c>
      <c r="J172" s="97">
        <f t="shared" si="20"/>
        <v>36</v>
      </c>
      <c r="K172" s="91">
        <f t="shared" si="21"/>
        <v>47598.6</v>
      </c>
      <c r="L172" s="91">
        <f t="shared" si="22"/>
        <v>122396.4</v>
      </c>
      <c r="M172" s="122"/>
      <c r="N172" s="180" t="e">
        <f>#REF!-H172</f>
        <v>#REF!</v>
      </c>
      <c r="O172"/>
    </row>
    <row r="173" spans="1:15" s="114" customFormat="1">
      <c r="O173"/>
    </row>
    <row r="174" spans="1:15" s="114" customFormat="1">
      <c r="A174" s="96">
        <v>30</v>
      </c>
      <c r="B174" s="96"/>
      <c r="C174" s="25" t="s">
        <v>362</v>
      </c>
      <c r="D174" s="12">
        <v>450000</v>
      </c>
      <c r="E174" s="12">
        <v>59985</v>
      </c>
      <c r="F174" s="15">
        <f>SUM(D174:E174)</f>
        <v>509985</v>
      </c>
      <c r="G174" s="14">
        <v>50</v>
      </c>
      <c r="H174" s="212">
        <v>10199.700000000001</v>
      </c>
      <c r="I174" s="14">
        <v>30</v>
      </c>
      <c r="J174" s="97">
        <f t="shared" ref="J174:J181" si="23">G174-I174</f>
        <v>20</v>
      </c>
      <c r="K174" s="91">
        <f>I174*H174</f>
        <v>305991</v>
      </c>
      <c r="L174" s="15">
        <f t="shared" ref="L174:L181" si="24">F174-K174</f>
        <v>203994</v>
      </c>
      <c r="M174" s="8"/>
      <c r="N174" s="180" t="e">
        <f>#REF!-H174</f>
        <v>#REF!</v>
      </c>
      <c r="O174"/>
    </row>
    <row r="175" spans="1:15" s="114" customFormat="1" ht="14.25" customHeight="1">
      <c r="A175" s="96">
        <v>102</v>
      </c>
      <c r="B175" s="241"/>
      <c r="C175" s="46" t="s">
        <v>289</v>
      </c>
      <c r="D175" s="16">
        <v>180000</v>
      </c>
      <c r="E175" s="16">
        <v>23994</v>
      </c>
      <c r="F175" s="16">
        <v>203994</v>
      </c>
      <c r="G175" s="221">
        <v>40</v>
      </c>
      <c r="H175" s="167">
        <v>5099.8500000000004</v>
      </c>
      <c r="I175" s="97">
        <v>40</v>
      </c>
      <c r="J175" s="97">
        <f t="shared" si="23"/>
        <v>0</v>
      </c>
      <c r="K175" s="156">
        <f>(36*5099.85)</f>
        <v>183594.6</v>
      </c>
      <c r="L175" s="91">
        <f t="shared" si="24"/>
        <v>20399.399999999994</v>
      </c>
      <c r="M175" s="122"/>
      <c r="N175" s="180" t="e">
        <f>#REF!-H175</f>
        <v>#REF!</v>
      </c>
      <c r="O175"/>
    </row>
    <row r="176" spans="1:15" s="114" customFormat="1" ht="14.25" customHeight="1">
      <c r="A176" s="96">
        <v>90</v>
      </c>
      <c r="B176" s="241"/>
      <c r="C176" s="4" t="s">
        <v>416</v>
      </c>
      <c r="D176" s="12">
        <v>180000</v>
      </c>
      <c r="E176" s="12">
        <v>23994</v>
      </c>
      <c r="F176" s="15">
        <f>SUM(D176:E176)</f>
        <v>203994</v>
      </c>
      <c r="G176" s="21">
        <v>40</v>
      </c>
      <c r="H176" s="167">
        <v>5099.8500000000004</v>
      </c>
      <c r="I176" s="14">
        <v>47</v>
      </c>
      <c r="J176" s="97">
        <f t="shared" si="23"/>
        <v>-7</v>
      </c>
      <c r="K176" s="91">
        <f t="shared" ref="K176:K181" si="25">I176*H176</f>
        <v>239692.95</v>
      </c>
      <c r="L176" s="15">
        <f t="shared" si="24"/>
        <v>-35698.950000000012</v>
      </c>
      <c r="M176" s="10"/>
      <c r="N176" s="180" t="e">
        <f>#REF!-H176</f>
        <v>#REF!</v>
      </c>
      <c r="O176"/>
    </row>
    <row r="177" spans="1:15" ht="14.25" customHeight="1">
      <c r="A177" s="96">
        <v>4</v>
      </c>
      <c r="B177" s="241"/>
      <c r="C177" s="4" t="s">
        <v>384</v>
      </c>
      <c r="D177" s="41">
        <v>200000</v>
      </c>
      <c r="E177" s="41">
        <v>26660</v>
      </c>
      <c r="F177" s="41">
        <f>SUM(D177:E177)</f>
        <v>226660</v>
      </c>
      <c r="G177" s="159">
        <v>40</v>
      </c>
      <c r="H177" s="167">
        <v>5666.5</v>
      </c>
      <c r="I177" s="96">
        <v>32</v>
      </c>
      <c r="J177" s="96">
        <f t="shared" si="23"/>
        <v>8</v>
      </c>
      <c r="K177" s="16">
        <f t="shared" si="25"/>
        <v>181328</v>
      </c>
      <c r="L177" s="41">
        <f t="shared" si="24"/>
        <v>45332</v>
      </c>
      <c r="M177" s="11"/>
      <c r="N177" s="180" t="e">
        <f>#REF!-H177</f>
        <v>#REF!</v>
      </c>
    </row>
    <row r="178" spans="1:15" ht="14.25" customHeight="1">
      <c r="A178" s="96">
        <v>10</v>
      </c>
      <c r="B178" s="241"/>
      <c r="C178" s="4" t="s">
        <v>388</v>
      </c>
      <c r="D178" s="15">
        <v>200000</v>
      </c>
      <c r="E178" s="15">
        <v>26660</v>
      </c>
      <c r="F178" s="15">
        <f>SUM(D178:E178)</f>
        <v>226660</v>
      </c>
      <c r="G178" s="14">
        <v>40</v>
      </c>
      <c r="H178" s="24">
        <v>5666.5</v>
      </c>
      <c r="I178" s="14">
        <v>38</v>
      </c>
      <c r="J178" s="97">
        <f t="shared" si="23"/>
        <v>2</v>
      </c>
      <c r="K178" s="91">
        <f t="shared" si="25"/>
        <v>215327</v>
      </c>
      <c r="L178" s="15">
        <f t="shared" si="24"/>
        <v>11333</v>
      </c>
      <c r="M178" s="8"/>
      <c r="N178" s="180" t="e">
        <f>#REF!-H178</f>
        <v>#REF!</v>
      </c>
    </row>
    <row r="179" spans="1:15" ht="14.25" customHeight="1">
      <c r="A179" s="96">
        <v>25</v>
      </c>
      <c r="B179" s="241"/>
      <c r="C179" s="4" t="s">
        <v>140</v>
      </c>
      <c r="D179" s="15">
        <v>200000</v>
      </c>
      <c r="E179" s="15">
        <v>26660</v>
      </c>
      <c r="F179" s="15">
        <f>SUM(D179:E179)</f>
        <v>226660</v>
      </c>
      <c r="G179" s="14">
        <v>40</v>
      </c>
      <c r="H179" s="167">
        <v>5666.5</v>
      </c>
      <c r="I179" s="14">
        <v>34</v>
      </c>
      <c r="J179" s="97">
        <f t="shared" si="23"/>
        <v>6</v>
      </c>
      <c r="K179" s="91">
        <f t="shared" si="25"/>
        <v>192661</v>
      </c>
      <c r="L179" s="15">
        <f t="shared" si="24"/>
        <v>33999</v>
      </c>
      <c r="M179" s="8"/>
      <c r="N179" s="180" t="e">
        <f>#REF!-H179</f>
        <v>#REF!</v>
      </c>
    </row>
    <row r="180" spans="1:15" ht="14.25" customHeight="1">
      <c r="A180" s="96">
        <v>31</v>
      </c>
      <c r="B180" s="96"/>
      <c r="C180" s="2" t="s">
        <v>284</v>
      </c>
      <c r="D180" s="19">
        <v>500000</v>
      </c>
      <c r="E180" s="19">
        <v>66650</v>
      </c>
      <c r="F180" s="19">
        <v>566650</v>
      </c>
      <c r="G180" s="159">
        <v>50</v>
      </c>
      <c r="H180" s="167">
        <v>11333</v>
      </c>
      <c r="I180" s="97">
        <v>34</v>
      </c>
      <c r="J180" s="97">
        <f t="shared" si="23"/>
        <v>16</v>
      </c>
      <c r="K180" s="91">
        <f t="shared" si="25"/>
        <v>385322</v>
      </c>
      <c r="L180" s="91">
        <f t="shared" si="24"/>
        <v>181328</v>
      </c>
      <c r="M180" s="122"/>
      <c r="N180" s="180" t="e">
        <f>#REF!-H180</f>
        <v>#REF!</v>
      </c>
    </row>
    <row r="181" spans="1:15" ht="14.25" customHeight="1">
      <c r="A181" s="96">
        <v>122</v>
      </c>
      <c r="B181" s="241"/>
      <c r="C181" s="168" t="s">
        <v>382</v>
      </c>
      <c r="D181" s="12">
        <v>330000</v>
      </c>
      <c r="E181" s="12">
        <v>43989</v>
      </c>
      <c r="F181" s="15">
        <f>SUM(D181:E181)</f>
        <v>373989</v>
      </c>
      <c r="G181" s="14">
        <v>50</v>
      </c>
      <c r="H181" s="222">
        <v>7479.78</v>
      </c>
      <c r="I181" s="14">
        <v>32</v>
      </c>
      <c r="J181" s="97">
        <f t="shared" si="23"/>
        <v>18</v>
      </c>
      <c r="K181" s="91">
        <f t="shared" si="25"/>
        <v>239352.95999999999</v>
      </c>
      <c r="L181" s="15">
        <f t="shared" si="24"/>
        <v>134636.04</v>
      </c>
      <c r="M181" s="8"/>
    </row>
    <row r="182" spans="1:15" ht="14.25" customHeight="1">
      <c r="A182" s="114"/>
      <c r="B182" s="114"/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</row>
    <row r="183" spans="1:15" ht="14.25" customHeight="1">
      <c r="A183" s="96">
        <v>96</v>
      </c>
      <c r="B183" s="241"/>
      <c r="C183" s="4" t="s">
        <v>482</v>
      </c>
      <c r="D183" s="12">
        <v>60000</v>
      </c>
      <c r="E183" s="12">
        <v>7998</v>
      </c>
      <c r="F183" s="15">
        <f>SUM(D183:E183)</f>
        <v>67998</v>
      </c>
      <c r="G183" s="14">
        <v>40</v>
      </c>
      <c r="H183" s="172">
        <v>1699.95</v>
      </c>
      <c r="I183" s="97">
        <v>41</v>
      </c>
      <c r="J183" s="97">
        <f>G183-I183</f>
        <v>-1</v>
      </c>
      <c r="K183" s="91">
        <f>I183*H183</f>
        <v>69697.95</v>
      </c>
      <c r="L183" s="94">
        <f>F183-K183</f>
        <v>-1699.9499999999971</v>
      </c>
      <c r="M183" s="122"/>
      <c r="N183" s="114"/>
    </row>
    <row r="184" spans="1:15" ht="14.25" customHeight="1">
      <c r="A184" s="114"/>
      <c r="B184" s="114"/>
      <c r="C184" s="114"/>
      <c r="D184" s="114"/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121"/>
    </row>
    <row r="185" spans="1:15" ht="14.25" customHeight="1">
      <c r="A185" s="96">
        <v>121</v>
      </c>
      <c r="B185" s="241"/>
      <c r="C185" s="4" t="s">
        <v>429</v>
      </c>
      <c r="D185" s="16">
        <v>60000</v>
      </c>
      <c r="E185" s="16">
        <v>7998</v>
      </c>
      <c r="F185" s="41">
        <f>SUM(D185:E185)</f>
        <v>67998</v>
      </c>
      <c r="G185" s="159">
        <v>40</v>
      </c>
      <c r="H185" s="167">
        <v>1699.95</v>
      </c>
      <c r="I185" s="97">
        <v>40</v>
      </c>
      <c r="J185" s="97">
        <f>G185-I185</f>
        <v>0</v>
      </c>
      <c r="K185" s="91">
        <f>I185*H185</f>
        <v>67998</v>
      </c>
      <c r="L185" s="94">
        <f>F185-K185</f>
        <v>0</v>
      </c>
      <c r="M185" s="11"/>
      <c r="N185" s="180" t="e">
        <f>#REF!-H185</f>
        <v>#REF!</v>
      </c>
    </row>
    <row r="187" spans="1:15">
      <c r="A187" s="96">
        <v>12</v>
      </c>
      <c r="B187" s="96"/>
      <c r="C187" s="2" t="s">
        <v>373</v>
      </c>
      <c r="D187" s="16">
        <v>330000</v>
      </c>
      <c r="E187" s="16">
        <v>43989</v>
      </c>
      <c r="F187" s="41">
        <f>SUM(D187:E187)</f>
        <v>373989</v>
      </c>
      <c r="G187" s="33">
        <v>50</v>
      </c>
      <c r="H187" s="16">
        <v>7479.78</v>
      </c>
      <c r="I187" s="96">
        <v>26</v>
      </c>
      <c r="J187" s="96">
        <f>G187-I187</f>
        <v>24</v>
      </c>
      <c r="K187" s="16">
        <f>I187*H187</f>
        <v>194474.28</v>
      </c>
      <c r="L187" s="41">
        <f>F187-K187</f>
        <v>179514.72</v>
      </c>
      <c r="M187" s="11"/>
      <c r="N187" s="180" t="e">
        <f>#REF!-H187</f>
        <v>#REF!</v>
      </c>
    </row>
    <row r="188" spans="1:15">
      <c r="A188" s="96">
        <v>87</v>
      </c>
      <c r="B188" s="96"/>
      <c r="C188" s="2" t="s">
        <v>421</v>
      </c>
      <c r="D188" s="16">
        <v>132000</v>
      </c>
      <c r="E188" s="16">
        <v>17595.599999999999</v>
      </c>
      <c r="F188" s="16">
        <v>149595.6</v>
      </c>
      <c r="G188" s="45">
        <v>40</v>
      </c>
      <c r="H188" s="19">
        <v>3739.89</v>
      </c>
      <c r="I188" s="97">
        <v>46</v>
      </c>
      <c r="J188" s="97">
        <f>G188-I188</f>
        <v>-6</v>
      </c>
      <c r="K188" s="91">
        <f>I188*H188</f>
        <v>172034.94</v>
      </c>
      <c r="L188" s="94">
        <f>F188-K188</f>
        <v>-22439.339999999997</v>
      </c>
      <c r="M188" s="11"/>
      <c r="N188" s="180" t="e">
        <f>#REF!-H188</f>
        <v>#REF!</v>
      </c>
    </row>
    <row r="189" spans="1:15" s="121" customFormat="1">
      <c r="A189" s="96">
        <v>116</v>
      </c>
      <c r="B189" s="96"/>
      <c r="C189" s="2" t="s">
        <v>377</v>
      </c>
      <c r="D189" s="155">
        <v>330000</v>
      </c>
      <c r="E189" s="155">
        <v>43989</v>
      </c>
      <c r="F189" s="155">
        <f>SUM(D189:E189)</f>
        <v>373989</v>
      </c>
      <c r="G189" s="33">
        <v>50</v>
      </c>
      <c r="H189" s="154">
        <v>7479.78</v>
      </c>
      <c r="I189" s="97">
        <v>12</v>
      </c>
      <c r="J189" s="97">
        <f>G189-I189</f>
        <v>38</v>
      </c>
      <c r="K189" s="91">
        <f>I189*H189</f>
        <v>89757.36</v>
      </c>
      <c r="L189" s="91">
        <f>F189-K189</f>
        <v>284231.64</v>
      </c>
      <c r="M189" s="122"/>
      <c r="N189" s="180" t="e">
        <f>#REF!-H189</f>
        <v>#REF!</v>
      </c>
      <c r="O189"/>
    </row>
    <row r="191" spans="1:15">
      <c r="A191" s="96">
        <v>144</v>
      </c>
      <c r="B191" s="96"/>
      <c r="C191" s="2" t="s">
        <v>410</v>
      </c>
      <c r="D191" s="41">
        <v>200000</v>
      </c>
      <c r="E191" s="41">
        <v>26660</v>
      </c>
      <c r="F191" s="41">
        <f>SUM(D191:E191)</f>
        <v>226660</v>
      </c>
      <c r="G191" s="33">
        <v>40</v>
      </c>
      <c r="H191" s="41">
        <v>5666.5</v>
      </c>
      <c r="I191" s="97">
        <v>40</v>
      </c>
      <c r="J191" s="97">
        <f>G191-I191</f>
        <v>0</v>
      </c>
      <c r="K191" s="91">
        <f>I191*H191</f>
        <v>226660</v>
      </c>
      <c r="L191" s="94">
        <f>F191-K191</f>
        <v>0</v>
      </c>
      <c r="M191" s="11"/>
      <c r="N191" s="180" t="e">
        <f>#REF!-H191</f>
        <v>#REF!</v>
      </c>
    </row>
    <row r="192" spans="1:15">
      <c r="A192" s="96">
        <v>147</v>
      </c>
      <c r="B192" s="96"/>
      <c r="C192" s="2" t="s">
        <v>411</v>
      </c>
      <c r="D192" s="41">
        <v>200000</v>
      </c>
      <c r="E192" s="41">
        <v>26660</v>
      </c>
      <c r="F192" s="41">
        <v>226660</v>
      </c>
      <c r="G192" s="33">
        <v>40</v>
      </c>
      <c r="H192" s="19">
        <v>5666.5</v>
      </c>
      <c r="I192" s="97">
        <v>40</v>
      </c>
      <c r="J192" s="97">
        <f>G192-I192</f>
        <v>0</v>
      </c>
      <c r="K192" s="91">
        <f>I192*H192</f>
        <v>226660</v>
      </c>
      <c r="L192" s="94">
        <f>F192-K192</f>
        <v>0</v>
      </c>
      <c r="M192" s="11"/>
      <c r="N192" s="180" t="e">
        <f>#REF!-H192</f>
        <v>#REF!</v>
      </c>
    </row>
    <row r="193" spans="1:14">
      <c r="A193" s="96">
        <v>148</v>
      </c>
      <c r="B193" s="96"/>
      <c r="C193" s="2" t="s">
        <v>412</v>
      </c>
      <c r="D193" s="41">
        <v>200000</v>
      </c>
      <c r="E193" s="41">
        <v>26660</v>
      </c>
      <c r="F193" s="41">
        <f>SUM(D193:E193)</f>
        <v>226660</v>
      </c>
      <c r="G193" s="33">
        <v>40</v>
      </c>
      <c r="H193" s="41">
        <v>5666.5</v>
      </c>
      <c r="I193" s="97">
        <v>40</v>
      </c>
      <c r="J193" s="97">
        <f>G193-I193</f>
        <v>0</v>
      </c>
      <c r="K193" s="91">
        <f>I193*H193</f>
        <v>226660</v>
      </c>
      <c r="L193" s="94">
        <f>F193-K193</f>
        <v>0</v>
      </c>
      <c r="M193" s="11"/>
      <c r="N193" s="180" t="e">
        <f>#REF!-H193</f>
        <v>#REF!</v>
      </c>
    </row>
    <row r="195" spans="1:14">
      <c r="A195" s="96">
        <v>6</v>
      </c>
      <c r="B195" s="96"/>
      <c r="C195" s="2" t="s">
        <v>418</v>
      </c>
      <c r="D195" s="16">
        <v>132000</v>
      </c>
      <c r="E195" s="16">
        <v>17595.599999999999</v>
      </c>
      <c r="F195" s="41">
        <f t="shared" ref="F195:F207" si="26">SUM(D195:E195)</f>
        <v>149595.6</v>
      </c>
      <c r="G195" s="33">
        <v>40</v>
      </c>
      <c r="H195" s="16">
        <v>3739.89</v>
      </c>
      <c r="I195" s="96">
        <v>40</v>
      </c>
      <c r="J195" s="96">
        <f t="shared" ref="J195:J215" si="27">G195-I195</f>
        <v>0</v>
      </c>
      <c r="K195" s="16">
        <f t="shared" ref="K195:K215" si="28">I195*H195</f>
        <v>149595.6</v>
      </c>
      <c r="L195" s="41">
        <f t="shared" ref="L195:L215" si="29">F195-K195</f>
        <v>0</v>
      </c>
      <c r="M195" s="11"/>
      <c r="N195" s="180" t="e">
        <f>#REF!-H195</f>
        <v>#REF!</v>
      </c>
    </row>
    <row r="196" spans="1:14">
      <c r="A196" s="96">
        <v>11</v>
      </c>
      <c r="B196" s="96"/>
      <c r="C196" s="2" t="s">
        <v>386</v>
      </c>
      <c r="D196" s="41">
        <v>200000</v>
      </c>
      <c r="E196" s="41">
        <v>26660</v>
      </c>
      <c r="F196" s="41">
        <f t="shared" si="26"/>
        <v>226660</v>
      </c>
      <c r="G196" s="33">
        <v>40</v>
      </c>
      <c r="H196" s="41">
        <v>5666.5</v>
      </c>
      <c r="I196" s="96">
        <v>40</v>
      </c>
      <c r="J196" s="96">
        <f t="shared" si="27"/>
        <v>0</v>
      </c>
      <c r="K196" s="16">
        <f t="shared" si="28"/>
        <v>226660</v>
      </c>
      <c r="L196" s="41">
        <f t="shared" si="29"/>
        <v>0</v>
      </c>
      <c r="M196" s="11"/>
      <c r="N196" s="180" t="e">
        <f>#REF!-H196</f>
        <v>#REF!</v>
      </c>
    </row>
    <row r="197" spans="1:14">
      <c r="A197" s="96">
        <v>13</v>
      </c>
      <c r="B197" s="96"/>
      <c r="C197" s="2" t="s">
        <v>387</v>
      </c>
      <c r="D197" s="41">
        <v>200000</v>
      </c>
      <c r="E197" s="41">
        <v>26660</v>
      </c>
      <c r="F197" s="41">
        <f t="shared" si="26"/>
        <v>226660</v>
      </c>
      <c r="G197" s="33">
        <v>40</v>
      </c>
      <c r="H197" s="41">
        <v>5666.5</v>
      </c>
      <c r="I197" s="96">
        <v>40</v>
      </c>
      <c r="J197" s="96">
        <f t="shared" si="27"/>
        <v>0</v>
      </c>
      <c r="K197" s="16">
        <f t="shared" si="28"/>
        <v>226660</v>
      </c>
      <c r="L197" s="41">
        <f t="shared" si="29"/>
        <v>0</v>
      </c>
      <c r="M197" s="11"/>
      <c r="N197" s="180" t="e">
        <f>#REF!-H197</f>
        <v>#REF!</v>
      </c>
    </row>
    <row r="198" spans="1:14">
      <c r="A198" s="96">
        <v>20</v>
      </c>
      <c r="B198" s="96"/>
      <c r="C198" s="2" t="s">
        <v>390</v>
      </c>
      <c r="D198" s="41">
        <v>200000</v>
      </c>
      <c r="E198" s="41">
        <v>26660</v>
      </c>
      <c r="F198" s="41">
        <f t="shared" si="26"/>
        <v>226660</v>
      </c>
      <c r="G198" s="33">
        <v>40</v>
      </c>
      <c r="H198" s="41">
        <v>5666.5</v>
      </c>
      <c r="I198" s="96">
        <v>40</v>
      </c>
      <c r="J198" s="96">
        <f t="shared" si="27"/>
        <v>0</v>
      </c>
      <c r="K198" s="16">
        <f t="shared" si="28"/>
        <v>226660</v>
      </c>
      <c r="L198" s="41">
        <f t="shared" si="29"/>
        <v>0</v>
      </c>
      <c r="M198" s="11"/>
      <c r="N198" s="180" t="e">
        <f>#REF!-H198</f>
        <v>#REF!</v>
      </c>
    </row>
    <row r="199" spans="1:14">
      <c r="A199" s="96">
        <v>29</v>
      </c>
      <c r="B199" s="96"/>
      <c r="C199" s="2" t="s">
        <v>391</v>
      </c>
      <c r="D199" s="41">
        <v>200000</v>
      </c>
      <c r="E199" s="41">
        <v>26660</v>
      </c>
      <c r="F199" s="41">
        <f t="shared" si="26"/>
        <v>226660</v>
      </c>
      <c r="G199" s="33">
        <v>40</v>
      </c>
      <c r="H199" s="41">
        <v>5666.5</v>
      </c>
      <c r="I199" s="97">
        <v>40</v>
      </c>
      <c r="J199" s="97">
        <f t="shared" si="27"/>
        <v>0</v>
      </c>
      <c r="K199" s="91">
        <f t="shared" si="28"/>
        <v>226660</v>
      </c>
      <c r="L199" s="94">
        <f t="shared" si="29"/>
        <v>0</v>
      </c>
      <c r="M199" s="11"/>
      <c r="N199" s="180" t="e">
        <f>#REF!-H199</f>
        <v>#REF!</v>
      </c>
    </row>
    <row r="200" spans="1:14">
      <c r="A200" s="96">
        <v>31</v>
      </c>
      <c r="B200" s="96"/>
      <c r="C200" s="2" t="s">
        <v>392</v>
      </c>
      <c r="D200" s="41">
        <v>200000</v>
      </c>
      <c r="E200" s="41">
        <v>26660</v>
      </c>
      <c r="F200" s="41">
        <f t="shared" si="26"/>
        <v>226660</v>
      </c>
      <c r="G200" s="33">
        <v>40</v>
      </c>
      <c r="H200" s="41">
        <v>5666.5</v>
      </c>
      <c r="I200" s="97">
        <v>40</v>
      </c>
      <c r="J200" s="97">
        <f t="shared" si="27"/>
        <v>0</v>
      </c>
      <c r="K200" s="91">
        <f t="shared" si="28"/>
        <v>226660</v>
      </c>
      <c r="L200" s="94">
        <f t="shared" si="29"/>
        <v>0</v>
      </c>
      <c r="M200" s="11"/>
      <c r="N200" s="180" t="e">
        <f>#REF!-H200</f>
        <v>#REF!</v>
      </c>
    </row>
    <row r="201" spans="1:14">
      <c r="A201" s="96">
        <v>34</v>
      </c>
      <c r="B201" s="96"/>
      <c r="C201" s="2" t="s">
        <v>393</v>
      </c>
      <c r="D201" s="41">
        <v>200000</v>
      </c>
      <c r="E201" s="41">
        <v>26660</v>
      </c>
      <c r="F201" s="41">
        <f t="shared" si="26"/>
        <v>226660</v>
      </c>
      <c r="G201" s="33">
        <v>40</v>
      </c>
      <c r="H201" s="41">
        <v>5666.5</v>
      </c>
      <c r="I201" s="97">
        <v>40</v>
      </c>
      <c r="J201" s="97">
        <f t="shared" si="27"/>
        <v>0</v>
      </c>
      <c r="K201" s="91">
        <f t="shared" si="28"/>
        <v>226660</v>
      </c>
      <c r="L201" s="94">
        <f t="shared" si="29"/>
        <v>0</v>
      </c>
      <c r="M201" s="11"/>
      <c r="N201" s="180" t="e">
        <f>#REF!-H201</f>
        <v>#REF!</v>
      </c>
    </row>
    <row r="202" spans="1:14">
      <c r="A202" s="96">
        <v>41</v>
      </c>
      <c r="B202" s="96"/>
      <c r="C202" s="2" t="s">
        <v>415</v>
      </c>
      <c r="D202" s="16">
        <v>180000</v>
      </c>
      <c r="E202" s="16">
        <v>23994</v>
      </c>
      <c r="F202" s="41">
        <f t="shared" si="26"/>
        <v>203994</v>
      </c>
      <c r="G202" s="33">
        <v>40</v>
      </c>
      <c r="H202" s="16">
        <v>5099.8500000000004</v>
      </c>
      <c r="I202" s="97">
        <v>40</v>
      </c>
      <c r="J202" s="97">
        <f t="shared" si="27"/>
        <v>0</v>
      </c>
      <c r="K202" s="91">
        <f t="shared" si="28"/>
        <v>203994</v>
      </c>
      <c r="L202" s="94">
        <f t="shared" si="29"/>
        <v>0</v>
      </c>
      <c r="M202" s="11"/>
      <c r="N202" s="180" t="e">
        <f>#REF!-H202</f>
        <v>#REF!</v>
      </c>
    </row>
    <row r="203" spans="1:14">
      <c r="A203" s="96">
        <v>45</v>
      </c>
      <c r="B203" s="96"/>
      <c r="C203" s="2" t="s">
        <v>394</v>
      </c>
      <c r="D203" s="41">
        <v>200000</v>
      </c>
      <c r="E203" s="41">
        <v>26660</v>
      </c>
      <c r="F203" s="41">
        <f t="shared" si="26"/>
        <v>226660</v>
      </c>
      <c r="G203" s="33">
        <v>40</v>
      </c>
      <c r="H203" s="41">
        <v>5666.5</v>
      </c>
      <c r="I203" s="97">
        <v>40</v>
      </c>
      <c r="J203" s="97">
        <f t="shared" si="27"/>
        <v>0</v>
      </c>
      <c r="K203" s="91">
        <f t="shared" si="28"/>
        <v>226660</v>
      </c>
      <c r="L203" s="94">
        <f t="shared" si="29"/>
        <v>0</v>
      </c>
      <c r="M203" s="11"/>
      <c r="N203" s="180" t="e">
        <f>#REF!-H203</f>
        <v>#REF!</v>
      </c>
    </row>
    <row r="204" spans="1:14">
      <c r="A204" s="96">
        <v>51</v>
      </c>
      <c r="B204" s="96"/>
      <c r="C204" s="2" t="s">
        <v>395</v>
      </c>
      <c r="D204" s="15">
        <v>200000</v>
      </c>
      <c r="E204" s="15">
        <v>26660</v>
      </c>
      <c r="F204" s="15">
        <f t="shared" si="26"/>
        <v>226660</v>
      </c>
      <c r="G204" s="31">
        <v>40</v>
      </c>
      <c r="H204" s="15">
        <v>5666.5</v>
      </c>
      <c r="I204" s="14">
        <v>38</v>
      </c>
      <c r="J204" s="97">
        <f t="shared" si="27"/>
        <v>2</v>
      </c>
      <c r="K204" s="91">
        <f t="shared" si="28"/>
        <v>215327</v>
      </c>
      <c r="L204" s="15">
        <f t="shared" si="29"/>
        <v>11333</v>
      </c>
      <c r="M204" s="8"/>
      <c r="N204" s="180" t="e">
        <f>#REF!-H204</f>
        <v>#REF!</v>
      </c>
    </row>
    <row r="205" spans="1:14">
      <c r="A205" s="96">
        <v>59</v>
      </c>
      <c r="B205" s="96"/>
      <c r="C205" s="2" t="s">
        <v>419</v>
      </c>
      <c r="D205" s="16">
        <v>132000</v>
      </c>
      <c r="E205" s="16">
        <v>17595.599999999999</v>
      </c>
      <c r="F205" s="41">
        <f t="shared" si="26"/>
        <v>149595.6</v>
      </c>
      <c r="G205" s="33">
        <v>40</v>
      </c>
      <c r="H205" s="16">
        <v>3739.89</v>
      </c>
      <c r="I205" s="97">
        <v>40</v>
      </c>
      <c r="J205" s="97">
        <f t="shared" si="27"/>
        <v>0</v>
      </c>
      <c r="K205" s="91">
        <f t="shared" si="28"/>
        <v>149595.6</v>
      </c>
      <c r="L205" s="94">
        <f t="shared" si="29"/>
        <v>0</v>
      </c>
      <c r="M205" s="11"/>
      <c r="N205" s="180" t="e">
        <f>#REF!-H205</f>
        <v>#REF!</v>
      </c>
    </row>
    <row r="206" spans="1:14">
      <c r="A206" s="96">
        <v>60</v>
      </c>
      <c r="B206" s="96"/>
      <c r="C206" s="2" t="s">
        <v>396</v>
      </c>
      <c r="D206" s="41">
        <v>200000</v>
      </c>
      <c r="E206" s="41">
        <v>26660</v>
      </c>
      <c r="F206" s="41">
        <f t="shared" si="26"/>
        <v>226660</v>
      </c>
      <c r="G206" s="33">
        <v>40</v>
      </c>
      <c r="H206" s="41">
        <v>5666.5</v>
      </c>
      <c r="I206" s="97">
        <v>40</v>
      </c>
      <c r="J206" s="97">
        <f t="shared" si="27"/>
        <v>0</v>
      </c>
      <c r="K206" s="91">
        <f t="shared" si="28"/>
        <v>226660</v>
      </c>
      <c r="L206" s="94">
        <f t="shared" si="29"/>
        <v>0</v>
      </c>
      <c r="M206" s="11"/>
      <c r="N206" s="180" t="e">
        <f>#REF!-H206</f>
        <v>#REF!</v>
      </c>
    </row>
    <row r="207" spans="1:14">
      <c r="A207" s="96">
        <v>65</v>
      </c>
      <c r="B207" s="96"/>
      <c r="C207" s="2" t="s">
        <v>420</v>
      </c>
      <c r="D207" s="16">
        <v>132000</v>
      </c>
      <c r="E207" s="16">
        <v>17595.599999999999</v>
      </c>
      <c r="F207" s="41">
        <f t="shared" si="26"/>
        <v>149595.6</v>
      </c>
      <c r="G207" s="33">
        <v>40</v>
      </c>
      <c r="H207" s="16">
        <v>3739.89</v>
      </c>
      <c r="I207" s="97">
        <v>40</v>
      </c>
      <c r="J207" s="97">
        <f t="shared" si="27"/>
        <v>0</v>
      </c>
      <c r="K207" s="91">
        <f t="shared" si="28"/>
        <v>149595.6</v>
      </c>
      <c r="L207" s="94">
        <f t="shared" si="29"/>
        <v>0</v>
      </c>
      <c r="M207" s="11"/>
      <c r="N207" s="180" t="e">
        <f>#REF!-H207</f>
        <v>#REF!</v>
      </c>
    </row>
    <row r="208" spans="1:14">
      <c r="A208" s="96">
        <v>67</v>
      </c>
      <c r="B208" s="96"/>
      <c r="C208" s="2" t="s">
        <v>397</v>
      </c>
      <c r="D208" s="41">
        <v>200000</v>
      </c>
      <c r="E208" s="41">
        <v>26660</v>
      </c>
      <c r="F208" s="41">
        <v>226660</v>
      </c>
      <c r="G208" s="33">
        <v>40</v>
      </c>
      <c r="H208" s="19">
        <v>5666.5</v>
      </c>
      <c r="I208" s="97">
        <v>40</v>
      </c>
      <c r="J208" s="97">
        <f t="shared" si="27"/>
        <v>0</v>
      </c>
      <c r="K208" s="91">
        <f t="shared" si="28"/>
        <v>226660</v>
      </c>
      <c r="L208" s="94">
        <f t="shared" si="29"/>
        <v>0</v>
      </c>
      <c r="M208" s="11"/>
      <c r="N208" s="180" t="e">
        <f>#REF!-H208</f>
        <v>#REF!</v>
      </c>
    </row>
    <row r="209" spans="1:15">
      <c r="A209" s="96">
        <v>69</v>
      </c>
      <c r="B209" s="96"/>
      <c r="C209" s="2" t="s">
        <v>398</v>
      </c>
      <c r="D209" s="41">
        <v>200000</v>
      </c>
      <c r="E209" s="41">
        <v>26660</v>
      </c>
      <c r="F209" s="41">
        <f>SUM(D209:E209)</f>
        <v>226660</v>
      </c>
      <c r="G209" s="33">
        <v>40</v>
      </c>
      <c r="H209" s="41">
        <v>5666.5</v>
      </c>
      <c r="I209" s="97">
        <v>40</v>
      </c>
      <c r="J209" s="97">
        <f t="shared" si="27"/>
        <v>0</v>
      </c>
      <c r="K209" s="91">
        <f t="shared" si="28"/>
        <v>226660</v>
      </c>
      <c r="L209" s="94">
        <f t="shared" si="29"/>
        <v>0</v>
      </c>
      <c r="M209" s="11"/>
      <c r="N209" s="180" t="e">
        <f>#REF!-H209</f>
        <v>#REF!</v>
      </c>
    </row>
    <row r="210" spans="1:15">
      <c r="A210" s="96">
        <v>72</v>
      </c>
      <c r="B210" s="96"/>
      <c r="C210" s="2" t="s">
        <v>399</v>
      </c>
      <c r="D210" s="41">
        <v>200000</v>
      </c>
      <c r="E210" s="41">
        <v>26660</v>
      </c>
      <c r="F210" s="41">
        <f>SUM(D210:E210)</f>
        <v>226660</v>
      </c>
      <c r="G210" s="33">
        <v>40</v>
      </c>
      <c r="H210" s="41">
        <v>5666.5</v>
      </c>
      <c r="I210" s="97">
        <v>40</v>
      </c>
      <c r="J210" s="97">
        <f t="shared" si="27"/>
        <v>0</v>
      </c>
      <c r="K210" s="91">
        <f t="shared" si="28"/>
        <v>226660</v>
      </c>
      <c r="L210" s="94">
        <f t="shared" si="29"/>
        <v>0</v>
      </c>
      <c r="M210" s="11"/>
      <c r="N210" s="180" t="e">
        <f>#REF!-H210</f>
        <v>#REF!</v>
      </c>
    </row>
    <row r="211" spans="1:15">
      <c r="A211" s="96">
        <v>73</v>
      </c>
      <c r="B211" s="96"/>
      <c r="C211" s="2" t="s">
        <v>428</v>
      </c>
      <c r="D211" s="16">
        <v>60000</v>
      </c>
      <c r="E211" s="16">
        <v>7998</v>
      </c>
      <c r="F211" s="41">
        <f>SUM(D211:E211)</f>
        <v>67998</v>
      </c>
      <c r="G211" s="33">
        <v>40</v>
      </c>
      <c r="H211" s="16">
        <v>1699.95</v>
      </c>
      <c r="I211" s="97">
        <v>40</v>
      </c>
      <c r="J211" s="97">
        <f t="shared" si="27"/>
        <v>0</v>
      </c>
      <c r="K211" s="91">
        <f t="shared" si="28"/>
        <v>67998</v>
      </c>
      <c r="L211" s="94">
        <f t="shared" si="29"/>
        <v>0</v>
      </c>
      <c r="M211" s="11"/>
      <c r="N211" s="180" t="e">
        <f>#REF!-H211</f>
        <v>#REF!</v>
      </c>
      <c r="O211" s="114"/>
    </row>
    <row r="212" spans="1:15">
      <c r="A212" s="96">
        <v>77</v>
      </c>
      <c r="B212" s="96"/>
      <c r="C212" s="2" t="s">
        <v>401</v>
      </c>
      <c r="D212" s="41">
        <v>200000</v>
      </c>
      <c r="E212" s="41">
        <v>26660</v>
      </c>
      <c r="F212" s="41">
        <f>SUM(D212:E212)</f>
        <v>226660</v>
      </c>
      <c r="G212" s="33">
        <v>40</v>
      </c>
      <c r="H212" s="41">
        <v>5666.5</v>
      </c>
      <c r="I212" s="97">
        <v>40</v>
      </c>
      <c r="J212" s="97">
        <f t="shared" si="27"/>
        <v>0</v>
      </c>
      <c r="K212" s="91">
        <f t="shared" si="28"/>
        <v>226660</v>
      </c>
      <c r="L212" s="94">
        <f t="shared" si="29"/>
        <v>0</v>
      </c>
      <c r="M212" s="11"/>
      <c r="N212" s="180" t="e">
        <f>#REF!-H212</f>
        <v>#REF!</v>
      </c>
      <c r="O212" s="114"/>
    </row>
    <row r="213" spans="1:15">
      <c r="A213" s="96">
        <v>79</v>
      </c>
      <c r="B213" s="96"/>
      <c r="C213" s="2" t="s">
        <v>402</v>
      </c>
      <c r="D213" s="41">
        <v>200000</v>
      </c>
      <c r="E213" s="41">
        <v>26660</v>
      </c>
      <c r="F213" s="41">
        <f>SUM(D213:E213)</f>
        <v>226660</v>
      </c>
      <c r="G213" s="33">
        <v>40</v>
      </c>
      <c r="H213" s="41">
        <v>5666.5</v>
      </c>
      <c r="I213" s="97">
        <v>40</v>
      </c>
      <c r="J213" s="97">
        <f t="shared" si="27"/>
        <v>0</v>
      </c>
      <c r="K213" s="91">
        <f t="shared" si="28"/>
        <v>226660</v>
      </c>
      <c r="L213" s="94">
        <f t="shared" si="29"/>
        <v>0</v>
      </c>
      <c r="M213" s="11"/>
      <c r="N213" s="180" t="e">
        <f>#REF!-H213</f>
        <v>#REF!</v>
      </c>
      <c r="O213" s="114"/>
    </row>
    <row r="214" spans="1:15">
      <c r="A214" s="96">
        <v>82</v>
      </c>
      <c r="B214" s="96"/>
      <c r="C214" s="2" t="s">
        <v>404</v>
      </c>
      <c r="D214" s="41">
        <v>200000</v>
      </c>
      <c r="E214" s="41">
        <v>26660</v>
      </c>
      <c r="F214" s="41">
        <v>226660</v>
      </c>
      <c r="G214" s="33">
        <v>40</v>
      </c>
      <c r="H214" s="19">
        <v>5666.5</v>
      </c>
      <c r="I214" s="97">
        <v>40</v>
      </c>
      <c r="J214" s="97">
        <f t="shared" si="27"/>
        <v>0</v>
      </c>
      <c r="K214" s="91">
        <f t="shared" si="28"/>
        <v>226660</v>
      </c>
      <c r="L214" s="94">
        <f t="shared" si="29"/>
        <v>0</v>
      </c>
      <c r="M214" s="11"/>
      <c r="N214" s="180" t="e">
        <f>#REF!-H214</f>
        <v>#REF!</v>
      </c>
    </row>
    <row r="215" spans="1:15">
      <c r="A215" s="96">
        <v>84</v>
      </c>
      <c r="B215" s="96"/>
      <c r="C215" s="2" t="s">
        <v>405</v>
      </c>
      <c r="D215" s="41">
        <v>200000</v>
      </c>
      <c r="E215" s="41">
        <v>26660</v>
      </c>
      <c r="F215" s="41">
        <f>SUM(D215:E215)</f>
        <v>226660</v>
      </c>
      <c r="G215" s="33">
        <v>40</v>
      </c>
      <c r="H215" s="41">
        <v>5666.5</v>
      </c>
      <c r="I215" s="97">
        <v>40</v>
      </c>
      <c r="J215" s="97">
        <f t="shared" si="27"/>
        <v>0</v>
      </c>
      <c r="K215" s="91">
        <f t="shared" si="28"/>
        <v>226660</v>
      </c>
      <c r="L215" s="94">
        <f t="shared" si="29"/>
        <v>0</v>
      </c>
      <c r="M215" s="11"/>
      <c r="N215" s="180" t="e">
        <f>#REF!-H215</f>
        <v>#REF!</v>
      </c>
      <c r="O215" s="114"/>
    </row>
    <row r="216" spans="1:15">
      <c r="O216" s="114"/>
    </row>
    <row r="217" spans="1:15">
      <c r="O217" s="114"/>
    </row>
    <row r="218" spans="1:15">
      <c r="C218" s="127" t="s">
        <v>226</v>
      </c>
      <c r="D218" s="129">
        <v>200000</v>
      </c>
      <c r="E218" s="129">
        <v>26660</v>
      </c>
      <c r="F218" s="129">
        <v>226660</v>
      </c>
      <c r="G218" s="130">
        <v>40</v>
      </c>
      <c r="H218" s="137">
        <v>5666.5</v>
      </c>
      <c r="I218" s="134">
        <v>40</v>
      </c>
      <c r="J218" s="134">
        <f t="shared" ref="J218:J238" si="30">G218-I218</f>
        <v>0</v>
      </c>
      <c r="K218" s="135">
        <f t="shared" ref="K218:K238" si="31">I218*H218</f>
        <v>226660</v>
      </c>
      <c r="L218" s="136">
        <f t="shared" ref="L218:L238" si="32">F218-K218</f>
        <v>0</v>
      </c>
      <c r="M218" s="132"/>
      <c r="N218" s="121"/>
    </row>
    <row r="219" spans="1:15">
      <c r="C219" s="127" t="s">
        <v>181</v>
      </c>
      <c r="D219" s="129">
        <v>200000</v>
      </c>
      <c r="E219" s="129">
        <v>26660</v>
      </c>
      <c r="F219" s="129">
        <f t="shared" ref="F219:F225" si="33">SUM(D219:E219)</f>
        <v>226660</v>
      </c>
      <c r="G219" s="130">
        <v>40</v>
      </c>
      <c r="H219" s="129">
        <v>5666.5</v>
      </c>
      <c r="I219" s="134">
        <v>40</v>
      </c>
      <c r="J219" s="134">
        <f t="shared" si="30"/>
        <v>0</v>
      </c>
      <c r="K219" s="135">
        <f t="shared" si="31"/>
        <v>226660</v>
      </c>
      <c r="L219" s="136">
        <f t="shared" si="32"/>
        <v>0</v>
      </c>
      <c r="M219" s="132"/>
    </row>
    <row r="220" spans="1:15">
      <c r="C220" s="127" t="s">
        <v>249</v>
      </c>
      <c r="D220" s="128">
        <v>180000</v>
      </c>
      <c r="E220" s="128">
        <v>23994</v>
      </c>
      <c r="F220" s="129">
        <f t="shared" si="33"/>
        <v>203994</v>
      </c>
      <c r="G220" s="130">
        <v>40</v>
      </c>
      <c r="H220" s="128">
        <v>5099.8500000000004</v>
      </c>
      <c r="I220" s="134">
        <v>45</v>
      </c>
      <c r="J220" s="134">
        <f t="shared" si="30"/>
        <v>-5</v>
      </c>
      <c r="K220" s="135">
        <f t="shared" si="31"/>
        <v>229493.25000000003</v>
      </c>
      <c r="L220" s="136">
        <f t="shared" si="32"/>
        <v>-25499.250000000029</v>
      </c>
      <c r="M220" s="132"/>
    </row>
    <row r="221" spans="1:15">
      <c r="C221" s="127" t="s">
        <v>188</v>
      </c>
      <c r="D221" s="128">
        <v>180000</v>
      </c>
      <c r="E221" s="128">
        <v>23994</v>
      </c>
      <c r="F221" s="129">
        <f t="shared" si="33"/>
        <v>203994</v>
      </c>
      <c r="G221" s="130">
        <v>40</v>
      </c>
      <c r="H221" s="128">
        <v>5099.8500000000004</v>
      </c>
      <c r="I221" s="131">
        <v>37</v>
      </c>
      <c r="J221" s="131">
        <f t="shared" si="30"/>
        <v>3</v>
      </c>
      <c r="K221" s="128">
        <f t="shared" si="31"/>
        <v>188694.45</v>
      </c>
      <c r="L221" s="129">
        <f t="shared" si="32"/>
        <v>15299.549999999988</v>
      </c>
      <c r="M221" s="132"/>
    </row>
    <row r="222" spans="1:15">
      <c r="C222" s="127" t="s">
        <v>124</v>
      </c>
      <c r="D222" s="129">
        <v>200000</v>
      </c>
      <c r="E222" s="129">
        <v>26660</v>
      </c>
      <c r="F222" s="129">
        <f t="shared" si="33"/>
        <v>226660</v>
      </c>
      <c r="G222" s="130">
        <v>40</v>
      </c>
      <c r="H222" s="129">
        <v>5666.5</v>
      </c>
      <c r="I222" s="131">
        <v>40</v>
      </c>
      <c r="J222" s="131">
        <f t="shared" si="30"/>
        <v>0</v>
      </c>
      <c r="K222" s="128">
        <f t="shared" si="31"/>
        <v>226660</v>
      </c>
      <c r="L222" s="129">
        <f t="shared" si="32"/>
        <v>0</v>
      </c>
      <c r="M222" s="132"/>
    </row>
    <row r="223" spans="1:15">
      <c r="C223" s="127" t="s">
        <v>129</v>
      </c>
      <c r="D223" s="129">
        <v>200000</v>
      </c>
      <c r="E223" s="129">
        <v>26660</v>
      </c>
      <c r="F223" s="129">
        <f t="shared" si="33"/>
        <v>226660</v>
      </c>
      <c r="G223" s="130">
        <v>40</v>
      </c>
      <c r="H223" s="129">
        <v>5666.5</v>
      </c>
      <c r="I223" s="131">
        <v>38</v>
      </c>
      <c r="J223" s="131">
        <f t="shared" si="30"/>
        <v>2</v>
      </c>
      <c r="K223" s="128">
        <f t="shared" si="31"/>
        <v>215327</v>
      </c>
      <c r="L223" s="129">
        <f t="shared" si="32"/>
        <v>11333</v>
      </c>
      <c r="M223" s="132"/>
    </row>
    <row r="224" spans="1:15">
      <c r="C224" s="127" t="s">
        <v>202</v>
      </c>
      <c r="D224" s="128">
        <v>132000</v>
      </c>
      <c r="E224" s="128">
        <v>17595.599999999999</v>
      </c>
      <c r="F224" s="129">
        <f t="shared" si="33"/>
        <v>149595.6</v>
      </c>
      <c r="G224" s="130">
        <v>40</v>
      </c>
      <c r="H224" s="128">
        <v>3739.89</v>
      </c>
      <c r="I224" s="131">
        <v>34</v>
      </c>
      <c r="J224" s="131">
        <f t="shared" si="30"/>
        <v>6</v>
      </c>
      <c r="K224" s="128">
        <f t="shared" si="31"/>
        <v>127156.26</v>
      </c>
      <c r="L224" s="129">
        <f t="shared" si="32"/>
        <v>22439.340000000011</v>
      </c>
      <c r="M224" s="132"/>
    </row>
    <row r="225" spans="1:13">
      <c r="A225" s="101">
        <v>135</v>
      </c>
      <c r="B225" s="244"/>
      <c r="C225" s="125" t="s">
        <v>138</v>
      </c>
      <c r="D225" s="129">
        <v>200000</v>
      </c>
      <c r="E225" s="129">
        <v>26660</v>
      </c>
      <c r="F225" s="129">
        <f t="shared" si="33"/>
        <v>226660</v>
      </c>
      <c r="G225" s="130">
        <v>40</v>
      </c>
      <c r="H225" s="129">
        <v>5666.5</v>
      </c>
      <c r="I225" s="134">
        <v>37</v>
      </c>
      <c r="J225" s="134">
        <f t="shared" si="30"/>
        <v>3</v>
      </c>
      <c r="K225" s="135">
        <f t="shared" si="31"/>
        <v>209660.5</v>
      </c>
      <c r="L225" s="136">
        <f t="shared" si="32"/>
        <v>16999.5</v>
      </c>
      <c r="M225" s="132"/>
    </row>
    <row r="226" spans="1:13">
      <c r="A226" s="101">
        <v>167.333333333333</v>
      </c>
      <c r="B226" s="101"/>
      <c r="C226" s="127" t="s">
        <v>236</v>
      </c>
      <c r="D226" s="128">
        <v>180000</v>
      </c>
      <c r="E226" s="128">
        <v>23994</v>
      </c>
      <c r="F226" s="128">
        <v>203994</v>
      </c>
      <c r="G226" s="139">
        <v>40</v>
      </c>
      <c r="H226" s="137">
        <v>5099.8500000000004</v>
      </c>
      <c r="I226" s="134">
        <v>46</v>
      </c>
      <c r="J226" s="134">
        <f t="shared" si="30"/>
        <v>-6</v>
      </c>
      <c r="K226" s="135">
        <f t="shared" si="31"/>
        <v>234593.1</v>
      </c>
      <c r="L226" s="136">
        <f t="shared" si="32"/>
        <v>-30599.100000000006</v>
      </c>
      <c r="M226" s="140"/>
    </row>
    <row r="227" spans="1:13">
      <c r="A227" s="101">
        <v>144.833333333333</v>
      </c>
      <c r="B227" s="101"/>
      <c r="C227" s="127" t="s">
        <v>234</v>
      </c>
      <c r="D227" s="129">
        <v>200000</v>
      </c>
      <c r="E227" s="129">
        <v>26660</v>
      </c>
      <c r="F227" s="129">
        <v>226660</v>
      </c>
      <c r="G227" s="130">
        <v>40</v>
      </c>
      <c r="H227" s="137">
        <v>5666.5</v>
      </c>
      <c r="I227" s="134">
        <v>40</v>
      </c>
      <c r="J227" s="134">
        <f t="shared" si="30"/>
        <v>0</v>
      </c>
      <c r="K227" s="135">
        <f t="shared" si="31"/>
        <v>226660</v>
      </c>
      <c r="L227" s="136">
        <f t="shared" si="32"/>
        <v>0</v>
      </c>
      <c r="M227" s="132"/>
    </row>
    <row r="228" spans="1:13">
      <c r="A228" s="101">
        <v>146.333333333333</v>
      </c>
      <c r="B228" s="245"/>
      <c r="C228" s="141" t="s">
        <v>187</v>
      </c>
      <c r="D228" s="129">
        <v>150000</v>
      </c>
      <c r="E228" s="129">
        <v>11997</v>
      </c>
      <c r="F228" s="129">
        <f t="shared" ref="F228:F235" si="34">SUM(D228:E228)</f>
        <v>161997</v>
      </c>
      <c r="G228" s="130">
        <v>30</v>
      </c>
      <c r="H228" s="129">
        <v>5399.9</v>
      </c>
      <c r="I228" s="134">
        <v>31</v>
      </c>
      <c r="J228" s="134">
        <f t="shared" si="30"/>
        <v>-1</v>
      </c>
      <c r="K228" s="135">
        <f t="shared" si="31"/>
        <v>167396.9</v>
      </c>
      <c r="L228" s="136">
        <f t="shared" si="32"/>
        <v>-5399.8999999999942</v>
      </c>
      <c r="M228" s="132"/>
    </row>
    <row r="229" spans="1:13">
      <c r="A229" s="101">
        <v>147.833333333333</v>
      </c>
      <c r="B229" s="101"/>
      <c r="C229" s="127" t="s">
        <v>150</v>
      </c>
      <c r="D229" s="129">
        <v>200000</v>
      </c>
      <c r="E229" s="129">
        <v>26660</v>
      </c>
      <c r="F229" s="129">
        <f t="shared" si="34"/>
        <v>226660</v>
      </c>
      <c r="G229" s="130">
        <v>40</v>
      </c>
      <c r="H229" s="129">
        <v>5666.5</v>
      </c>
      <c r="I229" s="134">
        <v>40</v>
      </c>
      <c r="J229" s="134">
        <f t="shared" si="30"/>
        <v>0</v>
      </c>
      <c r="K229" s="135">
        <f t="shared" si="31"/>
        <v>226660</v>
      </c>
      <c r="L229" s="136">
        <f t="shared" si="32"/>
        <v>0</v>
      </c>
      <c r="M229" s="132"/>
    </row>
    <row r="230" spans="1:13">
      <c r="A230" s="101">
        <v>149.333333333333</v>
      </c>
      <c r="B230" s="244"/>
      <c r="C230" s="125" t="s">
        <v>151</v>
      </c>
      <c r="D230" s="129">
        <v>200000</v>
      </c>
      <c r="E230" s="129">
        <v>26660</v>
      </c>
      <c r="F230" s="129">
        <f t="shared" si="34"/>
        <v>226660</v>
      </c>
      <c r="G230" s="130">
        <v>40</v>
      </c>
      <c r="H230" s="129">
        <v>5666.5</v>
      </c>
      <c r="I230" s="134">
        <v>38</v>
      </c>
      <c r="J230" s="134">
        <f t="shared" si="30"/>
        <v>2</v>
      </c>
      <c r="K230" s="135">
        <f t="shared" si="31"/>
        <v>215327</v>
      </c>
      <c r="L230" s="136">
        <f t="shared" si="32"/>
        <v>11333</v>
      </c>
      <c r="M230" s="132"/>
    </row>
    <row r="231" spans="1:13">
      <c r="A231" s="101">
        <v>150.833333333333</v>
      </c>
      <c r="B231" s="244"/>
      <c r="C231" s="186" t="s">
        <v>266</v>
      </c>
      <c r="D231" s="128">
        <v>330000</v>
      </c>
      <c r="E231" s="128">
        <v>43989</v>
      </c>
      <c r="F231" s="129">
        <f t="shared" si="34"/>
        <v>373989</v>
      </c>
      <c r="G231" s="130">
        <v>50</v>
      </c>
      <c r="H231" s="138">
        <v>7479</v>
      </c>
      <c r="I231" s="134">
        <v>8</v>
      </c>
      <c r="J231" s="134">
        <f t="shared" si="30"/>
        <v>42</v>
      </c>
      <c r="K231" s="135">
        <f t="shared" si="31"/>
        <v>59832</v>
      </c>
      <c r="L231" s="136">
        <f t="shared" si="32"/>
        <v>314157</v>
      </c>
      <c r="M231" s="124"/>
    </row>
    <row r="232" spans="1:13">
      <c r="A232" s="101">
        <v>152.333333333333</v>
      </c>
      <c r="B232" s="244"/>
      <c r="C232" s="125" t="s">
        <v>156</v>
      </c>
      <c r="D232" s="129">
        <v>200000</v>
      </c>
      <c r="E232" s="129">
        <v>26660</v>
      </c>
      <c r="F232" s="129">
        <f t="shared" si="34"/>
        <v>226660</v>
      </c>
      <c r="G232" s="130">
        <v>40</v>
      </c>
      <c r="H232" s="133">
        <v>3739.89</v>
      </c>
      <c r="I232" s="134">
        <v>40</v>
      </c>
      <c r="J232" s="134">
        <f t="shared" si="30"/>
        <v>0</v>
      </c>
      <c r="K232" s="135">
        <f t="shared" si="31"/>
        <v>149595.6</v>
      </c>
      <c r="L232" s="136">
        <f t="shared" si="32"/>
        <v>77064.399999999994</v>
      </c>
      <c r="M232" s="132"/>
    </row>
    <row r="233" spans="1:13">
      <c r="A233" s="101">
        <v>153.833333333333</v>
      </c>
      <c r="B233" s="244"/>
      <c r="C233" s="125" t="s">
        <v>157</v>
      </c>
      <c r="D233" s="129">
        <v>200000</v>
      </c>
      <c r="E233" s="129">
        <v>26660</v>
      </c>
      <c r="F233" s="129">
        <f t="shared" si="34"/>
        <v>226660</v>
      </c>
      <c r="G233" s="130">
        <v>40</v>
      </c>
      <c r="H233" s="129">
        <v>5666.5</v>
      </c>
      <c r="I233" s="134">
        <v>40</v>
      </c>
      <c r="J233" s="134">
        <f t="shared" si="30"/>
        <v>0</v>
      </c>
      <c r="K233" s="135">
        <f t="shared" si="31"/>
        <v>226660</v>
      </c>
      <c r="L233" s="136">
        <f t="shared" si="32"/>
        <v>0</v>
      </c>
      <c r="M233" s="132"/>
    </row>
    <row r="234" spans="1:13">
      <c r="A234" s="101">
        <v>155.333333333333</v>
      </c>
      <c r="B234" s="244"/>
      <c r="C234" s="125" t="s">
        <v>158</v>
      </c>
      <c r="D234" s="129">
        <v>200000</v>
      </c>
      <c r="E234" s="129">
        <v>26660</v>
      </c>
      <c r="F234" s="129">
        <f t="shared" si="34"/>
        <v>226660</v>
      </c>
      <c r="G234" s="130">
        <v>40</v>
      </c>
      <c r="H234" s="129">
        <v>5666.5</v>
      </c>
      <c r="I234" s="134">
        <v>40</v>
      </c>
      <c r="J234" s="134">
        <f t="shared" si="30"/>
        <v>0</v>
      </c>
      <c r="K234" s="135">
        <f t="shared" si="31"/>
        <v>226660</v>
      </c>
      <c r="L234" s="136">
        <f t="shared" si="32"/>
        <v>0</v>
      </c>
      <c r="M234" s="132"/>
    </row>
    <row r="235" spans="1:13">
      <c r="A235" s="101">
        <v>156.833333333333</v>
      </c>
      <c r="B235" s="244"/>
      <c r="C235" s="125" t="s">
        <v>159</v>
      </c>
      <c r="D235" s="129">
        <v>200000</v>
      </c>
      <c r="E235" s="129">
        <v>26660</v>
      </c>
      <c r="F235" s="129">
        <f t="shared" si="34"/>
        <v>226660</v>
      </c>
      <c r="G235" s="130">
        <v>40</v>
      </c>
      <c r="H235" s="129">
        <v>5666.5</v>
      </c>
      <c r="I235" s="134">
        <v>31</v>
      </c>
      <c r="J235" s="134">
        <f t="shared" si="30"/>
        <v>9</v>
      </c>
      <c r="K235" s="135">
        <f t="shared" si="31"/>
        <v>175661.5</v>
      </c>
      <c r="L235" s="136">
        <f t="shared" si="32"/>
        <v>50998.5</v>
      </c>
      <c r="M235" s="132"/>
    </row>
    <row r="236" spans="1:13">
      <c r="A236" s="101">
        <v>158.333333333333</v>
      </c>
      <c r="B236" s="101"/>
      <c r="C236" s="127" t="s">
        <v>233</v>
      </c>
      <c r="D236" s="129">
        <v>200000</v>
      </c>
      <c r="E236" s="129">
        <v>26660</v>
      </c>
      <c r="F236" s="129">
        <v>226660</v>
      </c>
      <c r="G236" s="130">
        <v>40</v>
      </c>
      <c r="H236" s="137">
        <v>5666.5</v>
      </c>
      <c r="I236" s="134">
        <v>40</v>
      </c>
      <c r="J236" s="134">
        <f t="shared" si="30"/>
        <v>0</v>
      </c>
      <c r="K236" s="135">
        <f t="shared" si="31"/>
        <v>226660</v>
      </c>
      <c r="L236" s="136">
        <f t="shared" si="32"/>
        <v>0</v>
      </c>
      <c r="M236" s="132"/>
    </row>
    <row r="237" spans="1:13">
      <c r="A237" s="101">
        <v>159.833333333333</v>
      </c>
      <c r="B237" s="101"/>
      <c r="C237" s="127" t="s">
        <v>160</v>
      </c>
      <c r="D237" s="129">
        <v>200000</v>
      </c>
      <c r="E237" s="129">
        <v>26660</v>
      </c>
      <c r="F237" s="129">
        <f>SUM(D237:E237)</f>
        <v>226660</v>
      </c>
      <c r="G237" s="130">
        <v>40</v>
      </c>
      <c r="H237" s="129">
        <v>5666.5</v>
      </c>
      <c r="I237" s="134">
        <v>40</v>
      </c>
      <c r="J237" s="134">
        <f t="shared" si="30"/>
        <v>0</v>
      </c>
      <c r="K237" s="135">
        <f t="shared" si="31"/>
        <v>226660</v>
      </c>
      <c r="L237" s="136">
        <f t="shared" si="32"/>
        <v>0</v>
      </c>
      <c r="M237" s="132"/>
    </row>
    <row r="238" spans="1:13">
      <c r="A238" s="101">
        <v>161.333333333333</v>
      </c>
      <c r="B238" s="101"/>
      <c r="C238" s="127" t="s">
        <v>205</v>
      </c>
      <c r="D238" s="128">
        <v>132000</v>
      </c>
      <c r="E238" s="128">
        <v>17595.599999999999</v>
      </c>
      <c r="F238" s="129">
        <f>SUM(D238:E238)</f>
        <v>149595.6</v>
      </c>
      <c r="G238" s="130">
        <v>40</v>
      </c>
      <c r="H238" s="128">
        <v>3739.89</v>
      </c>
      <c r="I238" s="134">
        <v>40</v>
      </c>
      <c r="J238" s="134">
        <f t="shared" si="30"/>
        <v>0</v>
      </c>
      <c r="K238" s="135">
        <f t="shared" si="31"/>
        <v>149595.6</v>
      </c>
      <c r="L238" s="136">
        <f t="shared" si="32"/>
        <v>0</v>
      </c>
      <c r="M238" s="132"/>
    </row>
    <row r="240" spans="1:13">
      <c r="A240" s="101">
        <v>173.333333333333</v>
      </c>
      <c r="B240" s="245"/>
    </row>
    <row r="241" spans="1:14">
      <c r="A241" s="101">
        <v>174.833333333333</v>
      </c>
      <c r="B241" s="245"/>
    </row>
    <row r="244" spans="1:14">
      <c r="A244" s="160">
        <v>47</v>
      </c>
      <c r="B244" s="160"/>
      <c r="C244" s="181" t="s">
        <v>432</v>
      </c>
      <c r="D244" s="16">
        <v>500000</v>
      </c>
      <c r="E244" s="16">
        <v>66650</v>
      </c>
      <c r="F244" s="41">
        <f>SUM(D244:E244)</f>
        <v>566650</v>
      </c>
      <c r="G244" s="33">
        <v>50</v>
      </c>
      <c r="H244" s="24">
        <v>5666.5</v>
      </c>
      <c r="I244" s="97">
        <v>33</v>
      </c>
      <c r="J244" s="97">
        <f>G244-I244</f>
        <v>17</v>
      </c>
      <c r="K244" s="91">
        <f>I244*H244</f>
        <v>186994.5</v>
      </c>
      <c r="L244" s="94">
        <f>F244-K244</f>
        <v>379655.5</v>
      </c>
      <c r="M244" s="11"/>
      <c r="N244" s="180" t="e">
        <f>#REF!-H244</f>
        <v>#REF!</v>
      </c>
    </row>
    <row r="245" spans="1:14">
      <c r="A245" s="160">
        <v>70</v>
      </c>
      <c r="B245" s="160"/>
      <c r="C245" s="181" t="s">
        <v>433</v>
      </c>
      <c r="D245" s="41">
        <v>200000</v>
      </c>
      <c r="E245" s="41">
        <v>26660</v>
      </c>
      <c r="F245" s="41">
        <f>SUM(D245:E245)</f>
        <v>226660</v>
      </c>
      <c r="G245" s="33">
        <v>40</v>
      </c>
      <c r="H245" s="41">
        <v>5666.5</v>
      </c>
      <c r="I245" s="97">
        <v>40</v>
      </c>
      <c r="J245" s="97">
        <f>G245-I245</f>
        <v>0</v>
      </c>
      <c r="K245" s="91">
        <f>I245*H245</f>
        <v>226660</v>
      </c>
      <c r="L245" s="94">
        <f>F245-K245</f>
        <v>0</v>
      </c>
      <c r="M245" s="11"/>
      <c r="N245" s="180" t="e">
        <f>#REF!-H245</f>
        <v>#REF!</v>
      </c>
    </row>
    <row r="246" spans="1:14">
      <c r="A246" s="160">
        <v>93</v>
      </c>
      <c r="B246" s="160"/>
      <c r="C246" s="181" t="s">
        <v>434</v>
      </c>
      <c r="D246" s="41">
        <v>200000</v>
      </c>
      <c r="E246" s="41">
        <v>26660</v>
      </c>
      <c r="F246" s="41">
        <f>SUM(D246:E246)</f>
        <v>226660</v>
      </c>
      <c r="G246" s="33">
        <v>40</v>
      </c>
      <c r="H246" s="41">
        <v>5666.5</v>
      </c>
      <c r="I246" s="97">
        <v>41</v>
      </c>
      <c r="J246" s="97">
        <f>G246-I246</f>
        <v>-1</v>
      </c>
      <c r="K246" s="91">
        <f>I246*H246</f>
        <v>232326.5</v>
      </c>
      <c r="L246" s="94">
        <f>F246-K246</f>
        <v>-5666.5</v>
      </c>
      <c r="M246" s="11"/>
      <c r="N246" s="180" t="e">
        <f>#REF!-H246</f>
        <v>#REF!</v>
      </c>
    </row>
    <row r="247" spans="1:14">
      <c r="A247" s="160">
        <v>10</v>
      </c>
      <c r="B247" s="160"/>
      <c r="C247" s="181" t="s">
        <v>431</v>
      </c>
      <c r="D247" s="16">
        <v>450000</v>
      </c>
      <c r="E247" s="16">
        <v>28792.799999999999</v>
      </c>
      <c r="F247" s="41">
        <f>SUM(D247:E247)</f>
        <v>478792.8</v>
      </c>
      <c r="G247" s="33">
        <v>24</v>
      </c>
      <c r="H247" s="16">
        <v>19949.7</v>
      </c>
      <c r="I247" s="96">
        <v>24</v>
      </c>
      <c r="J247" s="96">
        <f>G247-I247</f>
        <v>0</v>
      </c>
      <c r="K247" s="16">
        <f>I247*H247</f>
        <v>478792.80000000005</v>
      </c>
      <c r="L247" s="41">
        <f>F247-K247</f>
        <v>0</v>
      </c>
      <c r="M247" s="11"/>
      <c r="N247" s="180" t="e">
        <f>#REF!-H247</f>
        <v>#REF!</v>
      </c>
    </row>
    <row r="248" spans="1:14">
      <c r="A248" s="160">
        <v>6</v>
      </c>
      <c r="B248" s="160"/>
      <c r="C248" s="181" t="s">
        <v>430</v>
      </c>
      <c r="D248" s="16">
        <v>330000</v>
      </c>
      <c r="E248" s="16">
        <v>21114.720000000001</v>
      </c>
      <c r="F248" s="41">
        <f>SUM(D248:E248)</f>
        <v>351114.72</v>
      </c>
      <c r="G248" s="33">
        <v>24</v>
      </c>
      <c r="H248" s="24">
        <v>6649.9</v>
      </c>
      <c r="I248" s="96">
        <v>24</v>
      </c>
      <c r="J248" s="96">
        <f>G248-I248</f>
        <v>0</v>
      </c>
      <c r="K248" s="16">
        <f>I248*H248</f>
        <v>159597.59999999998</v>
      </c>
      <c r="L248" s="41">
        <f>F248-K248</f>
        <v>191517.12</v>
      </c>
      <c r="M248" s="11"/>
      <c r="N248" s="180" t="e">
        <f>#REF!-H248</f>
        <v>#REF!</v>
      </c>
    </row>
    <row r="250" spans="1:14">
      <c r="A250" s="96">
        <v>77</v>
      </c>
      <c r="B250" s="96"/>
      <c r="C250" s="170" t="s">
        <v>400</v>
      </c>
      <c r="D250" s="41">
        <v>200000</v>
      </c>
      <c r="E250" s="41">
        <v>26660</v>
      </c>
      <c r="F250" s="41">
        <f>SUM(D250:E250)</f>
        <v>226660</v>
      </c>
      <c r="G250" s="33">
        <v>40</v>
      </c>
      <c r="H250" s="41">
        <v>5666.5</v>
      </c>
      <c r="I250" s="97">
        <v>36</v>
      </c>
      <c r="J250" s="97">
        <f>G250-I250</f>
        <v>4</v>
      </c>
      <c r="K250" s="91">
        <f>I250*H250</f>
        <v>203994</v>
      </c>
      <c r="L250" s="94">
        <f>F250-K250</f>
        <v>22666</v>
      </c>
      <c r="M250" s="11"/>
      <c r="N250" s="180" t="e">
        <f>#REF!-H250</f>
        <v>#REF!</v>
      </c>
    </row>
    <row r="251" spans="1:14">
      <c r="A251" s="96">
        <v>109</v>
      </c>
      <c r="B251" s="96"/>
      <c r="C251" s="142" t="s">
        <v>406</v>
      </c>
      <c r="D251" s="41">
        <v>200000</v>
      </c>
      <c r="E251" s="41">
        <v>26660</v>
      </c>
      <c r="F251" s="41">
        <f>SUM(D251:E251)</f>
        <v>226660</v>
      </c>
      <c r="G251" s="33">
        <v>40</v>
      </c>
      <c r="H251" s="41">
        <v>5666.5</v>
      </c>
      <c r="I251" s="97">
        <v>39</v>
      </c>
      <c r="J251" s="97">
        <f>G251-I251</f>
        <v>1</v>
      </c>
      <c r="K251" s="91">
        <f>I251*H251</f>
        <v>220993.5</v>
      </c>
      <c r="L251" s="94">
        <f>F251-K251</f>
        <v>5666.5</v>
      </c>
      <c r="M251" s="11"/>
      <c r="N251" s="180" t="e">
        <f>#REF!-H251</f>
        <v>#REF!</v>
      </c>
    </row>
    <row r="252" spans="1:14">
      <c r="A252" s="96">
        <v>127</v>
      </c>
      <c r="B252" s="96"/>
      <c r="C252" s="142" t="s">
        <v>423</v>
      </c>
      <c r="D252" s="16">
        <v>132000</v>
      </c>
      <c r="E252" s="16">
        <v>17595.599999999999</v>
      </c>
      <c r="F252" s="41">
        <f>SUM(D252:E252)</f>
        <v>149595.6</v>
      </c>
      <c r="G252" s="33">
        <v>40</v>
      </c>
      <c r="H252" s="16">
        <v>3739.89</v>
      </c>
      <c r="I252" s="97">
        <v>40</v>
      </c>
      <c r="J252" s="97">
        <f>G252-I252</f>
        <v>0</v>
      </c>
      <c r="K252" s="91">
        <f>I252*H252</f>
        <v>149595.6</v>
      </c>
      <c r="L252" s="94">
        <f>F252-K252</f>
        <v>0</v>
      </c>
      <c r="M252" s="11"/>
      <c r="N252" s="180" t="e">
        <f>#REF!-H252</f>
        <v>#REF!</v>
      </c>
    </row>
    <row r="253" spans="1:14">
      <c r="A253" s="96">
        <v>125</v>
      </c>
      <c r="B253" s="96"/>
      <c r="C253" s="142" t="s">
        <v>427</v>
      </c>
      <c r="D253" s="155">
        <v>150000</v>
      </c>
      <c r="E253" s="155">
        <v>19995</v>
      </c>
      <c r="F253" s="155">
        <f>SUM(D253:E253)</f>
        <v>169995</v>
      </c>
      <c r="G253" s="33">
        <v>50</v>
      </c>
      <c r="H253" s="154">
        <v>3399.9</v>
      </c>
      <c r="I253" s="97">
        <v>9</v>
      </c>
      <c r="J253" s="97">
        <f>G253-I253</f>
        <v>41</v>
      </c>
      <c r="K253" s="91">
        <f>I253*H253</f>
        <v>30599.100000000002</v>
      </c>
      <c r="L253" s="91">
        <f>F253-K253</f>
        <v>139395.9</v>
      </c>
      <c r="M253" s="122"/>
      <c r="N253" s="180" t="e">
        <f>#REF!-H253</f>
        <v>#REF!</v>
      </c>
    </row>
    <row r="254" spans="1:14">
      <c r="A254" s="96">
        <v>5</v>
      </c>
      <c r="B254" s="96"/>
      <c r="C254" s="2" t="s">
        <v>385</v>
      </c>
      <c r="D254" s="41">
        <v>200000</v>
      </c>
      <c r="E254" s="41">
        <v>26660</v>
      </c>
      <c r="F254" s="41">
        <f>SUM(D254:E254)</f>
        <v>226660</v>
      </c>
      <c r="G254" s="33">
        <v>40</v>
      </c>
      <c r="H254" s="41">
        <v>5666.5</v>
      </c>
      <c r="I254" s="96">
        <v>40</v>
      </c>
      <c r="J254" s="96">
        <f>G254-I254</f>
        <v>0</v>
      </c>
      <c r="K254" s="16">
        <f>I254*H254</f>
        <v>226660</v>
      </c>
      <c r="L254" s="41">
        <f>F254-K254</f>
        <v>0</v>
      </c>
      <c r="M254" s="11"/>
      <c r="N254" s="180" t="e">
        <f>#REF!-H254</f>
        <v>#REF!</v>
      </c>
    </row>
  </sheetData>
  <mergeCells count="2">
    <mergeCell ref="A3:M3"/>
    <mergeCell ref="A4:M4"/>
  </mergeCells>
  <conditionalFormatting sqref="C248">
    <cfRule type="duplicateValues" dxfId="1324" priority="143" stopIfTrue="1"/>
    <cfRule type="duplicateValues" dxfId="1323" priority="144" stopIfTrue="1"/>
  </conditionalFormatting>
  <conditionalFormatting sqref="C248">
    <cfRule type="duplicateValues" dxfId="1322" priority="142" stopIfTrue="1"/>
  </conditionalFormatting>
  <conditionalFormatting sqref="C195">
    <cfRule type="duplicateValues" dxfId="1321" priority="140" stopIfTrue="1"/>
    <cfRule type="duplicateValues" dxfId="1320" priority="141" stopIfTrue="1"/>
  </conditionalFormatting>
  <conditionalFormatting sqref="C195">
    <cfRule type="duplicateValues" dxfId="1319" priority="139" stopIfTrue="1"/>
  </conditionalFormatting>
  <conditionalFormatting sqref="C247">
    <cfRule type="duplicateValues" dxfId="1318" priority="137" stopIfTrue="1"/>
    <cfRule type="duplicateValues" dxfId="1317" priority="138" stopIfTrue="1"/>
  </conditionalFormatting>
  <conditionalFormatting sqref="C247">
    <cfRule type="duplicateValues" dxfId="1316" priority="136" stopIfTrue="1"/>
  </conditionalFormatting>
  <conditionalFormatting sqref="C197">
    <cfRule type="duplicateValues" dxfId="1315" priority="134" stopIfTrue="1"/>
    <cfRule type="duplicateValues" dxfId="1314" priority="135" stopIfTrue="1"/>
  </conditionalFormatting>
  <conditionalFormatting sqref="C197">
    <cfRule type="duplicateValues" dxfId="1313" priority="133" stopIfTrue="1"/>
  </conditionalFormatting>
  <conditionalFormatting sqref="C198">
    <cfRule type="duplicateValues" dxfId="1312" priority="131" stopIfTrue="1"/>
    <cfRule type="duplicateValues" dxfId="1311" priority="132" stopIfTrue="1"/>
  </conditionalFormatting>
  <conditionalFormatting sqref="C198">
    <cfRule type="duplicateValues" dxfId="1310" priority="130" stopIfTrue="1"/>
  </conditionalFormatting>
  <conditionalFormatting sqref="C200">
    <cfRule type="duplicateValues" dxfId="1309" priority="128" stopIfTrue="1"/>
    <cfRule type="duplicateValues" dxfId="1308" priority="129" stopIfTrue="1"/>
  </conditionalFormatting>
  <conditionalFormatting sqref="C200">
    <cfRule type="duplicateValues" dxfId="1307" priority="127" stopIfTrue="1"/>
  </conditionalFormatting>
  <conditionalFormatting sqref="C201">
    <cfRule type="duplicateValues" dxfId="1306" priority="125" stopIfTrue="1"/>
    <cfRule type="duplicateValues" dxfId="1305" priority="126" stopIfTrue="1"/>
  </conditionalFormatting>
  <conditionalFormatting sqref="C201">
    <cfRule type="duplicateValues" dxfId="1304" priority="124" stopIfTrue="1"/>
  </conditionalFormatting>
  <conditionalFormatting sqref="C244">
    <cfRule type="duplicateValues" dxfId="1303" priority="122" stopIfTrue="1"/>
    <cfRule type="duplicateValues" dxfId="1302" priority="123" stopIfTrue="1"/>
  </conditionalFormatting>
  <conditionalFormatting sqref="C244">
    <cfRule type="duplicateValues" dxfId="1301" priority="121" stopIfTrue="1"/>
  </conditionalFormatting>
  <conditionalFormatting sqref="C203">
    <cfRule type="duplicateValues" dxfId="1300" priority="119" stopIfTrue="1"/>
    <cfRule type="duplicateValues" dxfId="1299" priority="120" stopIfTrue="1"/>
  </conditionalFormatting>
  <conditionalFormatting sqref="C203">
    <cfRule type="duplicateValues" dxfId="1298" priority="118" stopIfTrue="1"/>
  </conditionalFormatting>
  <conditionalFormatting sqref="C204">
    <cfRule type="duplicateValues" dxfId="1297" priority="116" stopIfTrue="1"/>
    <cfRule type="duplicateValues" dxfId="1296" priority="117" stopIfTrue="1"/>
  </conditionalFormatting>
  <conditionalFormatting sqref="C204">
    <cfRule type="duplicateValues" dxfId="1295" priority="115" stopIfTrue="1"/>
  </conditionalFormatting>
  <conditionalFormatting sqref="C205">
    <cfRule type="duplicateValues" dxfId="1294" priority="113" stopIfTrue="1"/>
    <cfRule type="duplicateValues" dxfId="1293" priority="114" stopIfTrue="1"/>
  </conditionalFormatting>
  <conditionalFormatting sqref="C205">
    <cfRule type="duplicateValues" dxfId="1292" priority="112" stopIfTrue="1"/>
  </conditionalFormatting>
  <conditionalFormatting sqref="C220">
    <cfRule type="duplicateValues" dxfId="1291" priority="110" stopIfTrue="1"/>
    <cfRule type="duplicateValues" dxfId="1290" priority="111" stopIfTrue="1"/>
  </conditionalFormatting>
  <conditionalFormatting sqref="C220">
    <cfRule type="duplicateValues" dxfId="1289" priority="109" stopIfTrue="1"/>
  </conditionalFormatting>
  <conditionalFormatting sqref="C207">
    <cfRule type="duplicateValues" dxfId="1288" priority="107" stopIfTrue="1"/>
    <cfRule type="duplicateValues" dxfId="1287" priority="108" stopIfTrue="1"/>
  </conditionalFormatting>
  <conditionalFormatting sqref="C207">
    <cfRule type="duplicateValues" dxfId="1286" priority="106" stopIfTrue="1"/>
  </conditionalFormatting>
  <conditionalFormatting sqref="C245">
    <cfRule type="duplicateValues" dxfId="1285" priority="104" stopIfTrue="1"/>
    <cfRule type="duplicateValues" dxfId="1284" priority="105" stopIfTrue="1"/>
  </conditionalFormatting>
  <conditionalFormatting sqref="C245">
    <cfRule type="duplicateValues" dxfId="1283" priority="103" stopIfTrue="1"/>
  </conditionalFormatting>
  <conditionalFormatting sqref="C208">
    <cfRule type="duplicateValues" dxfId="1282" priority="101" stopIfTrue="1"/>
    <cfRule type="duplicateValues" dxfId="1281" priority="102" stopIfTrue="1"/>
  </conditionalFormatting>
  <conditionalFormatting sqref="C208">
    <cfRule type="duplicateValues" dxfId="1280" priority="100" stopIfTrue="1"/>
  </conditionalFormatting>
  <conditionalFormatting sqref="C209">
    <cfRule type="duplicateValues" dxfId="1279" priority="98" stopIfTrue="1"/>
    <cfRule type="duplicateValues" dxfId="1278" priority="99" stopIfTrue="1"/>
  </conditionalFormatting>
  <conditionalFormatting sqref="C209">
    <cfRule type="duplicateValues" dxfId="1277" priority="97" stopIfTrue="1"/>
  </conditionalFormatting>
  <conditionalFormatting sqref="C250">
    <cfRule type="duplicateValues" dxfId="1276" priority="95" stopIfTrue="1"/>
    <cfRule type="duplicateValues" dxfId="1275" priority="96" stopIfTrue="1"/>
  </conditionalFormatting>
  <conditionalFormatting sqref="C250">
    <cfRule type="duplicateValues" dxfId="1274" priority="94" stopIfTrue="1"/>
  </conditionalFormatting>
  <conditionalFormatting sqref="C212">
    <cfRule type="duplicateValues" dxfId="1273" priority="92" stopIfTrue="1"/>
    <cfRule type="duplicateValues" dxfId="1272" priority="93" stopIfTrue="1"/>
  </conditionalFormatting>
  <conditionalFormatting sqref="C212">
    <cfRule type="duplicateValues" dxfId="1271" priority="91" stopIfTrue="1"/>
  </conditionalFormatting>
  <conditionalFormatting sqref="C215">
    <cfRule type="duplicateValues" dxfId="1270" priority="89" stopIfTrue="1"/>
    <cfRule type="duplicateValues" dxfId="1269" priority="90" stopIfTrue="1"/>
  </conditionalFormatting>
  <conditionalFormatting sqref="C215">
    <cfRule type="duplicateValues" dxfId="1268" priority="88" stopIfTrue="1"/>
  </conditionalFormatting>
  <conditionalFormatting sqref="C188">
    <cfRule type="duplicateValues" dxfId="1267" priority="86" stopIfTrue="1"/>
    <cfRule type="duplicateValues" dxfId="1266" priority="87" stopIfTrue="1"/>
  </conditionalFormatting>
  <conditionalFormatting sqref="C188">
    <cfRule type="duplicateValues" dxfId="1265" priority="85" stopIfTrue="1"/>
  </conditionalFormatting>
  <conditionalFormatting sqref="C246">
    <cfRule type="duplicateValues" dxfId="1264" priority="83" stopIfTrue="1"/>
    <cfRule type="duplicateValues" dxfId="1263" priority="84" stopIfTrue="1"/>
  </conditionalFormatting>
  <conditionalFormatting sqref="C246">
    <cfRule type="duplicateValues" dxfId="1262" priority="82" stopIfTrue="1"/>
  </conditionalFormatting>
  <conditionalFormatting sqref="C238">
    <cfRule type="duplicateValues" dxfId="1261" priority="80" stopIfTrue="1"/>
    <cfRule type="duplicateValues" dxfId="1260" priority="81" stopIfTrue="1"/>
  </conditionalFormatting>
  <conditionalFormatting sqref="C238">
    <cfRule type="duplicateValues" dxfId="1259" priority="79" stopIfTrue="1"/>
  </conditionalFormatting>
  <conditionalFormatting sqref="C210">
    <cfRule type="duplicateValues" dxfId="1258" priority="77" stopIfTrue="1"/>
    <cfRule type="duplicateValues" dxfId="1257" priority="78" stopIfTrue="1"/>
  </conditionalFormatting>
  <conditionalFormatting sqref="C210">
    <cfRule type="duplicateValues" dxfId="1256" priority="76" stopIfTrue="1"/>
  </conditionalFormatting>
  <conditionalFormatting sqref="C225">
    <cfRule type="duplicateValues" dxfId="1255" priority="74" stopIfTrue="1"/>
    <cfRule type="duplicateValues" dxfId="1254" priority="75" stopIfTrue="1"/>
  </conditionalFormatting>
  <conditionalFormatting sqref="C225">
    <cfRule type="duplicateValues" dxfId="1253" priority="73" stopIfTrue="1"/>
  </conditionalFormatting>
  <conditionalFormatting sqref="C227">
    <cfRule type="duplicateValues" dxfId="1252" priority="71" stopIfTrue="1"/>
    <cfRule type="duplicateValues" dxfId="1251" priority="72" stopIfTrue="1"/>
  </conditionalFormatting>
  <conditionalFormatting sqref="C227">
    <cfRule type="duplicateValues" dxfId="1250" priority="70" stopIfTrue="1"/>
  </conditionalFormatting>
  <conditionalFormatting sqref="C229">
    <cfRule type="duplicateValues" dxfId="1249" priority="68" stopIfTrue="1"/>
    <cfRule type="duplicateValues" dxfId="1248" priority="69" stopIfTrue="1"/>
  </conditionalFormatting>
  <conditionalFormatting sqref="C229">
    <cfRule type="duplicateValues" dxfId="1247" priority="67" stopIfTrue="1"/>
  </conditionalFormatting>
  <conditionalFormatting sqref="C230">
    <cfRule type="duplicateValues" dxfId="1246" priority="65" stopIfTrue="1"/>
    <cfRule type="duplicateValues" dxfId="1245" priority="66" stopIfTrue="1"/>
  </conditionalFormatting>
  <conditionalFormatting sqref="C230">
    <cfRule type="duplicateValues" dxfId="1244" priority="64" stopIfTrue="1"/>
  </conditionalFormatting>
  <conditionalFormatting sqref="C231">
    <cfRule type="duplicateValues" dxfId="1243" priority="62" stopIfTrue="1"/>
    <cfRule type="duplicateValues" dxfId="1242" priority="63" stopIfTrue="1"/>
  </conditionalFormatting>
  <conditionalFormatting sqref="C231">
    <cfRule type="duplicateValues" dxfId="1241" priority="61" stopIfTrue="1"/>
  </conditionalFormatting>
  <conditionalFormatting sqref="C232">
    <cfRule type="duplicateValues" dxfId="1240" priority="59" stopIfTrue="1"/>
    <cfRule type="duplicateValues" dxfId="1239" priority="60" stopIfTrue="1"/>
  </conditionalFormatting>
  <conditionalFormatting sqref="C232">
    <cfRule type="duplicateValues" dxfId="1238" priority="58" stopIfTrue="1"/>
  </conditionalFormatting>
  <conditionalFormatting sqref="C233">
    <cfRule type="duplicateValues" dxfId="1237" priority="56" stopIfTrue="1"/>
    <cfRule type="duplicateValues" dxfId="1236" priority="57" stopIfTrue="1"/>
  </conditionalFormatting>
  <conditionalFormatting sqref="C233">
    <cfRule type="duplicateValues" dxfId="1235" priority="55" stopIfTrue="1"/>
  </conditionalFormatting>
  <conditionalFormatting sqref="C234">
    <cfRule type="duplicateValues" dxfId="1234" priority="53" stopIfTrue="1"/>
    <cfRule type="duplicateValues" dxfId="1233" priority="54" stopIfTrue="1"/>
  </conditionalFormatting>
  <conditionalFormatting sqref="C234">
    <cfRule type="duplicateValues" dxfId="1232" priority="52" stopIfTrue="1"/>
  </conditionalFormatting>
  <conditionalFormatting sqref="C3">
    <cfRule type="duplicateValues" dxfId="1231" priority="51"/>
  </conditionalFormatting>
  <conditionalFormatting sqref="C235">
    <cfRule type="duplicateValues" dxfId="1230" priority="49" stopIfTrue="1"/>
    <cfRule type="duplicateValues" dxfId="1229" priority="50" stopIfTrue="1"/>
  </conditionalFormatting>
  <conditionalFormatting sqref="C235">
    <cfRule type="duplicateValues" dxfId="1228" priority="48" stopIfTrue="1"/>
  </conditionalFormatting>
  <conditionalFormatting sqref="C187">
    <cfRule type="duplicateValues" dxfId="1227" priority="46" stopIfTrue="1"/>
    <cfRule type="duplicateValues" dxfId="1226" priority="47" stopIfTrue="1"/>
  </conditionalFormatting>
  <conditionalFormatting sqref="C187">
    <cfRule type="duplicateValues" dxfId="1225" priority="45" stopIfTrue="1"/>
  </conditionalFormatting>
  <conditionalFormatting sqref="C199">
    <cfRule type="duplicateValues" dxfId="1224" priority="44"/>
  </conditionalFormatting>
  <conditionalFormatting sqref="C175">
    <cfRule type="duplicateValues" dxfId="1223" priority="43"/>
  </conditionalFormatting>
  <conditionalFormatting sqref="C240 C349:C1048576 C218:C238 C1:C5 C187:C189 C183 C191 C195:C215 C250:C254 C244:C248 C174:C175">
    <cfRule type="duplicateValues" dxfId="1222" priority="42"/>
  </conditionalFormatting>
  <conditionalFormatting sqref="C244:C248 C250:C254 C187:C189 C183 C191 C195:C215 C174:C175">
    <cfRule type="duplicateValues" dxfId="1221" priority="41"/>
  </conditionalFormatting>
  <conditionalFormatting sqref="C221:C222 C189 C251:C253">
    <cfRule type="duplicateValues" dxfId="1220" priority="39" stopIfTrue="1"/>
    <cfRule type="duplicateValues" dxfId="1219" priority="40" stopIfTrue="1"/>
  </conditionalFormatting>
  <conditionalFormatting sqref="C221:C222 C189 C251:C253">
    <cfRule type="duplicateValues" dxfId="1218" priority="38" stopIfTrue="1"/>
  </conditionalFormatting>
  <conditionalFormatting sqref="C221:C222 C251:C253 C189">
    <cfRule type="duplicateValues" dxfId="1217" priority="36" stopIfTrue="1"/>
    <cfRule type="duplicateValues" dxfId="1216" priority="37" stopIfTrue="1"/>
  </conditionalFormatting>
  <conditionalFormatting sqref="C221:C222 C251:C253 C189">
    <cfRule type="duplicateValues" dxfId="1215" priority="35" stopIfTrue="1"/>
  </conditionalFormatting>
  <conditionalFormatting sqref="C174">
    <cfRule type="duplicateValues" dxfId="1214" priority="33" stopIfTrue="1"/>
    <cfRule type="duplicateValues" dxfId="1213" priority="34" stopIfTrue="1"/>
  </conditionalFormatting>
  <conditionalFormatting sqref="C174">
    <cfRule type="duplicateValues" dxfId="1212" priority="32" stopIfTrue="1"/>
  </conditionalFormatting>
  <conditionalFormatting sqref="C254 C185 C197:C199 C195 C187:C189 C201:C215 C191:C193 C183 C175">
    <cfRule type="duplicateValues" dxfId="1211" priority="30" stopIfTrue="1"/>
    <cfRule type="duplicateValues" dxfId="1210" priority="31" stopIfTrue="1"/>
  </conditionalFormatting>
  <conditionalFormatting sqref="C254 C185 C197:C199 C195 C187:C189 C201:C215 C191:C193 C183 C175">
    <cfRule type="duplicateValues" dxfId="1209" priority="29" stopIfTrue="1"/>
  </conditionalFormatting>
  <conditionalFormatting sqref="C185 C183 C174:C175">
    <cfRule type="duplicateValues" dxfId="1208" priority="27" stopIfTrue="1"/>
    <cfRule type="duplicateValues" dxfId="1207" priority="28" stopIfTrue="1"/>
  </conditionalFormatting>
  <conditionalFormatting sqref="C185 C183 C174:C175">
    <cfRule type="duplicateValues" dxfId="1206" priority="26" stopIfTrue="1"/>
  </conditionalFormatting>
  <conditionalFormatting sqref="C185 C183 C175">
    <cfRule type="duplicateValues" dxfId="1205" priority="24" stopIfTrue="1"/>
    <cfRule type="duplicateValues" dxfId="1204" priority="25" stopIfTrue="1"/>
  </conditionalFormatting>
  <conditionalFormatting sqref="C185 C183 C175">
    <cfRule type="duplicateValues" dxfId="1203" priority="23" stopIfTrue="1"/>
  </conditionalFormatting>
  <conditionalFormatting sqref="C250:C254 C201:C215 C197:C199 C195 C187:C189 C185 C191:C193 C183 C174:C175">
    <cfRule type="duplicateValues" dxfId="1202" priority="21" stopIfTrue="1"/>
    <cfRule type="duplicateValues" dxfId="1201" priority="22" stopIfTrue="1"/>
  </conditionalFormatting>
  <conditionalFormatting sqref="C250:C254 C201:C215 C197:C199 C195 C187:C189 C185 C191:C193 C183 C174:C175">
    <cfRule type="duplicateValues" dxfId="1200" priority="20" stopIfTrue="1"/>
  </conditionalFormatting>
  <conditionalFormatting sqref="C175">
    <cfRule type="duplicateValues" dxfId="1199" priority="18" stopIfTrue="1"/>
    <cfRule type="duplicateValues" dxfId="1198" priority="19" stopIfTrue="1"/>
  </conditionalFormatting>
  <conditionalFormatting sqref="C183 C229:C234 C218:C219 C225:C227 C175">
    <cfRule type="duplicateValues" dxfId="1197" priority="16" stopIfTrue="1"/>
    <cfRule type="duplicateValues" dxfId="1196" priority="17" stopIfTrue="1"/>
  </conditionalFormatting>
  <conditionalFormatting sqref="C183 C229:C234 C218:C219 C225:C227 C175">
    <cfRule type="duplicateValues" dxfId="1195" priority="15" stopIfTrue="1"/>
  </conditionalFormatting>
  <conditionalFormatting sqref="C183 C229:C234 C349:C1048576 C236:C238 C187:C189 C1:C2 C4:C5 C200:C213 C250:C254 C244:C248 C195:C198 C215 C225:C227 C218:C222 C175">
    <cfRule type="duplicateValues" dxfId="1194" priority="14"/>
  </conditionalFormatting>
  <conditionalFormatting sqref="C183 C250:C254 C349:C1048576 C1:C5 C244:C248 C187:C189 C195:C198 C218:C222 C225:C227 C200:C213 C229:C238 C215 C175">
    <cfRule type="duplicateValues" dxfId="1193" priority="13"/>
  </conditionalFormatting>
  <conditionalFormatting sqref="C163:C164 C166:C172 C157:C161">
    <cfRule type="duplicateValues" dxfId="1192" priority="2" stopIfTrue="1"/>
    <cfRule type="duplicateValues" dxfId="1191" priority="3" stopIfTrue="1"/>
  </conditionalFormatting>
  <conditionalFormatting sqref="C163:C164 C166:C172 C157:C161">
    <cfRule type="duplicateValues" dxfId="1190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3:O259"/>
  <sheetViews>
    <sheetView topLeftCell="A94" workbookViewId="0">
      <selection activeCell="C94" sqref="C94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9.285156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879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240">
        <v>50</v>
      </c>
      <c r="H6" s="203">
        <v>7479.78</v>
      </c>
      <c r="I6" s="247">
        <v>6</v>
      </c>
      <c r="J6" s="97">
        <f t="shared" ref="J6:J37" si="0">G6-I6</f>
        <v>44</v>
      </c>
      <c r="K6" s="91">
        <f t="shared" ref="K6:K16" si="1">I6*H6</f>
        <v>44878.68</v>
      </c>
      <c r="L6" s="94">
        <f t="shared" ref="L6:L37" si="2">F6-K6</f>
        <v>329110.32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11" t="s">
        <v>616</v>
      </c>
      <c r="D7" s="16">
        <v>132000</v>
      </c>
      <c r="E7" s="16">
        <v>17595.599999999999</v>
      </c>
      <c r="F7" s="41">
        <f>SUM(D7:E7)</f>
        <v>149595.6</v>
      </c>
      <c r="G7" s="240">
        <v>40</v>
      </c>
      <c r="H7" s="209">
        <v>3739.89</v>
      </c>
      <c r="I7" s="243">
        <v>38</v>
      </c>
      <c r="J7" s="96">
        <f t="shared" si="0"/>
        <v>2</v>
      </c>
      <c r="K7" s="16">
        <f t="shared" si="1"/>
        <v>142115.82</v>
      </c>
      <c r="L7" s="41">
        <f t="shared" si="2"/>
        <v>7479.7799999999988</v>
      </c>
      <c r="M7" s="11"/>
      <c r="N7" s="180" t="e">
        <f>#REF!-H7</f>
        <v>#REF!</v>
      </c>
    </row>
    <row r="8" spans="1:14" s="114" customFormat="1">
      <c r="A8" s="96">
        <v>3</v>
      </c>
      <c r="B8" s="122" t="s">
        <v>895</v>
      </c>
      <c r="C8" s="123" t="s">
        <v>918</v>
      </c>
      <c r="D8" s="19">
        <v>450000</v>
      </c>
      <c r="E8" s="19">
        <v>59985</v>
      </c>
      <c r="F8" s="19">
        <v>509985</v>
      </c>
      <c r="G8" s="240">
        <v>50</v>
      </c>
      <c r="H8" s="254">
        <v>10199.700000000001</v>
      </c>
      <c r="I8" s="250">
        <v>1</v>
      </c>
      <c r="J8" s="188">
        <f t="shared" si="0"/>
        <v>49</v>
      </c>
      <c r="K8" s="257">
        <f t="shared" si="1"/>
        <v>10199.700000000001</v>
      </c>
      <c r="L8" s="94">
        <f t="shared" si="2"/>
        <v>499785.3</v>
      </c>
      <c r="M8" s="122" t="s">
        <v>251</v>
      </c>
    </row>
    <row r="9" spans="1:14" s="114" customFormat="1">
      <c r="A9" s="96">
        <v>4</v>
      </c>
      <c r="B9" s="255" t="s">
        <v>653</v>
      </c>
      <c r="C9" s="11" t="s">
        <v>654</v>
      </c>
      <c r="D9" s="19">
        <v>330000</v>
      </c>
      <c r="E9" s="19">
        <v>43989</v>
      </c>
      <c r="F9" s="19">
        <f t="shared" ref="F9:F14" si="3">SUM(D9:E9)</f>
        <v>373989</v>
      </c>
      <c r="G9" s="240">
        <v>50</v>
      </c>
      <c r="H9" s="254">
        <v>7479.78</v>
      </c>
      <c r="I9" s="243">
        <v>24</v>
      </c>
      <c r="J9" s="97">
        <f t="shared" si="0"/>
        <v>26</v>
      </c>
      <c r="K9" s="91">
        <f t="shared" si="1"/>
        <v>179514.72</v>
      </c>
      <c r="L9" s="94">
        <f t="shared" si="2"/>
        <v>194474.28</v>
      </c>
      <c r="M9" s="11"/>
      <c r="N9" s="180" t="e">
        <f>#REF!-H9</f>
        <v>#REF!</v>
      </c>
    </row>
    <row r="10" spans="1:14" s="114" customFormat="1">
      <c r="A10" s="96">
        <v>5</v>
      </c>
      <c r="B10" s="241" t="s">
        <v>528</v>
      </c>
      <c r="C10" s="11" t="s">
        <v>529</v>
      </c>
      <c r="D10" s="12">
        <v>500000</v>
      </c>
      <c r="E10" s="12">
        <v>66650</v>
      </c>
      <c r="F10" s="15">
        <f t="shared" si="3"/>
        <v>566650</v>
      </c>
      <c r="G10" s="246">
        <v>50</v>
      </c>
      <c r="H10" s="209">
        <v>11333</v>
      </c>
      <c r="I10" s="248">
        <v>37</v>
      </c>
      <c r="J10" s="97">
        <f t="shared" si="0"/>
        <v>13</v>
      </c>
      <c r="K10" s="91">
        <f t="shared" si="1"/>
        <v>419321</v>
      </c>
      <c r="L10" s="15">
        <f t="shared" si="2"/>
        <v>147329</v>
      </c>
      <c r="M10" s="8"/>
      <c r="N10" s="180" t="e">
        <f>#REF!-H10</f>
        <v>#REF!</v>
      </c>
    </row>
    <row r="11" spans="1:14" s="114" customFormat="1">
      <c r="A11" s="96">
        <v>6</v>
      </c>
      <c r="B11" s="241" t="s">
        <v>674</v>
      </c>
      <c r="C11" s="11" t="s">
        <v>675</v>
      </c>
      <c r="D11" s="16">
        <v>500000</v>
      </c>
      <c r="E11" s="16">
        <v>53320</v>
      </c>
      <c r="F11" s="41">
        <f t="shared" si="3"/>
        <v>553320</v>
      </c>
      <c r="G11" s="240">
        <v>40</v>
      </c>
      <c r="H11" s="209">
        <v>13833</v>
      </c>
      <c r="I11" s="243">
        <v>53</v>
      </c>
      <c r="J11" s="96">
        <f t="shared" si="0"/>
        <v>-13</v>
      </c>
      <c r="K11" s="16">
        <f t="shared" si="1"/>
        <v>733149</v>
      </c>
      <c r="L11" s="41">
        <f t="shared" si="2"/>
        <v>-179829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692</v>
      </c>
      <c r="C12" s="11" t="s">
        <v>693</v>
      </c>
      <c r="D12" s="16">
        <v>330000</v>
      </c>
      <c r="E12" s="16">
        <v>43989</v>
      </c>
      <c r="F12" s="41">
        <f t="shared" si="3"/>
        <v>373989</v>
      </c>
      <c r="G12" s="159">
        <v>50</v>
      </c>
      <c r="H12" s="209">
        <v>7478.78</v>
      </c>
      <c r="I12" s="159">
        <v>41</v>
      </c>
      <c r="J12" s="96">
        <f t="shared" si="0"/>
        <v>9</v>
      </c>
      <c r="K12" s="16">
        <f t="shared" si="1"/>
        <v>306629.98</v>
      </c>
      <c r="L12" s="41">
        <f t="shared" si="2"/>
        <v>67359.020000000019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602</v>
      </c>
      <c r="C13" s="11" t="s">
        <v>603</v>
      </c>
      <c r="D13" s="16">
        <v>330000</v>
      </c>
      <c r="E13" s="16">
        <v>43989</v>
      </c>
      <c r="F13" s="41">
        <f t="shared" si="3"/>
        <v>373989</v>
      </c>
      <c r="G13" s="159">
        <v>50</v>
      </c>
      <c r="H13" s="203">
        <v>7479.78</v>
      </c>
      <c r="I13" s="96">
        <v>41</v>
      </c>
      <c r="J13" s="96">
        <f t="shared" si="0"/>
        <v>9</v>
      </c>
      <c r="K13" s="16">
        <f t="shared" si="1"/>
        <v>306670.98</v>
      </c>
      <c r="L13" s="41">
        <f t="shared" si="2"/>
        <v>67318.020000000019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640</v>
      </c>
      <c r="C14" s="11" t="s">
        <v>641</v>
      </c>
      <c r="D14" s="16">
        <v>500000</v>
      </c>
      <c r="E14" s="16">
        <v>66650</v>
      </c>
      <c r="F14" s="41">
        <f t="shared" si="3"/>
        <v>566650</v>
      </c>
      <c r="G14" s="159">
        <v>50</v>
      </c>
      <c r="H14" s="209">
        <v>11333</v>
      </c>
      <c r="I14" s="96">
        <v>32</v>
      </c>
      <c r="J14" s="96">
        <f t="shared" si="0"/>
        <v>18</v>
      </c>
      <c r="K14" s="16">
        <f t="shared" si="1"/>
        <v>362656</v>
      </c>
      <c r="L14" s="41">
        <f t="shared" si="2"/>
        <v>203994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709</v>
      </c>
      <c r="C15" s="11" t="s">
        <v>710</v>
      </c>
      <c r="D15" s="19">
        <v>500000</v>
      </c>
      <c r="E15" s="19">
        <v>66650</v>
      </c>
      <c r="F15" s="19">
        <v>566650</v>
      </c>
      <c r="G15" s="159">
        <v>50</v>
      </c>
      <c r="H15" s="209">
        <v>11333</v>
      </c>
      <c r="I15" s="96">
        <v>18</v>
      </c>
      <c r="J15" s="96">
        <f t="shared" si="0"/>
        <v>32</v>
      </c>
      <c r="K15" s="16">
        <f t="shared" si="1"/>
        <v>203994</v>
      </c>
      <c r="L15" s="16">
        <f t="shared" si="2"/>
        <v>362656</v>
      </c>
      <c r="M15" s="122"/>
      <c r="N15" s="180" t="e">
        <f>#REF!-H15</f>
        <v>#REF!</v>
      </c>
    </row>
    <row r="16" spans="1:14" s="114" customFormat="1">
      <c r="A16" s="96">
        <v>11</v>
      </c>
      <c r="B16" s="96" t="s">
        <v>696</v>
      </c>
      <c r="C16" s="11" t="s">
        <v>697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09">
        <v>11333</v>
      </c>
      <c r="I16" s="96">
        <v>53</v>
      </c>
      <c r="J16" s="96">
        <f t="shared" si="0"/>
        <v>-3</v>
      </c>
      <c r="K16" s="16">
        <f t="shared" si="1"/>
        <v>600649</v>
      </c>
      <c r="L16" s="41">
        <f t="shared" si="2"/>
        <v>-33999</v>
      </c>
      <c r="M16" s="11"/>
      <c r="N16" s="180" t="e">
        <f>#REF!-H16</f>
        <v>#REF!</v>
      </c>
    </row>
    <row r="17" spans="1:14" s="114" customFormat="1">
      <c r="A17" s="96">
        <v>12</v>
      </c>
      <c r="B17" s="96" t="s">
        <v>574</v>
      </c>
      <c r="C17" s="11" t="s">
        <v>575</v>
      </c>
      <c r="D17" s="16">
        <v>330000</v>
      </c>
      <c r="E17" s="16">
        <v>43989</v>
      </c>
      <c r="F17" s="41">
        <f>SUM(D17:E17)</f>
        <v>373989</v>
      </c>
      <c r="G17" s="159">
        <v>50</v>
      </c>
      <c r="H17" s="203">
        <v>7479.78</v>
      </c>
      <c r="I17" s="159">
        <v>41</v>
      </c>
      <c r="J17" s="97">
        <f t="shared" si="0"/>
        <v>9</v>
      </c>
      <c r="K17" s="91">
        <f>(32*7479.78)</f>
        <v>239352.95999999999</v>
      </c>
      <c r="L17" s="94">
        <f t="shared" si="2"/>
        <v>134636.04</v>
      </c>
      <c r="M17" s="11"/>
      <c r="N17" s="180" t="e">
        <f>#REF!-H17</f>
        <v>#REF!</v>
      </c>
    </row>
    <row r="18" spans="1:14" s="114" customFormat="1">
      <c r="A18" s="96">
        <v>13</v>
      </c>
      <c r="B18" s="96" t="s">
        <v>721</v>
      </c>
      <c r="C18" s="11" t="s">
        <v>722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209">
        <v>11333</v>
      </c>
      <c r="I18" s="97">
        <v>53</v>
      </c>
      <c r="J18" s="97">
        <f t="shared" si="0"/>
        <v>-3</v>
      </c>
      <c r="K18" s="91">
        <f t="shared" ref="K18:K23" si="4">I18*H18</f>
        <v>600649</v>
      </c>
      <c r="L18" s="94">
        <f t="shared" si="2"/>
        <v>-33999</v>
      </c>
      <c r="M18" s="11"/>
      <c r="N18" s="180" t="e">
        <f>#REF!-H18</f>
        <v>#REF!</v>
      </c>
    </row>
    <row r="19" spans="1:14" s="114" customFormat="1">
      <c r="A19" s="96">
        <v>14</v>
      </c>
      <c r="B19" s="122" t="s">
        <v>884</v>
      </c>
      <c r="C19" s="123" t="s">
        <v>906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254">
        <v>11333</v>
      </c>
      <c r="I19" s="188">
        <v>1</v>
      </c>
      <c r="J19" s="188">
        <f t="shared" si="0"/>
        <v>49</v>
      </c>
      <c r="K19" s="257">
        <f t="shared" si="4"/>
        <v>11333</v>
      </c>
      <c r="L19" s="94">
        <f t="shared" si="2"/>
        <v>555317</v>
      </c>
      <c r="M19" s="122" t="s">
        <v>251</v>
      </c>
      <c r="N19" s="180" t="e">
        <f>#REF!-H19</f>
        <v>#REF!</v>
      </c>
    </row>
    <row r="20" spans="1:14" s="114" customFormat="1">
      <c r="A20" s="96">
        <v>15</v>
      </c>
      <c r="B20" s="96" t="s">
        <v>649</v>
      </c>
      <c r="C20" s="11" t="s">
        <v>650</v>
      </c>
      <c r="D20" s="16">
        <v>450000</v>
      </c>
      <c r="E20" s="16">
        <v>59985</v>
      </c>
      <c r="F20" s="16">
        <v>509985</v>
      </c>
      <c r="G20" s="159">
        <v>50</v>
      </c>
      <c r="H20" s="209">
        <v>10199.700000000001</v>
      </c>
      <c r="I20" s="97">
        <v>17</v>
      </c>
      <c r="J20" s="97">
        <f t="shared" si="0"/>
        <v>33</v>
      </c>
      <c r="K20" s="91">
        <f t="shared" si="4"/>
        <v>173394.90000000002</v>
      </c>
      <c r="L20" s="91">
        <f t="shared" si="2"/>
        <v>336590.1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617</v>
      </c>
      <c r="C21" s="11" t="s">
        <v>618</v>
      </c>
      <c r="D21" s="16">
        <v>450000</v>
      </c>
      <c r="E21" s="16">
        <v>59985</v>
      </c>
      <c r="F21" s="16">
        <v>509985</v>
      </c>
      <c r="G21" s="159">
        <v>50</v>
      </c>
      <c r="H21" s="209">
        <v>10199.700000000001</v>
      </c>
      <c r="I21" s="97">
        <v>32</v>
      </c>
      <c r="J21" s="97">
        <f t="shared" si="0"/>
        <v>18</v>
      </c>
      <c r="K21" s="91">
        <f t="shared" si="4"/>
        <v>326390.40000000002</v>
      </c>
      <c r="L21" s="94">
        <f t="shared" si="2"/>
        <v>183594.59999999998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672</v>
      </c>
      <c r="C22" s="11" t="s">
        <v>673</v>
      </c>
      <c r="D22" s="16">
        <v>500000</v>
      </c>
      <c r="E22" s="16">
        <v>53320</v>
      </c>
      <c r="F22" s="41">
        <f>SUM(D22:E22)</f>
        <v>553320</v>
      </c>
      <c r="G22" s="159">
        <v>40</v>
      </c>
      <c r="H22" s="209">
        <v>13833</v>
      </c>
      <c r="I22" s="97">
        <v>53</v>
      </c>
      <c r="J22" s="97">
        <f t="shared" si="0"/>
        <v>-13</v>
      </c>
      <c r="K22" s="91">
        <f t="shared" si="4"/>
        <v>733149</v>
      </c>
      <c r="L22" s="94">
        <f t="shared" si="2"/>
        <v>-179829</v>
      </c>
      <c r="M22" s="11"/>
      <c r="N22" s="180" t="e">
        <f>#REF!-H22</f>
        <v>#REF!</v>
      </c>
    </row>
    <row r="23" spans="1:14" s="114" customFormat="1">
      <c r="A23" s="96">
        <v>18</v>
      </c>
      <c r="B23" s="96" t="s">
        <v>505</v>
      </c>
      <c r="C23" s="11" t="s">
        <v>506</v>
      </c>
      <c r="D23" s="16">
        <v>500000</v>
      </c>
      <c r="E23" s="16">
        <v>66650</v>
      </c>
      <c r="F23" s="41">
        <f>SUM(D23:E23)</f>
        <v>566650</v>
      </c>
      <c r="G23" s="159">
        <v>50</v>
      </c>
      <c r="H23" s="209">
        <v>11333</v>
      </c>
      <c r="I23" s="97">
        <v>32</v>
      </c>
      <c r="J23" s="97">
        <f t="shared" si="0"/>
        <v>18</v>
      </c>
      <c r="K23" s="91">
        <f t="shared" si="4"/>
        <v>362656</v>
      </c>
      <c r="L23" s="94">
        <f t="shared" si="2"/>
        <v>203994</v>
      </c>
      <c r="M23" s="11"/>
      <c r="N23" s="180" t="e">
        <f>#REF!-H23</f>
        <v>#REF!</v>
      </c>
    </row>
    <row r="24" spans="1:14" s="114" customFormat="1">
      <c r="A24" s="96">
        <v>19</v>
      </c>
      <c r="B24" s="96" t="s">
        <v>565</v>
      </c>
      <c r="C24" s="11" t="s">
        <v>566</v>
      </c>
      <c r="D24" s="16">
        <v>60000</v>
      </c>
      <c r="E24" s="16">
        <v>7998</v>
      </c>
      <c r="F24" s="41">
        <f>SUM(D24:E24)</f>
        <v>67998</v>
      </c>
      <c r="G24" s="159">
        <v>40</v>
      </c>
      <c r="H24" s="209">
        <v>1699.95</v>
      </c>
      <c r="I24" s="97">
        <v>7</v>
      </c>
      <c r="J24" s="97">
        <f t="shared" si="0"/>
        <v>33</v>
      </c>
      <c r="K24" s="91"/>
      <c r="L24" s="94">
        <f t="shared" si="2"/>
        <v>67998</v>
      </c>
      <c r="M24" s="11"/>
    </row>
    <row r="25" spans="1:14" s="114" customFormat="1">
      <c r="A25" s="96">
        <v>20</v>
      </c>
      <c r="B25" s="96" t="s">
        <v>659</v>
      </c>
      <c r="C25" s="11" t="s">
        <v>660</v>
      </c>
      <c r="D25" s="16">
        <v>500000</v>
      </c>
      <c r="E25" s="16">
        <v>66650</v>
      </c>
      <c r="F25" s="41">
        <f>SUM(D25:E25)</f>
        <v>566650</v>
      </c>
      <c r="G25" s="159">
        <v>50</v>
      </c>
      <c r="H25" s="209">
        <v>11333</v>
      </c>
      <c r="I25" s="97">
        <v>42</v>
      </c>
      <c r="J25" s="97">
        <f t="shared" si="0"/>
        <v>8</v>
      </c>
      <c r="K25" s="91">
        <f t="shared" ref="K25:K31" si="5">I25*H25</f>
        <v>475986</v>
      </c>
      <c r="L25" s="94">
        <f t="shared" si="2"/>
        <v>90664</v>
      </c>
      <c r="M25" s="11" t="s">
        <v>276</v>
      </c>
      <c r="N25" s="180" t="e">
        <f>#REF!-H25</f>
        <v>#REF!</v>
      </c>
    </row>
    <row r="26" spans="1:14" s="114" customFormat="1">
      <c r="A26" s="96">
        <v>21</v>
      </c>
      <c r="B26" s="96" t="s">
        <v>559</v>
      </c>
      <c r="C26" s="11" t="s">
        <v>560</v>
      </c>
      <c r="D26" s="16">
        <v>500000</v>
      </c>
      <c r="E26" s="16">
        <v>66650</v>
      </c>
      <c r="F26" s="16">
        <v>566650</v>
      </c>
      <c r="G26" s="159">
        <v>50</v>
      </c>
      <c r="H26" s="146">
        <v>11333</v>
      </c>
      <c r="I26" s="96">
        <v>6</v>
      </c>
      <c r="J26" s="97">
        <f t="shared" si="0"/>
        <v>44</v>
      </c>
      <c r="K26" s="91">
        <f t="shared" si="5"/>
        <v>67998</v>
      </c>
      <c r="L26" s="94">
        <f t="shared" si="2"/>
        <v>498652</v>
      </c>
      <c r="M26" s="215"/>
      <c r="N26" s="180" t="e">
        <f>#REF!-H26</f>
        <v>#REF!</v>
      </c>
    </row>
    <row r="27" spans="1:14" s="114" customFormat="1">
      <c r="A27" s="96">
        <v>22</v>
      </c>
      <c r="B27" s="96" t="s">
        <v>690</v>
      </c>
      <c r="C27" s="11" t="s">
        <v>691</v>
      </c>
      <c r="D27" s="16">
        <v>500000</v>
      </c>
      <c r="E27" s="16">
        <v>66650</v>
      </c>
      <c r="F27" s="41">
        <f>SUM(D27:E27)</f>
        <v>566650</v>
      </c>
      <c r="G27" s="159">
        <v>50</v>
      </c>
      <c r="H27" s="209">
        <v>11333</v>
      </c>
      <c r="I27" s="188">
        <v>4</v>
      </c>
      <c r="J27" s="97">
        <f t="shared" si="0"/>
        <v>46</v>
      </c>
      <c r="K27" s="91">
        <f t="shared" si="5"/>
        <v>45332</v>
      </c>
      <c r="L27" s="94">
        <f t="shared" si="2"/>
        <v>521318</v>
      </c>
      <c r="M27" s="214"/>
      <c r="N27" s="180" t="e">
        <f>#REF!-H27</f>
        <v>#REF!</v>
      </c>
    </row>
    <row r="28" spans="1:14" s="114" customFormat="1">
      <c r="A28" s="96">
        <v>23</v>
      </c>
      <c r="B28" s="96" t="s">
        <v>581</v>
      </c>
      <c r="C28" s="11" t="s">
        <v>582</v>
      </c>
      <c r="D28" s="16">
        <v>330000</v>
      </c>
      <c r="E28" s="16">
        <v>43989</v>
      </c>
      <c r="F28" s="41">
        <f>SUM(D28:E28)</f>
        <v>373989</v>
      </c>
      <c r="G28" s="159">
        <v>50</v>
      </c>
      <c r="H28" s="209">
        <v>7479.78</v>
      </c>
      <c r="I28" s="97">
        <v>53</v>
      </c>
      <c r="J28" s="97">
        <f t="shared" si="0"/>
        <v>-3</v>
      </c>
      <c r="K28" s="91">
        <f t="shared" si="5"/>
        <v>396428.33999999997</v>
      </c>
      <c r="L28" s="94">
        <f t="shared" si="2"/>
        <v>-22439.339999999967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567</v>
      </c>
      <c r="C29" s="11" t="s">
        <v>568</v>
      </c>
      <c r="D29" s="16">
        <v>330000</v>
      </c>
      <c r="E29" s="16">
        <v>43989</v>
      </c>
      <c r="F29" s="41">
        <f>SUM(D29:E29)</f>
        <v>373989</v>
      </c>
      <c r="G29" s="159">
        <v>50</v>
      </c>
      <c r="H29" s="209">
        <v>7479.78</v>
      </c>
      <c r="I29" s="97">
        <v>53</v>
      </c>
      <c r="J29" s="97">
        <f t="shared" si="0"/>
        <v>-3</v>
      </c>
      <c r="K29" s="91">
        <f t="shared" si="5"/>
        <v>396428.33999999997</v>
      </c>
      <c r="L29" s="94">
        <f t="shared" si="2"/>
        <v>-22439.339999999967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726</v>
      </c>
      <c r="C30" s="11" t="s">
        <v>727</v>
      </c>
      <c r="D30" s="19">
        <v>500000</v>
      </c>
      <c r="E30" s="19">
        <v>66650</v>
      </c>
      <c r="F30" s="19">
        <v>566650</v>
      </c>
      <c r="G30" s="159">
        <v>50</v>
      </c>
      <c r="H30" s="209">
        <v>11333</v>
      </c>
      <c r="I30" s="97">
        <v>18</v>
      </c>
      <c r="J30" s="97">
        <f t="shared" si="0"/>
        <v>32</v>
      </c>
      <c r="K30" s="91">
        <f t="shared" si="5"/>
        <v>203994</v>
      </c>
      <c r="L30" s="91">
        <f t="shared" si="2"/>
        <v>362656</v>
      </c>
      <c r="M30" s="122"/>
      <c r="N30" s="180" t="e">
        <f>#REF!-H30</f>
        <v>#REF!</v>
      </c>
    </row>
    <row r="31" spans="1:14" s="114" customFormat="1">
      <c r="A31" s="96">
        <v>26</v>
      </c>
      <c r="B31" s="96" t="s">
        <v>680</v>
      </c>
      <c r="C31" s="11" t="s">
        <v>681</v>
      </c>
      <c r="D31" s="19">
        <v>500000</v>
      </c>
      <c r="E31" s="19">
        <v>66650</v>
      </c>
      <c r="F31" s="19">
        <v>566650</v>
      </c>
      <c r="G31" s="159">
        <v>50</v>
      </c>
      <c r="H31" s="209">
        <v>11333</v>
      </c>
      <c r="I31" s="97">
        <v>18</v>
      </c>
      <c r="J31" s="97">
        <f t="shared" si="0"/>
        <v>32</v>
      </c>
      <c r="K31" s="91">
        <f t="shared" si="5"/>
        <v>203994</v>
      </c>
      <c r="L31" s="91">
        <f t="shared" si="2"/>
        <v>362656</v>
      </c>
      <c r="M31" s="122"/>
      <c r="N31" s="180" t="e">
        <f>#REF!-H31</f>
        <v>#REF!</v>
      </c>
    </row>
    <row r="32" spans="1:14" s="114" customFormat="1">
      <c r="A32" s="96">
        <v>27</v>
      </c>
      <c r="B32" s="96" t="s">
        <v>576</v>
      </c>
      <c r="C32" s="11" t="s">
        <v>927</v>
      </c>
      <c r="D32" s="16">
        <v>60000</v>
      </c>
      <c r="E32" s="16">
        <v>7998</v>
      </c>
      <c r="F32" s="41">
        <f>SUM(D32:E32)</f>
        <v>67998</v>
      </c>
      <c r="G32" s="159">
        <v>40</v>
      </c>
      <c r="H32" s="209">
        <v>1699.95</v>
      </c>
      <c r="I32" s="97">
        <v>7</v>
      </c>
      <c r="J32" s="97">
        <f t="shared" si="0"/>
        <v>33</v>
      </c>
      <c r="K32" s="91"/>
      <c r="L32" s="94">
        <f t="shared" si="2"/>
        <v>67998</v>
      </c>
      <c r="M32" s="11"/>
      <c r="N32" s="180" t="e">
        <f>#REF!-H32</f>
        <v>#REF!</v>
      </c>
    </row>
    <row r="33" spans="1:14" s="114" customFormat="1">
      <c r="A33" s="96">
        <v>28</v>
      </c>
      <c r="B33" s="96" t="s">
        <v>588</v>
      </c>
      <c r="C33" s="11" t="s">
        <v>589</v>
      </c>
      <c r="D33" s="16">
        <v>500000</v>
      </c>
      <c r="E33" s="16">
        <v>66650</v>
      </c>
      <c r="F33" s="41">
        <f>SUM(D33:E33)</f>
        <v>566650</v>
      </c>
      <c r="G33" s="159">
        <v>50</v>
      </c>
      <c r="H33" s="209">
        <v>11333</v>
      </c>
      <c r="I33" s="97">
        <v>31</v>
      </c>
      <c r="J33" s="97">
        <f t="shared" si="0"/>
        <v>19</v>
      </c>
      <c r="K33" s="91">
        <f>I33*H33</f>
        <v>351323</v>
      </c>
      <c r="L33" s="94">
        <f t="shared" si="2"/>
        <v>215327</v>
      </c>
      <c r="M33" s="11"/>
      <c r="N33" s="180" t="e">
        <f>#REF!-H33</f>
        <v>#REF!</v>
      </c>
    </row>
    <row r="34" spans="1:14" s="114" customFormat="1">
      <c r="A34" s="96">
        <v>29</v>
      </c>
      <c r="B34" s="96" t="s">
        <v>512</v>
      </c>
      <c r="C34" s="11" t="s">
        <v>513</v>
      </c>
      <c r="D34" s="16">
        <v>500000</v>
      </c>
      <c r="E34" s="16">
        <v>66650</v>
      </c>
      <c r="F34" s="41">
        <f>SUM(D34:E34)</f>
        <v>566650</v>
      </c>
      <c r="G34" s="159">
        <v>50</v>
      </c>
      <c r="H34" s="209">
        <v>11333</v>
      </c>
      <c r="I34" s="97">
        <v>41</v>
      </c>
      <c r="J34" s="97">
        <f t="shared" si="0"/>
        <v>9</v>
      </c>
      <c r="K34" s="91">
        <f>I34*H34</f>
        <v>464653</v>
      </c>
      <c r="L34" s="94">
        <f t="shared" si="2"/>
        <v>101997</v>
      </c>
      <c r="M34" s="11"/>
      <c r="N34" s="180" t="e">
        <f>#REF!-H34</f>
        <v>#REF!</v>
      </c>
    </row>
    <row r="35" spans="1:14" s="114" customFormat="1">
      <c r="A35" s="96">
        <v>30</v>
      </c>
      <c r="B35" s="96" t="s">
        <v>532</v>
      </c>
      <c r="C35" s="11" t="s">
        <v>533</v>
      </c>
      <c r="D35" s="16">
        <v>500000</v>
      </c>
      <c r="E35" s="16">
        <v>66650</v>
      </c>
      <c r="F35" s="41">
        <f>SUM(D35:E35)</f>
        <v>566650</v>
      </c>
      <c r="G35" s="159">
        <v>50</v>
      </c>
      <c r="H35" s="209">
        <v>11333</v>
      </c>
      <c r="I35" s="97">
        <v>41</v>
      </c>
      <c r="J35" s="97">
        <f t="shared" si="0"/>
        <v>9</v>
      </c>
      <c r="K35" s="91">
        <f>I35*H35</f>
        <v>464653</v>
      </c>
      <c r="L35" s="94">
        <f t="shared" si="2"/>
        <v>101997</v>
      </c>
      <c r="M35" s="11"/>
    </row>
    <row r="36" spans="1:14" s="114" customFormat="1">
      <c r="A36" s="96">
        <v>31</v>
      </c>
      <c r="B36" s="96" t="s">
        <v>633</v>
      </c>
      <c r="C36" s="11" t="s">
        <v>634</v>
      </c>
      <c r="D36" s="19">
        <v>150000</v>
      </c>
      <c r="E36" s="19">
        <v>19995</v>
      </c>
      <c r="F36" s="19">
        <f>SUM(D36:E36)</f>
        <v>169995</v>
      </c>
      <c r="G36" s="159">
        <v>50</v>
      </c>
      <c r="H36" s="252">
        <v>3399.9</v>
      </c>
      <c r="I36" s="101">
        <v>6</v>
      </c>
      <c r="J36" s="97">
        <f t="shared" si="0"/>
        <v>44</v>
      </c>
      <c r="K36" s="91">
        <f>I36*H36</f>
        <v>20399.400000000001</v>
      </c>
      <c r="L36" s="94">
        <f t="shared" si="2"/>
        <v>149595.6</v>
      </c>
      <c r="M36" s="218"/>
    </row>
    <row r="37" spans="1:14" s="114" customFormat="1">
      <c r="A37" s="96">
        <v>32</v>
      </c>
      <c r="B37" s="96" t="s">
        <v>534</v>
      </c>
      <c r="C37" s="11" t="s">
        <v>535</v>
      </c>
      <c r="D37" s="16">
        <v>450000</v>
      </c>
      <c r="E37" s="16">
        <v>59985</v>
      </c>
      <c r="F37" s="16">
        <v>509985</v>
      </c>
      <c r="G37" s="159">
        <v>50</v>
      </c>
      <c r="H37" s="209">
        <v>10199.700000000001</v>
      </c>
      <c r="I37" s="97">
        <v>10</v>
      </c>
      <c r="J37" s="97">
        <f t="shared" si="0"/>
        <v>40</v>
      </c>
      <c r="K37" s="91">
        <f>(1*10199.7)</f>
        <v>10199.700000000001</v>
      </c>
      <c r="L37" s="94">
        <f t="shared" si="2"/>
        <v>499785.3</v>
      </c>
      <c r="M37" s="11"/>
      <c r="N37" s="180" t="e">
        <f>#REF!-H37</f>
        <v>#REF!</v>
      </c>
    </row>
    <row r="38" spans="1:14" s="114" customFormat="1">
      <c r="A38" s="96">
        <v>33</v>
      </c>
      <c r="B38" s="96" t="s">
        <v>713</v>
      </c>
      <c r="C38" s="11" t="s">
        <v>714</v>
      </c>
      <c r="D38" s="16">
        <v>450000</v>
      </c>
      <c r="E38" s="16">
        <v>59985</v>
      </c>
      <c r="F38" s="41">
        <f>SUM(D38:E38)</f>
        <v>509985</v>
      </c>
      <c r="G38" s="159">
        <v>50</v>
      </c>
      <c r="H38" s="209">
        <v>11333</v>
      </c>
      <c r="I38" s="97">
        <v>21</v>
      </c>
      <c r="J38" s="97">
        <f t="shared" ref="J38:J69" si="6">G38-I38</f>
        <v>29</v>
      </c>
      <c r="K38" s="91">
        <f t="shared" ref="K38:K69" si="7">I38*H38</f>
        <v>237993</v>
      </c>
      <c r="L38" s="94">
        <f t="shared" ref="L38:L69" si="8">F38-K38</f>
        <v>271992</v>
      </c>
      <c r="M38" s="11"/>
      <c r="N38" s="180" t="e">
        <f>#REF!-H38</f>
        <v>#REF!</v>
      </c>
    </row>
    <row r="39" spans="1:14" s="114" customFormat="1">
      <c r="A39" s="96">
        <v>34</v>
      </c>
      <c r="B39" s="96" t="s">
        <v>499</v>
      </c>
      <c r="C39" s="11" t="s">
        <v>500</v>
      </c>
      <c r="D39" s="16">
        <v>500000</v>
      </c>
      <c r="E39" s="16">
        <v>66650</v>
      </c>
      <c r="F39" s="41">
        <f>SUM(D39:E39)</f>
        <v>566650</v>
      </c>
      <c r="G39" s="159">
        <v>50</v>
      </c>
      <c r="H39" s="203">
        <v>11333</v>
      </c>
      <c r="I39" s="188">
        <v>4</v>
      </c>
      <c r="J39" s="97">
        <f t="shared" si="6"/>
        <v>46</v>
      </c>
      <c r="K39" s="91">
        <f t="shared" si="7"/>
        <v>45332</v>
      </c>
      <c r="L39" s="94">
        <f t="shared" si="8"/>
        <v>521318</v>
      </c>
      <c r="M39" s="214"/>
      <c r="N39" s="180" t="e">
        <f>#REF!-H39</f>
        <v>#REF!</v>
      </c>
    </row>
    <row r="40" spans="1:14" s="114" customFormat="1">
      <c r="A40" s="96">
        <v>35</v>
      </c>
      <c r="B40" s="96" t="s">
        <v>572</v>
      </c>
      <c r="C40" s="11" t="s">
        <v>573</v>
      </c>
      <c r="D40" s="12">
        <v>150000</v>
      </c>
      <c r="E40" s="12">
        <v>19995</v>
      </c>
      <c r="F40" s="15">
        <f>SUM(D40:E40)</f>
        <v>169995</v>
      </c>
      <c r="G40" s="14">
        <v>50</v>
      </c>
      <c r="H40" s="209">
        <v>3399.9</v>
      </c>
      <c r="I40" s="14">
        <v>37</v>
      </c>
      <c r="J40" s="97">
        <f t="shared" si="6"/>
        <v>13</v>
      </c>
      <c r="K40" s="91">
        <f t="shared" si="7"/>
        <v>125796.3</v>
      </c>
      <c r="L40" s="15">
        <f t="shared" si="8"/>
        <v>44198.7</v>
      </c>
      <c r="M40" s="8"/>
      <c r="N40" s="180" t="e">
        <f>#REF!-H40</f>
        <v>#REF!</v>
      </c>
    </row>
    <row r="41" spans="1:14" s="114" customFormat="1">
      <c r="A41" s="96">
        <v>36</v>
      </c>
      <c r="B41" s="122" t="s">
        <v>897</v>
      </c>
      <c r="C41" s="123" t="s">
        <v>920</v>
      </c>
      <c r="D41" s="19">
        <v>450000</v>
      </c>
      <c r="E41" s="19">
        <v>59985</v>
      </c>
      <c r="F41" s="19">
        <v>509985</v>
      </c>
      <c r="G41" s="159">
        <v>50</v>
      </c>
      <c r="H41" s="254">
        <v>10199.700000000001</v>
      </c>
      <c r="I41" s="188">
        <v>1</v>
      </c>
      <c r="J41" s="188">
        <f t="shared" si="6"/>
        <v>49</v>
      </c>
      <c r="K41" s="257">
        <f t="shared" si="7"/>
        <v>10199.700000000001</v>
      </c>
      <c r="L41" s="94">
        <f t="shared" si="8"/>
        <v>499785.3</v>
      </c>
      <c r="M41" s="122" t="s">
        <v>251</v>
      </c>
    </row>
    <row r="42" spans="1:14" s="114" customFormat="1">
      <c r="A42" s="96">
        <v>37</v>
      </c>
      <c r="B42" s="96" t="s">
        <v>626</v>
      </c>
      <c r="C42" s="11" t="s">
        <v>627</v>
      </c>
      <c r="D42" s="16">
        <v>330000</v>
      </c>
      <c r="E42" s="16">
        <v>43989</v>
      </c>
      <c r="F42" s="41">
        <f t="shared" ref="F42:F51" si="9">SUM(D42:E42)</f>
        <v>373989</v>
      </c>
      <c r="G42" s="159">
        <v>50</v>
      </c>
      <c r="H42" s="209">
        <v>7479.78</v>
      </c>
      <c r="I42" s="97">
        <v>32</v>
      </c>
      <c r="J42" s="97">
        <f t="shared" si="6"/>
        <v>18</v>
      </c>
      <c r="K42" s="91">
        <f t="shared" si="7"/>
        <v>239352.95999999999</v>
      </c>
      <c r="L42" s="94">
        <f t="shared" si="8"/>
        <v>134636.04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730</v>
      </c>
      <c r="C43" s="11" t="s">
        <v>731</v>
      </c>
      <c r="D43" s="16">
        <v>500000</v>
      </c>
      <c r="E43" s="16">
        <v>66650</v>
      </c>
      <c r="F43" s="41">
        <f t="shared" si="9"/>
        <v>566650</v>
      </c>
      <c r="G43" s="159">
        <v>50</v>
      </c>
      <c r="H43" s="209">
        <v>11333</v>
      </c>
      <c r="I43" s="188">
        <v>8</v>
      </c>
      <c r="J43" s="188">
        <f t="shared" si="6"/>
        <v>42</v>
      </c>
      <c r="K43" s="91">
        <f t="shared" si="7"/>
        <v>90664</v>
      </c>
      <c r="L43" s="94">
        <f t="shared" si="8"/>
        <v>475986</v>
      </c>
      <c r="M43" s="122"/>
      <c r="N43" s="180" t="e">
        <f>#REF!-H43</f>
        <v>#REF!</v>
      </c>
    </row>
    <row r="44" spans="1:14" s="114" customFormat="1">
      <c r="A44" s="96">
        <v>39</v>
      </c>
      <c r="B44" s="96" t="s">
        <v>526</v>
      </c>
      <c r="C44" s="11" t="s">
        <v>527</v>
      </c>
      <c r="D44" s="16">
        <v>330000</v>
      </c>
      <c r="E44" s="16">
        <v>43989</v>
      </c>
      <c r="F44" s="41">
        <f t="shared" si="9"/>
        <v>373989</v>
      </c>
      <c r="G44" s="159">
        <v>50</v>
      </c>
      <c r="H44" s="203">
        <v>7479.78</v>
      </c>
      <c r="I44" s="97">
        <v>32</v>
      </c>
      <c r="J44" s="97">
        <f t="shared" si="6"/>
        <v>18</v>
      </c>
      <c r="K44" s="91">
        <f t="shared" si="7"/>
        <v>239352.95999999999</v>
      </c>
      <c r="L44" s="94">
        <f t="shared" si="8"/>
        <v>134636.04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609</v>
      </c>
      <c r="C45" s="11" t="s">
        <v>610</v>
      </c>
      <c r="D45" s="16">
        <v>500000</v>
      </c>
      <c r="E45" s="16">
        <v>66650</v>
      </c>
      <c r="F45" s="41">
        <f t="shared" si="9"/>
        <v>566650</v>
      </c>
      <c r="G45" s="159">
        <v>50</v>
      </c>
      <c r="H45" s="209">
        <v>11333</v>
      </c>
      <c r="I45" s="97">
        <v>31</v>
      </c>
      <c r="J45" s="97">
        <f t="shared" si="6"/>
        <v>19</v>
      </c>
      <c r="K45" s="91">
        <f t="shared" si="7"/>
        <v>351323</v>
      </c>
      <c r="L45" s="94">
        <f t="shared" si="8"/>
        <v>215327</v>
      </c>
      <c r="M45" s="11"/>
      <c r="N45" s="180" t="e">
        <f>#REF!-H45</f>
        <v>#REF!</v>
      </c>
    </row>
    <row r="46" spans="1:14" s="114" customFormat="1">
      <c r="A46" s="96">
        <v>41</v>
      </c>
      <c r="B46" s="96" t="s">
        <v>682</v>
      </c>
      <c r="C46" s="11" t="s">
        <v>683</v>
      </c>
      <c r="D46" s="16">
        <v>500000</v>
      </c>
      <c r="E46" s="16">
        <v>66650</v>
      </c>
      <c r="F46" s="41">
        <f t="shared" si="9"/>
        <v>566650</v>
      </c>
      <c r="G46" s="159">
        <v>50</v>
      </c>
      <c r="H46" s="209">
        <v>11333</v>
      </c>
      <c r="I46" s="97">
        <v>32</v>
      </c>
      <c r="J46" s="97">
        <f t="shared" si="6"/>
        <v>18</v>
      </c>
      <c r="K46" s="91">
        <f t="shared" si="7"/>
        <v>362656</v>
      </c>
      <c r="L46" s="94">
        <f t="shared" si="8"/>
        <v>203994</v>
      </c>
      <c r="M46" s="11"/>
      <c r="N46" s="180" t="e">
        <f>#REF!-H46</f>
        <v>#REF!</v>
      </c>
    </row>
    <row r="47" spans="1:14" s="114" customFormat="1">
      <c r="A47" s="96">
        <v>42</v>
      </c>
      <c r="B47" s="96" t="s">
        <v>542</v>
      </c>
      <c r="C47" s="11" t="s">
        <v>543</v>
      </c>
      <c r="D47" s="16">
        <v>500000</v>
      </c>
      <c r="E47" s="16">
        <v>66650</v>
      </c>
      <c r="F47" s="41">
        <f t="shared" si="9"/>
        <v>566650</v>
      </c>
      <c r="G47" s="159">
        <v>50</v>
      </c>
      <c r="H47" s="209">
        <v>11333</v>
      </c>
      <c r="I47" s="97">
        <v>31</v>
      </c>
      <c r="J47" s="97">
        <f t="shared" si="6"/>
        <v>19</v>
      </c>
      <c r="K47" s="91">
        <f t="shared" si="7"/>
        <v>351323</v>
      </c>
      <c r="L47" s="94">
        <f t="shared" si="8"/>
        <v>215327</v>
      </c>
      <c r="M47" s="11"/>
      <c r="N47" s="180" t="e">
        <f>#REF!-H47</f>
        <v>#REF!</v>
      </c>
    </row>
    <row r="48" spans="1:14" s="114" customFormat="1">
      <c r="A48" s="96">
        <v>43</v>
      </c>
      <c r="B48" s="96" t="s">
        <v>657</v>
      </c>
      <c r="C48" s="11" t="s">
        <v>658</v>
      </c>
      <c r="D48" s="12">
        <v>500000</v>
      </c>
      <c r="E48" s="12">
        <v>66650</v>
      </c>
      <c r="F48" s="15">
        <f t="shared" si="9"/>
        <v>566650</v>
      </c>
      <c r="G48" s="14">
        <v>50</v>
      </c>
      <c r="H48" s="203">
        <v>11333</v>
      </c>
      <c r="I48" s="14">
        <v>37</v>
      </c>
      <c r="J48" s="97">
        <f t="shared" si="6"/>
        <v>13</v>
      </c>
      <c r="K48" s="91">
        <f t="shared" si="7"/>
        <v>419321</v>
      </c>
      <c r="L48" s="15">
        <f t="shared" si="8"/>
        <v>147329</v>
      </c>
      <c r="M48" s="8"/>
      <c r="N48" s="180" t="e">
        <f>#REF!-H48</f>
        <v>#REF!</v>
      </c>
    </row>
    <row r="49" spans="1:14" s="114" customFormat="1">
      <c r="A49" s="96">
        <v>44</v>
      </c>
      <c r="B49" s="122" t="s">
        <v>881</v>
      </c>
      <c r="C49" s="123" t="s">
        <v>903</v>
      </c>
      <c r="D49" s="16">
        <v>500000</v>
      </c>
      <c r="E49" s="16">
        <v>66650</v>
      </c>
      <c r="F49" s="41">
        <f t="shared" si="9"/>
        <v>566650</v>
      </c>
      <c r="G49" s="159">
        <v>50</v>
      </c>
      <c r="H49" s="254">
        <v>13833</v>
      </c>
      <c r="I49" s="188">
        <v>1</v>
      </c>
      <c r="J49" s="188">
        <f t="shared" si="6"/>
        <v>49</v>
      </c>
      <c r="K49" s="257">
        <f t="shared" si="7"/>
        <v>13833</v>
      </c>
      <c r="L49" s="94">
        <f t="shared" si="8"/>
        <v>552817</v>
      </c>
      <c r="M49" s="122" t="s">
        <v>251</v>
      </c>
      <c r="N49" s="180" t="e">
        <f>#REF!-H49</f>
        <v>#REF!</v>
      </c>
    </row>
    <row r="50" spans="1:14" s="114" customFormat="1">
      <c r="A50" s="96">
        <v>45</v>
      </c>
      <c r="B50" s="122" t="s">
        <v>900</v>
      </c>
      <c r="C50" s="123" t="s">
        <v>923</v>
      </c>
      <c r="D50" s="19">
        <v>330000</v>
      </c>
      <c r="E50" s="19">
        <v>43989</v>
      </c>
      <c r="F50" s="19">
        <f t="shared" si="9"/>
        <v>373989</v>
      </c>
      <c r="G50" s="159">
        <v>50</v>
      </c>
      <c r="H50" s="254">
        <v>7479.78</v>
      </c>
      <c r="I50" s="188">
        <v>1</v>
      </c>
      <c r="J50" s="188">
        <f t="shared" si="6"/>
        <v>49</v>
      </c>
      <c r="K50" s="257">
        <f t="shared" si="7"/>
        <v>7479.78</v>
      </c>
      <c r="L50" s="94">
        <f t="shared" si="8"/>
        <v>366509.22</v>
      </c>
      <c r="M50" s="122" t="s">
        <v>251</v>
      </c>
      <c r="N50" s="180" t="e">
        <f>#REF!-H50</f>
        <v>#REF!</v>
      </c>
    </row>
    <row r="51" spans="1:14" s="114" customFormat="1">
      <c r="A51" s="96">
        <v>46</v>
      </c>
      <c r="B51" s="96" t="s">
        <v>694</v>
      </c>
      <c r="C51" s="11" t="s">
        <v>695</v>
      </c>
      <c r="D51" s="16">
        <v>330000</v>
      </c>
      <c r="E51" s="16">
        <v>43989</v>
      </c>
      <c r="F51" s="41">
        <f t="shared" si="9"/>
        <v>373989</v>
      </c>
      <c r="G51" s="159">
        <v>50</v>
      </c>
      <c r="H51" s="209">
        <v>7479.78</v>
      </c>
      <c r="I51" s="97">
        <v>53</v>
      </c>
      <c r="J51" s="97">
        <f t="shared" si="6"/>
        <v>-3</v>
      </c>
      <c r="K51" s="91">
        <f t="shared" si="7"/>
        <v>396428.33999999997</v>
      </c>
      <c r="L51" s="94">
        <f t="shared" si="8"/>
        <v>-22439.339999999967</v>
      </c>
      <c r="M51" s="11"/>
      <c r="N51" s="180" t="e">
        <f>#REF!-H51</f>
        <v>#REF!</v>
      </c>
    </row>
    <row r="52" spans="1:14" s="114" customFormat="1">
      <c r="A52" s="96">
        <v>47</v>
      </c>
      <c r="B52" s="122" t="s">
        <v>893</v>
      </c>
      <c r="C52" s="123" t="s">
        <v>915</v>
      </c>
      <c r="D52" s="19">
        <v>450000</v>
      </c>
      <c r="E52" s="19">
        <v>59985</v>
      </c>
      <c r="F52" s="19">
        <v>509985</v>
      </c>
      <c r="G52" s="159">
        <v>50</v>
      </c>
      <c r="H52" s="254">
        <v>10199.700000000001</v>
      </c>
      <c r="I52" s="188">
        <v>1</v>
      </c>
      <c r="J52" s="188">
        <f t="shared" si="6"/>
        <v>49</v>
      </c>
      <c r="K52" s="257">
        <f t="shared" si="7"/>
        <v>10199.700000000001</v>
      </c>
      <c r="L52" s="94">
        <f t="shared" si="8"/>
        <v>499785.3</v>
      </c>
      <c r="M52" s="122" t="s">
        <v>251</v>
      </c>
      <c r="N52" s="180" t="e">
        <f>#REF!-H52</f>
        <v>#REF!</v>
      </c>
    </row>
    <row r="53" spans="1:14" s="114" customFormat="1">
      <c r="A53" s="96">
        <v>48</v>
      </c>
      <c r="B53" s="96" t="s">
        <v>520</v>
      </c>
      <c r="C53" s="11" t="s">
        <v>521</v>
      </c>
      <c r="D53" s="19">
        <v>450000</v>
      </c>
      <c r="E53" s="19">
        <v>59985</v>
      </c>
      <c r="F53" s="19">
        <v>509985</v>
      </c>
      <c r="G53" s="159">
        <v>50</v>
      </c>
      <c r="H53" s="161">
        <v>10199.700000000001</v>
      </c>
      <c r="I53" s="97">
        <v>43</v>
      </c>
      <c r="J53" s="97">
        <f t="shared" si="6"/>
        <v>7</v>
      </c>
      <c r="K53" s="91">
        <f t="shared" si="7"/>
        <v>438587.10000000003</v>
      </c>
      <c r="L53" s="94">
        <f t="shared" si="8"/>
        <v>71397.899999999965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715</v>
      </c>
      <c r="C54" s="11" t="s">
        <v>716</v>
      </c>
      <c r="D54" s="19">
        <v>450000</v>
      </c>
      <c r="E54" s="19">
        <v>59985</v>
      </c>
      <c r="F54" s="19">
        <v>509985</v>
      </c>
      <c r="G54" s="159">
        <v>50</v>
      </c>
      <c r="H54" s="209">
        <v>10199.700000000001</v>
      </c>
      <c r="I54" s="101">
        <v>6</v>
      </c>
      <c r="J54" s="97">
        <f t="shared" si="6"/>
        <v>44</v>
      </c>
      <c r="K54" s="91">
        <f t="shared" si="7"/>
        <v>61198.200000000004</v>
      </c>
      <c r="L54" s="94">
        <f t="shared" si="8"/>
        <v>448786.8</v>
      </c>
      <c r="M54" s="218"/>
    </row>
    <row r="55" spans="1:14" s="114" customFormat="1">
      <c r="A55" s="96">
        <v>50</v>
      </c>
      <c r="B55" s="96" t="s">
        <v>700</v>
      </c>
      <c r="C55" s="11" t="s">
        <v>701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209">
        <v>11333</v>
      </c>
      <c r="I55" s="97">
        <v>53</v>
      </c>
      <c r="J55" s="97">
        <f t="shared" si="6"/>
        <v>-3</v>
      </c>
      <c r="K55" s="91">
        <f t="shared" si="7"/>
        <v>600649</v>
      </c>
      <c r="L55" s="94">
        <f t="shared" si="8"/>
        <v>-33999</v>
      </c>
      <c r="M55" s="11"/>
      <c r="N55" s="180" t="e">
        <f>#REF!-H55</f>
        <v>#REF!</v>
      </c>
    </row>
    <row r="56" spans="1:14" s="114" customFormat="1">
      <c r="A56" s="96">
        <v>51</v>
      </c>
      <c r="B56" s="96" t="s">
        <v>724</v>
      </c>
      <c r="C56" s="11" t="s">
        <v>725</v>
      </c>
      <c r="D56" s="19">
        <v>500000</v>
      </c>
      <c r="E56" s="19">
        <v>66650</v>
      </c>
      <c r="F56" s="19">
        <v>566650</v>
      </c>
      <c r="G56" s="159">
        <v>50</v>
      </c>
      <c r="H56" s="209">
        <v>11333</v>
      </c>
      <c r="I56" s="97">
        <v>17</v>
      </c>
      <c r="J56" s="97">
        <f t="shared" si="6"/>
        <v>33</v>
      </c>
      <c r="K56" s="91">
        <f t="shared" si="7"/>
        <v>192661</v>
      </c>
      <c r="L56" s="91">
        <f t="shared" si="8"/>
        <v>373989</v>
      </c>
      <c r="M56" s="122"/>
      <c r="N56" s="180" t="e">
        <f>#REF!-H56</f>
        <v>#REF!</v>
      </c>
    </row>
    <row r="57" spans="1:14" s="114" customFormat="1">
      <c r="A57" s="96">
        <v>52</v>
      </c>
      <c r="B57" s="96" t="s">
        <v>624</v>
      </c>
      <c r="C57" s="11" t="s">
        <v>625</v>
      </c>
      <c r="D57" s="16">
        <v>150000</v>
      </c>
      <c r="E57" s="16">
        <v>19995</v>
      </c>
      <c r="F57" s="41">
        <f>SUM(D57:E57)</f>
        <v>169995</v>
      </c>
      <c r="G57" s="159">
        <v>50</v>
      </c>
      <c r="H57" s="209">
        <v>3399.9</v>
      </c>
      <c r="I57" s="97">
        <v>41</v>
      </c>
      <c r="J57" s="97">
        <f t="shared" si="6"/>
        <v>9</v>
      </c>
      <c r="K57" s="91">
        <f t="shared" si="7"/>
        <v>139395.9</v>
      </c>
      <c r="L57" s="94">
        <f t="shared" si="8"/>
        <v>30599.100000000006</v>
      </c>
      <c r="M57" s="11"/>
      <c r="N57" s="180" t="e">
        <f>#REF!-H57</f>
        <v>#REF!</v>
      </c>
    </row>
    <row r="58" spans="1:14" s="114" customFormat="1">
      <c r="A58" s="96">
        <v>53</v>
      </c>
      <c r="B58" s="122" t="s">
        <v>887</v>
      </c>
      <c r="C58" s="123" t="s">
        <v>909</v>
      </c>
      <c r="D58" s="16">
        <v>500000</v>
      </c>
      <c r="E58" s="16">
        <v>66650</v>
      </c>
      <c r="F58" s="41">
        <f>SUM(D58:E58)</f>
        <v>566650</v>
      </c>
      <c r="G58" s="159">
        <v>50</v>
      </c>
      <c r="H58" s="254">
        <v>11333</v>
      </c>
      <c r="I58" s="188">
        <v>1</v>
      </c>
      <c r="J58" s="188">
        <f t="shared" si="6"/>
        <v>49</v>
      </c>
      <c r="K58" s="257">
        <f t="shared" si="7"/>
        <v>11333</v>
      </c>
      <c r="L58" s="94">
        <f t="shared" si="8"/>
        <v>555317</v>
      </c>
      <c r="M58" s="122" t="s">
        <v>251</v>
      </c>
      <c r="N58" s="180" t="e">
        <f>#REF!-H58</f>
        <v>#REF!</v>
      </c>
    </row>
    <row r="59" spans="1:14" s="114" customFormat="1">
      <c r="A59" s="96">
        <v>54</v>
      </c>
      <c r="B59" s="96" t="s">
        <v>592</v>
      </c>
      <c r="C59" s="11" t="s">
        <v>593</v>
      </c>
      <c r="D59" s="16">
        <v>500000</v>
      </c>
      <c r="E59" s="16">
        <v>53320</v>
      </c>
      <c r="F59" s="41">
        <f>SUM(D59:E59)</f>
        <v>553320</v>
      </c>
      <c r="G59" s="159">
        <v>40</v>
      </c>
      <c r="H59" s="209">
        <v>13833</v>
      </c>
      <c r="I59" s="97">
        <v>53</v>
      </c>
      <c r="J59" s="97">
        <f t="shared" si="6"/>
        <v>-13</v>
      </c>
      <c r="K59" s="91">
        <f t="shared" si="7"/>
        <v>733149</v>
      </c>
      <c r="L59" s="94">
        <f t="shared" si="8"/>
        <v>-179829</v>
      </c>
      <c r="M59" s="11"/>
      <c r="N59" s="180" t="e">
        <f>#REF!-H59</f>
        <v>#REF!</v>
      </c>
    </row>
    <row r="60" spans="1:14" s="114" customFormat="1">
      <c r="A60" s="96">
        <v>55</v>
      </c>
      <c r="B60" s="122" t="s">
        <v>894</v>
      </c>
      <c r="C60" s="123" t="s">
        <v>916</v>
      </c>
      <c r="D60" s="19">
        <v>450000</v>
      </c>
      <c r="E60" s="19">
        <v>59985</v>
      </c>
      <c r="F60" s="19">
        <v>509985</v>
      </c>
      <c r="G60" s="159">
        <v>50</v>
      </c>
      <c r="H60" s="254">
        <v>10199.700000000001</v>
      </c>
      <c r="I60" s="188">
        <v>1</v>
      </c>
      <c r="J60" s="188">
        <f t="shared" si="6"/>
        <v>49</v>
      </c>
      <c r="K60" s="257">
        <f t="shared" si="7"/>
        <v>10199.700000000001</v>
      </c>
      <c r="L60" s="94">
        <f t="shared" si="8"/>
        <v>499785.3</v>
      </c>
      <c r="M60" s="122" t="s">
        <v>251</v>
      </c>
      <c r="N60" s="180" t="e">
        <f>#REF!-H60</f>
        <v>#REF!</v>
      </c>
    </row>
    <row r="61" spans="1:14" s="114" customFormat="1">
      <c r="A61" s="96">
        <v>56</v>
      </c>
      <c r="B61" s="96" t="s">
        <v>619</v>
      </c>
      <c r="C61" s="11" t="s">
        <v>620</v>
      </c>
      <c r="D61" s="16">
        <v>500000</v>
      </c>
      <c r="E61" s="16">
        <v>66650</v>
      </c>
      <c r="F61" s="16">
        <v>566650</v>
      </c>
      <c r="G61" s="159">
        <v>50</v>
      </c>
      <c r="H61" s="209">
        <v>11333</v>
      </c>
      <c r="I61" s="97">
        <v>32</v>
      </c>
      <c r="J61" s="97">
        <f t="shared" si="6"/>
        <v>18</v>
      </c>
      <c r="K61" s="91">
        <f t="shared" si="7"/>
        <v>362656</v>
      </c>
      <c r="L61" s="94">
        <f t="shared" si="8"/>
        <v>203994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664</v>
      </c>
      <c r="C62" s="11" t="s">
        <v>665</v>
      </c>
      <c r="D62" s="19">
        <v>330000</v>
      </c>
      <c r="E62" s="19">
        <v>43989</v>
      </c>
      <c r="F62" s="19">
        <f>SUM(D62:E62)</f>
        <v>373989</v>
      </c>
      <c r="G62" s="159">
        <v>50</v>
      </c>
      <c r="H62" s="253">
        <v>7479.78</v>
      </c>
      <c r="I62" s="101">
        <v>6</v>
      </c>
      <c r="J62" s="97">
        <f t="shared" si="6"/>
        <v>44</v>
      </c>
      <c r="K62" s="91">
        <f t="shared" si="7"/>
        <v>44878.68</v>
      </c>
      <c r="L62" s="94">
        <f t="shared" si="8"/>
        <v>329110.32</v>
      </c>
      <c r="M62" s="218"/>
      <c r="N62" s="180" t="e">
        <f>#REF!-H62</f>
        <v>#REF!</v>
      </c>
    </row>
    <row r="63" spans="1:14" s="114" customFormat="1">
      <c r="A63" s="96">
        <v>58</v>
      </c>
      <c r="B63" s="122" t="s">
        <v>896</v>
      </c>
      <c r="C63" s="123" t="s">
        <v>919</v>
      </c>
      <c r="D63" s="19">
        <v>450000</v>
      </c>
      <c r="E63" s="19">
        <v>59985</v>
      </c>
      <c r="F63" s="19">
        <v>509985</v>
      </c>
      <c r="G63" s="159">
        <v>50</v>
      </c>
      <c r="H63" s="254">
        <v>10199.700000000001</v>
      </c>
      <c r="I63" s="188">
        <v>1</v>
      </c>
      <c r="J63" s="188">
        <f t="shared" si="6"/>
        <v>49</v>
      </c>
      <c r="K63" s="257">
        <f t="shared" si="7"/>
        <v>10199.700000000001</v>
      </c>
      <c r="L63" s="94">
        <f t="shared" si="8"/>
        <v>499785.3</v>
      </c>
      <c r="M63" s="122" t="s">
        <v>251</v>
      </c>
      <c r="N63" s="180" t="e">
        <f>#REF!-H63</f>
        <v>#REF!</v>
      </c>
    </row>
    <row r="64" spans="1:14" s="114" customFormat="1">
      <c r="A64" s="96">
        <v>59</v>
      </c>
      <c r="B64" s="96" t="s">
        <v>516</v>
      </c>
      <c r="C64" s="11" t="s">
        <v>517</v>
      </c>
      <c r="D64" s="16">
        <v>500000</v>
      </c>
      <c r="E64" s="16">
        <v>66650</v>
      </c>
      <c r="F64" s="41">
        <f>SUM(D64:E64)</f>
        <v>566650</v>
      </c>
      <c r="G64" s="159">
        <v>50</v>
      </c>
      <c r="H64" s="164">
        <v>11333</v>
      </c>
      <c r="I64" s="97">
        <v>32</v>
      </c>
      <c r="J64" s="97">
        <f t="shared" si="6"/>
        <v>18</v>
      </c>
      <c r="K64" s="91">
        <f t="shared" si="7"/>
        <v>362656</v>
      </c>
      <c r="L64" s="94">
        <f t="shared" si="8"/>
        <v>203994</v>
      </c>
      <c r="M64" s="11"/>
      <c r="N64" s="180" t="e">
        <f>#REF!-H64</f>
        <v>#REF!</v>
      </c>
    </row>
    <row r="65" spans="1:14" s="114" customFormat="1">
      <c r="A65" s="96">
        <v>60</v>
      </c>
      <c r="B65" s="96" t="s">
        <v>688</v>
      </c>
      <c r="C65" s="11" t="s">
        <v>689</v>
      </c>
      <c r="D65" s="16">
        <v>500000</v>
      </c>
      <c r="E65" s="16">
        <v>66650</v>
      </c>
      <c r="F65" s="41">
        <f>SUM(D65:E65)</f>
        <v>566650</v>
      </c>
      <c r="G65" s="159">
        <v>50</v>
      </c>
      <c r="H65" s="209">
        <v>11333</v>
      </c>
      <c r="I65" s="97">
        <v>37</v>
      </c>
      <c r="J65" s="97">
        <f t="shared" si="6"/>
        <v>13</v>
      </c>
      <c r="K65" s="91">
        <f t="shared" si="7"/>
        <v>419321</v>
      </c>
      <c r="L65" s="94">
        <f t="shared" si="8"/>
        <v>147329</v>
      </c>
      <c r="M65" s="11"/>
      <c r="N65" s="180" t="e">
        <f>#REF!-H65</f>
        <v>#REF!</v>
      </c>
    </row>
    <row r="66" spans="1:14" s="114" customFormat="1">
      <c r="A66" s="96">
        <v>61</v>
      </c>
      <c r="B66" s="96" t="s">
        <v>635</v>
      </c>
      <c r="C66" s="11" t="s">
        <v>636</v>
      </c>
      <c r="D66" s="16">
        <v>500000</v>
      </c>
      <c r="E66" s="16">
        <v>66650</v>
      </c>
      <c r="F66" s="41">
        <f>SUM(D66:E66)</f>
        <v>566650</v>
      </c>
      <c r="G66" s="159">
        <v>50</v>
      </c>
      <c r="H66" s="209">
        <v>11333</v>
      </c>
      <c r="I66" s="97">
        <v>53</v>
      </c>
      <c r="J66" s="97">
        <f t="shared" si="6"/>
        <v>-3</v>
      </c>
      <c r="K66" s="91">
        <f t="shared" si="7"/>
        <v>600649</v>
      </c>
      <c r="L66" s="94">
        <f t="shared" si="8"/>
        <v>-33999</v>
      </c>
      <c r="M66" s="11"/>
      <c r="N66" s="180" t="e">
        <f>#REF!-H66</f>
        <v>#REF!</v>
      </c>
    </row>
    <row r="67" spans="1:14" s="114" customFormat="1">
      <c r="A67" s="96">
        <v>62</v>
      </c>
      <c r="B67" s="96" t="s">
        <v>717</v>
      </c>
      <c r="C67" s="11" t="s">
        <v>718</v>
      </c>
      <c r="D67" s="16">
        <v>450000</v>
      </c>
      <c r="E67" s="16">
        <v>59985</v>
      </c>
      <c r="F67" s="16">
        <v>509985</v>
      </c>
      <c r="G67" s="159">
        <v>50</v>
      </c>
      <c r="H67" s="209">
        <v>10199.700000000001</v>
      </c>
      <c r="I67" s="97">
        <v>20</v>
      </c>
      <c r="J67" s="97">
        <f t="shared" si="6"/>
        <v>30</v>
      </c>
      <c r="K67" s="91">
        <f t="shared" si="7"/>
        <v>203994</v>
      </c>
      <c r="L67" s="94">
        <f t="shared" si="8"/>
        <v>305991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579</v>
      </c>
      <c r="C68" s="11" t="s">
        <v>580</v>
      </c>
      <c r="D68" s="16">
        <v>500000</v>
      </c>
      <c r="E68" s="16">
        <v>33325</v>
      </c>
      <c r="F68" s="41">
        <f>SUM(D68:E68)</f>
        <v>533325</v>
      </c>
      <c r="G68" s="159">
        <v>25</v>
      </c>
      <c r="H68" s="209">
        <v>21333</v>
      </c>
      <c r="I68" s="97">
        <v>22</v>
      </c>
      <c r="J68" s="97">
        <f t="shared" si="6"/>
        <v>3</v>
      </c>
      <c r="K68" s="91">
        <f t="shared" si="7"/>
        <v>469326</v>
      </c>
      <c r="L68" s="94">
        <f t="shared" si="8"/>
        <v>63999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698</v>
      </c>
      <c r="C69" s="11" t="s">
        <v>699</v>
      </c>
      <c r="D69" s="19">
        <v>500000</v>
      </c>
      <c r="E69" s="19">
        <v>66650</v>
      </c>
      <c r="F69" s="19">
        <v>566650</v>
      </c>
      <c r="G69" s="159">
        <v>50</v>
      </c>
      <c r="H69" s="209">
        <v>11333</v>
      </c>
      <c r="I69" s="97">
        <v>18</v>
      </c>
      <c r="J69" s="97">
        <f t="shared" si="6"/>
        <v>32</v>
      </c>
      <c r="K69" s="91">
        <f t="shared" si="7"/>
        <v>203994</v>
      </c>
      <c r="L69" s="91">
        <f t="shared" si="8"/>
        <v>362656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702</v>
      </c>
      <c r="C70" s="11" t="s">
        <v>703</v>
      </c>
      <c r="D70" s="16">
        <v>450000</v>
      </c>
      <c r="E70" s="16">
        <v>59985</v>
      </c>
      <c r="F70" s="16">
        <v>509985</v>
      </c>
      <c r="G70" s="159">
        <v>50</v>
      </c>
      <c r="H70" s="209">
        <v>10199.700000000001</v>
      </c>
      <c r="I70" s="97">
        <v>17</v>
      </c>
      <c r="J70" s="97">
        <f t="shared" ref="J70:J101" si="10">G70-I70</f>
        <v>33</v>
      </c>
      <c r="K70" s="91">
        <f t="shared" ref="K70:K106" si="11">I70*H70</f>
        <v>173394.90000000002</v>
      </c>
      <c r="L70" s="91">
        <f t="shared" ref="L70:L101" si="12">F70-K70</f>
        <v>336590.1</v>
      </c>
      <c r="M70" s="122"/>
      <c r="N70" s="180" t="e">
        <f>#REF!-H70</f>
        <v>#REF!</v>
      </c>
    </row>
    <row r="71" spans="1:14" s="114" customFormat="1">
      <c r="A71" s="96">
        <v>66</v>
      </c>
      <c r="B71" s="96" t="s">
        <v>676</v>
      </c>
      <c r="C71" s="11" t="s">
        <v>677</v>
      </c>
      <c r="D71" s="155">
        <v>150000</v>
      </c>
      <c r="E71" s="155">
        <v>19995</v>
      </c>
      <c r="F71" s="155">
        <f>SUM(D71:E71)</f>
        <v>169995</v>
      </c>
      <c r="G71" s="159">
        <v>50</v>
      </c>
      <c r="H71" s="209">
        <v>3399.9</v>
      </c>
      <c r="I71" s="97">
        <v>18</v>
      </c>
      <c r="J71" s="97">
        <f t="shared" si="10"/>
        <v>32</v>
      </c>
      <c r="K71" s="91">
        <f t="shared" si="11"/>
        <v>61198.200000000004</v>
      </c>
      <c r="L71" s="91">
        <f t="shared" si="12"/>
        <v>108796.79999999999</v>
      </c>
      <c r="M71" s="122"/>
      <c r="N71" s="180" t="e">
        <f>#REF!-H71</f>
        <v>#REF!</v>
      </c>
    </row>
    <row r="72" spans="1:14" s="114" customFormat="1">
      <c r="A72" s="96">
        <v>67</v>
      </c>
      <c r="B72" s="96" t="s">
        <v>891</v>
      </c>
      <c r="C72" s="11" t="s">
        <v>913</v>
      </c>
      <c r="D72" s="12">
        <v>450000</v>
      </c>
      <c r="E72" s="12">
        <v>59985</v>
      </c>
      <c r="F72" s="15">
        <f>SUM(D72:E72)</f>
        <v>509985</v>
      </c>
      <c r="G72" s="14">
        <v>50</v>
      </c>
      <c r="H72" s="203">
        <v>10199.9</v>
      </c>
      <c r="I72" s="14">
        <v>38</v>
      </c>
      <c r="J72" s="97">
        <f t="shared" si="10"/>
        <v>12</v>
      </c>
      <c r="K72" s="91">
        <f t="shared" si="11"/>
        <v>387596.2</v>
      </c>
      <c r="L72" s="15">
        <f t="shared" si="12"/>
        <v>122388.79999999999</v>
      </c>
      <c r="M72" s="8"/>
      <c r="N72" s="180" t="e">
        <f>#REF!-H72</f>
        <v>#REF!</v>
      </c>
    </row>
    <row r="73" spans="1:14" s="114" customFormat="1">
      <c r="A73" s="96">
        <v>68</v>
      </c>
      <c r="B73" s="96" t="s">
        <v>621</v>
      </c>
      <c r="C73" s="11" t="s">
        <v>622</v>
      </c>
      <c r="D73" s="16">
        <v>500000</v>
      </c>
      <c r="E73" s="16">
        <v>66650</v>
      </c>
      <c r="F73" s="41">
        <f>SUM(D73:E73)</f>
        <v>566650</v>
      </c>
      <c r="G73" s="159">
        <v>50</v>
      </c>
      <c r="H73" s="209">
        <v>11333</v>
      </c>
      <c r="I73" s="97">
        <v>41</v>
      </c>
      <c r="J73" s="97">
        <f t="shared" si="10"/>
        <v>9</v>
      </c>
      <c r="K73" s="91">
        <f t="shared" si="11"/>
        <v>464653</v>
      </c>
      <c r="L73" s="94">
        <f t="shared" si="12"/>
        <v>101997</v>
      </c>
      <c r="M73" s="11"/>
      <c r="N73" s="180" t="e">
        <f>#REF!-H73</f>
        <v>#REF!</v>
      </c>
    </row>
    <row r="74" spans="1:14" s="114" customFormat="1">
      <c r="A74" s="96">
        <v>69</v>
      </c>
      <c r="B74" s="96" t="s">
        <v>604</v>
      </c>
      <c r="C74" s="11" t="s">
        <v>605</v>
      </c>
      <c r="D74" s="16">
        <v>500000</v>
      </c>
      <c r="E74" s="16">
        <v>66650</v>
      </c>
      <c r="F74" s="41">
        <f>SUM(D74:E74)</f>
        <v>566650</v>
      </c>
      <c r="G74" s="159">
        <v>50</v>
      </c>
      <c r="H74" s="209">
        <v>11333</v>
      </c>
      <c r="I74" s="97">
        <v>53</v>
      </c>
      <c r="J74" s="97">
        <f t="shared" si="10"/>
        <v>-3</v>
      </c>
      <c r="K74" s="91">
        <f t="shared" si="11"/>
        <v>600649</v>
      </c>
      <c r="L74" s="94">
        <f t="shared" si="12"/>
        <v>-33999</v>
      </c>
      <c r="M74" s="11"/>
      <c r="N74" s="180" t="e">
        <f>#REF!-H74</f>
        <v>#REF!</v>
      </c>
    </row>
    <row r="75" spans="1:14" s="114" customFormat="1">
      <c r="A75" s="96">
        <v>70</v>
      </c>
      <c r="B75" s="96" t="s">
        <v>503</v>
      </c>
      <c r="C75" s="11" t="s">
        <v>504</v>
      </c>
      <c r="D75" s="16">
        <v>150000</v>
      </c>
      <c r="E75" s="16">
        <v>19995</v>
      </c>
      <c r="F75" s="41">
        <f>SUM(D75:E75)</f>
        <v>169995</v>
      </c>
      <c r="G75" s="159">
        <v>50</v>
      </c>
      <c r="H75" s="209">
        <v>3399.9</v>
      </c>
      <c r="I75" s="97">
        <v>41</v>
      </c>
      <c r="J75" s="97">
        <f t="shared" si="10"/>
        <v>9</v>
      </c>
      <c r="K75" s="91">
        <f t="shared" si="11"/>
        <v>139395.9</v>
      </c>
      <c r="L75" s="94">
        <f t="shared" si="12"/>
        <v>30599.100000000006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522</v>
      </c>
      <c r="C76" s="11" t="s">
        <v>523</v>
      </c>
      <c r="D76" s="19">
        <v>500000</v>
      </c>
      <c r="E76" s="19">
        <v>66650</v>
      </c>
      <c r="F76" s="19">
        <v>566650</v>
      </c>
      <c r="G76" s="159">
        <v>50</v>
      </c>
      <c r="H76" s="209">
        <v>11333</v>
      </c>
      <c r="I76" s="97">
        <v>18</v>
      </c>
      <c r="J76" s="97">
        <f t="shared" si="10"/>
        <v>32</v>
      </c>
      <c r="K76" s="91">
        <f t="shared" si="11"/>
        <v>203994</v>
      </c>
      <c r="L76" s="91">
        <f t="shared" si="12"/>
        <v>362656</v>
      </c>
      <c r="M76" s="122"/>
      <c r="N76" s="180" t="e">
        <f>#REF!-H76</f>
        <v>#REF!</v>
      </c>
    </row>
    <row r="77" spans="1:14" s="114" customFormat="1">
      <c r="A77" s="96">
        <v>72</v>
      </c>
      <c r="B77" s="96" t="s">
        <v>666</v>
      </c>
      <c r="C77" s="11" t="s">
        <v>667</v>
      </c>
      <c r="D77" s="19">
        <v>150000</v>
      </c>
      <c r="E77" s="19">
        <v>19995</v>
      </c>
      <c r="F77" s="19">
        <f>SUM(D77:E77)</f>
        <v>169995</v>
      </c>
      <c r="G77" s="159">
        <v>50</v>
      </c>
      <c r="H77" s="209">
        <v>3339.9</v>
      </c>
      <c r="I77" s="188">
        <v>4</v>
      </c>
      <c r="J77" s="97">
        <f t="shared" si="10"/>
        <v>46</v>
      </c>
      <c r="K77" s="91">
        <f t="shared" si="11"/>
        <v>13359.6</v>
      </c>
      <c r="L77" s="94">
        <f t="shared" si="12"/>
        <v>156635.4</v>
      </c>
      <c r="M77" s="214"/>
      <c r="N77" s="180" t="e">
        <f>#REF!-H77</f>
        <v>#REF!</v>
      </c>
    </row>
    <row r="78" spans="1:14" s="114" customFormat="1">
      <c r="A78" s="96">
        <v>73</v>
      </c>
      <c r="B78" s="122" t="s">
        <v>902</v>
      </c>
      <c r="C78" s="123" t="s">
        <v>926</v>
      </c>
      <c r="D78" s="19">
        <v>150000</v>
      </c>
      <c r="E78" s="19">
        <v>19995</v>
      </c>
      <c r="F78" s="19">
        <f>SUM(D78:E78)</f>
        <v>169995</v>
      </c>
      <c r="G78" s="159">
        <v>50</v>
      </c>
      <c r="H78" s="254">
        <v>3399.9</v>
      </c>
      <c r="I78" s="188">
        <v>1</v>
      </c>
      <c r="J78" s="188">
        <f t="shared" si="10"/>
        <v>49</v>
      </c>
      <c r="K78" s="257">
        <f t="shared" si="11"/>
        <v>3399.9</v>
      </c>
      <c r="L78" s="94">
        <f t="shared" si="12"/>
        <v>166595.1</v>
      </c>
      <c r="M78" s="122"/>
      <c r="N78" s="180" t="e">
        <f>#REF!-H78</f>
        <v>#REF!</v>
      </c>
    </row>
    <row r="79" spans="1:14" s="114" customFormat="1">
      <c r="A79" s="96">
        <v>74</v>
      </c>
      <c r="B79" s="96" t="s">
        <v>686</v>
      </c>
      <c r="C79" s="11" t="s">
        <v>687</v>
      </c>
      <c r="D79" s="16">
        <v>500000</v>
      </c>
      <c r="E79" s="16">
        <v>66650</v>
      </c>
      <c r="F79" s="41">
        <f>SUM(D79:E79)</f>
        <v>566650</v>
      </c>
      <c r="G79" s="159">
        <v>50</v>
      </c>
      <c r="H79" s="209">
        <v>11333</v>
      </c>
      <c r="I79" s="97">
        <v>31</v>
      </c>
      <c r="J79" s="97">
        <f t="shared" si="10"/>
        <v>19</v>
      </c>
      <c r="K79" s="91">
        <f t="shared" si="11"/>
        <v>351323</v>
      </c>
      <c r="L79" s="94">
        <f t="shared" si="12"/>
        <v>215327</v>
      </c>
      <c r="M79" s="11"/>
      <c r="N79" s="180" t="e">
        <f>#REF!-H79</f>
        <v>#REF!</v>
      </c>
    </row>
    <row r="80" spans="1:14" s="114" customFormat="1">
      <c r="A80" s="96">
        <v>75</v>
      </c>
      <c r="B80" s="122" t="s">
        <v>890</v>
      </c>
      <c r="C80" s="123" t="s">
        <v>912</v>
      </c>
      <c r="D80" s="16">
        <v>500000</v>
      </c>
      <c r="E80" s="16">
        <v>66650</v>
      </c>
      <c r="F80" s="41">
        <f>SUM(D80:E80)</f>
        <v>566650</v>
      </c>
      <c r="G80" s="159">
        <v>50</v>
      </c>
      <c r="H80" s="254">
        <v>11333</v>
      </c>
      <c r="I80" s="188">
        <v>1</v>
      </c>
      <c r="J80" s="188">
        <f t="shared" si="10"/>
        <v>49</v>
      </c>
      <c r="K80" s="257">
        <f t="shared" si="11"/>
        <v>11333</v>
      </c>
      <c r="L80" s="94">
        <f t="shared" si="12"/>
        <v>555317</v>
      </c>
      <c r="M80" s="122"/>
      <c r="N80" s="180" t="e">
        <f>#REF!-H80</f>
        <v>#REF!</v>
      </c>
    </row>
    <row r="81" spans="1:14" s="114" customFormat="1">
      <c r="A81" s="96">
        <v>76</v>
      </c>
      <c r="B81" s="96" t="s">
        <v>530</v>
      </c>
      <c r="C81" s="11" t="s">
        <v>531</v>
      </c>
      <c r="D81" s="16">
        <v>500000</v>
      </c>
      <c r="E81" s="16">
        <v>66650</v>
      </c>
      <c r="F81" s="16">
        <v>566650</v>
      </c>
      <c r="G81" s="159">
        <v>50</v>
      </c>
      <c r="H81" s="209">
        <v>11333</v>
      </c>
      <c r="I81" s="97">
        <v>31</v>
      </c>
      <c r="J81" s="97">
        <f t="shared" si="10"/>
        <v>19</v>
      </c>
      <c r="K81" s="91">
        <f t="shared" si="11"/>
        <v>351323</v>
      </c>
      <c r="L81" s="94">
        <f t="shared" si="12"/>
        <v>215327</v>
      </c>
      <c r="M81" s="11"/>
      <c r="N81" s="180" t="e">
        <f>#REF!-H81</f>
        <v>#REF!</v>
      </c>
    </row>
    <row r="82" spans="1:14" s="114" customFormat="1">
      <c r="A82" s="96">
        <v>77</v>
      </c>
      <c r="B82" s="96" t="s">
        <v>544</v>
      </c>
      <c r="C82" s="11" t="s">
        <v>545</v>
      </c>
      <c r="D82" s="16">
        <v>450000</v>
      </c>
      <c r="E82" s="16">
        <v>59985</v>
      </c>
      <c r="F82" s="16">
        <v>509985</v>
      </c>
      <c r="G82" s="159">
        <v>50</v>
      </c>
      <c r="H82" s="209">
        <v>10199.700000000001</v>
      </c>
      <c r="I82" s="97">
        <v>25</v>
      </c>
      <c r="J82" s="97">
        <f t="shared" si="10"/>
        <v>25</v>
      </c>
      <c r="K82" s="91">
        <f t="shared" si="11"/>
        <v>254992.50000000003</v>
      </c>
      <c r="L82" s="94">
        <f t="shared" si="12"/>
        <v>254992.49999999997</v>
      </c>
      <c r="M82" s="122"/>
      <c r="N82" s="180" t="e">
        <f>#REF!-H82</f>
        <v>#REF!</v>
      </c>
    </row>
    <row r="83" spans="1:14" s="114" customFormat="1">
      <c r="A83" s="96">
        <v>78</v>
      </c>
      <c r="B83" s="96" t="s">
        <v>651</v>
      </c>
      <c r="C83" s="11" t="s">
        <v>652</v>
      </c>
      <c r="D83" s="16">
        <v>450000</v>
      </c>
      <c r="E83" s="16">
        <v>59985</v>
      </c>
      <c r="F83" s="41">
        <f>SUM(D83:E83)</f>
        <v>509985</v>
      </c>
      <c r="G83" s="159">
        <v>50</v>
      </c>
      <c r="H83" s="209">
        <v>10199.700000000001</v>
      </c>
      <c r="I83" s="97">
        <v>37</v>
      </c>
      <c r="J83" s="97">
        <f t="shared" si="10"/>
        <v>13</v>
      </c>
      <c r="K83" s="91">
        <f t="shared" si="11"/>
        <v>377388.9</v>
      </c>
      <c r="L83" s="94">
        <f t="shared" si="12"/>
        <v>132596.09999999998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555</v>
      </c>
      <c r="C84" s="11" t="s">
        <v>556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09">
        <v>11333</v>
      </c>
      <c r="I84" s="97">
        <v>32</v>
      </c>
      <c r="J84" s="97">
        <f t="shared" si="10"/>
        <v>18</v>
      </c>
      <c r="K84" s="91">
        <f t="shared" si="11"/>
        <v>362656</v>
      </c>
      <c r="L84" s="94">
        <f t="shared" si="12"/>
        <v>203994</v>
      </c>
      <c r="M84" s="11"/>
      <c r="N84" s="180" t="e">
        <f>#REF!-H84</f>
        <v>#REF!</v>
      </c>
    </row>
    <row r="85" spans="1:14" s="114" customFormat="1">
      <c r="A85" s="96">
        <v>80</v>
      </c>
      <c r="B85" s="96" t="s">
        <v>886</v>
      </c>
      <c r="C85" s="11" t="s">
        <v>908</v>
      </c>
      <c r="D85" s="16">
        <v>500000</v>
      </c>
      <c r="E85" s="16">
        <v>66650</v>
      </c>
      <c r="F85" s="41">
        <f>SUM(D85:E85)</f>
        <v>566650</v>
      </c>
      <c r="G85" s="159">
        <v>50</v>
      </c>
      <c r="H85" s="209">
        <v>11333</v>
      </c>
      <c r="I85" s="97">
        <v>32</v>
      </c>
      <c r="J85" s="97">
        <f t="shared" si="10"/>
        <v>18</v>
      </c>
      <c r="K85" s="91">
        <f t="shared" si="11"/>
        <v>362656</v>
      </c>
      <c r="L85" s="94">
        <f t="shared" si="12"/>
        <v>203994</v>
      </c>
      <c r="M85" s="11"/>
      <c r="N85" s="180" t="e">
        <f>#REF!-H85</f>
        <v>#REF!</v>
      </c>
    </row>
    <row r="86" spans="1:14" s="114" customFormat="1">
      <c r="A86" s="96">
        <v>81</v>
      </c>
      <c r="B86" s="11" t="s">
        <v>707</v>
      </c>
      <c r="C86" s="11" t="s">
        <v>708</v>
      </c>
      <c r="D86" s="16">
        <v>500000</v>
      </c>
      <c r="E86" s="16">
        <v>66650</v>
      </c>
      <c r="F86" s="16">
        <v>566650</v>
      </c>
      <c r="G86" s="159">
        <v>50</v>
      </c>
      <c r="H86" s="254">
        <v>11330</v>
      </c>
      <c r="I86" s="96">
        <v>31</v>
      </c>
      <c r="J86" s="97">
        <f t="shared" si="10"/>
        <v>19</v>
      </c>
      <c r="K86" s="91">
        <f t="shared" si="11"/>
        <v>351230</v>
      </c>
      <c r="L86" s="94">
        <f t="shared" si="12"/>
        <v>215420</v>
      </c>
      <c r="M86" s="11"/>
    </row>
    <row r="87" spans="1:14" s="114" customFormat="1">
      <c r="A87" s="96">
        <v>82</v>
      </c>
      <c r="B87" s="96" t="s">
        <v>598</v>
      </c>
      <c r="C87" s="11" t="s">
        <v>599</v>
      </c>
      <c r="D87" s="16">
        <v>500000</v>
      </c>
      <c r="E87" s="16">
        <v>66650</v>
      </c>
      <c r="F87" s="41">
        <f>SUM(D87:E87)</f>
        <v>566650</v>
      </c>
      <c r="G87" s="159">
        <v>50</v>
      </c>
      <c r="H87" s="209">
        <v>11333</v>
      </c>
      <c r="I87" s="97">
        <v>53</v>
      </c>
      <c r="J87" s="97">
        <f t="shared" si="10"/>
        <v>-3</v>
      </c>
      <c r="K87" s="91">
        <f t="shared" si="11"/>
        <v>600649</v>
      </c>
      <c r="L87" s="94">
        <f t="shared" si="12"/>
        <v>-33999</v>
      </c>
      <c r="M87" s="11"/>
      <c r="N87" s="180" t="e">
        <f>#REF!-H87</f>
        <v>#REF!</v>
      </c>
    </row>
    <row r="88" spans="1:14" s="114" customFormat="1">
      <c r="A88" s="96">
        <v>83</v>
      </c>
      <c r="B88" s="96" t="s">
        <v>551</v>
      </c>
      <c r="C88" s="11" t="s">
        <v>552</v>
      </c>
      <c r="D88" s="19">
        <v>500000</v>
      </c>
      <c r="E88" s="19">
        <v>66650</v>
      </c>
      <c r="F88" s="19">
        <v>566650</v>
      </c>
      <c r="G88" s="159">
        <v>50</v>
      </c>
      <c r="H88" s="209">
        <v>11333</v>
      </c>
      <c r="I88" s="97">
        <v>18</v>
      </c>
      <c r="J88" s="97">
        <f t="shared" si="10"/>
        <v>32</v>
      </c>
      <c r="K88" s="91">
        <f t="shared" si="11"/>
        <v>203994</v>
      </c>
      <c r="L88" s="91">
        <f t="shared" si="12"/>
        <v>362656</v>
      </c>
      <c r="M88" s="11"/>
      <c r="N88" s="180" t="e">
        <f>#REF!-H88</f>
        <v>#REF!</v>
      </c>
    </row>
    <row r="89" spans="1:14" s="114" customFormat="1">
      <c r="A89" s="96">
        <v>84</v>
      </c>
      <c r="B89" s="96" t="s">
        <v>569</v>
      </c>
      <c r="C89" s="11" t="s">
        <v>570</v>
      </c>
      <c r="D89" s="16">
        <v>500000</v>
      </c>
      <c r="E89" s="16">
        <v>66650</v>
      </c>
      <c r="F89" s="41">
        <f>SUM(D89:E89)</f>
        <v>566650</v>
      </c>
      <c r="G89" s="159">
        <v>50</v>
      </c>
      <c r="H89" s="209">
        <v>11333</v>
      </c>
      <c r="I89" s="97">
        <v>32</v>
      </c>
      <c r="J89" s="97">
        <f t="shared" si="10"/>
        <v>18</v>
      </c>
      <c r="K89" s="91">
        <f t="shared" si="11"/>
        <v>362656</v>
      </c>
      <c r="L89" s="94">
        <f t="shared" si="12"/>
        <v>203994</v>
      </c>
      <c r="M89" s="11"/>
    </row>
    <row r="90" spans="1:14" s="114" customFormat="1">
      <c r="A90" s="96">
        <v>85</v>
      </c>
      <c r="B90" s="96" t="s">
        <v>518</v>
      </c>
      <c r="C90" s="11" t="s">
        <v>519</v>
      </c>
      <c r="D90" s="19">
        <v>500000</v>
      </c>
      <c r="E90" s="19">
        <v>66650</v>
      </c>
      <c r="F90" s="19">
        <v>566650</v>
      </c>
      <c r="G90" s="159">
        <v>50</v>
      </c>
      <c r="H90" s="209">
        <v>11333</v>
      </c>
      <c r="I90" s="97">
        <v>18</v>
      </c>
      <c r="J90" s="97">
        <f t="shared" si="10"/>
        <v>32</v>
      </c>
      <c r="K90" s="91">
        <f t="shared" si="11"/>
        <v>203994</v>
      </c>
      <c r="L90" s="91">
        <f t="shared" si="12"/>
        <v>362656</v>
      </c>
      <c r="M90" s="122"/>
      <c r="N90" s="180" t="e">
        <f>#REF!-H90</f>
        <v>#REF!</v>
      </c>
    </row>
    <row r="91" spans="1:14" s="114" customFormat="1">
      <c r="A91" s="96">
        <v>86</v>
      </c>
      <c r="B91" s="96" t="s">
        <v>655</v>
      </c>
      <c r="C91" s="11" t="s">
        <v>656</v>
      </c>
      <c r="D91" s="16">
        <v>450000</v>
      </c>
      <c r="E91" s="16">
        <v>59985</v>
      </c>
      <c r="F91" s="41">
        <f>SUM(D91:E91)</f>
        <v>509985</v>
      </c>
      <c r="G91" s="159">
        <v>50</v>
      </c>
      <c r="H91" s="209">
        <v>10199.700000000001</v>
      </c>
      <c r="I91" s="97">
        <v>32</v>
      </c>
      <c r="J91" s="97">
        <f t="shared" si="10"/>
        <v>18</v>
      </c>
      <c r="K91" s="91">
        <f t="shared" si="11"/>
        <v>326390.40000000002</v>
      </c>
      <c r="L91" s="94">
        <f t="shared" si="12"/>
        <v>183594.59999999998</v>
      </c>
      <c r="M91" s="11"/>
      <c r="N91" s="180" t="e">
        <f>#REF!-H91</f>
        <v>#REF!</v>
      </c>
    </row>
    <row r="92" spans="1:14" s="114" customFormat="1">
      <c r="A92" s="96">
        <v>87</v>
      </c>
      <c r="B92" s="96" t="s">
        <v>553</v>
      </c>
      <c r="C92" s="11" t="s">
        <v>554</v>
      </c>
      <c r="D92" s="16">
        <v>500000</v>
      </c>
      <c r="E92" s="16">
        <v>66650</v>
      </c>
      <c r="F92" s="41">
        <f>SUM(D92:E92)</f>
        <v>566650</v>
      </c>
      <c r="G92" s="159">
        <v>50</v>
      </c>
      <c r="H92" s="209">
        <v>11333</v>
      </c>
      <c r="I92" s="97">
        <v>53</v>
      </c>
      <c r="J92" s="97">
        <f t="shared" si="10"/>
        <v>-3</v>
      </c>
      <c r="K92" s="91">
        <f t="shared" si="11"/>
        <v>600649</v>
      </c>
      <c r="L92" s="94">
        <f t="shared" si="12"/>
        <v>-33999</v>
      </c>
      <c r="M92" s="11"/>
      <c r="N92" s="180" t="e">
        <f>#REF!-H92</f>
        <v>#REF!</v>
      </c>
    </row>
    <row r="93" spans="1:14" s="114" customFormat="1">
      <c r="A93" s="96">
        <v>88</v>
      </c>
      <c r="B93" s="96" t="s">
        <v>536</v>
      </c>
      <c r="C93" s="11" t="s">
        <v>537</v>
      </c>
      <c r="D93" s="12">
        <v>500000</v>
      </c>
      <c r="E93" s="12">
        <v>66650</v>
      </c>
      <c r="F93" s="15">
        <f>SUM(D93:E93)</f>
        <v>566650</v>
      </c>
      <c r="G93" s="14">
        <v>50</v>
      </c>
      <c r="H93" s="237">
        <v>11333</v>
      </c>
      <c r="I93" s="14">
        <v>37</v>
      </c>
      <c r="J93" s="97">
        <f t="shared" si="10"/>
        <v>13</v>
      </c>
      <c r="K93" s="91">
        <f t="shared" si="11"/>
        <v>419321</v>
      </c>
      <c r="L93" s="15">
        <f t="shared" si="12"/>
        <v>147329</v>
      </c>
      <c r="M93" s="8"/>
      <c r="N93" s="180" t="e">
        <f>#REF!-H93</f>
        <v>#REF!</v>
      </c>
    </row>
    <row r="94" spans="1:14" s="114" customFormat="1">
      <c r="A94" s="96">
        <v>89</v>
      </c>
      <c r="B94" s="96" t="s">
        <v>883</v>
      </c>
      <c r="C94" s="11" t="s">
        <v>905</v>
      </c>
      <c r="D94" s="16">
        <v>500000</v>
      </c>
      <c r="E94" s="16">
        <v>66650</v>
      </c>
      <c r="F94" s="41">
        <f>SUM(D94:E94)</f>
        <v>566650</v>
      </c>
      <c r="G94" s="159">
        <v>50</v>
      </c>
      <c r="H94" s="209">
        <v>11333</v>
      </c>
      <c r="I94" s="97">
        <v>40</v>
      </c>
      <c r="J94" s="97">
        <f t="shared" si="10"/>
        <v>10</v>
      </c>
      <c r="K94" s="91">
        <f t="shared" si="11"/>
        <v>453320</v>
      </c>
      <c r="L94" s="94">
        <f t="shared" si="12"/>
        <v>113330</v>
      </c>
      <c r="M94" s="11"/>
      <c r="N94" s="180" t="e">
        <f>#REF!-H94</f>
        <v>#REF!</v>
      </c>
    </row>
    <row r="95" spans="1:14" s="114" customFormat="1">
      <c r="A95" s="96">
        <v>90</v>
      </c>
      <c r="B95" s="96" t="s">
        <v>596</v>
      </c>
      <c r="C95" s="11" t="s">
        <v>597</v>
      </c>
      <c r="D95" s="19">
        <v>500000</v>
      </c>
      <c r="E95" s="19">
        <v>66650</v>
      </c>
      <c r="F95" s="19">
        <v>566650</v>
      </c>
      <c r="G95" s="159">
        <v>50</v>
      </c>
      <c r="H95" s="209">
        <v>11333</v>
      </c>
      <c r="I95" s="97">
        <v>18</v>
      </c>
      <c r="J95" s="97">
        <f t="shared" si="10"/>
        <v>32</v>
      </c>
      <c r="K95" s="91">
        <f t="shared" si="11"/>
        <v>203994</v>
      </c>
      <c r="L95" s="91">
        <f t="shared" si="12"/>
        <v>362656</v>
      </c>
      <c r="M95" s="122"/>
      <c r="N95" s="180" t="e">
        <f>#REF!-H95</f>
        <v>#REF!</v>
      </c>
    </row>
    <row r="96" spans="1:14" s="114" customFormat="1">
      <c r="A96" s="96">
        <v>91</v>
      </c>
      <c r="B96" s="122" t="s">
        <v>885</v>
      </c>
      <c r="C96" s="123" t="s">
        <v>907</v>
      </c>
      <c r="D96" s="16">
        <v>500000</v>
      </c>
      <c r="E96" s="16">
        <v>66650</v>
      </c>
      <c r="F96" s="41">
        <f>SUM(D96:E96)</f>
        <v>566650</v>
      </c>
      <c r="G96" s="159">
        <v>50</v>
      </c>
      <c r="H96" s="254">
        <v>11333</v>
      </c>
      <c r="I96" s="188">
        <v>1</v>
      </c>
      <c r="J96" s="188">
        <f t="shared" si="10"/>
        <v>49</v>
      </c>
      <c r="K96" s="257">
        <f t="shared" si="11"/>
        <v>11333</v>
      </c>
      <c r="L96" s="94">
        <f t="shared" si="12"/>
        <v>555317</v>
      </c>
      <c r="M96" s="122"/>
      <c r="N96" s="180" t="e">
        <f>#REF!-H96</f>
        <v>#REF!</v>
      </c>
    </row>
    <row r="97" spans="1:14" s="114" customFormat="1">
      <c r="A97" s="96">
        <v>92</v>
      </c>
      <c r="B97" s="96" t="s">
        <v>607</v>
      </c>
      <c r="C97" s="11" t="s">
        <v>608</v>
      </c>
      <c r="D97" s="16">
        <v>450000</v>
      </c>
      <c r="E97" s="16">
        <v>59985</v>
      </c>
      <c r="F97" s="41">
        <f>SUM(D97:E97)</f>
        <v>509985</v>
      </c>
      <c r="G97" s="159">
        <v>50</v>
      </c>
      <c r="H97" s="209">
        <v>10199.700000000001</v>
      </c>
      <c r="I97" s="159">
        <v>41</v>
      </c>
      <c r="J97" s="97">
        <f t="shared" si="10"/>
        <v>9</v>
      </c>
      <c r="K97" s="91">
        <f t="shared" si="11"/>
        <v>418187.7</v>
      </c>
      <c r="L97" s="94">
        <f t="shared" si="12"/>
        <v>91797.299999999988</v>
      </c>
      <c r="M97" s="11"/>
      <c r="N97" s="180" t="e">
        <f>#REF!-H97</f>
        <v>#REF!</v>
      </c>
    </row>
    <row r="98" spans="1:14" s="114" customFormat="1">
      <c r="A98" s="96">
        <v>93</v>
      </c>
      <c r="B98" s="8" t="s">
        <v>868</v>
      </c>
      <c r="C98" s="11" t="s">
        <v>925</v>
      </c>
      <c r="D98" s="19">
        <v>150000</v>
      </c>
      <c r="E98" s="19">
        <v>19995</v>
      </c>
      <c r="F98" s="19">
        <f>SUM(D98:E98)</f>
        <v>169995</v>
      </c>
      <c r="G98" s="159">
        <v>50</v>
      </c>
      <c r="H98" s="254">
        <v>3399.9</v>
      </c>
      <c r="I98" s="159">
        <v>2</v>
      </c>
      <c r="J98" s="97">
        <f t="shared" si="10"/>
        <v>48</v>
      </c>
      <c r="K98" s="91">
        <f t="shared" si="11"/>
        <v>6799.8</v>
      </c>
      <c r="L98" s="94">
        <f t="shared" si="12"/>
        <v>163195.20000000001</v>
      </c>
      <c r="M98" s="11"/>
      <c r="N98" s="180" t="e">
        <f>#REF!-H98</f>
        <v>#REF!</v>
      </c>
    </row>
    <row r="99" spans="1:14" s="114" customFormat="1">
      <c r="A99" s="96">
        <v>94</v>
      </c>
      <c r="B99" s="96" t="s">
        <v>642</v>
      </c>
      <c r="C99" s="11" t="s">
        <v>643</v>
      </c>
      <c r="D99" s="16">
        <v>500000</v>
      </c>
      <c r="E99" s="16">
        <v>66650</v>
      </c>
      <c r="F99" s="16">
        <v>566650</v>
      </c>
      <c r="G99" s="159">
        <v>50</v>
      </c>
      <c r="H99" s="253">
        <v>11333</v>
      </c>
      <c r="I99" s="101">
        <v>6</v>
      </c>
      <c r="J99" s="97">
        <f t="shared" si="10"/>
        <v>44</v>
      </c>
      <c r="K99" s="91">
        <f t="shared" si="11"/>
        <v>67998</v>
      </c>
      <c r="L99" s="94">
        <f t="shared" si="12"/>
        <v>498652</v>
      </c>
      <c r="M99" s="218"/>
      <c r="N99" s="180" t="e">
        <f>#REF!-H99</f>
        <v>#REF!</v>
      </c>
    </row>
    <row r="100" spans="1:14" s="114" customFormat="1">
      <c r="A100" s="96">
        <v>95</v>
      </c>
      <c r="B100" s="96" t="s">
        <v>661</v>
      </c>
      <c r="C100" s="11" t="s">
        <v>662</v>
      </c>
      <c r="D100" s="19">
        <v>500000</v>
      </c>
      <c r="E100" s="19">
        <v>66650</v>
      </c>
      <c r="F100" s="19">
        <v>566650</v>
      </c>
      <c r="G100" s="159">
        <v>50</v>
      </c>
      <c r="H100" s="209">
        <v>11333</v>
      </c>
      <c r="I100" s="97">
        <v>17</v>
      </c>
      <c r="J100" s="97">
        <f t="shared" si="10"/>
        <v>33</v>
      </c>
      <c r="K100" s="91">
        <f t="shared" si="11"/>
        <v>192661</v>
      </c>
      <c r="L100" s="91">
        <f t="shared" si="12"/>
        <v>373989</v>
      </c>
      <c r="M100" s="11"/>
      <c r="N100" s="180" t="e">
        <f>#REF!-H100</f>
        <v>#REF!</v>
      </c>
    </row>
    <row r="101" spans="1:14" s="114" customFormat="1">
      <c r="A101" s="96">
        <v>96</v>
      </c>
      <c r="B101" s="96" t="s">
        <v>719</v>
      </c>
      <c r="C101" s="11" t="s">
        <v>720</v>
      </c>
      <c r="D101" s="16">
        <v>500000</v>
      </c>
      <c r="E101" s="16">
        <v>66650</v>
      </c>
      <c r="F101" s="16">
        <v>566650</v>
      </c>
      <c r="G101" s="159">
        <v>50</v>
      </c>
      <c r="H101" s="209">
        <v>11333</v>
      </c>
      <c r="I101" s="101">
        <v>6</v>
      </c>
      <c r="J101" s="97">
        <f t="shared" si="10"/>
        <v>44</v>
      </c>
      <c r="K101" s="91">
        <f t="shared" si="11"/>
        <v>67998</v>
      </c>
      <c r="L101" s="94">
        <f t="shared" si="12"/>
        <v>498652</v>
      </c>
      <c r="M101" s="218"/>
      <c r="N101" s="180" t="e">
        <f>#REF!-H101</f>
        <v>#REF!</v>
      </c>
    </row>
    <row r="102" spans="1:14" s="114" customFormat="1">
      <c r="A102" s="96">
        <v>97</v>
      </c>
      <c r="B102" s="96" t="s">
        <v>668</v>
      </c>
      <c r="C102" s="11" t="s">
        <v>669</v>
      </c>
      <c r="D102" s="16">
        <v>450000</v>
      </c>
      <c r="E102" s="16">
        <v>59985</v>
      </c>
      <c r="F102" s="16">
        <v>509985</v>
      </c>
      <c r="G102" s="159">
        <v>50</v>
      </c>
      <c r="H102" s="209">
        <v>10199.700000000001</v>
      </c>
      <c r="I102" s="97">
        <v>17</v>
      </c>
      <c r="J102" s="97">
        <f t="shared" ref="J102:J133" si="13">G102-I102</f>
        <v>33</v>
      </c>
      <c r="K102" s="91">
        <f t="shared" si="11"/>
        <v>173394.90000000002</v>
      </c>
      <c r="L102" s="91">
        <f t="shared" ref="L102:L133" si="14">F102-K102</f>
        <v>336590.1</v>
      </c>
      <c r="M102" s="122"/>
      <c r="N102" s="180" t="e">
        <f>#REF!-H102</f>
        <v>#REF!</v>
      </c>
    </row>
    <row r="103" spans="1:14" s="114" customFormat="1">
      <c r="A103" s="96">
        <v>98</v>
      </c>
      <c r="B103" s="96" t="s">
        <v>594</v>
      </c>
      <c r="C103" s="11" t="s">
        <v>595</v>
      </c>
      <c r="D103" s="16">
        <v>500000</v>
      </c>
      <c r="E103" s="16">
        <v>66650</v>
      </c>
      <c r="F103" s="41">
        <f>SUM(D103:E103)</f>
        <v>566650</v>
      </c>
      <c r="G103" s="159">
        <v>50</v>
      </c>
      <c r="H103" s="209">
        <v>11333</v>
      </c>
      <c r="I103" s="97">
        <v>32</v>
      </c>
      <c r="J103" s="97">
        <f t="shared" si="13"/>
        <v>18</v>
      </c>
      <c r="K103" s="91">
        <f t="shared" si="11"/>
        <v>362656</v>
      </c>
      <c r="L103" s="94">
        <f t="shared" si="14"/>
        <v>203994</v>
      </c>
      <c r="M103" s="11"/>
      <c r="N103" s="180" t="e">
        <f>#REF!-H103</f>
        <v>#REF!</v>
      </c>
    </row>
    <row r="104" spans="1:14" s="114" customFormat="1">
      <c r="A104" s="96">
        <v>99</v>
      </c>
      <c r="B104" s="122" t="s">
        <v>892</v>
      </c>
      <c r="C104" s="123" t="s">
        <v>914</v>
      </c>
      <c r="D104" s="19">
        <v>450000</v>
      </c>
      <c r="E104" s="19">
        <v>59985</v>
      </c>
      <c r="F104" s="19">
        <v>509985</v>
      </c>
      <c r="G104" s="159">
        <v>50</v>
      </c>
      <c r="H104" s="254">
        <v>10199.700000000001</v>
      </c>
      <c r="I104" s="188">
        <v>1</v>
      </c>
      <c r="J104" s="188">
        <f t="shared" si="13"/>
        <v>49</v>
      </c>
      <c r="K104" s="257">
        <f t="shared" si="11"/>
        <v>10199.700000000001</v>
      </c>
      <c r="L104" s="94">
        <f t="shared" si="14"/>
        <v>499785.3</v>
      </c>
      <c r="M104" s="122" t="s">
        <v>251</v>
      </c>
      <c r="N104" s="180" t="e">
        <f>#REF!-H104</f>
        <v>#REF!</v>
      </c>
    </row>
    <row r="105" spans="1:14" s="114" customFormat="1">
      <c r="A105" s="96">
        <v>100</v>
      </c>
      <c r="B105" s="96" t="s">
        <v>585</v>
      </c>
      <c r="C105" s="11" t="s">
        <v>586</v>
      </c>
      <c r="D105" s="161">
        <v>500000</v>
      </c>
      <c r="E105" s="161">
        <v>66650</v>
      </c>
      <c r="F105" s="162">
        <f t="shared" ref="F105:F113" si="15">SUM(D105:E105)</f>
        <v>566650</v>
      </c>
      <c r="G105" s="96">
        <v>50</v>
      </c>
      <c r="H105" s="209">
        <v>11333</v>
      </c>
      <c r="I105" s="97">
        <v>32</v>
      </c>
      <c r="J105" s="97">
        <f t="shared" si="13"/>
        <v>18</v>
      </c>
      <c r="K105" s="146">
        <f t="shared" si="11"/>
        <v>362656</v>
      </c>
      <c r="L105" s="164">
        <f t="shared" si="14"/>
        <v>203994</v>
      </c>
      <c r="M105" s="123"/>
      <c r="N105" s="180" t="e">
        <f>#REF!-H105</f>
        <v>#REF!</v>
      </c>
    </row>
    <row r="106" spans="1:14" s="114" customFormat="1">
      <c r="A106" s="96">
        <v>101</v>
      </c>
      <c r="B106" s="122" t="s">
        <v>899</v>
      </c>
      <c r="C106" s="123" t="s">
        <v>922</v>
      </c>
      <c r="D106" s="19">
        <v>330000</v>
      </c>
      <c r="E106" s="19">
        <v>43989</v>
      </c>
      <c r="F106" s="19">
        <f t="shared" si="15"/>
        <v>373989</v>
      </c>
      <c r="G106" s="159">
        <v>50</v>
      </c>
      <c r="H106" s="254">
        <v>7479.78</v>
      </c>
      <c r="I106" s="188">
        <v>1</v>
      </c>
      <c r="J106" s="188">
        <f t="shared" si="13"/>
        <v>49</v>
      </c>
      <c r="K106" s="257">
        <f t="shared" si="11"/>
        <v>7479.78</v>
      </c>
      <c r="L106" s="94">
        <f t="shared" si="14"/>
        <v>366509.22</v>
      </c>
      <c r="M106" s="122"/>
      <c r="N106" s="180" t="e">
        <f>#REF!-H106</f>
        <v>#REF!</v>
      </c>
    </row>
    <row r="107" spans="1:14" s="114" customFormat="1">
      <c r="A107" s="96">
        <v>102</v>
      </c>
      <c r="B107" s="96" t="s">
        <v>647</v>
      </c>
      <c r="C107" s="11" t="s">
        <v>648</v>
      </c>
      <c r="D107" s="16">
        <v>500000</v>
      </c>
      <c r="E107" s="16">
        <v>66650</v>
      </c>
      <c r="F107" s="41">
        <f t="shared" si="15"/>
        <v>566650</v>
      </c>
      <c r="G107" s="159">
        <v>50</v>
      </c>
      <c r="H107" s="209">
        <v>11333</v>
      </c>
      <c r="I107" s="97">
        <v>10</v>
      </c>
      <c r="J107" s="97">
        <f t="shared" si="13"/>
        <v>40</v>
      </c>
      <c r="K107" s="156">
        <f>(1*11333)</f>
        <v>11333</v>
      </c>
      <c r="L107" s="91">
        <f t="shared" si="14"/>
        <v>555317</v>
      </c>
      <c r="M107" s="122"/>
    </row>
    <row r="108" spans="1:14" s="114" customFormat="1">
      <c r="A108" s="96">
        <v>103</v>
      </c>
      <c r="B108" s="96" t="s">
        <v>600</v>
      </c>
      <c r="C108" s="11" t="s">
        <v>601</v>
      </c>
      <c r="D108" s="16">
        <v>450000</v>
      </c>
      <c r="E108" s="16">
        <v>59985</v>
      </c>
      <c r="F108" s="41">
        <f t="shared" si="15"/>
        <v>509985</v>
      </c>
      <c r="G108" s="159">
        <v>50</v>
      </c>
      <c r="H108" s="209">
        <v>10199.700000000001</v>
      </c>
      <c r="I108" s="97">
        <v>31</v>
      </c>
      <c r="J108" s="97">
        <f t="shared" si="13"/>
        <v>19</v>
      </c>
      <c r="K108" s="91">
        <f>I108*H108</f>
        <v>316190.7</v>
      </c>
      <c r="L108" s="94">
        <f t="shared" si="14"/>
        <v>193794.3</v>
      </c>
      <c r="M108" s="11"/>
    </row>
    <row r="109" spans="1:14" s="114" customFormat="1">
      <c r="A109" s="96">
        <v>104</v>
      </c>
      <c r="B109" s="96" t="s">
        <v>546</v>
      </c>
      <c r="C109" s="11" t="s">
        <v>547</v>
      </c>
      <c r="D109" s="19">
        <v>330000</v>
      </c>
      <c r="E109" s="19">
        <v>43989</v>
      </c>
      <c r="F109" s="19">
        <f t="shared" si="15"/>
        <v>373989</v>
      </c>
      <c r="G109" s="159">
        <v>40</v>
      </c>
      <c r="H109" s="209">
        <v>9129.7800000000007</v>
      </c>
      <c r="I109" s="159">
        <v>6</v>
      </c>
      <c r="J109" s="97">
        <f t="shared" si="13"/>
        <v>34</v>
      </c>
      <c r="K109" s="91">
        <f>I109*H109</f>
        <v>54778.680000000008</v>
      </c>
      <c r="L109" s="94">
        <f t="shared" si="14"/>
        <v>319210.32</v>
      </c>
      <c r="M109" s="214"/>
    </row>
    <row r="110" spans="1:14" s="114" customFormat="1">
      <c r="A110" s="96">
        <v>105</v>
      </c>
      <c r="B110" s="96" t="s">
        <v>638</v>
      </c>
      <c r="C110" s="11" t="s">
        <v>639</v>
      </c>
      <c r="D110" s="16">
        <v>500000</v>
      </c>
      <c r="E110" s="16">
        <v>66650</v>
      </c>
      <c r="F110" s="41">
        <f t="shared" si="15"/>
        <v>566650</v>
      </c>
      <c r="G110" s="159">
        <v>50</v>
      </c>
      <c r="H110" s="209">
        <v>11333</v>
      </c>
      <c r="I110" s="97">
        <v>10</v>
      </c>
      <c r="J110" s="97">
        <f t="shared" si="13"/>
        <v>40</v>
      </c>
      <c r="K110" s="156">
        <f>(1*11333)</f>
        <v>11333</v>
      </c>
      <c r="L110" s="91">
        <f t="shared" si="14"/>
        <v>555317</v>
      </c>
      <c r="M110" s="11"/>
      <c r="N110" s="120"/>
    </row>
    <row r="111" spans="1:14" s="114" customFormat="1">
      <c r="A111" s="96">
        <v>106</v>
      </c>
      <c r="B111" s="96" t="s">
        <v>629</v>
      </c>
      <c r="C111" s="11" t="s">
        <v>630</v>
      </c>
      <c r="D111" s="12">
        <v>330000</v>
      </c>
      <c r="E111" s="12">
        <v>43989</v>
      </c>
      <c r="F111" s="15">
        <f t="shared" si="15"/>
        <v>373989</v>
      </c>
      <c r="G111" s="14">
        <v>50</v>
      </c>
      <c r="H111" s="146">
        <v>7479.78</v>
      </c>
      <c r="I111" s="14">
        <v>37</v>
      </c>
      <c r="J111" s="97">
        <f t="shared" si="13"/>
        <v>13</v>
      </c>
      <c r="K111" s="91">
        <f t="shared" ref="K111:K140" si="16">I111*H111</f>
        <v>276751.86</v>
      </c>
      <c r="L111" s="15">
        <f t="shared" si="14"/>
        <v>97237.140000000014</v>
      </c>
      <c r="M111" s="8"/>
      <c r="N111"/>
    </row>
    <row r="112" spans="1:14" s="114" customFormat="1">
      <c r="A112" s="96">
        <v>107</v>
      </c>
      <c r="B112" s="96" t="s">
        <v>645</v>
      </c>
      <c r="C112" s="11" t="s">
        <v>646</v>
      </c>
      <c r="D112" s="16">
        <v>500000</v>
      </c>
      <c r="E112" s="16">
        <v>66650</v>
      </c>
      <c r="F112" s="41">
        <f t="shared" si="15"/>
        <v>566650</v>
      </c>
      <c r="G112" s="159">
        <v>50</v>
      </c>
      <c r="H112" s="209">
        <v>11333</v>
      </c>
      <c r="I112" s="97">
        <v>31</v>
      </c>
      <c r="J112" s="97">
        <f t="shared" si="13"/>
        <v>19</v>
      </c>
      <c r="K112" s="91">
        <f t="shared" si="16"/>
        <v>351323</v>
      </c>
      <c r="L112" s="94">
        <f t="shared" si="14"/>
        <v>215327</v>
      </c>
      <c r="M112" s="11"/>
      <c r="N112"/>
    </row>
    <row r="113" spans="1:15" s="114" customFormat="1">
      <c r="A113" s="96">
        <v>108</v>
      </c>
      <c r="B113" s="96" t="s">
        <v>540</v>
      </c>
      <c r="C113" s="11" t="s">
        <v>541</v>
      </c>
      <c r="D113" s="16">
        <v>500000</v>
      </c>
      <c r="E113" s="16">
        <v>66650</v>
      </c>
      <c r="F113" s="41">
        <f t="shared" si="15"/>
        <v>566650</v>
      </c>
      <c r="G113" s="159">
        <v>50</v>
      </c>
      <c r="H113" s="209">
        <v>11333</v>
      </c>
      <c r="I113" s="97">
        <v>36</v>
      </c>
      <c r="J113" s="97">
        <f t="shared" si="13"/>
        <v>14</v>
      </c>
      <c r="K113" s="91">
        <f t="shared" si="16"/>
        <v>407988</v>
      </c>
      <c r="L113" s="94">
        <f t="shared" si="14"/>
        <v>158662</v>
      </c>
      <c r="M113" s="11"/>
      <c r="N113"/>
    </row>
    <row r="114" spans="1:15" s="114" customFormat="1">
      <c r="A114" s="96">
        <v>109</v>
      </c>
      <c r="B114" s="8" t="s">
        <v>628</v>
      </c>
      <c r="C114" s="11" t="s">
        <v>917</v>
      </c>
      <c r="D114" s="19">
        <v>450000</v>
      </c>
      <c r="E114" s="19">
        <v>59985</v>
      </c>
      <c r="F114" s="19">
        <v>509985</v>
      </c>
      <c r="G114" s="159">
        <v>50</v>
      </c>
      <c r="H114" s="254">
        <v>10199.700000000001</v>
      </c>
      <c r="I114" s="159">
        <v>2</v>
      </c>
      <c r="J114" s="97">
        <f t="shared" si="13"/>
        <v>48</v>
      </c>
      <c r="K114" s="91">
        <f t="shared" si="16"/>
        <v>20399.400000000001</v>
      </c>
      <c r="L114" s="94">
        <f t="shared" si="14"/>
        <v>489585.6</v>
      </c>
      <c r="M114" s="11"/>
      <c r="N114"/>
    </row>
    <row r="115" spans="1:15" s="114" customFormat="1">
      <c r="A115" s="96">
        <v>110</v>
      </c>
      <c r="B115" s="96" t="s">
        <v>548</v>
      </c>
      <c r="C115" s="11" t="s">
        <v>549</v>
      </c>
      <c r="D115" s="12">
        <v>330000</v>
      </c>
      <c r="E115" s="12">
        <v>43989</v>
      </c>
      <c r="F115" s="15">
        <f>SUM(D115:E115)</f>
        <v>373989</v>
      </c>
      <c r="G115" s="14">
        <v>50</v>
      </c>
      <c r="H115" s="146">
        <v>7479.78</v>
      </c>
      <c r="I115" s="14">
        <v>37</v>
      </c>
      <c r="J115" s="97">
        <f t="shared" si="13"/>
        <v>13</v>
      </c>
      <c r="K115" s="91">
        <f t="shared" si="16"/>
        <v>276751.86</v>
      </c>
      <c r="L115" s="15">
        <f t="shared" si="14"/>
        <v>97237.140000000014</v>
      </c>
      <c r="M115" s="8"/>
      <c r="N115"/>
    </row>
    <row r="116" spans="1:15" s="114" customFormat="1">
      <c r="A116" s="96">
        <v>111</v>
      </c>
      <c r="B116" s="122" t="s">
        <v>678</v>
      </c>
      <c r="C116" s="123" t="s">
        <v>679</v>
      </c>
      <c r="D116" s="16">
        <v>500000</v>
      </c>
      <c r="E116" s="16">
        <v>66650</v>
      </c>
      <c r="F116" s="41">
        <f>SUM(D116:E116)</f>
        <v>566650</v>
      </c>
      <c r="G116" s="159">
        <v>50</v>
      </c>
      <c r="H116" s="254">
        <v>15222</v>
      </c>
      <c r="I116" s="188">
        <v>1</v>
      </c>
      <c r="J116" s="188">
        <f t="shared" si="13"/>
        <v>49</v>
      </c>
      <c r="K116" s="257">
        <f t="shared" si="16"/>
        <v>15222</v>
      </c>
      <c r="L116" s="94">
        <f t="shared" si="14"/>
        <v>551428</v>
      </c>
      <c r="M116" s="122" t="s">
        <v>251</v>
      </c>
      <c r="N116"/>
    </row>
    <row r="117" spans="1:15" s="114" customFormat="1">
      <c r="A117" s="96">
        <v>112</v>
      </c>
      <c r="B117" s="96" t="s">
        <v>501</v>
      </c>
      <c r="C117" s="11" t="s">
        <v>502</v>
      </c>
      <c r="D117" s="16">
        <v>500000</v>
      </c>
      <c r="E117" s="16">
        <v>66650</v>
      </c>
      <c r="F117" s="16">
        <v>566650</v>
      </c>
      <c r="G117" s="159">
        <v>50</v>
      </c>
      <c r="H117" s="203">
        <v>11333</v>
      </c>
      <c r="I117" s="159">
        <v>6</v>
      </c>
      <c r="J117" s="97">
        <f t="shared" si="13"/>
        <v>44</v>
      </c>
      <c r="K117" s="91">
        <f t="shared" si="16"/>
        <v>67998</v>
      </c>
      <c r="L117" s="94">
        <f t="shared" si="14"/>
        <v>498652</v>
      </c>
      <c r="M117" s="214"/>
      <c r="N117"/>
    </row>
    <row r="118" spans="1:15" s="114" customFormat="1">
      <c r="A118" s="96">
        <v>113</v>
      </c>
      <c r="B118" s="96" t="s">
        <v>514</v>
      </c>
      <c r="C118" s="11" t="s">
        <v>515</v>
      </c>
      <c r="D118" s="16">
        <v>500000</v>
      </c>
      <c r="E118" s="16">
        <v>66650</v>
      </c>
      <c r="F118" s="41">
        <f>SUM(D118:E118)</f>
        <v>566650</v>
      </c>
      <c r="G118" s="159">
        <v>50</v>
      </c>
      <c r="H118" s="209">
        <v>11333</v>
      </c>
      <c r="I118" s="97">
        <v>53</v>
      </c>
      <c r="J118" s="97">
        <f t="shared" si="13"/>
        <v>-3</v>
      </c>
      <c r="K118" s="91">
        <f t="shared" si="16"/>
        <v>600649</v>
      </c>
      <c r="L118" s="94">
        <f t="shared" si="14"/>
        <v>-33999</v>
      </c>
      <c r="M118" s="11"/>
      <c r="N118"/>
    </row>
    <row r="119" spans="1:15" s="114" customFormat="1">
      <c r="A119" s="96">
        <v>114</v>
      </c>
      <c r="B119" s="96" t="s">
        <v>557</v>
      </c>
      <c r="C119" s="11" t="s">
        <v>558</v>
      </c>
      <c r="D119" s="16">
        <v>450000</v>
      </c>
      <c r="E119" s="16">
        <v>59985</v>
      </c>
      <c r="F119" s="41">
        <f>SUM(D119:E119)</f>
        <v>509985</v>
      </c>
      <c r="G119" s="159">
        <v>50</v>
      </c>
      <c r="H119" s="209">
        <v>10199.700000000001</v>
      </c>
      <c r="I119" s="97">
        <v>32</v>
      </c>
      <c r="J119" s="97">
        <f t="shared" si="13"/>
        <v>18</v>
      </c>
      <c r="K119" s="91">
        <f t="shared" si="16"/>
        <v>326390.40000000002</v>
      </c>
      <c r="L119" s="94">
        <f t="shared" si="14"/>
        <v>183594.59999999998</v>
      </c>
      <c r="M119" s="11"/>
    </row>
    <row r="120" spans="1:15" s="114" customFormat="1">
      <c r="A120" s="96">
        <v>115</v>
      </c>
      <c r="B120" s="96" t="s">
        <v>583</v>
      </c>
      <c r="C120" s="11" t="s">
        <v>584</v>
      </c>
      <c r="D120" s="16">
        <v>500000</v>
      </c>
      <c r="E120" s="16">
        <v>66650</v>
      </c>
      <c r="F120" s="41">
        <f>SUM(D120:E120)</f>
        <v>566650</v>
      </c>
      <c r="G120" s="159">
        <v>50</v>
      </c>
      <c r="H120" s="209">
        <v>11333</v>
      </c>
      <c r="I120" s="97">
        <v>32</v>
      </c>
      <c r="J120" s="97">
        <f t="shared" si="13"/>
        <v>18</v>
      </c>
      <c r="K120" s="91">
        <f t="shared" si="16"/>
        <v>362656</v>
      </c>
      <c r="L120" s="94">
        <f t="shared" si="14"/>
        <v>203994</v>
      </c>
      <c r="M120" s="11"/>
    </row>
    <row r="121" spans="1:15" s="114" customFormat="1">
      <c r="A121" s="96">
        <v>116</v>
      </c>
      <c r="B121" s="96" t="s">
        <v>561</v>
      </c>
      <c r="C121" s="11" t="s">
        <v>562</v>
      </c>
      <c r="D121" s="16">
        <v>450000</v>
      </c>
      <c r="E121" s="16">
        <v>59985</v>
      </c>
      <c r="F121" s="41">
        <f>SUM(D121:E121)</f>
        <v>509985</v>
      </c>
      <c r="G121" s="159">
        <v>50</v>
      </c>
      <c r="H121" s="209">
        <v>10199.700000000001</v>
      </c>
      <c r="I121" s="97">
        <v>32</v>
      </c>
      <c r="J121" s="97">
        <f t="shared" si="13"/>
        <v>18</v>
      </c>
      <c r="K121" s="91">
        <f t="shared" si="16"/>
        <v>326390.40000000002</v>
      </c>
      <c r="L121" s="94">
        <f t="shared" si="14"/>
        <v>183594.59999999998</v>
      </c>
      <c r="M121" s="11"/>
    </row>
    <row r="122" spans="1:15" s="114" customFormat="1">
      <c r="A122" s="96">
        <v>117</v>
      </c>
      <c r="B122" s="96" t="s">
        <v>684</v>
      </c>
      <c r="C122" s="11" t="s">
        <v>685</v>
      </c>
      <c r="D122" s="19">
        <v>500000</v>
      </c>
      <c r="E122" s="19">
        <v>66650</v>
      </c>
      <c r="F122" s="19">
        <v>566650</v>
      </c>
      <c r="G122" s="159">
        <v>50</v>
      </c>
      <c r="H122" s="209">
        <v>11333</v>
      </c>
      <c r="I122" s="97">
        <v>18</v>
      </c>
      <c r="J122" s="97">
        <f t="shared" si="13"/>
        <v>32</v>
      </c>
      <c r="K122" s="91">
        <f t="shared" si="16"/>
        <v>203994</v>
      </c>
      <c r="L122" s="91">
        <f t="shared" si="14"/>
        <v>362656</v>
      </c>
      <c r="M122" s="122"/>
    </row>
    <row r="123" spans="1:15" s="114" customFormat="1">
      <c r="A123" s="96">
        <v>118</v>
      </c>
      <c r="B123" s="122" t="s">
        <v>882</v>
      </c>
      <c r="C123" s="123" t="s">
        <v>904</v>
      </c>
      <c r="D123" s="19">
        <v>450000</v>
      </c>
      <c r="E123" s="19">
        <v>59985</v>
      </c>
      <c r="F123" s="19">
        <v>509985</v>
      </c>
      <c r="G123" s="159">
        <v>50</v>
      </c>
      <c r="H123" s="254">
        <v>13699.7</v>
      </c>
      <c r="I123" s="188">
        <v>1</v>
      </c>
      <c r="J123" s="188">
        <f t="shared" si="13"/>
        <v>49</v>
      </c>
      <c r="K123" s="257">
        <f t="shared" si="16"/>
        <v>13699.7</v>
      </c>
      <c r="L123" s="94">
        <f t="shared" si="14"/>
        <v>496285.3</v>
      </c>
      <c r="M123" s="122" t="s">
        <v>251</v>
      </c>
    </row>
    <row r="124" spans="1:15" s="114" customFormat="1">
      <c r="A124" s="96">
        <v>119</v>
      </c>
      <c r="B124" s="96" t="s">
        <v>611</v>
      </c>
      <c r="C124" s="11" t="s">
        <v>612</v>
      </c>
      <c r="D124" s="12">
        <v>500000</v>
      </c>
      <c r="E124" s="12">
        <v>66650</v>
      </c>
      <c r="F124" s="15">
        <f>SUM(D124:E124)</f>
        <v>566650</v>
      </c>
      <c r="G124" s="14">
        <v>50</v>
      </c>
      <c r="H124" s="203">
        <v>11333</v>
      </c>
      <c r="I124" s="14">
        <v>37</v>
      </c>
      <c r="J124" s="97">
        <f t="shared" si="13"/>
        <v>13</v>
      </c>
      <c r="K124" s="91">
        <f t="shared" si="16"/>
        <v>419321</v>
      </c>
      <c r="L124" s="15">
        <f t="shared" si="14"/>
        <v>147329</v>
      </c>
      <c r="M124" s="8"/>
    </row>
    <row r="125" spans="1:15" s="114" customFormat="1">
      <c r="A125" s="96">
        <v>120</v>
      </c>
      <c r="B125" s="96" t="s">
        <v>670</v>
      </c>
      <c r="C125" s="11" t="s">
        <v>671</v>
      </c>
      <c r="D125" s="16">
        <v>330000</v>
      </c>
      <c r="E125" s="16">
        <v>43989</v>
      </c>
      <c r="F125" s="41">
        <f>SUM(D125:E125)</f>
        <v>373989</v>
      </c>
      <c r="G125" s="159">
        <v>50</v>
      </c>
      <c r="H125" s="209">
        <v>7479.78</v>
      </c>
      <c r="I125" s="159">
        <v>40</v>
      </c>
      <c r="J125" s="97">
        <f t="shared" si="13"/>
        <v>10</v>
      </c>
      <c r="K125" s="91">
        <f t="shared" si="16"/>
        <v>299191.2</v>
      </c>
      <c r="L125" s="94">
        <f t="shared" si="14"/>
        <v>74797.799999999988</v>
      </c>
      <c r="M125" s="11"/>
      <c r="O125" s="120"/>
    </row>
    <row r="126" spans="1:15" s="114" customFormat="1">
      <c r="A126" s="96">
        <v>121</v>
      </c>
      <c r="B126" s="122" t="s">
        <v>901</v>
      </c>
      <c r="C126" s="123" t="s">
        <v>924</v>
      </c>
      <c r="D126" s="19">
        <v>330000</v>
      </c>
      <c r="E126" s="19">
        <v>43989</v>
      </c>
      <c r="F126" s="19">
        <f>SUM(D126:E126)</f>
        <v>373989</v>
      </c>
      <c r="G126" s="159">
        <v>50</v>
      </c>
      <c r="H126" s="254">
        <v>7479.78</v>
      </c>
      <c r="I126" s="188">
        <v>1</v>
      </c>
      <c r="J126" s="188">
        <f t="shared" si="13"/>
        <v>49</v>
      </c>
      <c r="K126" s="257">
        <f t="shared" si="16"/>
        <v>7479.78</v>
      </c>
      <c r="L126" s="94">
        <f t="shared" si="14"/>
        <v>366509.22</v>
      </c>
      <c r="M126" s="122" t="s">
        <v>251</v>
      </c>
    </row>
    <row r="127" spans="1:15" s="114" customFormat="1">
      <c r="A127" s="96">
        <v>122</v>
      </c>
      <c r="B127" s="96" t="s">
        <v>563</v>
      </c>
      <c r="C127" s="11" t="s">
        <v>564</v>
      </c>
      <c r="D127" s="19">
        <v>330000</v>
      </c>
      <c r="E127" s="19">
        <v>43989</v>
      </c>
      <c r="F127" s="19">
        <f>SUM(D127:E127)</f>
        <v>373989</v>
      </c>
      <c r="G127" s="159">
        <v>50</v>
      </c>
      <c r="H127" s="203">
        <v>7479.78</v>
      </c>
      <c r="I127" s="97">
        <v>18</v>
      </c>
      <c r="J127" s="97">
        <f t="shared" si="13"/>
        <v>32</v>
      </c>
      <c r="K127" s="91">
        <f t="shared" si="16"/>
        <v>134636.04</v>
      </c>
      <c r="L127" s="91">
        <f t="shared" si="14"/>
        <v>239352.95999999999</v>
      </c>
      <c r="M127" s="122"/>
    </row>
    <row r="128" spans="1:15" s="114" customFormat="1">
      <c r="A128" s="96">
        <v>123</v>
      </c>
      <c r="B128" s="96" t="s">
        <v>577</v>
      </c>
      <c r="C128" s="11" t="s">
        <v>578</v>
      </c>
      <c r="D128" s="19">
        <v>330000</v>
      </c>
      <c r="E128" s="19">
        <v>43989</v>
      </c>
      <c r="F128" s="19">
        <f>SUM(D128:E128)</f>
        <v>373989</v>
      </c>
      <c r="G128" s="159">
        <v>50</v>
      </c>
      <c r="H128" s="209">
        <v>7479.78</v>
      </c>
      <c r="I128" s="159">
        <v>6</v>
      </c>
      <c r="J128" s="97">
        <f t="shared" si="13"/>
        <v>44</v>
      </c>
      <c r="K128" s="91">
        <f t="shared" si="16"/>
        <v>44878.68</v>
      </c>
      <c r="L128" s="94">
        <f t="shared" si="14"/>
        <v>329110.32</v>
      </c>
      <c r="M128" s="214"/>
    </row>
    <row r="129" spans="1:15" s="114" customFormat="1">
      <c r="A129" s="96">
        <v>124</v>
      </c>
      <c r="B129" s="96" t="s">
        <v>509</v>
      </c>
      <c r="C129" s="11" t="s">
        <v>510</v>
      </c>
      <c r="D129" s="19">
        <v>450000</v>
      </c>
      <c r="E129" s="19">
        <v>59985</v>
      </c>
      <c r="F129" s="19">
        <v>509985</v>
      </c>
      <c r="G129" s="159">
        <v>50</v>
      </c>
      <c r="H129" s="209">
        <v>10199.700000000001</v>
      </c>
      <c r="I129" s="97">
        <v>18</v>
      </c>
      <c r="J129" s="97">
        <f t="shared" si="13"/>
        <v>32</v>
      </c>
      <c r="K129" s="91">
        <f t="shared" si="16"/>
        <v>183594.6</v>
      </c>
      <c r="L129" s="91">
        <f t="shared" si="14"/>
        <v>326390.40000000002</v>
      </c>
      <c r="M129" s="122"/>
    </row>
    <row r="130" spans="1:15" s="114" customFormat="1">
      <c r="A130" s="96">
        <v>125</v>
      </c>
      <c r="B130" s="96" t="s">
        <v>613</v>
      </c>
      <c r="C130" s="11" t="s">
        <v>614</v>
      </c>
      <c r="D130" s="16">
        <v>500000</v>
      </c>
      <c r="E130" s="16">
        <v>66650</v>
      </c>
      <c r="F130" s="41">
        <f>SUM(D130:E130)</f>
        <v>566650</v>
      </c>
      <c r="G130" s="159">
        <v>50</v>
      </c>
      <c r="H130" s="209">
        <v>11333</v>
      </c>
      <c r="I130" s="97">
        <v>52</v>
      </c>
      <c r="J130" s="97">
        <f t="shared" si="13"/>
        <v>-2</v>
      </c>
      <c r="K130" s="91">
        <f t="shared" si="16"/>
        <v>589316</v>
      </c>
      <c r="L130" s="94">
        <f t="shared" si="14"/>
        <v>-22666</v>
      </c>
      <c r="M130" s="11"/>
    </row>
    <row r="131" spans="1:15" s="114" customFormat="1">
      <c r="A131" s="96">
        <v>126</v>
      </c>
      <c r="B131" s="96" t="s">
        <v>711</v>
      </c>
      <c r="C131" s="11" t="s">
        <v>712</v>
      </c>
      <c r="D131" s="16">
        <v>500000</v>
      </c>
      <c r="E131" s="16">
        <v>66650</v>
      </c>
      <c r="F131" s="41">
        <f>SUM(D131:E131)</f>
        <v>566650</v>
      </c>
      <c r="G131" s="159">
        <v>50</v>
      </c>
      <c r="H131" s="209">
        <v>11333</v>
      </c>
      <c r="I131" s="97">
        <v>31</v>
      </c>
      <c r="J131" s="97">
        <f t="shared" si="13"/>
        <v>19</v>
      </c>
      <c r="K131" s="91">
        <f t="shared" si="16"/>
        <v>351323</v>
      </c>
      <c r="L131" s="94">
        <f t="shared" si="14"/>
        <v>215327</v>
      </c>
      <c r="M131" s="11"/>
    </row>
    <row r="132" spans="1:15" s="114" customFormat="1">
      <c r="A132" s="96">
        <v>127</v>
      </c>
      <c r="B132" s="96" t="s">
        <v>538</v>
      </c>
      <c r="C132" s="11" t="s">
        <v>539</v>
      </c>
      <c r="D132" s="12">
        <v>500000</v>
      </c>
      <c r="E132" s="12">
        <v>66650</v>
      </c>
      <c r="F132" s="15">
        <f>SUM(D132:E132)</f>
        <v>566650</v>
      </c>
      <c r="G132" s="14">
        <v>50</v>
      </c>
      <c r="H132" s="203">
        <v>11333</v>
      </c>
      <c r="I132" s="14">
        <v>37</v>
      </c>
      <c r="J132" s="97">
        <f t="shared" si="13"/>
        <v>13</v>
      </c>
      <c r="K132" s="91">
        <f t="shared" si="16"/>
        <v>419321</v>
      </c>
      <c r="L132" s="15">
        <f t="shared" si="14"/>
        <v>147329</v>
      </c>
      <c r="M132" s="8"/>
    </row>
    <row r="133" spans="1:15" s="120" customFormat="1">
      <c r="A133" s="96">
        <v>128</v>
      </c>
      <c r="B133" s="96" t="s">
        <v>507</v>
      </c>
      <c r="C133" s="11" t="s">
        <v>508</v>
      </c>
      <c r="D133" s="16">
        <v>500000</v>
      </c>
      <c r="E133" s="16">
        <v>66650</v>
      </c>
      <c r="F133" s="16">
        <v>566650</v>
      </c>
      <c r="G133" s="159">
        <v>50</v>
      </c>
      <c r="H133" s="209">
        <v>11333</v>
      </c>
      <c r="I133" s="97">
        <v>18</v>
      </c>
      <c r="J133" s="97">
        <f t="shared" si="13"/>
        <v>32</v>
      </c>
      <c r="K133" s="91">
        <f t="shared" si="16"/>
        <v>203994</v>
      </c>
      <c r="L133" s="91">
        <f t="shared" si="14"/>
        <v>362656</v>
      </c>
      <c r="M133" s="11"/>
      <c r="N133" s="114"/>
      <c r="O133" s="114"/>
    </row>
    <row r="134" spans="1:15" s="114" customFormat="1">
      <c r="A134" s="96">
        <v>129</v>
      </c>
      <c r="B134" s="96" t="s">
        <v>728</v>
      </c>
      <c r="C134" s="11" t="s">
        <v>729</v>
      </c>
      <c r="D134" s="16">
        <v>500000</v>
      </c>
      <c r="E134" s="16">
        <v>47992</v>
      </c>
      <c r="F134" s="41">
        <f>SUM(D134:E134)</f>
        <v>547992</v>
      </c>
      <c r="G134" s="159">
        <v>36</v>
      </c>
      <c r="H134" s="203">
        <v>15222</v>
      </c>
      <c r="I134" s="97">
        <v>31</v>
      </c>
      <c r="J134" s="97">
        <f t="shared" ref="J134:J140" si="17">G134-I134</f>
        <v>5</v>
      </c>
      <c r="K134" s="91">
        <f t="shared" si="16"/>
        <v>471882</v>
      </c>
      <c r="L134" s="94">
        <f t="shared" ref="L134:L140" si="18">F134-K134</f>
        <v>76110</v>
      </c>
      <c r="M134" s="11"/>
    </row>
    <row r="135" spans="1:15" s="114" customFormat="1">
      <c r="A135" s="96">
        <v>130</v>
      </c>
      <c r="B135" s="122" t="s">
        <v>889</v>
      </c>
      <c r="C135" s="123" t="s">
        <v>911</v>
      </c>
      <c r="D135" s="16">
        <v>500000</v>
      </c>
      <c r="E135" s="16">
        <v>66650</v>
      </c>
      <c r="F135" s="41">
        <f>SUM(D135:E135)</f>
        <v>566650</v>
      </c>
      <c r="G135" s="159">
        <v>50</v>
      </c>
      <c r="H135" s="254">
        <v>11333</v>
      </c>
      <c r="I135" s="188">
        <v>1</v>
      </c>
      <c r="J135" s="188">
        <f t="shared" si="17"/>
        <v>49</v>
      </c>
      <c r="K135" s="257">
        <f t="shared" si="16"/>
        <v>11333</v>
      </c>
      <c r="L135" s="94">
        <f t="shared" si="18"/>
        <v>555317</v>
      </c>
      <c r="M135" s="122" t="s">
        <v>251</v>
      </c>
    </row>
    <row r="136" spans="1:15" s="114" customFormat="1">
      <c r="A136" s="96">
        <v>131</v>
      </c>
      <c r="B136" s="96" t="s">
        <v>590</v>
      </c>
      <c r="C136" s="11" t="s">
        <v>591</v>
      </c>
      <c r="D136" s="19">
        <v>150000</v>
      </c>
      <c r="E136" s="19">
        <v>19995</v>
      </c>
      <c r="F136" s="19">
        <f>SUM(D136:E136)</f>
        <v>169995</v>
      </c>
      <c r="G136" s="159">
        <v>50</v>
      </c>
      <c r="H136" s="203">
        <v>3399.9</v>
      </c>
      <c r="I136" s="97">
        <v>31</v>
      </c>
      <c r="J136" s="97">
        <f t="shared" si="17"/>
        <v>19</v>
      </c>
      <c r="K136" s="91">
        <f t="shared" si="16"/>
        <v>105396.90000000001</v>
      </c>
      <c r="L136" s="94">
        <f t="shared" si="18"/>
        <v>64598.099999999991</v>
      </c>
      <c r="M136" s="11"/>
      <c r="N136" s="120"/>
    </row>
    <row r="137" spans="1:15" s="114" customFormat="1">
      <c r="A137" s="96">
        <v>132</v>
      </c>
      <c r="B137" s="96" t="s">
        <v>631</v>
      </c>
      <c r="C137" s="11" t="s">
        <v>632</v>
      </c>
      <c r="D137" s="16">
        <v>500000</v>
      </c>
      <c r="E137" s="16">
        <v>66650</v>
      </c>
      <c r="F137" s="41">
        <f>SUM(D137:E137)</f>
        <v>566650</v>
      </c>
      <c r="G137" s="159">
        <v>50</v>
      </c>
      <c r="H137" s="209">
        <v>11333</v>
      </c>
      <c r="I137" s="159">
        <v>53</v>
      </c>
      <c r="J137" s="97">
        <f t="shared" si="17"/>
        <v>-3</v>
      </c>
      <c r="K137" s="91">
        <f t="shared" si="16"/>
        <v>600649</v>
      </c>
      <c r="L137" s="94">
        <f t="shared" si="18"/>
        <v>-33999</v>
      </c>
      <c r="M137" s="11"/>
    </row>
    <row r="138" spans="1:15" s="114" customFormat="1">
      <c r="A138" s="96">
        <v>133</v>
      </c>
      <c r="B138" s="122" t="s">
        <v>898</v>
      </c>
      <c r="C138" s="123" t="s">
        <v>921</v>
      </c>
      <c r="D138" s="19">
        <v>330000</v>
      </c>
      <c r="E138" s="19">
        <v>43989</v>
      </c>
      <c r="F138" s="19">
        <f>SUM(D138:E138)</f>
        <v>373989</v>
      </c>
      <c r="G138" s="159">
        <v>50</v>
      </c>
      <c r="H138" s="254">
        <v>7479.78</v>
      </c>
      <c r="I138" s="188">
        <v>1</v>
      </c>
      <c r="J138" s="188">
        <f t="shared" si="17"/>
        <v>49</v>
      </c>
      <c r="K138" s="257">
        <f t="shared" si="16"/>
        <v>7479.78</v>
      </c>
      <c r="L138" s="94">
        <f t="shared" si="18"/>
        <v>366509.22</v>
      </c>
      <c r="M138" s="122" t="s">
        <v>251</v>
      </c>
    </row>
    <row r="139" spans="1:15" s="114" customFormat="1">
      <c r="A139" s="96">
        <v>134</v>
      </c>
      <c r="B139" s="96" t="s">
        <v>705</v>
      </c>
      <c r="C139" s="11" t="s">
        <v>706</v>
      </c>
      <c r="D139" s="19">
        <v>450000</v>
      </c>
      <c r="E139" s="19">
        <v>59985</v>
      </c>
      <c r="F139" s="19">
        <v>509985</v>
      </c>
      <c r="G139" s="159">
        <v>50</v>
      </c>
      <c r="H139" s="209">
        <v>10199.700000000001</v>
      </c>
      <c r="I139" s="159">
        <v>6</v>
      </c>
      <c r="J139" s="97">
        <f t="shared" si="17"/>
        <v>44</v>
      </c>
      <c r="K139" s="91">
        <f t="shared" si="16"/>
        <v>61198.200000000004</v>
      </c>
      <c r="L139" s="94">
        <f t="shared" si="18"/>
        <v>448786.8</v>
      </c>
      <c r="M139" s="11"/>
    </row>
    <row r="140" spans="1:15" s="114" customFormat="1">
      <c r="A140" s="96">
        <v>135</v>
      </c>
      <c r="B140" s="122" t="s">
        <v>888</v>
      </c>
      <c r="C140" s="123" t="s">
        <v>910</v>
      </c>
      <c r="D140" s="16">
        <v>500000</v>
      </c>
      <c r="E140" s="16">
        <v>66650</v>
      </c>
      <c r="F140" s="41">
        <f>SUM(D140:E140)</f>
        <v>566650</v>
      </c>
      <c r="G140" s="159">
        <v>50</v>
      </c>
      <c r="H140" s="254">
        <v>11333</v>
      </c>
      <c r="I140" s="188">
        <v>1</v>
      </c>
      <c r="J140" s="188">
        <f t="shared" si="17"/>
        <v>49</v>
      </c>
      <c r="K140" s="257">
        <f t="shared" si="16"/>
        <v>11333</v>
      </c>
      <c r="L140" s="94">
        <f t="shared" si="18"/>
        <v>555317</v>
      </c>
      <c r="M140" s="122"/>
    </row>
    <row r="141" spans="1:15" s="114" customFormat="1">
      <c r="A141" s="126"/>
      <c r="B141" s="126"/>
      <c r="C141" s="8"/>
      <c r="D141" s="34">
        <f>SUM(D6:D140)</f>
        <v>58182000</v>
      </c>
      <c r="E141" s="34">
        <f>SUM(E6:E140)</f>
        <v>7663687.5999999996</v>
      </c>
      <c r="F141" s="34">
        <f>SUM(F6:F140)</f>
        <v>65845687.600000001</v>
      </c>
      <c r="G141" s="34"/>
      <c r="H141" s="34">
        <f>SUM(H6:H140)</f>
        <v>1354178.6699999997</v>
      </c>
      <c r="I141" s="34"/>
      <c r="J141" s="34"/>
      <c r="K141" s="34">
        <f>SUM(K6:K140)</f>
        <v>33717245.499999985</v>
      </c>
      <c r="L141" s="34">
        <f>SUM(L6:L140)</f>
        <v>32128442.100000013</v>
      </c>
      <c r="M141" s="8"/>
    </row>
    <row r="142" spans="1:15" s="114" customFormat="1">
      <c r="A142" s="270"/>
      <c r="B142" s="270"/>
      <c r="C142" s="69"/>
      <c r="D142" s="67"/>
      <c r="E142" s="67"/>
      <c r="F142" s="67"/>
      <c r="G142" s="67"/>
      <c r="H142" s="67"/>
      <c r="I142" s="67"/>
      <c r="J142" s="67"/>
      <c r="K142" s="67"/>
      <c r="L142" s="67"/>
      <c r="M142" s="69"/>
    </row>
    <row r="143" spans="1:15" s="114" customFormat="1">
      <c r="A143" s="270"/>
      <c r="B143" s="270"/>
      <c r="C143" s="69"/>
      <c r="D143" s="67"/>
      <c r="E143" s="67"/>
      <c r="F143" s="67"/>
      <c r="G143" s="67"/>
      <c r="H143" s="67"/>
      <c r="I143" s="67"/>
      <c r="J143" s="67"/>
      <c r="K143" s="67"/>
      <c r="L143" s="67"/>
      <c r="M143" s="69"/>
    </row>
    <row r="144" spans="1:15" s="114" customFormat="1">
      <c r="A144" s="270"/>
      <c r="B144" s="270"/>
      <c r="C144" s="69"/>
      <c r="D144" s="67"/>
      <c r="E144" s="67"/>
      <c r="F144" s="67"/>
      <c r="G144" s="67"/>
      <c r="H144" s="67"/>
      <c r="I144" s="67"/>
      <c r="J144" s="67"/>
      <c r="K144" s="67"/>
      <c r="L144" s="67"/>
      <c r="M144" s="69"/>
    </row>
    <row r="145" spans="1:14" s="114" customFormat="1">
      <c r="A145" s="270"/>
      <c r="B145" s="270"/>
      <c r="C145" s="69"/>
      <c r="D145" s="67"/>
      <c r="E145" s="67"/>
      <c r="F145" s="67"/>
      <c r="G145" s="67"/>
      <c r="H145" s="67"/>
      <c r="I145" s="67"/>
      <c r="J145" s="67"/>
      <c r="K145" s="67"/>
      <c r="L145" s="67"/>
      <c r="M145" s="69"/>
    </row>
    <row r="146" spans="1:14" s="114" customFormat="1">
      <c r="A146" s="270"/>
      <c r="B146" s="270"/>
      <c r="C146" s="69"/>
      <c r="D146" s="67"/>
      <c r="E146" s="67"/>
      <c r="F146" s="67"/>
      <c r="G146" s="67"/>
      <c r="H146" s="67"/>
      <c r="I146" s="67"/>
      <c r="J146" s="67"/>
      <c r="K146" s="67"/>
      <c r="L146" s="67"/>
      <c r="M146" s="69"/>
    </row>
    <row r="147" spans="1:14" s="114" customFormat="1" ht="18" customHeight="1">
      <c r="A147" s="44"/>
      <c r="B147" s="44"/>
      <c r="C147" s="184"/>
      <c r="D147"/>
      <c r="E147"/>
      <c r="F147"/>
      <c r="G147" s="43"/>
      <c r="H147" s="39">
        <f>H155-H141</f>
        <v>0</v>
      </c>
      <c r="I147" s="99"/>
      <c r="J147" s="99"/>
      <c r="K147"/>
      <c r="L147"/>
      <c r="M147"/>
    </row>
    <row r="148" spans="1:14" s="114" customFormat="1" ht="18" customHeight="1">
      <c r="A148" s="44"/>
      <c r="B148" s="44"/>
      <c r="C148" s="184"/>
      <c r="D148"/>
      <c r="E148"/>
      <c r="F148"/>
      <c r="G148" s="43"/>
      <c r="H148" s="39"/>
      <c r="I148" s="99"/>
      <c r="J148" s="99"/>
      <c r="K148"/>
      <c r="L148"/>
      <c r="M148"/>
    </row>
    <row r="149" spans="1:14" s="114" customFormat="1" ht="18" customHeight="1">
      <c r="A149" s="44"/>
      <c r="B149" s="44"/>
      <c r="C149" s="184"/>
      <c r="D149"/>
      <c r="E149"/>
      <c r="F149"/>
      <c r="G149" s="43"/>
      <c r="H149" s="39"/>
      <c r="I149" s="99"/>
      <c r="J149" s="99"/>
      <c r="K149"/>
      <c r="L149"/>
      <c r="M149"/>
    </row>
    <row r="150" spans="1:14" s="114" customFormat="1" ht="18" customHeight="1">
      <c r="A150" s="44"/>
      <c r="B150" s="44"/>
      <c r="C150" s="184"/>
      <c r="D150"/>
      <c r="E150"/>
      <c r="F150"/>
      <c r="G150" s="43"/>
      <c r="H150" s="39"/>
      <c r="I150" s="99"/>
      <c r="J150" s="99"/>
      <c r="K150"/>
      <c r="L150"/>
      <c r="M150"/>
    </row>
    <row r="151" spans="1:14" s="114" customFormat="1" ht="18" customHeight="1">
      <c r="A151" s="44"/>
      <c r="B151" s="44"/>
      <c r="C151" s="184"/>
      <c r="D151"/>
      <c r="E151"/>
      <c r="F151"/>
      <c r="G151" s="43"/>
      <c r="H151" s="39"/>
      <c r="I151" s="99"/>
      <c r="J151" s="99"/>
      <c r="K151"/>
      <c r="L151"/>
      <c r="M151"/>
    </row>
    <row r="152" spans="1:14" s="114" customFormat="1" ht="18" customHeight="1">
      <c r="A152" s="44"/>
      <c r="B152" s="44"/>
      <c r="C152" s="184"/>
      <c r="D152"/>
      <c r="E152"/>
      <c r="F152"/>
      <c r="G152" s="43"/>
      <c r="H152" s="39"/>
      <c r="I152" s="99"/>
      <c r="J152" s="99"/>
      <c r="K152"/>
      <c r="L152"/>
      <c r="M152"/>
    </row>
    <row r="153" spans="1:14" s="114" customFormat="1" ht="18" customHeight="1">
      <c r="A153" s="44"/>
      <c r="B153" s="44"/>
      <c r="C153" s="184"/>
      <c r="D153"/>
      <c r="E153"/>
      <c r="F153"/>
      <c r="G153" s="43"/>
      <c r="H153" s="39"/>
      <c r="I153" s="99"/>
      <c r="J153" s="99"/>
      <c r="K153"/>
      <c r="L153"/>
      <c r="M153"/>
    </row>
    <row r="154" spans="1:14" s="114" customFormat="1" ht="18" customHeight="1">
      <c r="A154" s="44"/>
      <c r="B154" s="44"/>
      <c r="C154" s="184"/>
      <c r="D154"/>
      <c r="E154"/>
      <c r="F154"/>
      <c r="G154" s="43"/>
      <c r="H154" s="39"/>
      <c r="I154" s="99"/>
      <c r="J154" s="99"/>
      <c r="K154"/>
      <c r="L154"/>
      <c r="M154"/>
    </row>
    <row r="155" spans="1:14" s="114" customFormat="1">
      <c r="A155" s="44"/>
      <c r="B155" s="44"/>
      <c r="C155" s="184"/>
      <c r="D155"/>
      <c r="E155"/>
      <c r="F155"/>
      <c r="G155" s="43"/>
      <c r="H155" s="39">
        <v>1354178.6699999997</v>
      </c>
      <c r="I155" s="99"/>
      <c r="J155" s="99"/>
      <c r="K155"/>
      <c r="L155"/>
      <c r="M155"/>
    </row>
    <row r="156" spans="1:14" s="114" customFormat="1">
      <c r="A156" s="96">
        <v>4</v>
      </c>
      <c r="B156" s="268" t="s">
        <v>606</v>
      </c>
      <c r="C156" s="269" t="s">
        <v>853</v>
      </c>
      <c r="D156" s="19">
        <v>150000</v>
      </c>
      <c r="E156" s="19">
        <v>19995</v>
      </c>
      <c r="F156" s="19">
        <f>SUM(D156:E156)</f>
        <v>169995</v>
      </c>
      <c r="G156" s="240">
        <v>50</v>
      </c>
      <c r="H156" s="254">
        <v>3399.9</v>
      </c>
      <c r="I156" s="247">
        <v>2</v>
      </c>
      <c r="J156" s="97">
        <f>G156-I156</f>
        <v>48</v>
      </c>
      <c r="K156" s="91">
        <f>I156*H156</f>
        <v>6799.8</v>
      </c>
      <c r="L156" s="94">
        <f>F156-K156</f>
        <v>163195.20000000001</v>
      </c>
      <c r="M156" s="11"/>
      <c r="N156" s="180" t="e">
        <f>#REF!-H156</f>
        <v>#REF!</v>
      </c>
    </row>
    <row r="157" spans="1:14" s="114" customFormat="1">
      <c r="A157" s="96">
        <v>40</v>
      </c>
      <c r="B157" s="8" t="s">
        <v>623</v>
      </c>
      <c r="C157" s="132" t="s">
        <v>857</v>
      </c>
      <c r="D157" s="19">
        <v>450000</v>
      </c>
      <c r="E157" s="19">
        <v>59985</v>
      </c>
      <c r="F157" s="19">
        <v>509985</v>
      </c>
      <c r="G157" s="159">
        <v>50</v>
      </c>
      <c r="H157" s="254">
        <v>10199.700000000001</v>
      </c>
      <c r="I157" s="159">
        <v>2</v>
      </c>
      <c r="J157" s="97">
        <f>G157-I157</f>
        <v>48</v>
      </c>
      <c r="K157" s="91">
        <f>I157*H157</f>
        <v>20399.400000000001</v>
      </c>
      <c r="L157" s="94">
        <f>F157-K157</f>
        <v>489585.6</v>
      </c>
      <c r="M157" s="11"/>
      <c r="N157" s="180"/>
    </row>
    <row r="158" spans="1:14" s="114" customFormat="1">
      <c r="A158" s="96">
        <v>59</v>
      </c>
      <c r="B158" s="8" t="s">
        <v>663</v>
      </c>
      <c r="C158" s="132" t="s">
        <v>854</v>
      </c>
      <c r="D158" s="19">
        <v>330000</v>
      </c>
      <c r="E158" s="19">
        <v>43989</v>
      </c>
      <c r="F158" s="19">
        <f>SUM(D158:E158)</f>
        <v>373989</v>
      </c>
      <c r="G158" s="159">
        <v>50</v>
      </c>
      <c r="H158" s="254">
        <v>7479.78</v>
      </c>
      <c r="I158" s="159">
        <v>2</v>
      </c>
      <c r="J158" s="97">
        <f>G158-I158</f>
        <v>48</v>
      </c>
      <c r="K158" s="91">
        <f>I158*H158</f>
        <v>14959.56</v>
      </c>
      <c r="L158" s="94">
        <f>F158-K158</f>
        <v>359029.44</v>
      </c>
      <c r="M158" s="11"/>
      <c r="N158" s="180" t="e">
        <f>#REF!-H158</f>
        <v>#REF!</v>
      </c>
    </row>
    <row r="159" spans="1:14" s="114" customFormat="1">
      <c r="A159" s="96">
        <v>99</v>
      </c>
      <c r="B159" s="8" t="s">
        <v>723</v>
      </c>
      <c r="C159" s="132" t="s">
        <v>861</v>
      </c>
      <c r="D159" s="16">
        <v>500000</v>
      </c>
      <c r="E159" s="16">
        <v>66650</v>
      </c>
      <c r="F159" s="41">
        <f>SUM(D159:E159)</f>
        <v>566650</v>
      </c>
      <c r="G159" s="159">
        <v>50</v>
      </c>
      <c r="H159" s="254">
        <v>11333</v>
      </c>
      <c r="I159" s="159">
        <v>2</v>
      </c>
      <c r="J159" s="97">
        <f>G159-I159</f>
        <v>48</v>
      </c>
      <c r="K159" s="91">
        <f>I159*H159</f>
        <v>22666</v>
      </c>
      <c r="L159" s="94">
        <f>F159-K159</f>
        <v>543984</v>
      </c>
      <c r="M159" s="11"/>
    </row>
    <row r="160" spans="1:14" s="114" customForma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5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5" s="114" customFormat="1">
      <c r="A162" s="96">
        <v>9</v>
      </c>
      <c r="B162" s="96" t="s">
        <v>704</v>
      </c>
      <c r="C162" s="2" t="s">
        <v>794</v>
      </c>
      <c r="D162" s="16">
        <v>500000</v>
      </c>
      <c r="E162" s="16">
        <v>66650</v>
      </c>
      <c r="F162" s="41">
        <f>SUM(D162:E162)</f>
        <v>566650</v>
      </c>
      <c r="G162" s="159">
        <v>50</v>
      </c>
      <c r="H162" s="209">
        <v>11333</v>
      </c>
      <c r="I162" s="96">
        <v>40</v>
      </c>
      <c r="J162" s="96">
        <f>G162-I162</f>
        <v>10</v>
      </c>
      <c r="K162" s="16">
        <f>I162*H162</f>
        <v>453320</v>
      </c>
      <c r="L162" s="41">
        <f>F162-K162</f>
        <v>113330</v>
      </c>
      <c r="M162" s="11"/>
      <c r="N162" s="180" t="e">
        <f>#REF!-H162</f>
        <v>#REF!</v>
      </c>
    </row>
    <row r="163" spans="1:15" s="114" customFormat="1">
      <c r="A163" s="96">
        <v>38</v>
      </c>
      <c r="B163" s="96" t="s">
        <v>511</v>
      </c>
      <c r="C163" s="173" t="s">
        <v>837</v>
      </c>
      <c r="D163" s="41">
        <v>200000</v>
      </c>
      <c r="E163" s="41">
        <v>26660</v>
      </c>
      <c r="F163" s="41">
        <f>SUM(D163:E163)</f>
        <v>226660</v>
      </c>
      <c r="G163" s="159">
        <v>40</v>
      </c>
      <c r="H163" s="203">
        <v>7479</v>
      </c>
      <c r="I163" s="97">
        <v>17</v>
      </c>
      <c r="J163" s="97">
        <f>G163-I163</f>
        <v>23</v>
      </c>
      <c r="K163" s="91">
        <f>I163*H163</f>
        <v>127143</v>
      </c>
      <c r="L163" s="94">
        <f>F163-K163</f>
        <v>99517</v>
      </c>
      <c r="M163" s="11"/>
      <c r="N163" s="180" t="e">
        <f>#REF!-H163</f>
        <v>#REF!</v>
      </c>
    </row>
    <row r="164" spans="1:15" s="114" customFormat="1">
      <c r="A164" s="96">
        <v>56</v>
      </c>
      <c r="B164" s="96" t="s">
        <v>637</v>
      </c>
      <c r="C164" s="23" t="s">
        <v>776</v>
      </c>
      <c r="D164" s="16">
        <v>500000</v>
      </c>
      <c r="E164" s="16">
        <v>66650</v>
      </c>
      <c r="F164" s="41">
        <f>SUM(D164:E164)</f>
        <v>566650</v>
      </c>
      <c r="G164" s="159">
        <v>50</v>
      </c>
      <c r="H164" s="209">
        <v>11333</v>
      </c>
      <c r="I164" s="97">
        <v>39</v>
      </c>
      <c r="J164" s="97">
        <f>G164-I164</f>
        <v>11</v>
      </c>
      <c r="K164" s="91">
        <f>I164*H164</f>
        <v>441987</v>
      </c>
      <c r="L164" s="94">
        <f>F164-K164</f>
        <v>124663</v>
      </c>
      <c r="M164" s="11"/>
      <c r="N164" s="180" t="e">
        <f>#REF!-H164</f>
        <v>#REF!</v>
      </c>
    </row>
    <row r="165" spans="1:15" s="114" customFormat="1">
      <c r="A165" s="96">
        <v>91</v>
      </c>
      <c r="B165" s="96" t="s">
        <v>587</v>
      </c>
      <c r="C165" s="2" t="s">
        <v>763</v>
      </c>
      <c r="D165" s="12">
        <v>500000</v>
      </c>
      <c r="E165" s="12">
        <v>66650</v>
      </c>
      <c r="F165" s="15">
        <f>SUM(D165:E165)</f>
        <v>566650</v>
      </c>
      <c r="G165" s="14">
        <v>50</v>
      </c>
      <c r="H165" s="143">
        <v>11333</v>
      </c>
      <c r="I165" s="14">
        <v>34</v>
      </c>
      <c r="J165" s="97">
        <f>G165-I165</f>
        <v>16</v>
      </c>
      <c r="K165" s="91">
        <f>I165*H165</f>
        <v>385322</v>
      </c>
      <c r="L165" s="15">
        <f>F165-K165</f>
        <v>181328</v>
      </c>
      <c r="M165" s="8"/>
      <c r="N165" s="180" t="e">
        <f>#REF!-H165</f>
        <v>#REF!</v>
      </c>
    </row>
    <row r="166" spans="1:15" s="114" customFormat="1">
      <c r="A166" s="96">
        <v>105</v>
      </c>
      <c r="B166" s="96" t="s">
        <v>678</v>
      </c>
      <c r="C166" s="23" t="s">
        <v>733</v>
      </c>
      <c r="D166" s="16">
        <v>500000</v>
      </c>
      <c r="E166" s="16">
        <v>47992</v>
      </c>
      <c r="F166" s="41">
        <f>SUM(D166:E166)</f>
        <v>547992</v>
      </c>
      <c r="G166" s="159">
        <v>36</v>
      </c>
      <c r="H166" s="203">
        <v>15222</v>
      </c>
      <c r="I166" s="97">
        <v>30</v>
      </c>
      <c r="J166" s="97">
        <f>G166-I166</f>
        <v>6</v>
      </c>
      <c r="K166" s="91">
        <f>I166*H166</f>
        <v>456660</v>
      </c>
      <c r="L166" s="94">
        <f>F166-K166</f>
        <v>91332</v>
      </c>
      <c r="M166" s="11"/>
      <c r="N166" s="180" t="e">
        <f>#REF!-H166</f>
        <v>#REF!</v>
      </c>
    </row>
    <row r="167" spans="1:15" s="114" customFormat="1"/>
    <row r="168" spans="1:15" s="114" customFormat="1">
      <c r="A168" s="96">
        <v>1</v>
      </c>
      <c r="B168" s="241"/>
      <c r="C168" s="4" t="s">
        <v>383</v>
      </c>
      <c r="D168" s="41">
        <v>200000</v>
      </c>
      <c r="E168" s="41">
        <v>26660</v>
      </c>
      <c r="F168" s="41">
        <f t="shared" ref="F168:F173" si="19">SUM(D168:E168)</f>
        <v>226660</v>
      </c>
      <c r="G168" s="159">
        <v>40</v>
      </c>
      <c r="H168" s="208">
        <v>5666.5</v>
      </c>
      <c r="I168" s="96">
        <v>42</v>
      </c>
      <c r="J168" s="96">
        <f t="shared" ref="J168:J177" si="20">G168-I168</f>
        <v>-2</v>
      </c>
      <c r="K168" s="16">
        <f t="shared" ref="K168:K177" si="21">I168*H168</f>
        <v>237993</v>
      </c>
      <c r="L168" s="41">
        <f t="shared" ref="L168:L177" si="22">F168-K168</f>
        <v>-11333</v>
      </c>
      <c r="M168" s="11"/>
      <c r="N168" s="180" t="e">
        <f>#REF!-H168</f>
        <v>#REF!</v>
      </c>
    </row>
    <row r="169" spans="1:15" s="114" customFormat="1">
      <c r="A169" s="96">
        <v>5</v>
      </c>
      <c r="B169" s="241"/>
      <c r="C169" s="4" t="s">
        <v>413</v>
      </c>
      <c r="D169" s="12">
        <v>180000</v>
      </c>
      <c r="E169" s="12">
        <v>23994</v>
      </c>
      <c r="F169" s="15">
        <f t="shared" si="19"/>
        <v>203994</v>
      </c>
      <c r="G169" s="14">
        <v>40</v>
      </c>
      <c r="H169" s="208">
        <v>5099.8500000000004</v>
      </c>
      <c r="I169" s="159">
        <v>38</v>
      </c>
      <c r="J169" s="97">
        <f t="shared" si="20"/>
        <v>2</v>
      </c>
      <c r="K169" s="91">
        <f t="shared" si="21"/>
        <v>193794.30000000002</v>
      </c>
      <c r="L169" s="15">
        <f t="shared" si="22"/>
        <v>10199.699999999983</v>
      </c>
      <c r="M169" s="8"/>
      <c r="N169" s="180" t="e">
        <f>#REF!-H169</f>
        <v>#REF!</v>
      </c>
    </row>
    <row r="170" spans="1:15" s="114" customFormat="1">
      <c r="A170" s="96">
        <v>12</v>
      </c>
      <c r="B170" s="96"/>
      <c r="C170" s="2" t="s">
        <v>389</v>
      </c>
      <c r="D170" s="41">
        <v>200000</v>
      </c>
      <c r="E170" s="41">
        <v>26660</v>
      </c>
      <c r="F170" s="41">
        <f t="shared" si="19"/>
        <v>226660</v>
      </c>
      <c r="G170" s="220">
        <v>40</v>
      </c>
      <c r="H170" s="208">
        <v>5666.5</v>
      </c>
      <c r="I170" s="96">
        <v>53</v>
      </c>
      <c r="J170" s="96">
        <f t="shared" si="20"/>
        <v>-13</v>
      </c>
      <c r="K170" s="16">
        <f t="shared" si="21"/>
        <v>300324.5</v>
      </c>
      <c r="L170" s="41">
        <f t="shared" si="22"/>
        <v>-73664.5</v>
      </c>
      <c r="M170" s="152"/>
      <c r="N170" s="180" t="e">
        <f>#REF!-H170</f>
        <v>#REF!</v>
      </c>
    </row>
    <row r="171" spans="1:15" s="114" customFormat="1">
      <c r="A171" s="96">
        <v>29</v>
      </c>
      <c r="B171" s="241"/>
      <c r="C171" s="4" t="s">
        <v>414</v>
      </c>
      <c r="D171" s="16">
        <v>180000</v>
      </c>
      <c r="E171" s="16">
        <v>23994</v>
      </c>
      <c r="F171" s="41">
        <f t="shared" si="19"/>
        <v>203994</v>
      </c>
      <c r="G171" s="159">
        <v>40</v>
      </c>
      <c r="H171" s="208">
        <v>5099.8500000000004</v>
      </c>
      <c r="I171" s="97">
        <v>40</v>
      </c>
      <c r="J171" s="97">
        <f t="shared" si="20"/>
        <v>0</v>
      </c>
      <c r="K171" s="91">
        <f t="shared" si="21"/>
        <v>203994</v>
      </c>
      <c r="L171" s="94">
        <f t="shared" si="22"/>
        <v>0</v>
      </c>
      <c r="M171" s="11"/>
      <c r="N171" s="180" t="e">
        <f>#REF!-H171</f>
        <v>#REF!</v>
      </c>
    </row>
    <row r="172" spans="1:15" s="114" customFormat="1">
      <c r="A172" s="96">
        <v>64</v>
      </c>
      <c r="B172" s="241"/>
      <c r="C172" s="4" t="s">
        <v>403</v>
      </c>
      <c r="D172" s="41">
        <v>200000</v>
      </c>
      <c r="E172" s="41">
        <v>26660</v>
      </c>
      <c r="F172" s="41">
        <f t="shared" si="19"/>
        <v>226660</v>
      </c>
      <c r="G172" s="159">
        <v>40</v>
      </c>
      <c r="H172" s="208">
        <v>5666.5</v>
      </c>
      <c r="I172" s="97">
        <v>42</v>
      </c>
      <c r="J172" s="97">
        <f t="shared" si="20"/>
        <v>-2</v>
      </c>
      <c r="K172" s="91">
        <f t="shared" si="21"/>
        <v>237993</v>
      </c>
      <c r="L172" s="94">
        <f t="shared" si="22"/>
        <v>-11333</v>
      </c>
      <c r="M172" s="11"/>
      <c r="N172" s="180" t="e">
        <f>#REF!-H172</f>
        <v>#REF!</v>
      </c>
    </row>
    <row r="173" spans="1:15" s="114" customFormat="1">
      <c r="A173" s="96">
        <v>68</v>
      </c>
      <c r="B173" s="241"/>
      <c r="C173" s="4" t="s">
        <v>422</v>
      </c>
      <c r="D173" s="16">
        <v>132000</v>
      </c>
      <c r="E173" s="16">
        <v>17595.599999999999</v>
      </c>
      <c r="F173" s="41">
        <f t="shared" si="19"/>
        <v>149595.6</v>
      </c>
      <c r="G173" s="159">
        <v>40</v>
      </c>
      <c r="H173" s="208">
        <v>3739.89</v>
      </c>
      <c r="I173" s="97">
        <v>42</v>
      </c>
      <c r="J173" s="97">
        <f t="shared" si="20"/>
        <v>-2</v>
      </c>
      <c r="K173" s="91">
        <f t="shared" si="21"/>
        <v>157075.38</v>
      </c>
      <c r="L173" s="94">
        <f t="shared" si="22"/>
        <v>-7479.7799999999988</v>
      </c>
      <c r="M173" s="11"/>
      <c r="N173" s="180" t="e">
        <f>#REF!-H173</f>
        <v>#REF!</v>
      </c>
    </row>
    <row r="174" spans="1:15" s="114" customFormat="1">
      <c r="A174" s="96">
        <v>86</v>
      </c>
      <c r="B174" s="241"/>
      <c r="C174" s="4" t="s">
        <v>407</v>
      </c>
      <c r="D174" s="41">
        <v>200000</v>
      </c>
      <c r="E174" s="41">
        <v>26660</v>
      </c>
      <c r="F174" s="41">
        <v>226660</v>
      </c>
      <c r="G174" s="159">
        <v>40</v>
      </c>
      <c r="H174" s="208">
        <v>5666.5</v>
      </c>
      <c r="I174" s="97">
        <v>42</v>
      </c>
      <c r="J174" s="97">
        <f t="shared" si="20"/>
        <v>-2</v>
      </c>
      <c r="K174" s="91">
        <f t="shared" si="21"/>
        <v>237993</v>
      </c>
      <c r="L174" s="94">
        <f t="shared" si="22"/>
        <v>-11333</v>
      </c>
      <c r="M174" s="11"/>
      <c r="N174" s="180" t="e">
        <f>#REF!-H174</f>
        <v>#REF!</v>
      </c>
    </row>
    <row r="175" spans="1:15" s="114" customFormat="1">
      <c r="A175" s="96">
        <v>94</v>
      </c>
      <c r="B175" s="241"/>
      <c r="C175" s="4" t="s">
        <v>408</v>
      </c>
      <c r="D175" s="41">
        <v>200000</v>
      </c>
      <c r="E175" s="41">
        <v>26660</v>
      </c>
      <c r="F175" s="41">
        <v>226660</v>
      </c>
      <c r="G175" s="159">
        <v>40</v>
      </c>
      <c r="H175" s="208">
        <v>5666.5</v>
      </c>
      <c r="I175" s="97">
        <v>42</v>
      </c>
      <c r="J175" s="97">
        <f t="shared" si="20"/>
        <v>-2</v>
      </c>
      <c r="K175" s="91">
        <f t="shared" si="21"/>
        <v>237993</v>
      </c>
      <c r="L175" s="94">
        <f t="shared" si="22"/>
        <v>-11333</v>
      </c>
      <c r="M175" s="11"/>
      <c r="N175" s="180" t="e">
        <f>#REF!-H175</f>
        <v>#REF!</v>
      </c>
    </row>
    <row r="176" spans="1:15" s="114" customFormat="1">
      <c r="A176" s="96">
        <v>99</v>
      </c>
      <c r="B176" s="241"/>
      <c r="C176" s="4" t="s">
        <v>409</v>
      </c>
      <c r="D176" s="41">
        <v>200000</v>
      </c>
      <c r="E176" s="41">
        <v>26660</v>
      </c>
      <c r="F176" s="41">
        <f>SUM(D176:E176)</f>
        <v>226660</v>
      </c>
      <c r="G176" s="159">
        <v>40</v>
      </c>
      <c r="H176" s="208">
        <v>5666.5</v>
      </c>
      <c r="I176" s="97">
        <v>42</v>
      </c>
      <c r="J176" s="97">
        <f t="shared" si="20"/>
        <v>-2</v>
      </c>
      <c r="K176" s="91">
        <f t="shared" si="21"/>
        <v>237993</v>
      </c>
      <c r="L176" s="94">
        <f t="shared" si="22"/>
        <v>-11333</v>
      </c>
      <c r="M176" s="11"/>
      <c r="N176" s="180" t="e">
        <f>#REF!-H176</f>
        <v>#REF!</v>
      </c>
      <c r="O176"/>
    </row>
    <row r="177" spans="1:15" s="114" customFormat="1">
      <c r="A177" s="96">
        <v>107</v>
      </c>
      <c r="B177" s="241"/>
      <c r="C177" s="4" t="s">
        <v>35</v>
      </c>
      <c r="D177" s="155">
        <v>150000</v>
      </c>
      <c r="E177" s="155">
        <v>19995</v>
      </c>
      <c r="F177" s="155">
        <f>SUM(D177:E177)</f>
        <v>169995</v>
      </c>
      <c r="G177" s="159">
        <v>50</v>
      </c>
      <c r="H177" s="208">
        <v>3399.9</v>
      </c>
      <c r="I177" s="97">
        <v>14</v>
      </c>
      <c r="J177" s="97">
        <f t="shared" si="20"/>
        <v>36</v>
      </c>
      <c r="K177" s="91">
        <f t="shared" si="21"/>
        <v>47598.6</v>
      </c>
      <c r="L177" s="91">
        <f t="shared" si="22"/>
        <v>122396.4</v>
      </c>
      <c r="M177" s="122"/>
      <c r="N177" s="180" t="e">
        <f>#REF!-H177</f>
        <v>#REF!</v>
      </c>
      <c r="O177"/>
    </row>
    <row r="178" spans="1:15" s="114" customFormat="1">
      <c r="O178"/>
    </row>
    <row r="179" spans="1:15" s="114" customFormat="1">
      <c r="A179" s="96">
        <v>30</v>
      </c>
      <c r="B179" s="96"/>
      <c r="C179" s="25" t="s">
        <v>362</v>
      </c>
      <c r="D179" s="12">
        <v>450000</v>
      </c>
      <c r="E179" s="12">
        <v>59985</v>
      </c>
      <c r="F179" s="15">
        <f>SUM(D179:E179)</f>
        <v>509985</v>
      </c>
      <c r="G179" s="14">
        <v>50</v>
      </c>
      <c r="H179" s="212">
        <v>10199.700000000001</v>
      </c>
      <c r="I179" s="14">
        <v>30</v>
      </c>
      <c r="J179" s="97">
        <f t="shared" ref="J179:J186" si="23">G179-I179</f>
        <v>20</v>
      </c>
      <c r="K179" s="91">
        <f>I179*H179</f>
        <v>305991</v>
      </c>
      <c r="L179" s="15">
        <f t="shared" ref="L179:L186" si="24">F179-K179</f>
        <v>203994</v>
      </c>
      <c r="M179" s="8"/>
      <c r="N179" s="180" t="e">
        <f>#REF!-H179</f>
        <v>#REF!</v>
      </c>
      <c r="O179"/>
    </row>
    <row r="180" spans="1:15" s="114" customFormat="1" ht="14.25" customHeight="1">
      <c r="A180" s="96">
        <v>102</v>
      </c>
      <c r="B180" s="241"/>
      <c r="C180" s="46" t="s">
        <v>289</v>
      </c>
      <c r="D180" s="16">
        <v>180000</v>
      </c>
      <c r="E180" s="16">
        <v>23994</v>
      </c>
      <c r="F180" s="16">
        <v>203994</v>
      </c>
      <c r="G180" s="221">
        <v>40</v>
      </c>
      <c r="H180" s="167">
        <v>5099.8500000000004</v>
      </c>
      <c r="I180" s="97">
        <v>40</v>
      </c>
      <c r="J180" s="97">
        <f t="shared" si="23"/>
        <v>0</v>
      </c>
      <c r="K180" s="156">
        <f>(36*5099.85)</f>
        <v>183594.6</v>
      </c>
      <c r="L180" s="91">
        <f t="shared" si="24"/>
        <v>20399.399999999994</v>
      </c>
      <c r="M180" s="122"/>
      <c r="N180" s="180" t="e">
        <f>#REF!-H180</f>
        <v>#REF!</v>
      </c>
      <c r="O180"/>
    </row>
    <row r="181" spans="1:15" s="114" customFormat="1" ht="14.25" customHeight="1">
      <c r="A181" s="96">
        <v>90</v>
      </c>
      <c r="B181" s="241"/>
      <c r="C181" s="4" t="s">
        <v>416</v>
      </c>
      <c r="D181" s="12">
        <v>180000</v>
      </c>
      <c r="E181" s="12">
        <v>23994</v>
      </c>
      <c r="F181" s="15">
        <f>SUM(D181:E181)</f>
        <v>203994</v>
      </c>
      <c r="G181" s="21">
        <v>40</v>
      </c>
      <c r="H181" s="167">
        <v>5099.8500000000004</v>
      </c>
      <c r="I181" s="14">
        <v>47</v>
      </c>
      <c r="J181" s="97">
        <f t="shared" si="23"/>
        <v>-7</v>
      </c>
      <c r="K181" s="91">
        <f t="shared" ref="K181:K186" si="25">I181*H181</f>
        <v>239692.95</v>
      </c>
      <c r="L181" s="15">
        <f t="shared" si="24"/>
        <v>-35698.950000000012</v>
      </c>
      <c r="M181" s="10"/>
      <c r="N181" s="180" t="e">
        <f>#REF!-H181</f>
        <v>#REF!</v>
      </c>
      <c r="O181"/>
    </row>
    <row r="182" spans="1:15" ht="14.25" customHeight="1">
      <c r="A182" s="96">
        <v>4</v>
      </c>
      <c r="B182" s="241"/>
      <c r="C182" s="4" t="s">
        <v>384</v>
      </c>
      <c r="D182" s="41">
        <v>200000</v>
      </c>
      <c r="E182" s="41">
        <v>26660</v>
      </c>
      <c r="F182" s="41">
        <f>SUM(D182:E182)</f>
        <v>226660</v>
      </c>
      <c r="G182" s="159">
        <v>40</v>
      </c>
      <c r="H182" s="167">
        <v>5666.5</v>
      </c>
      <c r="I182" s="96">
        <v>32</v>
      </c>
      <c r="J182" s="96">
        <f t="shared" si="23"/>
        <v>8</v>
      </c>
      <c r="K182" s="16">
        <f t="shared" si="25"/>
        <v>181328</v>
      </c>
      <c r="L182" s="41">
        <f t="shared" si="24"/>
        <v>45332</v>
      </c>
      <c r="M182" s="11"/>
      <c r="N182" s="180" t="e">
        <f>#REF!-H182</f>
        <v>#REF!</v>
      </c>
    </row>
    <row r="183" spans="1:15" ht="14.25" customHeight="1">
      <c r="A183" s="96">
        <v>10</v>
      </c>
      <c r="B183" s="241"/>
      <c r="C183" s="4" t="s">
        <v>388</v>
      </c>
      <c r="D183" s="15">
        <v>200000</v>
      </c>
      <c r="E183" s="15">
        <v>26660</v>
      </c>
      <c r="F183" s="15">
        <f>SUM(D183:E183)</f>
        <v>226660</v>
      </c>
      <c r="G183" s="14">
        <v>40</v>
      </c>
      <c r="H183" s="24">
        <v>5666.5</v>
      </c>
      <c r="I183" s="14">
        <v>38</v>
      </c>
      <c r="J183" s="97">
        <f t="shared" si="23"/>
        <v>2</v>
      </c>
      <c r="K183" s="91">
        <f t="shared" si="25"/>
        <v>215327</v>
      </c>
      <c r="L183" s="15">
        <f t="shared" si="24"/>
        <v>11333</v>
      </c>
      <c r="M183" s="8"/>
      <c r="N183" s="180" t="e">
        <f>#REF!-H183</f>
        <v>#REF!</v>
      </c>
    </row>
    <row r="184" spans="1:15" ht="14.25" customHeight="1">
      <c r="A184" s="96">
        <v>25</v>
      </c>
      <c r="B184" s="241"/>
      <c r="C184" s="4" t="s">
        <v>140</v>
      </c>
      <c r="D184" s="15">
        <v>200000</v>
      </c>
      <c r="E184" s="15">
        <v>26660</v>
      </c>
      <c r="F184" s="15">
        <f>SUM(D184:E184)</f>
        <v>226660</v>
      </c>
      <c r="G184" s="14">
        <v>40</v>
      </c>
      <c r="H184" s="167">
        <v>5666.5</v>
      </c>
      <c r="I184" s="14">
        <v>34</v>
      </c>
      <c r="J184" s="97">
        <f t="shared" si="23"/>
        <v>6</v>
      </c>
      <c r="K184" s="91">
        <f t="shared" si="25"/>
        <v>192661</v>
      </c>
      <c r="L184" s="15">
        <f t="shared" si="24"/>
        <v>33999</v>
      </c>
      <c r="M184" s="8"/>
      <c r="N184" s="180" t="e">
        <f>#REF!-H184</f>
        <v>#REF!</v>
      </c>
    </row>
    <row r="185" spans="1:15" ht="14.25" customHeight="1">
      <c r="A185" s="96">
        <v>31</v>
      </c>
      <c r="B185" s="96"/>
      <c r="C185" s="2" t="s">
        <v>284</v>
      </c>
      <c r="D185" s="19">
        <v>500000</v>
      </c>
      <c r="E185" s="19">
        <v>66650</v>
      </c>
      <c r="F185" s="19">
        <v>566650</v>
      </c>
      <c r="G185" s="159">
        <v>50</v>
      </c>
      <c r="H185" s="167">
        <v>11333</v>
      </c>
      <c r="I185" s="97">
        <v>34</v>
      </c>
      <c r="J185" s="97">
        <f t="shared" si="23"/>
        <v>16</v>
      </c>
      <c r="K185" s="91">
        <f t="shared" si="25"/>
        <v>385322</v>
      </c>
      <c r="L185" s="91">
        <f t="shared" si="24"/>
        <v>181328</v>
      </c>
      <c r="M185" s="122"/>
      <c r="N185" s="180" t="e">
        <f>#REF!-H185</f>
        <v>#REF!</v>
      </c>
    </row>
    <row r="186" spans="1:15" ht="14.25" customHeight="1">
      <c r="A186" s="96">
        <v>122</v>
      </c>
      <c r="B186" s="241"/>
      <c r="C186" s="168" t="s">
        <v>382</v>
      </c>
      <c r="D186" s="12">
        <v>330000</v>
      </c>
      <c r="E186" s="12">
        <v>43989</v>
      </c>
      <c r="F186" s="15">
        <f>SUM(D186:E186)</f>
        <v>373989</v>
      </c>
      <c r="G186" s="14">
        <v>50</v>
      </c>
      <c r="H186" s="222">
        <v>7479.78</v>
      </c>
      <c r="I186" s="14">
        <v>32</v>
      </c>
      <c r="J186" s="97">
        <f t="shared" si="23"/>
        <v>18</v>
      </c>
      <c r="K186" s="91">
        <f t="shared" si="25"/>
        <v>239352.95999999999</v>
      </c>
      <c r="L186" s="15">
        <f t="shared" si="24"/>
        <v>134636.04</v>
      </c>
      <c r="M186" s="8"/>
    </row>
    <row r="187" spans="1:15" ht="14.25" customHeight="1">
      <c r="A187" s="114"/>
      <c r="B187" s="114"/>
      <c r="C187" s="114"/>
      <c r="D187" s="114"/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</row>
    <row r="188" spans="1:15" ht="14.25" customHeight="1">
      <c r="A188" s="96">
        <v>96</v>
      </c>
      <c r="B188" s="241"/>
      <c r="C188" s="4" t="s">
        <v>482</v>
      </c>
      <c r="D188" s="12">
        <v>60000</v>
      </c>
      <c r="E188" s="12">
        <v>7998</v>
      </c>
      <c r="F188" s="15">
        <f>SUM(D188:E188)</f>
        <v>67998</v>
      </c>
      <c r="G188" s="14">
        <v>40</v>
      </c>
      <c r="H188" s="172">
        <v>1699.95</v>
      </c>
      <c r="I188" s="97">
        <v>41</v>
      </c>
      <c r="J188" s="97">
        <f>G188-I188</f>
        <v>-1</v>
      </c>
      <c r="K188" s="91">
        <f>I188*H188</f>
        <v>69697.95</v>
      </c>
      <c r="L188" s="94">
        <f>F188-K188</f>
        <v>-1699.9499999999971</v>
      </c>
      <c r="M188" s="122"/>
      <c r="N188" s="114"/>
    </row>
    <row r="189" spans="1:15" ht="14.25" customHeight="1">
      <c r="A189" s="114"/>
      <c r="B189" s="114"/>
      <c r="C189" s="114"/>
      <c r="D189" s="114"/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121"/>
    </row>
    <row r="190" spans="1:15" ht="14.25" customHeight="1">
      <c r="A190" s="96">
        <v>121</v>
      </c>
      <c r="B190" s="241"/>
      <c r="C190" s="4" t="s">
        <v>429</v>
      </c>
      <c r="D190" s="16">
        <v>60000</v>
      </c>
      <c r="E190" s="16">
        <v>7998</v>
      </c>
      <c r="F190" s="41">
        <f>SUM(D190:E190)</f>
        <v>67998</v>
      </c>
      <c r="G190" s="159">
        <v>40</v>
      </c>
      <c r="H190" s="167">
        <v>1699.95</v>
      </c>
      <c r="I190" s="97">
        <v>40</v>
      </c>
      <c r="J190" s="97">
        <f>G190-I190</f>
        <v>0</v>
      </c>
      <c r="K190" s="91">
        <f>I190*H190</f>
        <v>67998</v>
      </c>
      <c r="L190" s="94">
        <f>F190-K190</f>
        <v>0</v>
      </c>
      <c r="M190" s="11"/>
      <c r="N190" s="180" t="e">
        <f>#REF!-H190</f>
        <v>#REF!</v>
      </c>
    </row>
    <row r="192" spans="1:15">
      <c r="A192" s="96">
        <v>12</v>
      </c>
      <c r="B192" s="96"/>
      <c r="C192" s="2" t="s">
        <v>373</v>
      </c>
      <c r="D192" s="16">
        <v>330000</v>
      </c>
      <c r="E192" s="16">
        <v>43989</v>
      </c>
      <c r="F192" s="41">
        <f>SUM(D192:E192)</f>
        <v>373989</v>
      </c>
      <c r="G192" s="33">
        <v>50</v>
      </c>
      <c r="H192" s="16">
        <v>7479.78</v>
      </c>
      <c r="I192" s="96">
        <v>26</v>
      </c>
      <c r="J192" s="96">
        <f>G192-I192</f>
        <v>24</v>
      </c>
      <c r="K192" s="16">
        <f>I192*H192</f>
        <v>194474.28</v>
      </c>
      <c r="L192" s="41">
        <f>F192-K192</f>
        <v>179514.72</v>
      </c>
      <c r="M192" s="11"/>
      <c r="N192" s="180" t="e">
        <f>#REF!-H192</f>
        <v>#REF!</v>
      </c>
    </row>
    <row r="193" spans="1:15">
      <c r="A193" s="96">
        <v>87</v>
      </c>
      <c r="B193" s="96"/>
      <c r="C193" s="2" t="s">
        <v>421</v>
      </c>
      <c r="D193" s="16">
        <v>132000</v>
      </c>
      <c r="E193" s="16">
        <v>17595.599999999999</v>
      </c>
      <c r="F193" s="16">
        <v>149595.6</v>
      </c>
      <c r="G193" s="45">
        <v>40</v>
      </c>
      <c r="H193" s="19">
        <v>3739.89</v>
      </c>
      <c r="I193" s="97">
        <v>46</v>
      </c>
      <c r="J193" s="97">
        <f>G193-I193</f>
        <v>-6</v>
      </c>
      <c r="K193" s="91">
        <f>I193*H193</f>
        <v>172034.94</v>
      </c>
      <c r="L193" s="94">
        <f>F193-K193</f>
        <v>-22439.339999999997</v>
      </c>
      <c r="M193" s="11"/>
      <c r="N193" s="180" t="e">
        <f>#REF!-H193</f>
        <v>#REF!</v>
      </c>
    </row>
    <row r="194" spans="1:15" s="121" customFormat="1">
      <c r="A194" s="96">
        <v>116</v>
      </c>
      <c r="B194" s="96"/>
      <c r="C194" s="2" t="s">
        <v>377</v>
      </c>
      <c r="D194" s="155">
        <v>330000</v>
      </c>
      <c r="E194" s="155">
        <v>43989</v>
      </c>
      <c r="F194" s="155">
        <f>SUM(D194:E194)</f>
        <v>373989</v>
      </c>
      <c r="G194" s="33">
        <v>50</v>
      </c>
      <c r="H194" s="154">
        <v>7479.78</v>
      </c>
      <c r="I194" s="97">
        <v>12</v>
      </c>
      <c r="J194" s="97">
        <f>G194-I194</f>
        <v>38</v>
      </c>
      <c r="K194" s="91">
        <f>I194*H194</f>
        <v>89757.36</v>
      </c>
      <c r="L194" s="91">
        <f>F194-K194</f>
        <v>284231.64</v>
      </c>
      <c r="M194" s="122"/>
      <c r="N194" s="180" t="e">
        <f>#REF!-H194</f>
        <v>#REF!</v>
      </c>
      <c r="O194"/>
    </row>
    <row r="196" spans="1:15">
      <c r="A196" s="96">
        <v>144</v>
      </c>
      <c r="B196" s="96"/>
      <c r="C196" s="2" t="s">
        <v>410</v>
      </c>
      <c r="D196" s="41">
        <v>200000</v>
      </c>
      <c r="E196" s="41">
        <v>26660</v>
      </c>
      <c r="F196" s="41">
        <f>SUM(D196:E196)</f>
        <v>226660</v>
      </c>
      <c r="G196" s="33">
        <v>40</v>
      </c>
      <c r="H196" s="41">
        <v>5666.5</v>
      </c>
      <c r="I196" s="97">
        <v>40</v>
      </c>
      <c r="J196" s="97">
        <f>G196-I196</f>
        <v>0</v>
      </c>
      <c r="K196" s="91">
        <f>I196*H196</f>
        <v>226660</v>
      </c>
      <c r="L196" s="94">
        <f>F196-K196</f>
        <v>0</v>
      </c>
      <c r="M196" s="11"/>
      <c r="N196" s="180" t="e">
        <f>#REF!-H196</f>
        <v>#REF!</v>
      </c>
    </row>
    <row r="197" spans="1:15">
      <c r="A197" s="96">
        <v>147</v>
      </c>
      <c r="B197" s="96"/>
      <c r="C197" s="2" t="s">
        <v>411</v>
      </c>
      <c r="D197" s="41">
        <v>200000</v>
      </c>
      <c r="E197" s="41">
        <v>26660</v>
      </c>
      <c r="F197" s="41">
        <v>226660</v>
      </c>
      <c r="G197" s="33">
        <v>40</v>
      </c>
      <c r="H197" s="19">
        <v>5666.5</v>
      </c>
      <c r="I197" s="97">
        <v>40</v>
      </c>
      <c r="J197" s="97">
        <f>G197-I197</f>
        <v>0</v>
      </c>
      <c r="K197" s="91">
        <f>I197*H197</f>
        <v>226660</v>
      </c>
      <c r="L197" s="94">
        <f>F197-K197</f>
        <v>0</v>
      </c>
      <c r="M197" s="11"/>
      <c r="N197" s="180" t="e">
        <f>#REF!-H197</f>
        <v>#REF!</v>
      </c>
    </row>
    <row r="198" spans="1:15">
      <c r="A198" s="96">
        <v>148</v>
      </c>
      <c r="B198" s="96"/>
      <c r="C198" s="2" t="s">
        <v>412</v>
      </c>
      <c r="D198" s="41">
        <v>200000</v>
      </c>
      <c r="E198" s="41">
        <v>26660</v>
      </c>
      <c r="F198" s="41">
        <f>SUM(D198:E198)</f>
        <v>226660</v>
      </c>
      <c r="G198" s="33">
        <v>40</v>
      </c>
      <c r="H198" s="41">
        <v>5666.5</v>
      </c>
      <c r="I198" s="97">
        <v>40</v>
      </c>
      <c r="J198" s="97">
        <f>G198-I198</f>
        <v>0</v>
      </c>
      <c r="K198" s="91">
        <f>I198*H198</f>
        <v>226660</v>
      </c>
      <c r="L198" s="94">
        <f>F198-K198</f>
        <v>0</v>
      </c>
      <c r="M198" s="11"/>
      <c r="N198" s="180" t="e">
        <f>#REF!-H198</f>
        <v>#REF!</v>
      </c>
    </row>
    <row r="200" spans="1:15">
      <c r="A200" s="96">
        <v>6</v>
      </c>
      <c r="B200" s="96"/>
      <c r="C200" s="2" t="s">
        <v>418</v>
      </c>
      <c r="D200" s="16">
        <v>132000</v>
      </c>
      <c r="E200" s="16">
        <v>17595.599999999999</v>
      </c>
      <c r="F200" s="41">
        <f t="shared" ref="F200:F212" si="26">SUM(D200:E200)</f>
        <v>149595.6</v>
      </c>
      <c r="G200" s="33">
        <v>40</v>
      </c>
      <c r="H200" s="16">
        <v>3739.89</v>
      </c>
      <c r="I200" s="96">
        <v>40</v>
      </c>
      <c r="J200" s="96">
        <f t="shared" ref="J200:J220" si="27">G200-I200</f>
        <v>0</v>
      </c>
      <c r="K200" s="16">
        <f t="shared" ref="K200:K220" si="28">I200*H200</f>
        <v>149595.6</v>
      </c>
      <c r="L200" s="41">
        <f t="shared" ref="L200:L220" si="29">F200-K200</f>
        <v>0</v>
      </c>
      <c r="M200" s="11"/>
      <c r="N200" s="180" t="e">
        <f>#REF!-H200</f>
        <v>#REF!</v>
      </c>
    </row>
    <row r="201" spans="1:15">
      <c r="A201" s="96">
        <v>11</v>
      </c>
      <c r="B201" s="96"/>
      <c r="C201" s="2" t="s">
        <v>386</v>
      </c>
      <c r="D201" s="41">
        <v>200000</v>
      </c>
      <c r="E201" s="41">
        <v>26660</v>
      </c>
      <c r="F201" s="41">
        <f t="shared" si="26"/>
        <v>226660</v>
      </c>
      <c r="G201" s="33">
        <v>40</v>
      </c>
      <c r="H201" s="41">
        <v>5666.5</v>
      </c>
      <c r="I201" s="96">
        <v>40</v>
      </c>
      <c r="J201" s="96">
        <f t="shared" si="27"/>
        <v>0</v>
      </c>
      <c r="K201" s="16">
        <f t="shared" si="28"/>
        <v>226660</v>
      </c>
      <c r="L201" s="41">
        <f t="shared" si="29"/>
        <v>0</v>
      </c>
      <c r="M201" s="11"/>
      <c r="N201" s="180" t="e">
        <f>#REF!-H201</f>
        <v>#REF!</v>
      </c>
    </row>
    <row r="202" spans="1:15">
      <c r="A202" s="96">
        <v>13</v>
      </c>
      <c r="B202" s="96"/>
      <c r="C202" s="2" t="s">
        <v>387</v>
      </c>
      <c r="D202" s="41">
        <v>200000</v>
      </c>
      <c r="E202" s="41">
        <v>26660</v>
      </c>
      <c r="F202" s="41">
        <f t="shared" si="26"/>
        <v>226660</v>
      </c>
      <c r="G202" s="33">
        <v>40</v>
      </c>
      <c r="H202" s="41">
        <v>5666.5</v>
      </c>
      <c r="I202" s="96">
        <v>40</v>
      </c>
      <c r="J202" s="96">
        <f t="shared" si="27"/>
        <v>0</v>
      </c>
      <c r="K202" s="16">
        <f t="shared" si="28"/>
        <v>226660</v>
      </c>
      <c r="L202" s="41">
        <f t="shared" si="29"/>
        <v>0</v>
      </c>
      <c r="M202" s="11"/>
      <c r="N202" s="180" t="e">
        <f>#REF!-H202</f>
        <v>#REF!</v>
      </c>
    </row>
    <row r="203" spans="1:15">
      <c r="A203" s="96">
        <v>20</v>
      </c>
      <c r="B203" s="96"/>
      <c r="C203" s="2" t="s">
        <v>390</v>
      </c>
      <c r="D203" s="41">
        <v>200000</v>
      </c>
      <c r="E203" s="41">
        <v>26660</v>
      </c>
      <c r="F203" s="41">
        <f t="shared" si="26"/>
        <v>226660</v>
      </c>
      <c r="G203" s="33">
        <v>40</v>
      </c>
      <c r="H203" s="41">
        <v>5666.5</v>
      </c>
      <c r="I203" s="96">
        <v>40</v>
      </c>
      <c r="J203" s="96">
        <f t="shared" si="27"/>
        <v>0</v>
      </c>
      <c r="K203" s="16">
        <f t="shared" si="28"/>
        <v>226660</v>
      </c>
      <c r="L203" s="41">
        <f t="shared" si="29"/>
        <v>0</v>
      </c>
      <c r="M203" s="11"/>
      <c r="N203" s="180" t="e">
        <f>#REF!-H203</f>
        <v>#REF!</v>
      </c>
    </row>
    <row r="204" spans="1:15">
      <c r="A204" s="96">
        <v>29</v>
      </c>
      <c r="B204" s="96"/>
      <c r="C204" s="2" t="s">
        <v>391</v>
      </c>
      <c r="D204" s="41">
        <v>200000</v>
      </c>
      <c r="E204" s="41">
        <v>26660</v>
      </c>
      <c r="F204" s="41">
        <f t="shared" si="26"/>
        <v>226660</v>
      </c>
      <c r="G204" s="33">
        <v>40</v>
      </c>
      <c r="H204" s="41">
        <v>5666.5</v>
      </c>
      <c r="I204" s="97">
        <v>40</v>
      </c>
      <c r="J204" s="97">
        <f t="shared" si="27"/>
        <v>0</v>
      </c>
      <c r="K204" s="91">
        <f t="shared" si="28"/>
        <v>226660</v>
      </c>
      <c r="L204" s="94">
        <f t="shared" si="29"/>
        <v>0</v>
      </c>
      <c r="M204" s="11"/>
      <c r="N204" s="180" t="e">
        <f>#REF!-H204</f>
        <v>#REF!</v>
      </c>
    </row>
    <row r="205" spans="1:15">
      <c r="A205" s="96">
        <v>31</v>
      </c>
      <c r="B205" s="96"/>
      <c r="C205" s="2" t="s">
        <v>392</v>
      </c>
      <c r="D205" s="41">
        <v>200000</v>
      </c>
      <c r="E205" s="41">
        <v>26660</v>
      </c>
      <c r="F205" s="41">
        <f t="shared" si="26"/>
        <v>226660</v>
      </c>
      <c r="G205" s="33">
        <v>40</v>
      </c>
      <c r="H205" s="41">
        <v>5666.5</v>
      </c>
      <c r="I205" s="97">
        <v>40</v>
      </c>
      <c r="J205" s="97">
        <f t="shared" si="27"/>
        <v>0</v>
      </c>
      <c r="K205" s="91">
        <f t="shared" si="28"/>
        <v>226660</v>
      </c>
      <c r="L205" s="94">
        <f t="shared" si="29"/>
        <v>0</v>
      </c>
      <c r="M205" s="11"/>
      <c r="N205" s="180" t="e">
        <f>#REF!-H205</f>
        <v>#REF!</v>
      </c>
    </row>
    <row r="206" spans="1:15">
      <c r="A206" s="96">
        <v>34</v>
      </c>
      <c r="B206" s="96"/>
      <c r="C206" s="2" t="s">
        <v>393</v>
      </c>
      <c r="D206" s="41">
        <v>200000</v>
      </c>
      <c r="E206" s="41">
        <v>26660</v>
      </c>
      <c r="F206" s="41">
        <f t="shared" si="26"/>
        <v>226660</v>
      </c>
      <c r="G206" s="33">
        <v>40</v>
      </c>
      <c r="H206" s="41">
        <v>5666.5</v>
      </c>
      <c r="I206" s="97">
        <v>40</v>
      </c>
      <c r="J206" s="97">
        <f t="shared" si="27"/>
        <v>0</v>
      </c>
      <c r="K206" s="91">
        <f t="shared" si="28"/>
        <v>226660</v>
      </c>
      <c r="L206" s="94">
        <f t="shared" si="29"/>
        <v>0</v>
      </c>
      <c r="M206" s="11"/>
      <c r="N206" s="180" t="e">
        <f>#REF!-H206</f>
        <v>#REF!</v>
      </c>
    </row>
    <row r="207" spans="1:15">
      <c r="A207" s="96">
        <v>41</v>
      </c>
      <c r="B207" s="96"/>
      <c r="C207" s="2" t="s">
        <v>415</v>
      </c>
      <c r="D207" s="16">
        <v>180000</v>
      </c>
      <c r="E207" s="16">
        <v>23994</v>
      </c>
      <c r="F207" s="41">
        <f t="shared" si="26"/>
        <v>203994</v>
      </c>
      <c r="G207" s="33">
        <v>40</v>
      </c>
      <c r="H207" s="16">
        <v>5099.8500000000004</v>
      </c>
      <c r="I207" s="97">
        <v>40</v>
      </c>
      <c r="J207" s="97">
        <f t="shared" si="27"/>
        <v>0</v>
      </c>
      <c r="K207" s="91">
        <f t="shared" si="28"/>
        <v>203994</v>
      </c>
      <c r="L207" s="94">
        <f t="shared" si="29"/>
        <v>0</v>
      </c>
      <c r="M207" s="11"/>
      <c r="N207" s="180" t="e">
        <f>#REF!-H207</f>
        <v>#REF!</v>
      </c>
    </row>
    <row r="208" spans="1:15">
      <c r="A208" s="96">
        <v>45</v>
      </c>
      <c r="B208" s="96"/>
      <c r="C208" s="2" t="s">
        <v>394</v>
      </c>
      <c r="D208" s="41">
        <v>200000</v>
      </c>
      <c r="E208" s="41">
        <v>26660</v>
      </c>
      <c r="F208" s="41">
        <f t="shared" si="26"/>
        <v>226660</v>
      </c>
      <c r="G208" s="33">
        <v>40</v>
      </c>
      <c r="H208" s="41">
        <v>5666.5</v>
      </c>
      <c r="I208" s="97">
        <v>40</v>
      </c>
      <c r="J208" s="97">
        <f t="shared" si="27"/>
        <v>0</v>
      </c>
      <c r="K208" s="91">
        <f t="shared" si="28"/>
        <v>226660</v>
      </c>
      <c r="L208" s="94">
        <f t="shared" si="29"/>
        <v>0</v>
      </c>
      <c r="M208" s="11"/>
      <c r="N208" s="180" t="e">
        <f>#REF!-H208</f>
        <v>#REF!</v>
      </c>
    </row>
    <row r="209" spans="1:15">
      <c r="A209" s="96">
        <v>51</v>
      </c>
      <c r="B209" s="96"/>
      <c r="C209" s="2" t="s">
        <v>395</v>
      </c>
      <c r="D209" s="15">
        <v>200000</v>
      </c>
      <c r="E209" s="15">
        <v>26660</v>
      </c>
      <c r="F209" s="15">
        <f t="shared" si="26"/>
        <v>226660</v>
      </c>
      <c r="G209" s="31">
        <v>40</v>
      </c>
      <c r="H209" s="15">
        <v>5666.5</v>
      </c>
      <c r="I209" s="14">
        <v>38</v>
      </c>
      <c r="J209" s="97">
        <f t="shared" si="27"/>
        <v>2</v>
      </c>
      <c r="K209" s="91">
        <f t="shared" si="28"/>
        <v>215327</v>
      </c>
      <c r="L209" s="15">
        <f t="shared" si="29"/>
        <v>11333</v>
      </c>
      <c r="M209" s="8"/>
      <c r="N209" s="180" t="e">
        <f>#REF!-H209</f>
        <v>#REF!</v>
      </c>
    </row>
    <row r="210" spans="1:15">
      <c r="A210" s="96">
        <v>59</v>
      </c>
      <c r="B210" s="96"/>
      <c r="C210" s="2" t="s">
        <v>419</v>
      </c>
      <c r="D210" s="16">
        <v>132000</v>
      </c>
      <c r="E210" s="16">
        <v>17595.599999999999</v>
      </c>
      <c r="F210" s="41">
        <f t="shared" si="26"/>
        <v>149595.6</v>
      </c>
      <c r="G210" s="33">
        <v>40</v>
      </c>
      <c r="H210" s="16">
        <v>3739.89</v>
      </c>
      <c r="I210" s="97">
        <v>40</v>
      </c>
      <c r="J210" s="97">
        <f t="shared" si="27"/>
        <v>0</v>
      </c>
      <c r="K210" s="91">
        <f t="shared" si="28"/>
        <v>149595.6</v>
      </c>
      <c r="L210" s="94">
        <f t="shared" si="29"/>
        <v>0</v>
      </c>
      <c r="M210" s="11"/>
      <c r="N210" s="180" t="e">
        <f>#REF!-H210</f>
        <v>#REF!</v>
      </c>
    </row>
    <row r="211" spans="1:15">
      <c r="A211" s="96">
        <v>60</v>
      </c>
      <c r="B211" s="96"/>
      <c r="C211" s="2" t="s">
        <v>396</v>
      </c>
      <c r="D211" s="41">
        <v>200000</v>
      </c>
      <c r="E211" s="41">
        <v>26660</v>
      </c>
      <c r="F211" s="41">
        <f t="shared" si="26"/>
        <v>226660</v>
      </c>
      <c r="G211" s="33">
        <v>40</v>
      </c>
      <c r="H211" s="41">
        <v>5666.5</v>
      </c>
      <c r="I211" s="97">
        <v>40</v>
      </c>
      <c r="J211" s="97">
        <f t="shared" si="27"/>
        <v>0</v>
      </c>
      <c r="K211" s="91">
        <f t="shared" si="28"/>
        <v>226660</v>
      </c>
      <c r="L211" s="94">
        <f t="shared" si="29"/>
        <v>0</v>
      </c>
      <c r="M211" s="11"/>
      <c r="N211" s="180" t="e">
        <f>#REF!-H211</f>
        <v>#REF!</v>
      </c>
    </row>
    <row r="212" spans="1:15">
      <c r="A212" s="96">
        <v>65</v>
      </c>
      <c r="B212" s="96"/>
      <c r="C212" s="2" t="s">
        <v>420</v>
      </c>
      <c r="D212" s="16">
        <v>132000</v>
      </c>
      <c r="E212" s="16">
        <v>17595.599999999999</v>
      </c>
      <c r="F212" s="41">
        <f t="shared" si="26"/>
        <v>149595.6</v>
      </c>
      <c r="G212" s="33">
        <v>40</v>
      </c>
      <c r="H212" s="16">
        <v>3739.89</v>
      </c>
      <c r="I212" s="97">
        <v>40</v>
      </c>
      <c r="J212" s="97">
        <f t="shared" si="27"/>
        <v>0</v>
      </c>
      <c r="K212" s="91">
        <f t="shared" si="28"/>
        <v>149595.6</v>
      </c>
      <c r="L212" s="94">
        <f t="shared" si="29"/>
        <v>0</v>
      </c>
      <c r="M212" s="11"/>
      <c r="N212" s="180" t="e">
        <f>#REF!-H212</f>
        <v>#REF!</v>
      </c>
    </row>
    <row r="213" spans="1:15">
      <c r="A213" s="96">
        <v>67</v>
      </c>
      <c r="B213" s="96"/>
      <c r="C213" s="2" t="s">
        <v>397</v>
      </c>
      <c r="D213" s="41">
        <v>200000</v>
      </c>
      <c r="E213" s="41">
        <v>26660</v>
      </c>
      <c r="F213" s="41">
        <v>226660</v>
      </c>
      <c r="G213" s="33">
        <v>40</v>
      </c>
      <c r="H213" s="19">
        <v>5666.5</v>
      </c>
      <c r="I213" s="97">
        <v>40</v>
      </c>
      <c r="J213" s="97">
        <f t="shared" si="27"/>
        <v>0</v>
      </c>
      <c r="K213" s="91">
        <f t="shared" si="28"/>
        <v>226660</v>
      </c>
      <c r="L213" s="94">
        <f t="shared" si="29"/>
        <v>0</v>
      </c>
      <c r="M213" s="11"/>
      <c r="N213" s="180" t="e">
        <f>#REF!-H213</f>
        <v>#REF!</v>
      </c>
    </row>
    <row r="214" spans="1:15">
      <c r="A214" s="96">
        <v>69</v>
      </c>
      <c r="B214" s="96"/>
      <c r="C214" s="2" t="s">
        <v>398</v>
      </c>
      <c r="D214" s="41">
        <v>200000</v>
      </c>
      <c r="E214" s="41">
        <v>26660</v>
      </c>
      <c r="F214" s="41">
        <f>SUM(D214:E214)</f>
        <v>226660</v>
      </c>
      <c r="G214" s="33">
        <v>40</v>
      </c>
      <c r="H214" s="41">
        <v>5666.5</v>
      </c>
      <c r="I214" s="97">
        <v>40</v>
      </c>
      <c r="J214" s="97">
        <f t="shared" si="27"/>
        <v>0</v>
      </c>
      <c r="K214" s="91">
        <f t="shared" si="28"/>
        <v>226660</v>
      </c>
      <c r="L214" s="94">
        <f t="shared" si="29"/>
        <v>0</v>
      </c>
      <c r="M214" s="11"/>
      <c r="N214" s="180" t="e">
        <f>#REF!-H214</f>
        <v>#REF!</v>
      </c>
    </row>
    <row r="215" spans="1:15">
      <c r="A215" s="96">
        <v>72</v>
      </c>
      <c r="B215" s="96"/>
      <c r="C215" s="2" t="s">
        <v>399</v>
      </c>
      <c r="D215" s="41">
        <v>200000</v>
      </c>
      <c r="E215" s="41">
        <v>26660</v>
      </c>
      <c r="F215" s="41">
        <f>SUM(D215:E215)</f>
        <v>226660</v>
      </c>
      <c r="G215" s="33">
        <v>40</v>
      </c>
      <c r="H215" s="41">
        <v>5666.5</v>
      </c>
      <c r="I215" s="97">
        <v>40</v>
      </c>
      <c r="J215" s="97">
        <f t="shared" si="27"/>
        <v>0</v>
      </c>
      <c r="K215" s="91">
        <f t="shared" si="28"/>
        <v>226660</v>
      </c>
      <c r="L215" s="94">
        <f t="shared" si="29"/>
        <v>0</v>
      </c>
      <c r="M215" s="11"/>
      <c r="N215" s="180" t="e">
        <f>#REF!-H215</f>
        <v>#REF!</v>
      </c>
    </row>
    <row r="216" spans="1:15">
      <c r="A216" s="96">
        <v>73</v>
      </c>
      <c r="B216" s="96"/>
      <c r="C216" s="2" t="s">
        <v>428</v>
      </c>
      <c r="D216" s="16">
        <v>60000</v>
      </c>
      <c r="E216" s="16">
        <v>7998</v>
      </c>
      <c r="F216" s="41">
        <f>SUM(D216:E216)</f>
        <v>67998</v>
      </c>
      <c r="G216" s="33">
        <v>40</v>
      </c>
      <c r="H216" s="16">
        <v>1699.95</v>
      </c>
      <c r="I216" s="97">
        <v>40</v>
      </c>
      <c r="J216" s="97">
        <f t="shared" si="27"/>
        <v>0</v>
      </c>
      <c r="K216" s="91">
        <f t="shared" si="28"/>
        <v>67998</v>
      </c>
      <c r="L216" s="94">
        <f t="shared" si="29"/>
        <v>0</v>
      </c>
      <c r="M216" s="11"/>
      <c r="N216" s="180" t="e">
        <f>#REF!-H216</f>
        <v>#REF!</v>
      </c>
      <c r="O216" s="114"/>
    </row>
    <row r="217" spans="1:15">
      <c r="A217" s="96">
        <v>77</v>
      </c>
      <c r="B217" s="96"/>
      <c r="C217" s="2" t="s">
        <v>401</v>
      </c>
      <c r="D217" s="41">
        <v>200000</v>
      </c>
      <c r="E217" s="41">
        <v>26660</v>
      </c>
      <c r="F217" s="41">
        <f>SUM(D217:E217)</f>
        <v>226660</v>
      </c>
      <c r="G217" s="33">
        <v>40</v>
      </c>
      <c r="H217" s="41">
        <v>5666.5</v>
      </c>
      <c r="I217" s="97">
        <v>40</v>
      </c>
      <c r="J217" s="97">
        <f t="shared" si="27"/>
        <v>0</v>
      </c>
      <c r="K217" s="91">
        <f t="shared" si="28"/>
        <v>226660</v>
      </c>
      <c r="L217" s="94">
        <f t="shared" si="29"/>
        <v>0</v>
      </c>
      <c r="M217" s="11"/>
      <c r="N217" s="180" t="e">
        <f>#REF!-H217</f>
        <v>#REF!</v>
      </c>
      <c r="O217" s="114"/>
    </row>
    <row r="218" spans="1:15">
      <c r="A218" s="96">
        <v>79</v>
      </c>
      <c r="B218" s="96"/>
      <c r="C218" s="2" t="s">
        <v>402</v>
      </c>
      <c r="D218" s="41">
        <v>200000</v>
      </c>
      <c r="E218" s="41">
        <v>26660</v>
      </c>
      <c r="F218" s="41">
        <f>SUM(D218:E218)</f>
        <v>226660</v>
      </c>
      <c r="G218" s="33">
        <v>40</v>
      </c>
      <c r="H218" s="41">
        <v>5666.5</v>
      </c>
      <c r="I218" s="97">
        <v>40</v>
      </c>
      <c r="J218" s="97">
        <f t="shared" si="27"/>
        <v>0</v>
      </c>
      <c r="K218" s="91">
        <f t="shared" si="28"/>
        <v>226660</v>
      </c>
      <c r="L218" s="94">
        <f t="shared" si="29"/>
        <v>0</v>
      </c>
      <c r="M218" s="11"/>
      <c r="N218" s="180" t="e">
        <f>#REF!-H218</f>
        <v>#REF!</v>
      </c>
      <c r="O218" s="114"/>
    </row>
    <row r="219" spans="1:15">
      <c r="A219" s="96">
        <v>82</v>
      </c>
      <c r="B219" s="96"/>
      <c r="C219" s="2" t="s">
        <v>404</v>
      </c>
      <c r="D219" s="41">
        <v>200000</v>
      </c>
      <c r="E219" s="41">
        <v>26660</v>
      </c>
      <c r="F219" s="41">
        <v>226660</v>
      </c>
      <c r="G219" s="33">
        <v>40</v>
      </c>
      <c r="H219" s="19">
        <v>5666.5</v>
      </c>
      <c r="I219" s="97">
        <v>40</v>
      </c>
      <c r="J219" s="97">
        <f t="shared" si="27"/>
        <v>0</v>
      </c>
      <c r="K219" s="91">
        <f t="shared" si="28"/>
        <v>226660</v>
      </c>
      <c r="L219" s="94">
        <f t="shared" si="29"/>
        <v>0</v>
      </c>
      <c r="M219" s="11"/>
      <c r="N219" s="180" t="e">
        <f>#REF!-H219</f>
        <v>#REF!</v>
      </c>
    </row>
    <row r="220" spans="1:15">
      <c r="A220" s="96">
        <v>84</v>
      </c>
      <c r="B220" s="96"/>
      <c r="C220" s="2" t="s">
        <v>405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27"/>
        <v>0</v>
      </c>
      <c r="K220" s="91">
        <f t="shared" si="28"/>
        <v>226660</v>
      </c>
      <c r="L220" s="94">
        <f t="shared" si="29"/>
        <v>0</v>
      </c>
      <c r="M220" s="11"/>
      <c r="N220" s="180" t="e">
        <f>#REF!-H220</f>
        <v>#REF!</v>
      </c>
      <c r="O220" s="114"/>
    </row>
    <row r="221" spans="1:15">
      <c r="O221" s="114"/>
    </row>
    <row r="222" spans="1:15">
      <c r="O222" s="114"/>
    </row>
    <row r="223" spans="1:15">
      <c r="C223" s="127" t="s">
        <v>226</v>
      </c>
      <c r="D223" s="129">
        <v>200000</v>
      </c>
      <c r="E223" s="129">
        <v>26660</v>
      </c>
      <c r="F223" s="129">
        <v>226660</v>
      </c>
      <c r="G223" s="130">
        <v>40</v>
      </c>
      <c r="H223" s="137">
        <v>5666.5</v>
      </c>
      <c r="I223" s="134">
        <v>40</v>
      </c>
      <c r="J223" s="134">
        <f t="shared" ref="J223:J243" si="30">G223-I223</f>
        <v>0</v>
      </c>
      <c r="K223" s="135">
        <f t="shared" ref="K223:K243" si="31">I223*H223</f>
        <v>226660</v>
      </c>
      <c r="L223" s="136">
        <f t="shared" ref="L223:L243" si="32">F223-K223</f>
        <v>0</v>
      </c>
      <c r="M223" s="132"/>
      <c r="N223" s="121"/>
    </row>
    <row r="224" spans="1:15">
      <c r="C224" s="127" t="s">
        <v>181</v>
      </c>
      <c r="D224" s="129">
        <v>200000</v>
      </c>
      <c r="E224" s="129">
        <v>26660</v>
      </c>
      <c r="F224" s="129">
        <f t="shared" ref="F224:F230" si="33">SUM(D224:E224)</f>
        <v>226660</v>
      </c>
      <c r="G224" s="130">
        <v>40</v>
      </c>
      <c r="H224" s="129">
        <v>5666.5</v>
      </c>
      <c r="I224" s="134">
        <v>40</v>
      </c>
      <c r="J224" s="134">
        <f t="shared" si="30"/>
        <v>0</v>
      </c>
      <c r="K224" s="135">
        <f t="shared" si="31"/>
        <v>226660</v>
      </c>
      <c r="L224" s="136">
        <f t="shared" si="32"/>
        <v>0</v>
      </c>
      <c r="M224" s="132"/>
    </row>
    <row r="225" spans="1:13">
      <c r="C225" s="127" t="s">
        <v>249</v>
      </c>
      <c r="D225" s="128">
        <v>180000</v>
      </c>
      <c r="E225" s="128">
        <v>23994</v>
      </c>
      <c r="F225" s="129">
        <f t="shared" si="33"/>
        <v>203994</v>
      </c>
      <c r="G225" s="130">
        <v>40</v>
      </c>
      <c r="H225" s="128">
        <v>5099.8500000000004</v>
      </c>
      <c r="I225" s="134">
        <v>45</v>
      </c>
      <c r="J225" s="134">
        <f t="shared" si="30"/>
        <v>-5</v>
      </c>
      <c r="K225" s="135">
        <f t="shared" si="31"/>
        <v>229493.25000000003</v>
      </c>
      <c r="L225" s="136">
        <f t="shared" si="32"/>
        <v>-25499.250000000029</v>
      </c>
      <c r="M225" s="132"/>
    </row>
    <row r="226" spans="1:13">
      <c r="C226" s="127" t="s">
        <v>188</v>
      </c>
      <c r="D226" s="128">
        <v>180000</v>
      </c>
      <c r="E226" s="128">
        <v>23994</v>
      </c>
      <c r="F226" s="129">
        <f t="shared" si="33"/>
        <v>203994</v>
      </c>
      <c r="G226" s="130">
        <v>40</v>
      </c>
      <c r="H226" s="128">
        <v>5099.8500000000004</v>
      </c>
      <c r="I226" s="131">
        <v>37</v>
      </c>
      <c r="J226" s="131">
        <f t="shared" si="30"/>
        <v>3</v>
      </c>
      <c r="K226" s="128">
        <f t="shared" si="31"/>
        <v>188694.45</v>
      </c>
      <c r="L226" s="129">
        <f t="shared" si="32"/>
        <v>15299.549999999988</v>
      </c>
      <c r="M226" s="132"/>
    </row>
    <row r="227" spans="1:13">
      <c r="C227" s="127" t="s">
        <v>124</v>
      </c>
      <c r="D227" s="129">
        <v>200000</v>
      </c>
      <c r="E227" s="129">
        <v>26660</v>
      </c>
      <c r="F227" s="129">
        <f t="shared" si="33"/>
        <v>226660</v>
      </c>
      <c r="G227" s="130">
        <v>40</v>
      </c>
      <c r="H227" s="129">
        <v>5666.5</v>
      </c>
      <c r="I227" s="131">
        <v>40</v>
      </c>
      <c r="J227" s="131">
        <f t="shared" si="30"/>
        <v>0</v>
      </c>
      <c r="K227" s="128">
        <f t="shared" si="31"/>
        <v>226660</v>
      </c>
      <c r="L227" s="129">
        <f t="shared" si="32"/>
        <v>0</v>
      </c>
      <c r="M227" s="132"/>
    </row>
    <row r="228" spans="1:13">
      <c r="C228" s="127" t="s">
        <v>129</v>
      </c>
      <c r="D228" s="129">
        <v>200000</v>
      </c>
      <c r="E228" s="129">
        <v>26660</v>
      </c>
      <c r="F228" s="129">
        <f t="shared" si="33"/>
        <v>226660</v>
      </c>
      <c r="G228" s="130">
        <v>40</v>
      </c>
      <c r="H228" s="129">
        <v>5666.5</v>
      </c>
      <c r="I228" s="131">
        <v>38</v>
      </c>
      <c r="J228" s="131">
        <f t="shared" si="30"/>
        <v>2</v>
      </c>
      <c r="K228" s="128">
        <f t="shared" si="31"/>
        <v>215327</v>
      </c>
      <c r="L228" s="129">
        <f t="shared" si="32"/>
        <v>11333</v>
      </c>
      <c r="M228" s="132"/>
    </row>
    <row r="229" spans="1:13">
      <c r="C229" s="127" t="s">
        <v>202</v>
      </c>
      <c r="D229" s="128">
        <v>132000</v>
      </c>
      <c r="E229" s="128">
        <v>17595.599999999999</v>
      </c>
      <c r="F229" s="129">
        <f t="shared" si="33"/>
        <v>149595.6</v>
      </c>
      <c r="G229" s="130">
        <v>40</v>
      </c>
      <c r="H229" s="128">
        <v>3739.89</v>
      </c>
      <c r="I229" s="131">
        <v>34</v>
      </c>
      <c r="J229" s="131">
        <f t="shared" si="30"/>
        <v>6</v>
      </c>
      <c r="K229" s="128">
        <f t="shared" si="31"/>
        <v>127156.26</v>
      </c>
      <c r="L229" s="129">
        <f t="shared" si="32"/>
        <v>22439.340000000011</v>
      </c>
      <c r="M229" s="132"/>
    </row>
    <row r="230" spans="1:13">
      <c r="A230" s="101">
        <v>135</v>
      </c>
      <c r="B230" s="244"/>
      <c r="C230" s="125" t="s">
        <v>138</v>
      </c>
      <c r="D230" s="129">
        <v>200000</v>
      </c>
      <c r="E230" s="129">
        <v>26660</v>
      </c>
      <c r="F230" s="129">
        <f t="shared" si="33"/>
        <v>226660</v>
      </c>
      <c r="G230" s="130">
        <v>40</v>
      </c>
      <c r="H230" s="129">
        <v>5666.5</v>
      </c>
      <c r="I230" s="134">
        <v>37</v>
      </c>
      <c r="J230" s="134">
        <f t="shared" si="30"/>
        <v>3</v>
      </c>
      <c r="K230" s="135">
        <f t="shared" si="31"/>
        <v>209660.5</v>
      </c>
      <c r="L230" s="136">
        <f t="shared" si="32"/>
        <v>16999.5</v>
      </c>
      <c r="M230" s="132"/>
    </row>
    <row r="231" spans="1:13">
      <c r="A231" s="101">
        <v>167.333333333333</v>
      </c>
      <c r="B231" s="101"/>
      <c r="C231" s="127" t="s">
        <v>236</v>
      </c>
      <c r="D231" s="128">
        <v>180000</v>
      </c>
      <c r="E231" s="128">
        <v>23994</v>
      </c>
      <c r="F231" s="128">
        <v>203994</v>
      </c>
      <c r="G231" s="139">
        <v>40</v>
      </c>
      <c r="H231" s="137">
        <v>5099.8500000000004</v>
      </c>
      <c r="I231" s="134">
        <v>46</v>
      </c>
      <c r="J231" s="134">
        <f t="shared" si="30"/>
        <v>-6</v>
      </c>
      <c r="K231" s="135">
        <f t="shared" si="31"/>
        <v>234593.1</v>
      </c>
      <c r="L231" s="136">
        <f t="shared" si="32"/>
        <v>-30599.100000000006</v>
      </c>
      <c r="M231" s="140"/>
    </row>
    <row r="232" spans="1:13">
      <c r="A232" s="101">
        <v>144.833333333333</v>
      </c>
      <c r="B232" s="101"/>
      <c r="C232" s="127" t="s">
        <v>234</v>
      </c>
      <c r="D232" s="129">
        <v>200000</v>
      </c>
      <c r="E232" s="129">
        <v>26660</v>
      </c>
      <c r="F232" s="129">
        <v>226660</v>
      </c>
      <c r="G232" s="130">
        <v>40</v>
      </c>
      <c r="H232" s="137">
        <v>5666.5</v>
      </c>
      <c r="I232" s="134">
        <v>40</v>
      </c>
      <c r="J232" s="134">
        <f t="shared" si="30"/>
        <v>0</v>
      </c>
      <c r="K232" s="135">
        <f t="shared" si="31"/>
        <v>226660</v>
      </c>
      <c r="L232" s="136">
        <f t="shared" si="32"/>
        <v>0</v>
      </c>
      <c r="M232" s="132"/>
    </row>
    <row r="233" spans="1:13">
      <c r="A233" s="101">
        <v>146.333333333333</v>
      </c>
      <c r="B233" s="245"/>
      <c r="C233" s="141" t="s">
        <v>187</v>
      </c>
      <c r="D233" s="129">
        <v>150000</v>
      </c>
      <c r="E233" s="129">
        <v>11997</v>
      </c>
      <c r="F233" s="129">
        <f t="shared" ref="F233:F240" si="34">SUM(D233:E233)</f>
        <v>161997</v>
      </c>
      <c r="G233" s="130">
        <v>30</v>
      </c>
      <c r="H233" s="129">
        <v>5399.9</v>
      </c>
      <c r="I233" s="134">
        <v>31</v>
      </c>
      <c r="J233" s="134">
        <f t="shared" si="30"/>
        <v>-1</v>
      </c>
      <c r="K233" s="135">
        <f t="shared" si="31"/>
        <v>167396.9</v>
      </c>
      <c r="L233" s="136">
        <f t="shared" si="32"/>
        <v>-5399.8999999999942</v>
      </c>
      <c r="M233" s="132"/>
    </row>
    <row r="234" spans="1:13">
      <c r="A234" s="101">
        <v>147.833333333333</v>
      </c>
      <c r="B234" s="101"/>
      <c r="C234" s="127" t="s">
        <v>150</v>
      </c>
      <c r="D234" s="129">
        <v>200000</v>
      </c>
      <c r="E234" s="129">
        <v>26660</v>
      </c>
      <c r="F234" s="129">
        <f t="shared" si="34"/>
        <v>226660</v>
      </c>
      <c r="G234" s="130">
        <v>40</v>
      </c>
      <c r="H234" s="129">
        <v>5666.5</v>
      </c>
      <c r="I234" s="134">
        <v>40</v>
      </c>
      <c r="J234" s="134">
        <f t="shared" si="30"/>
        <v>0</v>
      </c>
      <c r="K234" s="135">
        <f t="shared" si="31"/>
        <v>226660</v>
      </c>
      <c r="L234" s="136">
        <f t="shared" si="32"/>
        <v>0</v>
      </c>
      <c r="M234" s="132"/>
    </row>
    <row r="235" spans="1:13">
      <c r="A235" s="101">
        <v>149.333333333333</v>
      </c>
      <c r="B235" s="244"/>
      <c r="C235" s="125" t="s">
        <v>151</v>
      </c>
      <c r="D235" s="129">
        <v>200000</v>
      </c>
      <c r="E235" s="129">
        <v>26660</v>
      </c>
      <c r="F235" s="129">
        <f t="shared" si="34"/>
        <v>226660</v>
      </c>
      <c r="G235" s="130">
        <v>40</v>
      </c>
      <c r="H235" s="129">
        <v>5666.5</v>
      </c>
      <c r="I235" s="134">
        <v>38</v>
      </c>
      <c r="J235" s="134">
        <f t="shared" si="30"/>
        <v>2</v>
      </c>
      <c r="K235" s="135">
        <f t="shared" si="31"/>
        <v>215327</v>
      </c>
      <c r="L235" s="136">
        <f t="shared" si="32"/>
        <v>11333</v>
      </c>
      <c r="M235" s="132"/>
    </row>
    <row r="236" spans="1:13">
      <c r="A236" s="101">
        <v>150.833333333333</v>
      </c>
      <c r="B236" s="244"/>
      <c r="C236" s="186" t="s">
        <v>266</v>
      </c>
      <c r="D236" s="128">
        <v>330000</v>
      </c>
      <c r="E236" s="128">
        <v>43989</v>
      </c>
      <c r="F236" s="129">
        <f t="shared" si="34"/>
        <v>373989</v>
      </c>
      <c r="G236" s="130">
        <v>50</v>
      </c>
      <c r="H236" s="138">
        <v>7479</v>
      </c>
      <c r="I236" s="134">
        <v>8</v>
      </c>
      <c r="J236" s="134">
        <f t="shared" si="30"/>
        <v>42</v>
      </c>
      <c r="K236" s="135">
        <f t="shared" si="31"/>
        <v>59832</v>
      </c>
      <c r="L236" s="136">
        <f t="shared" si="32"/>
        <v>314157</v>
      </c>
      <c r="M236" s="124"/>
    </row>
    <row r="237" spans="1:13">
      <c r="A237" s="101">
        <v>152.333333333333</v>
      </c>
      <c r="B237" s="244"/>
      <c r="C237" s="125" t="s">
        <v>156</v>
      </c>
      <c r="D237" s="129">
        <v>200000</v>
      </c>
      <c r="E237" s="129">
        <v>26660</v>
      </c>
      <c r="F237" s="129">
        <f t="shared" si="34"/>
        <v>226660</v>
      </c>
      <c r="G237" s="130">
        <v>40</v>
      </c>
      <c r="H237" s="133">
        <v>3739.89</v>
      </c>
      <c r="I237" s="134">
        <v>40</v>
      </c>
      <c r="J237" s="134">
        <f t="shared" si="30"/>
        <v>0</v>
      </c>
      <c r="K237" s="135">
        <f t="shared" si="31"/>
        <v>149595.6</v>
      </c>
      <c r="L237" s="136">
        <f t="shared" si="32"/>
        <v>77064.399999999994</v>
      </c>
      <c r="M237" s="132"/>
    </row>
    <row r="238" spans="1:13">
      <c r="A238" s="101">
        <v>153.833333333333</v>
      </c>
      <c r="B238" s="244"/>
      <c r="C238" s="125" t="s">
        <v>157</v>
      </c>
      <c r="D238" s="129">
        <v>200000</v>
      </c>
      <c r="E238" s="129">
        <v>26660</v>
      </c>
      <c r="F238" s="129">
        <f t="shared" si="34"/>
        <v>226660</v>
      </c>
      <c r="G238" s="130">
        <v>40</v>
      </c>
      <c r="H238" s="129">
        <v>5666.5</v>
      </c>
      <c r="I238" s="134">
        <v>40</v>
      </c>
      <c r="J238" s="134">
        <f t="shared" si="30"/>
        <v>0</v>
      </c>
      <c r="K238" s="135">
        <f t="shared" si="31"/>
        <v>226660</v>
      </c>
      <c r="L238" s="136">
        <f t="shared" si="32"/>
        <v>0</v>
      </c>
      <c r="M238" s="132"/>
    </row>
    <row r="239" spans="1:13">
      <c r="A239" s="101">
        <v>155.333333333333</v>
      </c>
      <c r="B239" s="244"/>
      <c r="C239" s="125" t="s">
        <v>158</v>
      </c>
      <c r="D239" s="129">
        <v>200000</v>
      </c>
      <c r="E239" s="129">
        <v>26660</v>
      </c>
      <c r="F239" s="129">
        <f t="shared" si="34"/>
        <v>226660</v>
      </c>
      <c r="G239" s="130">
        <v>40</v>
      </c>
      <c r="H239" s="129">
        <v>5666.5</v>
      </c>
      <c r="I239" s="134">
        <v>40</v>
      </c>
      <c r="J239" s="134">
        <f t="shared" si="30"/>
        <v>0</v>
      </c>
      <c r="K239" s="135">
        <f t="shared" si="31"/>
        <v>226660</v>
      </c>
      <c r="L239" s="136">
        <f t="shared" si="32"/>
        <v>0</v>
      </c>
      <c r="M239" s="132"/>
    </row>
    <row r="240" spans="1:13">
      <c r="A240" s="101">
        <v>156.833333333333</v>
      </c>
      <c r="B240" s="244"/>
      <c r="C240" s="125" t="s">
        <v>159</v>
      </c>
      <c r="D240" s="129">
        <v>200000</v>
      </c>
      <c r="E240" s="129">
        <v>26660</v>
      </c>
      <c r="F240" s="129">
        <f t="shared" si="34"/>
        <v>226660</v>
      </c>
      <c r="G240" s="130">
        <v>40</v>
      </c>
      <c r="H240" s="129">
        <v>5666.5</v>
      </c>
      <c r="I240" s="134">
        <v>31</v>
      </c>
      <c r="J240" s="134">
        <f t="shared" si="30"/>
        <v>9</v>
      </c>
      <c r="K240" s="135">
        <f t="shared" si="31"/>
        <v>175661.5</v>
      </c>
      <c r="L240" s="136">
        <f t="shared" si="32"/>
        <v>50998.5</v>
      </c>
      <c r="M240" s="132"/>
    </row>
    <row r="241" spans="1:14">
      <c r="A241" s="101">
        <v>158.333333333333</v>
      </c>
      <c r="B241" s="101"/>
      <c r="C241" s="127" t="s">
        <v>233</v>
      </c>
      <c r="D241" s="129">
        <v>200000</v>
      </c>
      <c r="E241" s="129">
        <v>26660</v>
      </c>
      <c r="F241" s="129">
        <v>226660</v>
      </c>
      <c r="G241" s="130">
        <v>40</v>
      </c>
      <c r="H241" s="137">
        <v>5666.5</v>
      </c>
      <c r="I241" s="134">
        <v>40</v>
      </c>
      <c r="J241" s="134">
        <f t="shared" si="30"/>
        <v>0</v>
      </c>
      <c r="K241" s="135">
        <f t="shared" si="31"/>
        <v>226660</v>
      </c>
      <c r="L241" s="136">
        <f t="shared" si="32"/>
        <v>0</v>
      </c>
      <c r="M241" s="132"/>
    </row>
    <row r="242" spans="1:14">
      <c r="A242" s="101">
        <v>159.833333333333</v>
      </c>
      <c r="B242" s="101"/>
      <c r="C242" s="127" t="s">
        <v>160</v>
      </c>
      <c r="D242" s="129">
        <v>200000</v>
      </c>
      <c r="E242" s="129">
        <v>26660</v>
      </c>
      <c r="F242" s="129">
        <f>SUM(D242:E242)</f>
        <v>226660</v>
      </c>
      <c r="G242" s="130">
        <v>40</v>
      </c>
      <c r="H242" s="129">
        <v>5666.5</v>
      </c>
      <c r="I242" s="134">
        <v>40</v>
      </c>
      <c r="J242" s="134">
        <f t="shared" si="30"/>
        <v>0</v>
      </c>
      <c r="K242" s="135">
        <f t="shared" si="31"/>
        <v>226660</v>
      </c>
      <c r="L242" s="136">
        <f t="shared" si="32"/>
        <v>0</v>
      </c>
      <c r="M242" s="132"/>
    </row>
    <row r="243" spans="1:14">
      <c r="A243" s="101">
        <v>161.333333333333</v>
      </c>
      <c r="B243" s="101"/>
      <c r="C243" s="127" t="s">
        <v>205</v>
      </c>
      <c r="D243" s="128">
        <v>132000</v>
      </c>
      <c r="E243" s="128">
        <v>17595.599999999999</v>
      </c>
      <c r="F243" s="129">
        <f>SUM(D243:E243)</f>
        <v>149595.6</v>
      </c>
      <c r="G243" s="130">
        <v>40</v>
      </c>
      <c r="H243" s="128">
        <v>3739.89</v>
      </c>
      <c r="I243" s="134">
        <v>40</v>
      </c>
      <c r="J243" s="134">
        <f t="shared" si="30"/>
        <v>0</v>
      </c>
      <c r="K243" s="135">
        <f t="shared" si="31"/>
        <v>149595.6</v>
      </c>
      <c r="L243" s="136">
        <f t="shared" si="32"/>
        <v>0</v>
      </c>
      <c r="M243" s="132"/>
    </row>
    <row r="245" spans="1:14">
      <c r="A245" s="101">
        <v>173.333333333333</v>
      </c>
      <c r="B245" s="245"/>
    </row>
    <row r="246" spans="1:14">
      <c r="A246" s="101">
        <v>174.833333333333</v>
      </c>
      <c r="B246" s="245"/>
    </row>
    <row r="249" spans="1:14">
      <c r="A249" s="160">
        <v>47</v>
      </c>
      <c r="B249" s="160"/>
      <c r="C249" s="181" t="s">
        <v>432</v>
      </c>
      <c r="D249" s="16">
        <v>500000</v>
      </c>
      <c r="E249" s="16">
        <v>66650</v>
      </c>
      <c r="F249" s="41">
        <f>SUM(D249:E249)</f>
        <v>566650</v>
      </c>
      <c r="G249" s="33">
        <v>50</v>
      </c>
      <c r="H249" s="24">
        <v>5666.5</v>
      </c>
      <c r="I249" s="97">
        <v>33</v>
      </c>
      <c r="J249" s="97">
        <f>G249-I249</f>
        <v>17</v>
      </c>
      <c r="K249" s="91">
        <f>I249*H249</f>
        <v>186994.5</v>
      </c>
      <c r="L249" s="94">
        <f>F249-K249</f>
        <v>379655.5</v>
      </c>
      <c r="M249" s="11"/>
      <c r="N249" s="180" t="e">
        <f>#REF!-H249</f>
        <v>#REF!</v>
      </c>
    </row>
    <row r="250" spans="1:14">
      <c r="A250" s="160">
        <v>70</v>
      </c>
      <c r="B250" s="160"/>
      <c r="C250" s="181" t="s">
        <v>433</v>
      </c>
      <c r="D250" s="41">
        <v>200000</v>
      </c>
      <c r="E250" s="41">
        <v>26660</v>
      </c>
      <c r="F250" s="41">
        <f>SUM(D250:E250)</f>
        <v>226660</v>
      </c>
      <c r="G250" s="33">
        <v>40</v>
      </c>
      <c r="H250" s="41">
        <v>5666.5</v>
      </c>
      <c r="I250" s="97">
        <v>40</v>
      </c>
      <c r="J250" s="97">
        <f>G250-I250</f>
        <v>0</v>
      </c>
      <c r="K250" s="91">
        <f>I250*H250</f>
        <v>226660</v>
      </c>
      <c r="L250" s="94">
        <f>F250-K250</f>
        <v>0</v>
      </c>
      <c r="M250" s="11"/>
      <c r="N250" s="180" t="e">
        <f>#REF!-H250</f>
        <v>#REF!</v>
      </c>
    </row>
    <row r="251" spans="1:14">
      <c r="A251" s="160">
        <v>93</v>
      </c>
      <c r="B251" s="160"/>
      <c r="C251" s="181" t="s">
        <v>434</v>
      </c>
      <c r="D251" s="41">
        <v>200000</v>
      </c>
      <c r="E251" s="41">
        <v>26660</v>
      </c>
      <c r="F251" s="41">
        <f>SUM(D251:E251)</f>
        <v>226660</v>
      </c>
      <c r="G251" s="33">
        <v>40</v>
      </c>
      <c r="H251" s="41">
        <v>5666.5</v>
      </c>
      <c r="I251" s="97">
        <v>41</v>
      </c>
      <c r="J251" s="97">
        <f>G251-I251</f>
        <v>-1</v>
      </c>
      <c r="K251" s="91">
        <f>I251*H251</f>
        <v>232326.5</v>
      </c>
      <c r="L251" s="94">
        <f>F251-K251</f>
        <v>-5666.5</v>
      </c>
      <c r="M251" s="11"/>
      <c r="N251" s="180" t="e">
        <f>#REF!-H251</f>
        <v>#REF!</v>
      </c>
    </row>
    <row r="252" spans="1:14">
      <c r="A252" s="160">
        <v>10</v>
      </c>
      <c r="B252" s="160"/>
      <c r="C252" s="181" t="s">
        <v>431</v>
      </c>
      <c r="D252" s="16">
        <v>450000</v>
      </c>
      <c r="E252" s="16">
        <v>28792.799999999999</v>
      </c>
      <c r="F252" s="41">
        <f>SUM(D252:E252)</f>
        <v>478792.8</v>
      </c>
      <c r="G252" s="33">
        <v>24</v>
      </c>
      <c r="H252" s="16">
        <v>19949.7</v>
      </c>
      <c r="I252" s="96">
        <v>24</v>
      </c>
      <c r="J252" s="96">
        <f>G252-I252</f>
        <v>0</v>
      </c>
      <c r="K252" s="16">
        <f>I252*H252</f>
        <v>478792.80000000005</v>
      </c>
      <c r="L252" s="41">
        <f>F252-K252</f>
        <v>0</v>
      </c>
      <c r="M252" s="11"/>
      <c r="N252" s="180" t="e">
        <f>#REF!-H252</f>
        <v>#REF!</v>
      </c>
    </row>
    <row r="253" spans="1:14">
      <c r="A253" s="160">
        <v>6</v>
      </c>
      <c r="B253" s="160"/>
      <c r="C253" s="181" t="s">
        <v>430</v>
      </c>
      <c r="D253" s="16">
        <v>330000</v>
      </c>
      <c r="E253" s="16">
        <v>21114.720000000001</v>
      </c>
      <c r="F253" s="41">
        <f>SUM(D253:E253)</f>
        <v>351114.72</v>
      </c>
      <c r="G253" s="33">
        <v>24</v>
      </c>
      <c r="H253" s="24">
        <v>6649.9</v>
      </c>
      <c r="I253" s="96">
        <v>24</v>
      </c>
      <c r="J253" s="96">
        <f>G253-I253</f>
        <v>0</v>
      </c>
      <c r="K253" s="16">
        <f>I253*H253</f>
        <v>159597.59999999998</v>
      </c>
      <c r="L253" s="41">
        <f>F253-K253</f>
        <v>191517.12</v>
      </c>
      <c r="M253" s="11"/>
      <c r="N253" s="180" t="e">
        <f>#REF!-H253</f>
        <v>#REF!</v>
      </c>
    </row>
    <row r="255" spans="1:14">
      <c r="A255" s="96">
        <v>77</v>
      </c>
      <c r="B255" s="96"/>
      <c r="C255" s="170" t="s">
        <v>400</v>
      </c>
      <c r="D255" s="41">
        <v>200000</v>
      </c>
      <c r="E255" s="41">
        <v>26660</v>
      </c>
      <c r="F255" s="41">
        <f>SUM(D255:E255)</f>
        <v>226660</v>
      </c>
      <c r="G255" s="33">
        <v>40</v>
      </c>
      <c r="H255" s="41">
        <v>5666.5</v>
      </c>
      <c r="I255" s="97">
        <v>36</v>
      </c>
      <c r="J255" s="97">
        <f>G255-I255</f>
        <v>4</v>
      </c>
      <c r="K255" s="91">
        <f>I255*H255</f>
        <v>203994</v>
      </c>
      <c r="L255" s="94">
        <f>F255-K255</f>
        <v>22666</v>
      </c>
      <c r="M255" s="11"/>
      <c r="N255" s="180" t="e">
        <f>#REF!-H255</f>
        <v>#REF!</v>
      </c>
    </row>
    <row r="256" spans="1:14">
      <c r="A256" s="96">
        <v>109</v>
      </c>
      <c r="B256" s="96"/>
      <c r="C256" s="142" t="s">
        <v>406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39</v>
      </c>
      <c r="J256" s="97">
        <f>G256-I256</f>
        <v>1</v>
      </c>
      <c r="K256" s="91">
        <f>I256*H256</f>
        <v>220993.5</v>
      </c>
      <c r="L256" s="94">
        <f>F256-K256</f>
        <v>5666.5</v>
      </c>
      <c r="M256" s="11"/>
      <c r="N256" s="180" t="e">
        <f>#REF!-H256</f>
        <v>#REF!</v>
      </c>
    </row>
    <row r="257" spans="1:14">
      <c r="A257" s="96">
        <v>127</v>
      </c>
      <c r="B257" s="96"/>
      <c r="C257" s="142" t="s">
        <v>423</v>
      </c>
      <c r="D257" s="16">
        <v>132000</v>
      </c>
      <c r="E257" s="16">
        <v>17595.599999999999</v>
      </c>
      <c r="F257" s="41">
        <f>SUM(D257:E257)</f>
        <v>149595.6</v>
      </c>
      <c r="G257" s="33">
        <v>40</v>
      </c>
      <c r="H257" s="16">
        <v>3739.89</v>
      </c>
      <c r="I257" s="97">
        <v>40</v>
      </c>
      <c r="J257" s="97">
        <f>G257-I257</f>
        <v>0</v>
      </c>
      <c r="K257" s="91">
        <f>I257*H257</f>
        <v>149595.6</v>
      </c>
      <c r="L257" s="94">
        <f>F257-K257</f>
        <v>0</v>
      </c>
      <c r="M257" s="11"/>
      <c r="N257" s="180" t="e">
        <f>#REF!-H257</f>
        <v>#REF!</v>
      </c>
    </row>
    <row r="258" spans="1:14">
      <c r="A258" s="96">
        <v>125</v>
      </c>
      <c r="B258" s="96"/>
      <c r="C258" s="142" t="s">
        <v>427</v>
      </c>
      <c r="D258" s="155">
        <v>150000</v>
      </c>
      <c r="E258" s="155">
        <v>19995</v>
      </c>
      <c r="F258" s="155">
        <f>SUM(D258:E258)</f>
        <v>169995</v>
      </c>
      <c r="G258" s="33">
        <v>50</v>
      </c>
      <c r="H258" s="154">
        <v>3399.9</v>
      </c>
      <c r="I258" s="97">
        <v>9</v>
      </c>
      <c r="J258" s="97">
        <f>G258-I258</f>
        <v>41</v>
      </c>
      <c r="K258" s="91">
        <f>I258*H258</f>
        <v>30599.100000000002</v>
      </c>
      <c r="L258" s="91">
        <f>F258-K258</f>
        <v>139395.9</v>
      </c>
      <c r="M258" s="122"/>
      <c r="N258" s="180" t="e">
        <f>#REF!-H258</f>
        <v>#REF!</v>
      </c>
    </row>
    <row r="259" spans="1:14">
      <c r="A259" s="96">
        <v>5</v>
      </c>
      <c r="B259" s="96"/>
      <c r="C259" s="2" t="s">
        <v>385</v>
      </c>
      <c r="D259" s="41">
        <v>200000</v>
      </c>
      <c r="E259" s="41">
        <v>26660</v>
      </c>
      <c r="F259" s="41">
        <f>SUM(D259:E259)</f>
        <v>226660</v>
      </c>
      <c r="G259" s="33">
        <v>40</v>
      </c>
      <c r="H259" s="41">
        <v>5666.5</v>
      </c>
      <c r="I259" s="96">
        <v>40</v>
      </c>
      <c r="J259" s="96">
        <f>G259-I259</f>
        <v>0</v>
      </c>
      <c r="K259" s="16">
        <f>I259*H259</f>
        <v>226660</v>
      </c>
      <c r="L259" s="41">
        <f>F259-K259</f>
        <v>0</v>
      </c>
      <c r="M259" s="11"/>
      <c r="N259" s="180" t="e">
        <f>#REF!-H259</f>
        <v>#REF!</v>
      </c>
    </row>
  </sheetData>
  <sortState ref="B6:M144">
    <sortCondition ref="C6:C144"/>
  </sortState>
  <mergeCells count="2">
    <mergeCell ref="A3:M3"/>
    <mergeCell ref="A4:M4"/>
  </mergeCells>
  <conditionalFormatting sqref="C253">
    <cfRule type="duplicateValues" dxfId="1189" priority="134" stopIfTrue="1"/>
    <cfRule type="duplicateValues" dxfId="1188" priority="135" stopIfTrue="1"/>
  </conditionalFormatting>
  <conditionalFormatting sqref="C253">
    <cfRule type="duplicateValues" dxfId="1187" priority="133" stopIfTrue="1"/>
  </conditionalFormatting>
  <conditionalFormatting sqref="C200">
    <cfRule type="duplicateValues" dxfId="1186" priority="131" stopIfTrue="1"/>
    <cfRule type="duplicateValues" dxfId="1185" priority="132" stopIfTrue="1"/>
  </conditionalFormatting>
  <conditionalFormatting sqref="C200">
    <cfRule type="duplicateValues" dxfId="1184" priority="130" stopIfTrue="1"/>
  </conditionalFormatting>
  <conditionalFormatting sqref="C252">
    <cfRule type="duplicateValues" dxfId="1183" priority="128" stopIfTrue="1"/>
    <cfRule type="duplicateValues" dxfId="1182" priority="129" stopIfTrue="1"/>
  </conditionalFormatting>
  <conditionalFormatting sqref="C252">
    <cfRule type="duplicateValues" dxfId="1181" priority="127" stopIfTrue="1"/>
  </conditionalFormatting>
  <conditionalFormatting sqref="C202">
    <cfRule type="duplicateValues" dxfId="1180" priority="125" stopIfTrue="1"/>
    <cfRule type="duplicateValues" dxfId="1179" priority="126" stopIfTrue="1"/>
  </conditionalFormatting>
  <conditionalFormatting sqref="C202">
    <cfRule type="duplicateValues" dxfId="1178" priority="124" stopIfTrue="1"/>
  </conditionalFormatting>
  <conditionalFormatting sqref="C203">
    <cfRule type="duplicateValues" dxfId="1177" priority="122" stopIfTrue="1"/>
    <cfRule type="duplicateValues" dxfId="1176" priority="123" stopIfTrue="1"/>
  </conditionalFormatting>
  <conditionalFormatting sqref="C203">
    <cfRule type="duplicateValues" dxfId="1175" priority="121" stopIfTrue="1"/>
  </conditionalFormatting>
  <conditionalFormatting sqref="C205">
    <cfRule type="duplicateValues" dxfId="1174" priority="119" stopIfTrue="1"/>
    <cfRule type="duplicateValues" dxfId="1173" priority="120" stopIfTrue="1"/>
  </conditionalFormatting>
  <conditionalFormatting sqref="C205">
    <cfRule type="duplicateValues" dxfId="1172" priority="118" stopIfTrue="1"/>
  </conditionalFormatting>
  <conditionalFormatting sqref="C206">
    <cfRule type="duplicateValues" dxfId="1171" priority="116" stopIfTrue="1"/>
    <cfRule type="duplicateValues" dxfId="1170" priority="117" stopIfTrue="1"/>
  </conditionalFormatting>
  <conditionalFormatting sqref="C206">
    <cfRule type="duplicateValues" dxfId="1169" priority="115" stopIfTrue="1"/>
  </conditionalFormatting>
  <conditionalFormatting sqref="C249">
    <cfRule type="duplicateValues" dxfId="1168" priority="113" stopIfTrue="1"/>
    <cfRule type="duplicateValues" dxfId="1167" priority="114" stopIfTrue="1"/>
  </conditionalFormatting>
  <conditionalFormatting sqref="C249">
    <cfRule type="duplicateValues" dxfId="1166" priority="112" stopIfTrue="1"/>
  </conditionalFormatting>
  <conditionalFormatting sqref="C208">
    <cfRule type="duplicateValues" dxfId="1165" priority="110" stopIfTrue="1"/>
    <cfRule type="duplicateValues" dxfId="1164" priority="111" stopIfTrue="1"/>
  </conditionalFormatting>
  <conditionalFormatting sqref="C208">
    <cfRule type="duplicateValues" dxfId="1163" priority="109" stopIfTrue="1"/>
  </conditionalFormatting>
  <conditionalFormatting sqref="C209">
    <cfRule type="duplicateValues" dxfId="1162" priority="107" stopIfTrue="1"/>
    <cfRule type="duplicateValues" dxfId="1161" priority="108" stopIfTrue="1"/>
  </conditionalFormatting>
  <conditionalFormatting sqref="C209">
    <cfRule type="duplicateValues" dxfId="1160" priority="106" stopIfTrue="1"/>
  </conditionalFormatting>
  <conditionalFormatting sqref="C210">
    <cfRule type="duplicateValues" dxfId="1159" priority="104" stopIfTrue="1"/>
    <cfRule type="duplicateValues" dxfId="1158" priority="105" stopIfTrue="1"/>
  </conditionalFormatting>
  <conditionalFormatting sqref="C210">
    <cfRule type="duplicateValues" dxfId="1157" priority="103" stopIfTrue="1"/>
  </conditionalFormatting>
  <conditionalFormatting sqref="C225">
    <cfRule type="duplicateValues" dxfId="1156" priority="101" stopIfTrue="1"/>
    <cfRule type="duplicateValues" dxfId="1155" priority="102" stopIfTrue="1"/>
  </conditionalFormatting>
  <conditionalFormatting sqref="C225">
    <cfRule type="duplicateValues" dxfId="1154" priority="100" stopIfTrue="1"/>
  </conditionalFormatting>
  <conditionalFormatting sqref="C212">
    <cfRule type="duplicateValues" dxfId="1153" priority="98" stopIfTrue="1"/>
    <cfRule type="duplicateValues" dxfId="1152" priority="99" stopIfTrue="1"/>
  </conditionalFormatting>
  <conditionalFormatting sqref="C212">
    <cfRule type="duplicateValues" dxfId="1151" priority="97" stopIfTrue="1"/>
  </conditionalFormatting>
  <conditionalFormatting sqref="C250">
    <cfRule type="duplicateValues" dxfId="1150" priority="95" stopIfTrue="1"/>
    <cfRule type="duplicateValues" dxfId="1149" priority="96" stopIfTrue="1"/>
  </conditionalFormatting>
  <conditionalFormatting sqref="C250">
    <cfRule type="duplicateValues" dxfId="1148" priority="94" stopIfTrue="1"/>
  </conditionalFormatting>
  <conditionalFormatting sqref="C213">
    <cfRule type="duplicateValues" dxfId="1147" priority="92" stopIfTrue="1"/>
    <cfRule type="duplicateValues" dxfId="1146" priority="93" stopIfTrue="1"/>
  </conditionalFormatting>
  <conditionalFormatting sqref="C213">
    <cfRule type="duplicateValues" dxfId="1145" priority="91" stopIfTrue="1"/>
  </conditionalFormatting>
  <conditionalFormatting sqref="C214">
    <cfRule type="duplicateValues" dxfId="1144" priority="89" stopIfTrue="1"/>
    <cfRule type="duplicateValues" dxfId="1143" priority="90" stopIfTrue="1"/>
  </conditionalFormatting>
  <conditionalFormatting sqref="C214">
    <cfRule type="duplicateValues" dxfId="1142" priority="88" stopIfTrue="1"/>
  </conditionalFormatting>
  <conditionalFormatting sqref="C255">
    <cfRule type="duplicateValues" dxfId="1141" priority="86" stopIfTrue="1"/>
    <cfRule type="duplicateValues" dxfId="1140" priority="87" stopIfTrue="1"/>
  </conditionalFormatting>
  <conditionalFormatting sqref="C255">
    <cfRule type="duplicateValues" dxfId="1139" priority="85" stopIfTrue="1"/>
  </conditionalFormatting>
  <conditionalFormatting sqref="C217">
    <cfRule type="duplicateValues" dxfId="1138" priority="83" stopIfTrue="1"/>
    <cfRule type="duplicateValues" dxfId="1137" priority="84" stopIfTrue="1"/>
  </conditionalFormatting>
  <conditionalFormatting sqref="C217">
    <cfRule type="duplicateValues" dxfId="1136" priority="82" stopIfTrue="1"/>
  </conditionalFormatting>
  <conditionalFormatting sqref="C220">
    <cfRule type="duplicateValues" dxfId="1135" priority="80" stopIfTrue="1"/>
    <cfRule type="duplicateValues" dxfId="1134" priority="81" stopIfTrue="1"/>
  </conditionalFormatting>
  <conditionalFormatting sqref="C220">
    <cfRule type="duplicateValues" dxfId="1133" priority="79" stopIfTrue="1"/>
  </conditionalFormatting>
  <conditionalFormatting sqref="C193">
    <cfRule type="duplicateValues" dxfId="1132" priority="77" stopIfTrue="1"/>
    <cfRule type="duplicateValues" dxfId="1131" priority="78" stopIfTrue="1"/>
  </conditionalFormatting>
  <conditionalFormatting sqref="C193">
    <cfRule type="duplicateValues" dxfId="1130" priority="76" stopIfTrue="1"/>
  </conditionalFormatting>
  <conditionalFormatting sqref="C251">
    <cfRule type="duplicateValues" dxfId="1129" priority="74" stopIfTrue="1"/>
    <cfRule type="duplicateValues" dxfId="1128" priority="75" stopIfTrue="1"/>
  </conditionalFormatting>
  <conditionalFormatting sqref="C251">
    <cfRule type="duplicateValues" dxfId="1127" priority="73" stopIfTrue="1"/>
  </conditionalFormatting>
  <conditionalFormatting sqref="C243">
    <cfRule type="duplicateValues" dxfId="1126" priority="71" stopIfTrue="1"/>
    <cfRule type="duplicateValues" dxfId="1125" priority="72" stopIfTrue="1"/>
  </conditionalFormatting>
  <conditionalFormatting sqref="C243">
    <cfRule type="duplicateValues" dxfId="1124" priority="70" stopIfTrue="1"/>
  </conditionalFormatting>
  <conditionalFormatting sqref="C215">
    <cfRule type="duplicateValues" dxfId="1123" priority="68" stopIfTrue="1"/>
    <cfRule type="duplicateValues" dxfId="1122" priority="69" stopIfTrue="1"/>
  </conditionalFormatting>
  <conditionalFormatting sqref="C215">
    <cfRule type="duplicateValues" dxfId="1121" priority="67" stopIfTrue="1"/>
  </conditionalFormatting>
  <conditionalFormatting sqref="C230">
    <cfRule type="duplicateValues" dxfId="1120" priority="65" stopIfTrue="1"/>
    <cfRule type="duplicateValues" dxfId="1119" priority="66" stopIfTrue="1"/>
  </conditionalFormatting>
  <conditionalFormatting sqref="C230">
    <cfRule type="duplicateValues" dxfId="1118" priority="64" stopIfTrue="1"/>
  </conditionalFormatting>
  <conditionalFormatting sqref="C232">
    <cfRule type="duplicateValues" dxfId="1117" priority="62" stopIfTrue="1"/>
    <cfRule type="duplicateValues" dxfId="1116" priority="63" stopIfTrue="1"/>
  </conditionalFormatting>
  <conditionalFormatting sqref="C232">
    <cfRule type="duplicateValues" dxfId="1115" priority="61" stopIfTrue="1"/>
  </conditionalFormatting>
  <conditionalFormatting sqref="C234">
    <cfRule type="duplicateValues" dxfId="1114" priority="59" stopIfTrue="1"/>
    <cfRule type="duplicateValues" dxfId="1113" priority="60" stopIfTrue="1"/>
  </conditionalFormatting>
  <conditionalFormatting sqref="C234">
    <cfRule type="duplicateValues" dxfId="1112" priority="58" stopIfTrue="1"/>
  </conditionalFormatting>
  <conditionalFormatting sqref="C235">
    <cfRule type="duplicateValues" dxfId="1111" priority="56" stopIfTrue="1"/>
    <cfRule type="duplicateValues" dxfId="1110" priority="57" stopIfTrue="1"/>
  </conditionalFormatting>
  <conditionalFormatting sqref="C235">
    <cfRule type="duplicateValues" dxfId="1109" priority="55" stopIfTrue="1"/>
  </conditionalFormatting>
  <conditionalFormatting sqref="C236">
    <cfRule type="duplicateValues" dxfId="1108" priority="53" stopIfTrue="1"/>
    <cfRule type="duplicateValues" dxfId="1107" priority="54" stopIfTrue="1"/>
  </conditionalFormatting>
  <conditionalFormatting sqref="C236">
    <cfRule type="duplicateValues" dxfId="1106" priority="52" stopIfTrue="1"/>
  </conditionalFormatting>
  <conditionalFormatting sqref="C237">
    <cfRule type="duplicateValues" dxfId="1105" priority="50" stopIfTrue="1"/>
    <cfRule type="duplicateValues" dxfId="1104" priority="51" stopIfTrue="1"/>
  </conditionalFormatting>
  <conditionalFormatting sqref="C237">
    <cfRule type="duplicateValues" dxfId="1103" priority="49" stopIfTrue="1"/>
  </conditionalFormatting>
  <conditionalFormatting sqref="C238">
    <cfRule type="duplicateValues" dxfId="1102" priority="47" stopIfTrue="1"/>
    <cfRule type="duplicateValues" dxfId="1101" priority="48" stopIfTrue="1"/>
  </conditionalFormatting>
  <conditionalFormatting sqref="C238">
    <cfRule type="duplicateValues" dxfId="1100" priority="46" stopIfTrue="1"/>
  </conditionalFormatting>
  <conditionalFormatting sqref="C239">
    <cfRule type="duplicateValues" dxfId="1099" priority="44" stopIfTrue="1"/>
    <cfRule type="duplicateValues" dxfId="1098" priority="45" stopIfTrue="1"/>
  </conditionalFormatting>
  <conditionalFormatting sqref="C239">
    <cfRule type="duplicateValues" dxfId="1097" priority="43" stopIfTrue="1"/>
  </conditionalFormatting>
  <conditionalFormatting sqref="C3">
    <cfRule type="duplicateValues" dxfId="1096" priority="42"/>
  </conditionalFormatting>
  <conditionalFormatting sqref="C240">
    <cfRule type="duplicateValues" dxfId="1095" priority="40" stopIfTrue="1"/>
    <cfRule type="duplicateValues" dxfId="1094" priority="41" stopIfTrue="1"/>
  </conditionalFormatting>
  <conditionalFormatting sqref="C240">
    <cfRule type="duplicateValues" dxfId="1093" priority="39" stopIfTrue="1"/>
  </conditionalFormatting>
  <conditionalFormatting sqref="C192">
    <cfRule type="duplicateValues" dxfId="1092" priority="37" stopIfTrue="1"/>
    <cfRule type="duplicateValues" dxfId="1091" priority="38" stopIfTrue="1"/>
  </conditionalFormatting>
  <conditionalFormatting sqref="C192">
    <cfRule type="duplicateValues" dxfId="1090" priority="36" stopIfTrue="1"/>
  </conditionalFormatting>
  <conditionalFormatting sqref="C204">
    <cfRule type="duplicateValues" dxfId="1089" priority="35"/>
  </conditionalFormatting>
  <conditionalFormatting sqref="C180">
    <cfRule type="duplicateValues" dxfId="1088" priority="34"/>
  </conditionalFormatting>
  <conditionalFormatting sqref="C245 C354:C1048576 C223:C243 C1:C5 C192:C194 C188 C196 C200:C220 C255:C259 C249:C253 C179:C180">
    <cfRule type="duplicateValues" dxfId="1087" priority="33"/>
  </conditionalFormatting>
  <conditionalFormatting sqref="C249:C253 C255:C259 C192:C194 C188 C196 C200:C220 C179:C180">
    <cfRule type="duplicateValues" dxfId="1086" priority="32"/>
  </conditionalFormatting>
  <conditionalFormatting sqref="C226:C227 C194 C256:C258">
    <cfRule type="duplicateValues" dxfId="1085" priority="30" stopIfTrue="1"/>
    <cfRule type="duplicateValues" dxfId="1084" priority="31" stopIfTrue="1"/>
  </conditionalFormatting>
  <conditionalFormatting sqref="C226:C227 C194 C256:C258">
    <cfRule type="duplicateValues" dxfId="1083" priority="29" stopIfTrue="1"/>
  </conditionalFormatting>
  <conditionalFormatting sqref="C226:C227 C256:C258 C194">
    <cfRule type="duplicateValues" dxfId="1082" priority="27" stopIfTrue="1"/>
    <cfRule type="duplicateValues" dxfId="1081" priority="28" stopIfTrue="1"/>
  </conditionalFormatting>
  <conditionalFormatting sqref="C226:C227 C256:C258 C194">
    <cfRule type="duplicateValues" dxfId="1080" priority="26" stopIfTrue="1"/>
  </conditionalFormatting>
  <conditionalFormatting sqref="C179">
    <cfRule type="duplicateValues" dxfId="1079" priority="24" stopIfTrue="1"/>
    <cfRule type="duplicateValues" dxfId="1078" priority="25" stopIfTrue="1"/>
  </conditionalFormatting>
  <conditionalFormatting sqref="C179">
    <cfRule type="duplicateValues" dxfId="1077" priority="23" stopIfTrue="1"/>
  </conditionalFormatting>
  <conditionalFormatting sqref="C259 C190 C202:C204 C200 C192:C194 C206:C220 C196:C198 C188 C180">
    <cfRule type="duplicateValues" dxfId="1076" priority="21" stopIfTrue="1"/>
    <cfRule type="duplicateValues" dxfId="1075" priority="22" stopIfTrue="1"/>
  </conditionalFormatting>
  <conditionalFormatting sqref="C259 C190 C202:C204 C200 C192:C194 C206:C220 C196:C198 C188 C180">
    <cfRule type="duplicateValues" dxfId="1074" priority="20" stopIfTrue="1"/>
  </conditionalFormatting>
  <conditionalFormatting sqref="C190 C188 C179:C180">
    <cfRule type="duplicateValues" dxfId="1073" priority="18" stopIfTrue="1"/>
    <cfRule type="duplicateValues" dxfId="1072" priority="19" stopIfTrue="1"/>
  </conditionalFormatting>
  <conditionalFormatting sqref="C190 C188 C179:C180">
    <cfRule type="duplicateValues" dxfId="1071" priority="17" stopIfTrue="1"/>
  </conditionalFormatting>
  <conditionalFormatting sqref="C190 C188 C180">
    <cfRule type="duplicateValues" dxfId="1070" priority="15" stopIfTrue="1"/>
    <cfRule type="duplicateValues" dxfId="1069" priority="16" stopIfTrue="1"/>
  </conditionalFormatting>
  <conditionalFormatting sqref="C190 C188 C180">
    <cfRule type="duplicateValues" dxfId="1068" priority="14" stopIfTrue="1"/>
  </conditionalFormatting>
  <conditionalFormatting sqref="C255:C259 C206:C220 C202:C204 C200 C192:C194 C190 C196:C198 C188 C179:C180">
    <cfRule type="duplicateValues" dxfId="1067" priority="12" stopIfTrue="1"/>
    <cfRule type="duplicateValues" dxfId="1066" priority="13" stopIfTrue="1"/>
  </conditionalFormatting>
  <conditionalFormatting sqref="C255:C259 C206:C220 C202:C204 C200 C192:C194 C190 C196:C198 C188 C179:C180">
    <cfRule type="duplicateValues" dxfId="1065" priority="11" stopIfTrue="1"/>
  </conditionalFormatting>
  <conditionalFormatting sqref="C180">
    <cfRule type="duplicateValues" dxfId="1064" priority="9" stopIfTrue="1"/>
    <cfRule type="duplicateValues" dxfId="1063" priority="10" stopIfTrue="1"/>
  </conditionalFormatting>
  <conditionalFormatting sqref="C188 C234:C239 C223:C224 C230:C232 C180">
    <cfRule type="duplicateValues" dxfId="1062" priority="7" stopIfTrue="1"/>
    <cfRule type="duplicateValues" dxfId="1061" priority="8" stopIfTrue="1"/>
  </conditionalFormatting>
  <conditionalFormatting sqref="C188 C234:C239 C223:C224 C230:C232 C180">
    <cfRule type="duplicateValues" dxfId="1060" priority="6" stopIfTrue="1"/>
  </conditionalFormatting>
  <conditionalFormatting sqref="C188 C234:C239 C354:C1048576 C241:C243 C192:C194 C1:C2 C4:C5 C205:C218 C255:C259 C249:C253 C200:C203 C220 C230:C232 C223:C227 C180">
    <cfRule type="duplicateValues" dxfId="1059" priority="5"/>
  </conditionalFormatting>
  <conditionalFormatting sqref="C188 C255:C259 C354:C1048576 C1:C5 C249:C253 C192:C194 C200:C203 C223:C227 C230:C232 C205:C218 C234:C243 C220 C180">
    <cfRule type="duplicateValues" dxfId="1058" priority="4"/>
  </conditionalFormatting>
  <conditionalFormatting sqref="C168:C169 C171:C177 C162:C166">
    <cfRule type="duplicateValues" dxfId="1057" priority="2" stopIfTrue="1"/>
    <cfRule type="duplicateValues" dxfId="1056" priority="3" stopIfTrue="1"/>
  </conditionalFormatting>
  <conditionalFormatting sqref="C168:C169 C171:C177 C162:C166">
    <cfRule type="duplicateValues" dxfId="1055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3:O265"/>
  <sheetViews>
    <sheetView topLeftCell="A90" workbookViewId="0">
      <selection activeCell="C124" sqref="C124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9.285156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880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240">
        <v>50</v>
      </c>
      <c r="H6" s="203">
        <v>7479.78</v>
      </c>
      <c r="I6" s="247">
        <v>7</v>
      </c>
      <c r="J6" s="97">
        <f t="shared" ref="J6:J37" si="0">G6-I6</f>
        <v>43</v>
      </c>
      <c r="K6" s="91">
        <f t="shared" ref="K6:K14" si="1">I6*H6</f>
        <v>52358.46</v>
      </c>
      <c r="L6" s="94">
        <f t="shared" ref="L6:L37" si="2">F6-K6</f>
        <v>321630.53999999998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11" t="s">
        <v>616</v>
      </c>
      <c r="D7" s="16">
        <v>132000</v>
      </c>
      <c r="E7" s="16">
        <v>17595.599999999999</v>
      </c>
      <c r="F7" s="41">
        <f>SUM(D7:E7)</f>
        <v>149595.6</v>
      </c>
      <c r="G7" s="240">
        <v>40</v>
      </c>
      <c r="H7" s="209">
        <v>3739.89</v>
      </c>
      <c r="I7" s="243">
        <v>39</v>
      </c>
      <c r="J7" s="96">
        <f t="shared" si="0"/>
        <v>1</v>
      </c>
      <c r="K7" s="16">
        <f t="shared" si="1"/>
        <v>145855.71</v>
      </c>
      <c r="L7" s="41">
        <f t="shared" si="2"/>
        <v>3739.890000000014</v>
      </c>
      <c r="M7" s="11"/>
      <c r="N7" s="180" t="e">
        <f>#REF!-H7</f>
        <v>#REF!</v>
      </c>
    </row>
    <row r="8" spans="1:14" s="114" customFormat="1">
      <c r="A8" s="96">
        <v>3</v>
      </c>
      <c r="B8" s="122" t="s">
        <v>895</v>
      </c>
      <c r="C8" s="123" t="s">
        <v>918</v>
      </c>
      <c r="D8" s="19">
        <v>450000</v>
      </c>
      <c r="E8" s="19">
        <v>59985</v>
      </c>
      <c r="F8" s="19">
        <v>509985</v>
      </c>
      <c r="G8" s="240">
        <v>50</v>
      </c>
      <c r="H8" s="254">
        <v>10199.700000000001</v>
      </c>
      <c r="I8" s="250">
        <v>2</v>
      </c>
      <c r="J8" s="188">
        <f t="shared" si="0"/>
        <v>48</v>
      </c>
      <c r="K8" s="257">
        <f t="shared" si="1"/>
        <v>20399.400000000001</v>
      </c>
      <c r="L8" s="94">
        <f t="shared" si="2"/>
        <v>489585.6</v>
      </c>
      <c r="M8" s="122" t="s">
        <v>251</v>
      </c>
    </row>
    <row r="9" spans="1:14" s="114" customFormat="1">
      <c r="A9" s="96">
        <v>4</v>
      </c>
      <c r="B9" s="255" t="s">
        <v>653</v>
      </c>
      <c r="C9" s="11" t="s">
        <v>654</v>
      </c>
      <c r="D9" s="19">
        <v>330000</v>
      </c>
      <c r="E9" s="19">
        <v>43989</v>
      </c>
      <c r="F9" s="19">
        <f>SUM(D9:E9)</f>
        <v>373989</v>
      </c>
      <c r="G9" s="240">
        <v>50</v>
      </c>
      <c r="H9" s="254">
        <v>7479.78</v>
      </c>
      <c r="I9" s="243">
        <v>25</v>
      </c>
      <c r="J9" s="97">
        <f t="shared" si="0"/>
        <v>25</v>
      </c>
      <c r="K9" s="91">
        <f t="shared" si="1"/>
        <v>186994.5</v>
      </c>
      <c r="L9" s="94">
        <f t="shared" si="2"/>
        <v>186994.5</v>
      </c>
      <c r="M9" s="11"/>
      <c r="N9" s="180" t="e">
        <f>#REF!-H9</f>
        <v>#REF!</v>
      </c>
    </row>
    <row r="10" spans="1:14" s="114" customFormat="1">
      <c r="A10" s="96">
        <v>5</v>
      </c>
      <c r="B10" s="241" t="s">
        <v>528</v>
      </c>
      <c r="C10" s="11" t="s">
        <v>529</v>
      </c>
      <c r="D10" s="12">
        <v>500000</v>
      </c>
      <c r="E10" s="12">
        <v>66650</v>
      </c>
      <c r="F10" s="15">
        <f>SUM(D10:E10)</f>
        <v>566650</v>
      </c>
      <c r="G10" s="246">
        <v>50</v>
      </c>
      <c r="H10" s="209">
        <v>11333</v>
      </c>
      <c r="I10" s="248">
        <v>38</v>
      </c>
      <c r="J10" s="97">
        <f t="shared" si="0"/>
        <v>12</v>
      </c>
      <c r="K10" s="91">
        <f t="shared" si="1"/>
        <v>430654</v>
      </c>
      <c r="L10" s="15">
        <f t="shared" si="2"/>
        <v>135996</v>
      </c>
      <c r="M10" s="8"/>
      <c r="N10" s="180" t="e">
        <f>#REF!-H10</f>
        <v>#REF!</v>
      </c>
    </row>
    <row r="11" spans="1:14" s="114" customFormat="1">
      <c r="A11" s="96">
        <v>6</v>
      </c>
      <c r="B11" s="96" t="s">
        <v>692</v>
      </c>
      <c r="C11" s="11" t="s">
        <v>693</v>
      </c>
      <c r="D11" s="16">
        <v>330000</v>
      </c>
      <c r="E11" s="16">
        <v>43989</v>
      </c>
      <c r="F11" s="41">
        <f>SUM(D11:E11)</f>
        <v>373989</v>
      </c>
      <c r="G11" s="159">
        <v>50</v>
      </c>
      <c r="H11" s="209">
        <v>7478.78</v>
      </c>
      <c r="I11" s="159">
        <v>42</v>
      </c>
      <c r="J11" s="96">
        <f t="shared" si="0"/>
        <v>8</v>
      </c>
      <c r="K11" s="16">
        <f t="shared" si="1"/>
        <v>314108.76</v>
      </c>
      <c r="L11" s="41">
        <f t="shared" si="2"/>
        <v>59880.239999999991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640</v>
      </c>
      <c r="C12" s="11" t="s">
        <v>641</v>
      </c>
      <c r="D12" s="16">
        <v>500000</v>
      </c>
      <c r="E12" s="16">
        <v>66650</v>
      </c>
      <c r="F12" s="41">
        <f>SUM(D12:E12)</f>
        <v>566650</v>
      </c>
      <c r="G12" s="159">
        <v>50</v>
      </c>
      <c r="H12" s="209">
        <v>11333</v>
      </c>
      <c r="I12" s="96">
        <v>33</v>
      </c>
      <c r="J12" s="96">
        <f t="shared" si="0"/>
        <v>17</v>
      </c>
      <c r="K12" s="16">
        <f t="shared" si="1"/>
        <v>373989</v>
      </c>
      <c r="L12" s="41">
        <f t="shared" si="2"/>
        <v>192661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709</v>
      </c>
      <c r="C13" s="11" t="s">
        <v>710</v>
      </c>
      <c r="D13" s="19">
        <v>500000</v>
      </c>
      <c r="E13" s="19">
        <v>66650</v>
      </c>
      <c r="F13" s="19">
        <v>566650</v>
      </c>
      <c r="G13" s="159">
        <v>50</v>
      </c>
      <c r="H13" s="209">
        <v>11333</v>
      </c>
      <c r="I13" s="96">
        <v>19</v>
      </c>
      <c r="J13" s="96">
        <f t="shared" si="0"/>
        <v>31</v>
      </c>
      <c r="K13" s="16">
        <f t="shared" si="1"/>
        <v>215327</v>
      </c>
      <c r="L13" s="16">
        <f t="shared" si="2"/>
        <v>351323</v>
      </c>
      <c r="M13" s="122"/>
      <c r="N13" s="180" t="e">
        <f>#REF!-H13</f>
        <v>#REF!</v>
      </c>
    </row>
    <row r="14" spans="1:14" s="114" customFormat="1">
      <c r="A14" s="96">
        <v>9</v>
      </c>
      <c r="B14" s="96" t="s">
        <v>696</v>
      </c>
      <c r="C14" s="11" t="s">
        <v>697</v>
      </c>
      <c r="D14" s="16">
        <v>500000</v>
      </c>
      <c r="E14" s="16">
        <v>66650</v>
      </c>
      <c r="F14" s="41">
        <f>SUM(D14:E14)</f>
        <v>566650</v>
      </c>
      <c r="G14" s="159">
        <v>50</v>
      </c>
      <c r="H14" s="209">
        <v>11333</v>
      </c>
      <c r="I14" s="96">
        <v>54</v>
      </c>
      <c r="J14" s="96">
        <f t="shared" si="0"/>
        <v>-4</v>
      </c>
      <c r="K14" s="16">
        <f t="shared" si="1"/>
        <v>611982</v>
      </c>
      <c r="L14" s="41">
        <f t="shared" si="2"/>
        <v>-45332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574</v>
      </c>
      <c r="C15" s="11" t="s">
        <v>575</v>
      </c>
      <c r="D15" s="16">
        <v>330000</v>
      </c>
      <c r="E15" s="16">
        <v>43989</v>
      </c>
      <c r="F15" s="41">
        <f>SUM(D15:E15)</f>
        <v>373989</v>
      </c>
      <c r="G15" s="159">
        <v>50</v>
      </c>
      <c r="H15" s="203">
        <v>7479.78</v>
      </c>
      <c r="I15" s="159">
        <v>42</v>
      </c>
      <c r="J15" s="97">
        <f t="shared" si="0"/>
        <v>8</v>
      </c>
      <c r="K15" s="91">
        <f>(32*7479.78)</f>
        <v>239352.95999999999</v>
      </c>
      <c r="L15" s="94">
        <f t="shared" si="2"/>
        <v>134636.04</v>
      </c>
      <c r="M15" s="11"/>
      <c r="N15" s="180" t="e">
        <f>#REF!-H15</f>
        <v>#REF!</v>
      </c>
    </row>
    <row r="16" spans="1:14" s="114" customFormat="1">
      <c r="A16" s="96">
        <v>11</v>
      </c>
      <c r="B16" s="96" t="s">
        <v>721</v>
      </c>
      <c r="C16" s="11" t="s">
        <v>722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09">
        <v>11333</v>
      </c>
      <c r="I16" s="97">
        <v>54</v>
      </c>
      <c r="J16" s="97">
        <f t="shared" si="0"/>
        <v>-4</v>
      </c>
      <c r="K16" s="91">
        <f>I16*H16</f>
        <v>611982</v>
      </c>
      <c r="L16" s="94">
        <f t="shared" si="2"/>
        <v>-45332</v>
      </c>
      <c r="M16" s="11"/>
      <c r="N16" s="180" t="e">
        <f>#REF!-H16</f>
        <v>#REF!</v>
      </c>
    </row>
    <row r="17" spans="1:14" s="114" customFormat="1">
      <c r="A17" s="96">
        <v>12</v>
      </c>
      <c r="B17" s="122" t="s">
        <v>884</v>
      </c>
      <c r="C17" s="123" t="s">
        <v>906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254">
        <v>11333</v>
      </c>
      <c r="I17" s="188">
        <v>2</v>
      </c>
      <c r="J17" s="188">
        <f t="shared" si="0"/>
        <v>48</v>
      </c>
      <c r="K17" s="257">
        <f>I17*H17</f>
        <v>22666</v>
      </c>
      <c r="L17" s="94">
        <f t="shared" si="2"/>
        <v>543984</v>
      </c>
      <c r="M17" s="122" t="s">
        <v>251</v>
      </c>
      <c r="N17" s="180" t="e">
        <f>#REF!-H17</f>
        <v>#REF!</v>
      </c>
    </row>
    <row r="18" spans="1:14" s="114" customFormat="1">
      <c r="A18" s="96">
        <v>13</v>
      </c>
      <c r="B18" s="96" t="s">
        <v>649</v>
      </c>
      <c r="C18" s="11" t="s">
        <v>650</v>
      </c>
      <c r="D18" s="16">
        <v>450000</v>
      </c>
      <c r="E18" s="16">
        <v>59985</v>
      </c>
      <c r="F18" s="16">
        <v>509985</v>
      </c>
      <c r="G18" s="159">
        <v>50</v>
      </c>
      <c r="H18" s="209">
        <v>10199.700000000001</v>
      </c>
      <c r="I18" s="97">
        <v>18</v>
      </c>
      <c r="J18" s="97">
        <f t="shared" si="0"/>
        <v>32</v>
      </c>
      <c r="K18" s="91">
        <f>I18*H18</f>
        <v>183594.6</v>
      </c>
      <c r="L18" s="91">
        <f t="shared" si="2"/>
        <v>326390.40000000002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617</v>
      </c>
      <c r="C19" s="11" t="s">
        <v>618</v>
      </c>
      <c r="D19" s="16">
        <v>450000</v>
      </c>
      <c r="E19" s="16">
        <v>59985</v>
      </c>
      <c r="F19" s="16">
        <v>509985</v>
      </c>
      <c r="G19" s="159">
        <v>50</v>
      </c>
      <c r="H19" s="209">
        <v>10199.700000000001</v>
      </c>
      <c r="I19" s="97">
        <v>33</v>
      </c>
      <c r="J19" s="97">
        <f t="shared" si="0"/>
        <v>17</v>
      </c>
      <c r="K19" s="91">
        <f>I19*H19</f>
        <v>336590.10000000003</v>
      </c>
      <c r="L19" s="94">
        <f t="shared" si="2"/>
        <v>173394.89999999997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505</v>
      </c>
      <c r="C20" s="11" t="s">
        <v>506</v>
      </c>
      <c r="D20" s="16">
        <v>500000</v>
      </c>
      <c r="E20" s="16">
        <v>66650</v>
      </c>
      <c r="F20" s="41">
        <f>SUM(D20:E20)</f>
        <v>566650</v>
      </c>
      <c r="G20" s="159">
        <v>50</v>
      </c>
      <c r="H20" s="209">
        <v>11333</v>
      </c>
      <c r="I20" s="97">
        <v>33</v>
      </c>
      <c r="J20" s="97">
        <f t="shared" si="0"/>
        <v>17</v>
      </c>
      <c r="K20" s="91">
        <f>I20*H20</f>
        <v>373989</v>
      </c>
      <c r="L20" s="94">
        <f t="shared" si="2"/>
        <v>192661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565</v>
      </c>
      <c r="C21" s="11" t="s">
        <v>566</v>
      </c>
      <c r="D21" s="16">
        <v>60000</v>
      </c>
      <c r="E21" s="16">
        <v>7998</v>
      </c>
      <c r="F21" s="41">
        <f>SUM(D21:E21)</f>
        <v>67998</v>
      </c>
      <c r="G21" s="159">
        <v>40</v>
      </c>
      <c r="H21" s="209">
        <v>1699.95</v>
      </c>
      <c r="I21" s="97">
        <v>8</v>
      </c>
      <c r="J21" s="97">
        <f t="shared" si="0"/>
        <v>32</v>
      </c>
      <c r="K21" s="91"/>
      <c r="L21" s="94">
        <f t="shared" si="2"/>
        <v>67998</v>
      </c>
      <c r="M21" s="11"/>
    </row>
    <row r="22" spans="1:14" s="114" customFormat="1">
      <c r="A22" s="96">
        <v>17</v>
      </c>
      <c r="B22" s="96" t="s">
        <v>659</v>
      </c>
      <c r="C22" s="11" t="s">
        <v>660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09">
        <v>11333</v>
      </c>
      <c r="I22" s="97">
        <v>43</v>
      </c>
      <c r="J22" s="97">
        <f t="shared" si="0"/>
        <v>7</v>
      </c>
      <c r="K22" s="91">
        <f t="shared" ref="K22:K28" si="3">I22*H22</f>
        <v>487319</v>
      </c>
      <c r="L22" s="94">
        <f t="shared" si="2"/>
        <v>79331</v>
      </c>
      <c r="M22" s="11" t="s">
        <v>276</v>
      </c>
      <c r="N22" s="180" t="e">
        <f>#REF!-H22</f>
        <v>#REF!</v>
      </c>
    </row>
    <row r="23" spans="1:14" s="114" customFormat="1">
      <c r="A23" s="96">
        <v>18</v>
      </c>
      <c r="B23" s="96" t="s">
        <v>559</v>
      </c>
      <c r="C23" s="11" t="s">
        <v>560</v>
      </c>
      <c r="D23" s="16">
        <v>500000</v>
      </c>
      <c r="E23" s="16">
        <v>66650</v>
      </c>
      <c r="F23" s="16">
        <v>566650</v>
      </c>
      <c r="G23" s="159">
        <v>50</v>
      </c>
      <c r="H23" s="146">
        <v>11333</v>
      </c>
      <c r="I23" s="96">
        <v>7</v>
      </c>
      <c r="J23" s="97">
        <f t="shared" si="0"/>
        <v>43</v>
      </c>
      <c r="K23" s="91">
        <f t="shared" si="3"/>
        <v>79331</v>
      </c>
      <c r="L23" s="94">
        <f t="shared" si="2"/>
        <v>487319</v>
      </c>
      <c r="M23" s="215"/>
      <c r="N23" s="180" t="e">
        <f>#REF!-H23</f>
        <v>#REF!</v>
      </c>
    </row>
    <row r="24" spans="1:14" s="114" customFormat="1">
      <c r="A24" s="96">
        <v>19</v>
      </c>
      <c r="B24" s="96" t="s">
        <v>690</v>
      </c>
      <c r="C24" s="11" t="s">
        <v>691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09">
        <v>11333</v>
      </c>
      <c r="I24" s="188">
        <v>5</v>
      </c>
      <c r="J24" s="97">
        <f t="shared" si="0"/>
        <v>45</v>
      </c>
      <c r="K24" s="91">
        <f t="shared" si="3"/>
        <v>56665</v>
      </c>
      <c r="L24" s="94">
        <f t="shared" si="2"/>
        <v>509985</v>
      </c>
      <c r="M24" s="214"/>
      <c r="N24" s="180" t="e">
        <f>#REF!-H24</f>
        <v>#REF!</v>
      </c>
    </row>
    <row r="25" spans="1:14" s="114" customFormat="1">
      <c r="A25" s="96">
        <v>20</v>
      </c>
      <c r="B25" s="96" t="s">
        <v>581</v>
      </c>
      <c r="C25" s="11" t="s">
        <v>582</v>
      </c>
      <c r="D25" s="16">
        <v>330000</v>
      </c>
      <c r="E25" s="16">
        <v>43989</v>
      </c>
      <c r="F25" s="41">
        <f>SUM(D25:E25)</f>
        <v>373989</v>
      </c>
      <c r="G25" s="159">
        <v>50</v>
      </c>
      <c r="H25" s="209">
        <v>7479.78</v>
      </c>
      <c r="I25" s="97">
        <v>54</v>
      </c>
      <c r="J25" s="97">
        <f t="shared" si="0"/>
        <v>-4</v>
      </c>
      <c r="K25" s="91">
        <f t="shared" si="3"/>
        <v>403908.12</v>
      </c>
      <c r="L25" s="94">
        <f t="shared" si="2"/>
        <v>-29919.119999999995</v>
      </c>
      <c r="M25" s="11"/>
      <c r="N25" s="180" t="e">
        <f>#REF!-H25</f>
        <v>#REF!</v>
      </c>
    </row>
    <row r="26" spans="1:14" s="114" customFormat="1">
      <c r="A26" s="96">
        <v>21</v>
      </c>
      <c r="B26" s="96" t="s">
        <v>567</v>
      </c>
      <c r="C26" s="11" t="s">
        <v>568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209">
        <v>7479.78</v>
      </c>
      <c r="I26" s="97">
        <v>54</v>
      </c>
      <c r="J26" s="97">
        <f t="shared" si="0"/>
        <v>-4</v>
      </c>
      <c r="K26" s="91">
        <f t="shared" si="3"/>
        <v>403908.12</v>
      </c>
      <c r="L26" s="94">
        <f t="shared" si="2"/>
        <v>-29919.119999999995</v>
      </c>
      <c r="M26" s="11"/>
      <c r="N26" s="180" t="e">
        <f>#REF!-H26</f>
        <v>#REF!</v>
      </c>
    </row>
    <row r="27" spans="1:14" s="114" customFormat="1">
      <c r="A27" s="96">
        <v>22</v>
      </c>
      <c r="B27" s="96" t="s">
        <v>726</v>
      </c>
      <c r="C27" s="11" t="s">
        <v>727</v>
      </c>
      <c r="D27" s="19">
        <v>500000</v>
      </c>
      <c r="E27" s="19">
        <v>66650</v>
      </c>
      <c r="F27" s="19">
        <v>566650</v>
      </c>
      <c r="G27" s="159">
        <v>50</v>
      </c>
      <c r="H27" s="209">
        <v>11333</v>
      </c>
      <c r="I27" s="97">
        <v>19</v>
      </c>
      <c r="J27" s="97">
        <f t="shared" si="0"/>
        <v>31</v>
      </c>
      <c r="K27" s="91">
        <f t="shared" si="3"/>
        <v>215327</v>
      </c>
      <c r="L27" s="91">
        <f t="shared" si="2"/>
        <v>351323</v>
      </c>
      <c r="M27" s="122"/>
      <c r="N27" s="180" t="e">
        <f>#REF!-H27</f>
        <v>#REF!</v>
      </c>
    </row>
    <row r="28" spans="1:14" s="114" customFormat="1">
      <c r="A28" s="96">
        <v>23</v>
      </c>
      <c r="B28" s="96" t="s">
        <v>680</v>
      </c>
      <c r="C28" s="11" t="s">
        <v>681</v>
      </c>
      <c r="D28" s="19">
        <v>500000</v>
      </c>
      <c r="E28" s="19">
        <v>66650</v>
      </c>
      <c r="F28" s="19">
        <v>566650</v>
      </c>
      <c r="G28" s="159">
        <v>50</v>
      </c>
      <c r="H28" s="209">
        <v>11333</v>
      </c>
      <c r="I28" s="97">
        <v>19</v>
      </c>
      <c r="J28" s="97">
        <f t="shared" si="0"/>
        <v>31</v>
      </c>
      <c r="K28" s="91">
        <f t="shared" si="3"/>
        <v>215327</v>
      </c>
      <c r="L28" s="91">
        <f t="shared" si="2"/>
        <v>351323</v>
      </c>
      <c r="M28" s="122"/>
      <c r="N28" s="180" t="e">
        <f>#REF!-H28</f>
        <v>#REF!</v>
      </c>
    </row>
    <row r="29" spans="1:14" s="114" customFormat="1">
      <c r="A29" s="96">
        <v>24</v>
      </c>
      <c r="B29" s="96" t="s">
        <v>576</v>
      </c>
      <c r="C29" s="11" t="s">
        <v>927</v>
      </c>
      <c r="D29" s="16">
        <v>60000</v>
      </c>
      <c r="E29" s="16">
        <v>7998</v>
      </c>
      <c r="F29" s="41">
        <f>SUM(D29:E29)</f>
        <v>67998</v>
      </c>
      <c r="G29" s="159">
        <v>40</v>
      </c>
      <c r="H29" s="209">
        <v>1699.95</v>
      </c>
      <c r="I29" s="97">
        <v>8</v>
      </c>
      <c r="J29" s="97">
        <f t="shared" si="0"/>
        <v>32</v>
      </c>
      <c r="K29" s="91"/>
      <c r="L29" s="94">
        <f t="shared" si="2"/>
        <v>67998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588</v>
      </c>
      <c r="C30" s="11" t="s">
        <v>589</v>
      </c>
      <c r="D30" s="16">
        <v>500000</v>
      </c>
      <c r="E30" s="16">
        <v>66650</v>
      </c>
      <c r="F30" s="41">
        <f>SUM(D30:E30)</f>
        <v>566650</v>
      </c>
      <c r="G30" s="159">
        <v>50</v>
      </c>
      <c r="H30" s="209">
        <v>11333</v>
      </c>
      <c r="I30" s="97">
        <v>32</v>
      </c>
      <c r="J30" s="97">
        <f t="shared" si="0"/>
        <v>18</v>
      </c>
      <c r="K30" s="91">
        <f>I30*H30</f>
        <v>362656</v>
      </c>
      <c r="L30" s="94">
        <f t="shared" si="2"/>
        <v>203994</v>
      </c>
      <c r="M30" s="11"/>
      <c r="N30" s="180" t="e">
        <f>#REF!-H30</f>
        <v>#REF!</v>
      </c>
    </row>
    <row r="31" spans="1:14" s="114" customFormat="1">
      <c r="A31" s="96">
        <v>26</v>
      </c>
      <c r="B31" s="96" t="s">
        <v>512</v>
      </c>
      <c r="C31" s="11" t="s">
        <v>513</v>
      </c>
      <c r="D31" s="16">
        <v>500000</v>
      </c>
      <c r="E31" s="16">
        <v>66650</v>
      </c>
      <c r="F31" s="41">
        <f>SUM(D31:E31)</f>
        <v>566650</v>
      </c>
      <c r="G31" s="159">
        <v>50</v>
      </c>
      <c r="H31" s="209">
        <v>11333</v>
      </c>
      <c r="I31" s="97">
        <v>42</v>
      </c>
      <c r="J31" s="97">
        <f t="shared" si="0"/>
        <v>8</v>
      </c>
      <c r="K31" s="91">
        <f>I31*H31</f>
        <v>475986</v>
      </c>
      <c r="L31" s="94">
        <f t="shared" si="2"/>
        <v>90664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532</v>
      </c>
      <c r="C32" s="11" t="s">
        <v>533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209">
        <v>11333</v>
      </c>
      <c r="I32" s="97">
        <v>42</v>
      </c>
      <c r="J32" s="97">
        <f t="shared" si="0"/>
        <v>8</v>
      </c>
      <c r="K32" s="91">
        <f>I32*H32</f>
        <v>475986</v>
      </c>
      <c r="L32" s="94">
        <f t="shared" si="2"/>
        <v>90664</v>
      </c>
      <c r="M32" s="11"/>
    </row>
    <row r="33" spans="1:14" s="114" customFormat="1">
      <c r="A33" s="96">
        <v>28</v>
      </c>
      <c r="B33" s="96" t="s">
        <v>633</v>
      </c>
      <c r="C33" s="11" t="s">
        <v>634</v>
      </c>
      <c r="D33" s="19">
        <v>150000</v>
      </c>
      <c r="E33" s="19">
        <v>19995</v>
      </c>
      <c r="F33" s="19">
        <f>SUM(D33:E33)</f>
        <v>169995</v>
      </c>
      <c r="G33" s="159">
        <v>50</v>
      </c>
      <c r="H33" s="252">
        <v>3399.9</v>
      </c>
      <c r="I33" s="101">
        <v>7</v>
      </c>
      <c r="J33" s="97">
        <f t="shared" si="0"/>
        <v>43</v>
      </c>
      <c r="K33" s="91">
        <f>I33*H33</f>
        <v>23799.3</v>
      </c>
      <c r="L33" s="94">
        <f t="shared" si="2"/>
        <v>146195.70000000001</v>
      </c>
      <c r="M33" s="218"/>
    </row>
    <row r="34" spans="1:14" s="114" customFormat="1">
      <c r="A34" s="96">
        <v>29</v>
      </c>
      <c r="B34" s="96" t="s">
        <v>534</v>
      </c>
      <c r="C34" s="11" t="s">
        <v>535</v>
      </c>
      <c r="D34" s="16">
        <v>450000</v>
      </c>
      <c r="E34" s="16">
        <v>59985</v>
      </c>
      <c r="F34" s="16">
        <v>509985</v>
      </c>
      <c r="G34" s="159">
        <v>50</v>
      </c>
      <c r="H34" s="209">
        <v>10199.700000000001</v>
      </c>
      <c r="I34" s="97">
        <v>11</v>
      </c>
      <c r="J34" s="97">
        <f t="shared" si="0"/>
        <v>39</v>
      </c>
      <c r="K34" s="91">
        <f>(1*10199.7)</f>
        <v>10199.700000000001</v>
      </c>
      <c r="L34" s="94">
        <f t="shared" si="2"/>
        <v>499785.3</v>
      </c>
      <c r="M34" s="11"/>
      <c r="N34" s="180" t="e">
        <f>#REF!-H34</f>
        <v>#REF!</v>
      </c>
    </row>
    <row r="35" spans="1:14" s="114" customFormat="1">
      <c r="A35" s="96">
        <v>30</v>
      </c>
      <c r="B35" s="96" t="s">
        <v>713</v>
      </c>
      <c r="C35" s="11" t="s">
        <v>714</v>
      </c>
      <c r="D35" s="16">
        <v>450000</v>
      </c>
      <c r="E35" s="16">
        <v>59985</v>
      </c>
      <c r="F35" s="41">
        <f>SUM(D35:E35)</f>
        <v>509985</v>
      </c>
      <c r="G35" s="159">
        <v>50</v>
      </c>
      <c r="H35" s="209">
        <v>11333</v>
      </c>
      <c r="I35" s="97">
        <v>22</v>
      </c>
      <c r="J35" s="97">
        <f t="shared" si="0"/>
        <v>28</v>
      </c>
      <c r="K35" s="91">
        <f t="shared" ref="K35:K66" si="4">I35*H35</f>
        <v>249326</v>
      </c>
      <c r="L35" s="94">
        <f t="shared" si="2"/>
        <v>260659</v>
      </c>
      <c r="M35" s="11"/>
      <c r="N35" s="180" t="e">
        <f>#REF!-H35</f>
        <v>#REF!</v>
      </c>
    </row>
    <row r="36" spans="1:14" s="114" customFormat="1">
      <c r="A36" s="96">
        <v>31</v>
      </c>
      <c r="B36" s="96" t="s">
        <v>499</v>
      </c>
      <c r="C36" s="11" t="s">
        <v>500</v>
      </c>
      <c r="D36" s="16">
        <v>500000</v>
      </c>
      <c r="E36" s="16">
        <v>66650</v>
      </c>
      <c r="F36" s="41">
        <f>SUM(D36:E36)</f>
        <v>566650</v>
      </c>
      <c r="G36" s="159">
        <v>50</v>
      </c>
      <c r="H36" s="203">
        <v>11333</v>
      </c>
      <c r="I36" s="188">
        <v>5</v>
      </c>
      <c r="J36" s="97">
        <f t="shared" si="0"/>
        <v>45</v>
      </c>
      <c r="K36" s="91">
        <f t="shared" si="4"/>
        <v>56665</v>
      </c>
      <c r="L36" s="94">
        <f t="shared" si="2"/>
        <v>509985</v>
      </c>
      <c r="M36" s="214"/>
      <c r="N36" s="180" t="e">
        <f>#REF!-H36</f>
        <v>#REF!</v>
      </c>
    </row>
    <row r="37" spans="1:14" s="114" customFormat="1">
      <c r="A37" s="96">
        <v>32</v>
      </c>
      <c r="B37" s="96" t="s">
        <v>572</v>
      </c>
      <c r="C37" s="11" t="s">
        <v>573</v>
      </c>
      <c r="D37" s="12">
        <v>150000</v>
      </c>
      <c r="E37" s="12">
        <v>19995</v>
      </c>
      <c r="F37" s="15">
        <f>SUM(D37:E37)</f>
        <v>169995</v>
      </c>
      <c r="G37" s="14">
        <v>50</v>
      </c>
      <c r="H37" s="209">
        <v>3399.9</v>
      </c>
      <c r="I37" s="14">
        <v>38</v>
      </c>
      <c r="J37" s="97">
        <f t="shared" si="0"/>
        <v>12</v>
      </c>
      <c r="K37" s="91">
        <f t="shared" si="4"/>
        <v>129196.2</v>
      </c>
      <c r="L37" s="15">
        <f t="shared" si="2"/>
        <v>40798.800000000003</v>
      </c>
      <c r="M37" s="8"/>
      <c r="N37" s="180" t="e">
        <f>#REF!-H37</f>
        <v>#REF!</v>
      </c>
    </row>
    <row r="38" spans="1:14" s="114" customFormat="1">
      <c r="A38" s="96">
        <v>33</v>
      </c>
      <c r="B38" s="122" t="s">
        <v>897</v>
      </c>
      <c r="C38" s="123" t="s">
        <v>920</v>
      </c>
      <c r="D38" s="19">
        <v>450000</v>
      </c>
      <c r="E38" s="19">
        <v>59985</v>
      </c>
      <c r="F38" s="19">
        <v>509985</v>
      </c>
      <c r="G38" s="159">
        <v>50</v>
      </c>
      <c r="H38" s="254">
        <v>10199.700000000001</v>
      </c>
      <c r="I38" s="188">
        <v>2</v>
      </c>
      <c r="J38" s="188">
        <f t="shared" ref="J38:J69" si="5">G38-I38</f>
        <v>48</v>
      </c>
      <c r="K38" s="257">
        <f t="shared" si="4"/>
        <v>20399.400000000001</v>
      </c>
      <c r="L38" s="94">
        <f t="shared" ref="L38:L69" si="6">F38-K38</f>
        <v>489585.6</v>
      </c>
      <c r="M38" s="122" t="s">
        <v>251</v>
      </c>
    </row>
    <row r="39" spans="1:14" s="114" customFormat="1">
      <c r="A39" s="96">
        <v>34</v>
      </c>
      <c r="B39" s="96" t="s">
        <v>626</v>
      </c>
      <c r="C39" s="11" t="s">
        <v>627</v>
      </c>
      <c r="D39" s="16">
        <v>330000</v>
      </c>
      <c r="E39" s="16">
        <v>43989</v>
      </c>
      <c r="F39" s="41">
        <f t="shared" ref="F39:F48" si="7">SUM(D39:E39)</f>
        <v>373989</v>
      </c>
      <c r="G39" s="159">
        <v>50</v>
      </c>
      <c r="H39" s="209">
        <v>7479.78</v>
      </c>
      <c r="I39" s="97">
        <v>33</v>
      </c>
      <c r="J39" s="97">
        <f t="shared" si="5"/>
        <v>17</v>
      </c>
      <c r="K39" s="91">
        <f t="shared" si="4"/>
        <v>246832.74</v>
      </c>
      <c r="L39" s="94">
        <f t="shared" si="6"/>
        <v>127156.26000000001</v>
      </c>
      <c r="M39" s="11"/>
      <c r="N39" s="180" t="e">
        <f>#REF!-H39</f>
        <v>#REF!</v>
      </c>
    </row>
    <row r="40" spans="1:14" s="114" customFormat="1">
      <c r="A40" s="96">
        <v>35</v>
      </c>
      <c r="B40" s="96" t="s">
        <v>730</v>
      </c>
      <c r="C40" s="11" t="s">
        <v>731</v>
      </c>
      <c r="D40" s="16">
        <v>500000</v>
      </c>
      <c r="E40" s="16">
        <v>66650</v>
      </c>
      <c r="F40" s="41">
        <f t="shared" si="7"/>
        <v>566650</v>
      </c>
      <c r="G40" s="159">
        <v>50</v>
      </c>
      <c r="H40" s="209">
        <v>11333</v>
      </c>
      <c r="I40" s="188">
        <v>9</v>
      </c>
      <c r="J40" s="188">
        <f t="shared" si="5"/>
        <v>41</v>
      </c>
      <c r="K40" s="91">
        <f t="shared" si="4"/>
        <v>101997</v>
      </c>
      <c r="L40" s="94">
        <f t="shared" si="6"/>
        <v>464653</v>
      </c>
      <c r="M40" s="122"/>
      <c r="N40" s="180" t="e">
        <f>#REF!-H40</f>
        <v>#REF!</v>
      </c>
    </row>
    <row r="41" spans="1:14" s="114" customFormat="1">
      <c r="A41" s="96">
        <v>36</v>
      </c>
      <c r="B41" s="96" t="s">
        <v>526</v>
      </c>
      <c r="C41" s="11" t="s">
        <v>527</v>
      </c>
      <c r="D41" s="16">
        <v>330000</v>
      </c>
      <c r="E41" s="16">
        <v>43989</v>
      </c>
      <c r="F41" s="41">
        <f t="shared" si="7"/>
        <v>373989</v>
      </c>
      <c r="G41" s="159">
        <v>50</v>
      </c>
      <c r="H41" s="203">
        <v>7479.78</v>
      </c>
      <c r="I41" s="97">
        <v>33</v>
      </c>
      <c r="J41" s="97">
        <f t="shared" si="5"/>
        <v>17</v>
      </c>
      <c r="K41" s="91">
        <f t="shared" si="4"/>
        <v>246832.74</v>
      </c>
      <c r="L41" s="94">
        <f t="shared" si="6"/>
        <v>127156.26000000001</v>
      </c>
      <c r="M41" s="11"/>
      <c r="N41" s="180" t="e">
        <f>#REF!-H41</f>
        <v>#REF!</v>
      </c>
    </row>
    <row r="42" spans="1:14" s="114" customFormat="1">
      <c r="A42" s="96">
        <v>37</v>
      </c>
      <c r="B42" s="96" t="s">
        <v>609</v>
      </c>
      <c r="C42" s="11" t="s">
        <v>610</v>
      </c>
      <c r="D42" s="16">
        <v>500000</v>
      </c>
      <c r="E42" s="16">
        <v>66650</v>
      </c>
      <c r="F42" s="41">
        <f t="shared" si="7"/>
        <v>566650</v>
      </c>
      <c r="G42" s="159">
        <v>50</v>
      </c>
      <c r="H42" s="209">
        <v>11333</v>
      </c>
      <c r="I42" s="97">
        <v>32</v>
      </c>
      <c r="J42" s="97">
        <f t="shared" si="5"/>
        <v>18</v>
      </c>
      <c r="K42" s="91">
        <f t="shared" si="4"/>
        <v>362656</v>
      </c>
      <c r="L42" s="94">
        <f t="shared" si="6"/>
        <v>203994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682</v>
      </c>
      <c r="C43" s="11" t="s">
        <v>683</v>
      </c>
      <c r="D43" s="16">
        <v>500000</v>
      </c>
      <c r="E43" s="16">
        <v>66650</v>
      </c>
      <c r="F43" s="41">
        <f t="shared" si="7"/>
        <v>566650</v>
      </c>
      <c r="G43" s="159">
        <v>50</v>
      </c>
      <c r="H43" s="209">
        <v>11333</v>
      </c>
      <c r="I43" s="97">
        <v>33</v>
      </c>
      <c r="J43" s="97">
        <f t="shared" si="5"/>
        <v>17</v>
      </c>
      <c r="K43" s="91">
        <f t="shared" si="4"/>
        <v>373989</v>
      </c>
      <c r="L43" s="94">
        <f t="shared" si="6"/>
        <v>192661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542</v>
      </c>
      <c r="C44" s="11" t="s">
        <v>543</v>
      </c>
      <c r="D44" s="16">
        <v>500000</v>
      </c>
      <c r="E44" s="16">
        <v>66650</v>
      </c>
      <c r="F44" s="41">
        <f t="shared" si="7"/>
        <v>566650</v>
      </c>
      <c r="G44" s="159">
        <v>50</v>
      </c>
      <c r="H44" s="209">
        <v>11333</v>
      </c>
      <c r="I44" s="97">
        <v>32</v>
      </c>
      <c r="J44" s="97">
        <f t="shared" si="5"/>
        <v>18</v>
      </c>
      <c r="K44" s="91">
        <f t="shared" si="4"/>
        <v>362656</v>
      </c>
      <c r="L44" s="94">
        <f t="shared" si="6"/>
        <v>203994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657</v>
      </c>
      <c r="C45" s="11" t="s">
        <v>658</v>
      </c>
      <c r="D45" s="12">
        <v>500000</v>
      </c>
      <c r="E45" s="12">
        <v>66650</v>
      </c>
      <c r="F45" s="15">
        <f t="shared" si="7"/>
        <v>566650</v>
      </c>
      <c r="G45" s="14">
        <v>50</v>
      </c>
      <c r="H45" s="203">
        <v>11333</v>
      </c>
      <c r="I45" s="14">
        <v>38</v>
      </c>
      <c r="J45" s="97">
        <f t="shared" si="5"/>
        <v>12</v>
      </c>
      <c r="K45" s="91">
        <f t="shared" si="4"/>
        <v>430654</v>
      </c>
      <c r="L45" s="15">
        <f t="shared" si="6"/>
        <v>135996</v>
      </c>
      <c r="M45" s="8"/>
      <c r="N45" s="180" t="e">
        <f>#REF!-H45</f>
        <v>#REF!</v>
      </c>
    </row>
    <row r="46" spans="1:14" s="114" customFormat="1">
      <c r="A46" s="96">
        <v>41</v>
      </c>
      <c r="B46" s="122" t="s">
        <v>881</v>
      </c>
      <c r="C46" s="123" t="s">
        <v>903</v>
      </c>
      <c r="D46" s="16">
        <v>500000</v>
      </c>
      <c r="E46" s="16">
        <v>66650</v>
      </c>
      <c r="F46" s="41">
        <f t="shared" si="7"/>
        <v>566650</v>
      </c>
      <c r="G46" s="159">
        <v>50</v>
      </c>
      <c r="H46" s="254">
        <v>13833</v>
      </c>
      <c r="I46" s="188">
        <v>2</v>
      </c>
      <c r="J46" s="188">
        <f t="shared" si="5"/>
        <v>48</v>
      </c>
      <c r="K46" s="257">
        <f t="shared" si="4"/>
        <v>27666</v>
      </c>
      <c r="L46" s="94">
        <f t="shared" si="6"/>
        <v>538984</v>
      </c>
      <c r="M46" s="122" t="s">
        <v>251</v>
      </c>
      <c r="N46" s="180" t="e">
        <f>#REF!-H46</f>
        <v>#REF!</v>
      </c>
    </row>
    <row r="47" spans="1:14" s="114" customFormat="1">
      <c r="A47" s="96">
        <v>42</v>
      </c>
      <c r="B47" s="122" t="s">
        <v>900</v>
      </c>
      <c r="C47" s="123" t="s">
        <v>923</v>
      </c>
      <c r="D47" s="19">
        <v>330000</v>
      </c>
      <c r="E47" s="19">
        <v>43989</v>
      </c>
      <c r="F47" s="19">
        <f t="shared" si="7"/>
        <v>373989</v>
      </c>
      <c r="G47" s="159">
        <v>50</v>
      </c>
      <c r="H47" s="254">
        <v>7479.78</v>
      </c>
      <c r="I47" s="188">
        <v>2</v>
      </c>
      <c r="J47" s="188">
        <f t="shared" si="5"/>
        <v>48</v>
      </c>
      <c r="K47" s="257">
        <f t="shared" si="4"/>
        <v>14959.56</v>
      </c>
      <c r="L47" s="94">
        <f t="shared" si="6"/>
        <v>359029.44</v>
      </c>
      <c r="M47" s="122" t="s">
        <v>251</v>
      </c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11" t="s">
        <v>695</v>
      </c>
      <c r="D48" s="16">
        <v>330000</v>
      </c>
      <c r="E48" s="16">
        <v>43989</v>
      </c>
      <c r="F48" s="41">
        <f t="shared" si="7"/>
        <v>373989</v>
      </c>
      <c r="G48" s="159">
        <v>50</v>
      </c>
      <c r="H48" s="209">
        <v>7479.78</v>
      </c>
      <c r="I48" s="97">
        <v>54</v>
      </c>
      <c r="J48" s="97">
        <f t="shared" si="5"/>
        <v>-4</v>
      </c>
      <c r="K48" s="91">
        <f t="shared" si="4"/>
        <v>403908.12</v>
      </c>
      <c r="L48" s="94">
        <f t="shared" si="6"/>
        <v>-29919.119999999995</v>
      </c>
      <c r="M48" s="11"/>
      <c r="N48" s="180" t="e">
        <f>#REF!-H48</f>
        <v>#REF!</v>
      </c>
    </row>
    <row r="49" spans="1:14" s="114" customFormat="1">
      <c r="A49" s="96">
        <v>44</v>
      </c>
      <c r="B49" s="122" t="s">
        <v>893</v>
      </c>
      <c r="C49" s="123" t="s">
        <v>915</v>
      </c>
      <c r="D49" s="19">
        <v>450000</v>
      </c>
      <c r="E49" s="19">
        <v>59985</v>
      </c>
      <c r="F49" s="19">
        <v>509985</v>
      </c>
      <c r="G49" s="159">
        <v>50</v>
      </c>
      <c r="H49" s="254">
        <v>10199.700000000001</v>
      </c>
      <c r="I49" s="188">
        <v>2</v>
      </c>
      <c r="J49" s="188">
        <f t="shared" si="5"/>
        <v>48</v>
      </c>
      <c r="K49" s="257">
        <f t="shared" si="4"/>
        <v>20399.400000000001</v>
      </c>
      <c r="L49" s="94">
        <f t="shared" si="6"/>
        <v>489585.6</v>
      </c>
      <c r="M49" s="122" t="s">
        <v>251</v>
      </c>
      <c r="N49" s="180" t="e">
        <f>#REF!-H49</f>
        <v>#REF!</v>
      </c>
    </row>
    <row r="50" spans="1:14" s="114" customFormat="1">
      <c r="A50" s="96">
        <v>45</v>
      </c>
      <c r="B50" s="96" t="s">
        <v>520</v>
      </c>
      <c r="C50" s="11" t="s">
        <v>521</v>
      </c>
      <c r="D50" s="19">
        <v>450000</v>
      </c>
      <c r="E50" s="19">
        <v>59985</v>
      </c>
      <c r="F50" s="19">
        <v>509985</v>
      </c>
      <c r="G50" s="159">
        <v>50</v>
      </c>
      <c r="H50" s="161">
        <v>10199.700000000001</v>
      </c>
      <c r="I50" s="97">
        <v>44</v>
      </c>
      <c r="J50" s="97">
        <f t="shared" si="5"/>
        <v>6</v>
      </c>
      <c r="K50" s="91">
        <f t="shared" si="4"/>
        <v>448786.80000000005</v>
      </c>
      <c r="L50" s="94">
        <f t="shared" si="6"/>
        <v>61198.199999999953</v>
      </c>
      <c r="M50" s="11"/>
      <c r="N50" s="180" t="e">
        <f>#REF!-H50</f>
        <v>#REF!</v>
      </c>
    </row>
    <row r="51" spans="1:14" s="114" customFormat="1">
      <c r="A51" s="96">
        <v>46</v>
      </c>
      <c r="B51" s="96" t="s">
        <v>715</v>
      </c>
      <c r="C51" s="11" t="s">
        <v>716</v>
      </c>
      <c r="D51" s="19">
        <v>450000</v>
      </c>
      <c r="E51" s="19">
        <v>59985</v>
      </c>
      <c r="F51" s="19">
        <v>509985</v>
      </c>
      <c r="G51" s="159">
        <v>50</v>
      </c>
      <c r="H51" s="209">
        <v>10199.700000000001</v>
      </c>
      <c r="I51" s="101">
        <v>7</v>
      </c>
      <c r="J51" s="97">
        <f t="shared" si="5"/>
        <v>43</v>
      </c>
      <c r="K51" s="91">
        <f t="shared" si="4"/>
        <v>71397.900000000009</v>
      </c>
      <c r="L51" s="94">
        <f t="shared" si="6"/>
        <v>438587.1</v>
      </c>
      <c r="M51" s="218"/>
    </row>
    <row r="52" spans="1:14" s="114" customFormat="1">
      <c r="A52" s="96">
        <v>47</v>
      </c>
      <c r="B52" s="96" t="s">
        <v>700</v>
      </c>
      <c r="C52" s="11" t="s">
        <v>701</v>
      </c>
      <c r="D52" s="16">
        <v>500000</v>
      </c>
      <c r="E52" s="16">
        <v>66650</v>
      </c>
      <c r="F52" s="41">
        <f>SUM(D52:E52)</f>
        <v>566650</v>
      </c>
      <c r="G52" s="159">
        <v>50</v>
      </c>
      <c r="H52" s="209">
        <v>11333</v>
      </c>
      <c r="I52" s="97">
        <v>54</v>
      </c>
      <c r="J52" s="97">
        <f t="shared" si="5"/>
        <v>-4</v>
      </c>
      <c r="K52" s="91">
        <f t="shared" si="4"/>
        <v>611982</v>
      </c>
      <c r="L52" s="94">
        <f t="shared" si="6"/>
        <v>-45332</v>
      </c>
      <c r="M52" s="11"/>
      <c r="N52" s="180" t="e">
        <f>#REF!-H52</f>
        <v>#REF!</v>
      </c>
    </row>
    <row r="53" spans="1:14" s="114" customFormat="1">
      <c r="A53" s="96">
        <v>48</v>
      </c>
      <c r="B53" s="96" t="s">
        <v>724</v>
      </c>
      <c r="C53" s="11" t="s">
        <v>725</v>
      </c>
      <c r="D53" s="19">
        <v>500000</v>
      </c>
      <c r="E53" s="19">
        <v>66650</v>
      </c>
      <c r="F53" s="19">
        <v>566650</v>
      </c>
      <c r="G53" s="159">
        <v>50</v>
      </c>
      <c r="H53" s="209">
        <v>11333</v>
      </c>
      <c r="I53" s="97">
        <v>18</v>
      </c>
      <c r="J53" s="97">
        <f t="shared" si="5"/>
        <v>32</v>
      </c>
      <c r="K53" s="91">
        <f t="shared" si="4"/>
        <v>203994</v>
      </c>
      <c r="L53" s="91">
        <f t="shared" si="6"/>
        <v>362656</v>
      </c>
      <c r="M53" s="122"/>
      <c r="N53" s="180" t="e">
        <f>#REF!-H53</f>
        <v>#REF!</v>
      </c>
    </row>
    <row r="54" spans="1:14" s="114" customFormat="1">
      <c r="A54" s="96">
        <v>49</v>
      </c>
      <c r="B54" s="96" t="s">
        <v>624</v>
      </c>
      <c r="C54" s="11" t="s">
        <v>625</v>
      </c>
      <c r="D54" s="16">
        <v>150000</v>
      </c>
      <c r="E54" s="16">
        <v>19995</v>
      </c>
      <c r="F54" s="41">
        <f>SUM(D54:E54)</f>
        <v>169995</v>
      </c>
      <c r="G54" s="159">
        <v>50</v>
      </c>
      <c r="H54" s="209">
        <v>3399.9</v>
      </c>
      <c r="I54" s="97">
        <v>42</v>
      </c>
      <c r="J54" s="97">
        <f t="shared" si="5"/>
        <v>8</v>
      </c>
      <c r="K54" s="91">
        <f t="shared" si="4"/>
        <v>142795.80000000002</v>
      </c>
      <c r="L54" s="94">
        <f t="shared" si="6"/>
        <v>27199.199999999983</v>
      </c>
      <c r="M54" s="11"/>
      <c r="N54" s="180" t="e">
        <f>#REF!-H54</f>
        <v>#REF!</v>
      </c>
    </row>
    <row r="55" spans="1:14" s="114" customFormat="1">
      <c r="A55" s="96">
        <v>50</v>
      </c>
      <c r="B55" s="122" t="s">
        <v>887</v>
      </c>
      <c r="C55" s="123" t="s">
        <v>909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254">
        <v>11333</v>
      </c>
      <c r="I55" s="188">
        <v>2</v>
      </c>
      <c r="J55" s="188">
        <f t="shared" si="5"/>
        <v>48</v>
      </c>
      <c r="K55" s="257">
        <f t="shared" si="4"/>
        <v>22666</v>
      </c>
      <c r="L55" s="94">
        <f t="shared" si="6"/>
        <v>543984</v>
      </c>
      <c r="M55" s="122" t="s">
        <v>251</v>
      </c>
      <c r="N55" s="180" t="e">
        <f>#REF!-H55</f>
        <v>#REF!</v>
      </c>
    </row>
    <row r="56" spans="1:14" s="114" customFormat="1">
      <c r="A56" s="96">
        <v>51</v>
      </c>
      <c r="B56" s="122" t="s">
        <v>894</v>
      </c>
      <c r="C56" s="123" t="s">
        <v>916</v>
      </c>
      <c r="D56" s="19">
        <v>450000</v>
      </c>
      <c r="E56" s="19">
        <v>59985</v>
      </c>
      <c r="F56" s="19">
        <v>509985</v>
      </c>
      <c r="G56" s="159">
        <v>50</v>
      </c>
      <c r="H56" s="254">
        <v>10199.700000000001</v>
      </c>
      <c r="I56" s="188">
        <v>2</v>
      </c>
      <c r="J56" s="188">
        <f t="shared" si="5"/>
        <v>48</v>
      </c>
      <c r="K56" s="257">
        <f t="shared" si="4"/>
        <v>20399.400000000001</v>
      </c>
      <c r="L56" s="94">
        <f t="shared" si="6"/>
        <v>489585.6</v>
      </c>
      <c r="M56" s="122" t="s">
        <v>251</v>
      </c>
      <c r="N56" s="180" t="e">
        <f>#REF!-H56</f>
        <v>#REF!</v>
      </c>
    </row>
    <row r="57" spans="1:14" s="114" customFormat="1">
      <c r="A57" s="96">
        <v>52</v>
      </c>
      <c r="B57" s="96" t="s">
        <v>619</v>
      </c>
      <c r="C57" s="11" t="s">
        <v>620</v>
      </c>
      <c r="D57" s="16">
        <v>500000</v>
      </c>
      <c r="E57" s="16">
        <v>66650</v>
      </c>
      <c r="F57" s="16">
        <v>566650</v>
      </c>
      <c r="G57" s="159">
        <v>50</v>
      </c>
      <c r="H57" s="209">
        <v>11333</v>
      </c>
      <c r="I57" s="97">
        <v>33</v>
      </c>
      <c r="J57" s="97">
        <f t="shared" si="5"/>
        <v>17</v>
      </c>
      <c r="K57" s="91">
        <f t="shared" si="4"/>
        <v>373989</v>
      </c>
      <c r="L57" s="94">
        <f t="shared" si="6"/>
        <v>192661</v>
      </c>
      <c r="M57" s="11"/>
      <c r="N57" s="180" t="e">
        <f>#REF!-H57</f>
        <v>#REF!</v>
      </c>
    </row>
    <row r="58" spans="1:14" s="114" customFormat="1">
      <c r="A58" s="96">
        <v>53</v>
      </c>
      <c r="B58" s="96" t="s">
        <v>664</v>
      </c>
      <c r="C58" s="11" t="s">
        <v>665</v>
      </c>
      <c r="D58" s="19">
        <v>330000</v>
      </c>
      <c r="E58" s="19">
        <v>43989</v>
      </c>
      <c r="F58" s="19">
        <f>SUM(D58:E58)</f>
        <v>373989</v>
      </c>
      <c r="G58" s="159">
        <v>50</v>
      </c>
      <c r="H58" s="253">
        <v>7479.78</v>
      </c>
      <c r="I58" s="101">
        <v>7</v>
      </c>
      <c r="J58" s="97">
        <f t="shared" si="5"/>
        <v>43</v>
      </c>
      <c r="K58" s="91">
        <f t="shared" si="4"/>
        <v>52358.46</v>
      </c>
      <c r="L58" s="94">
        <f t="shared" si="6"/>
        <v>321630.53999999998</v>
      </c>
      <c r="M58" s="218"/>
      <c r="N58" s="180" t="e">
        <f>#REF!-H58</f>
        <v>#REF!</v>
      </c>
    </row>
    <row r="59" spans="1:14" s="114" customFormat="1">
      <c r="A59" s="96">
        <v>54</v>
      </c>
      <c r="B59" s="122" t="s">
        <v>896</v>
      </c>
      <c r="C59" s="123" t="s">
        <v>919</v>
      </c>
      <c r="D59" s="19">
        <v>450000</v>
      </c>
      <c r="E59" s="19">
        <v>59985</v>
      </c>
      <c r="F59" s="19">
        <v>509985</v>
      </c>
      <c r="G59" s="159">
        <v>50</v>
      </c>
      <c r="H59" s="254">
        <v>10199.700000000001</v>
      </c>
      <c r="I59" s="188">
        <v>2</v>
      </c>
      <c r="J59" s="188">
        <f t="shared" si="5"/>
        <v>48</v>
      </c>
      <c r="K59" s="257">
        <f t="shared" si="4"/>
        <v>20399.400000000001</v>
      </c>
      <c r="L59" s="94">
        <f t="shared" si="6"/>
        <v>489585.6</v>
      </c>
      <c r="M59" s="122" t="s">
        <v>251</v>
      </c>
      <c r="N59" s="180" t="e">
        <f>#REF!-H59</f>
        <v>#REF!</v>
      </c>
    </row>
    <row r="60" spans="1:14" s="114" customFormat="1">
      <c r="A60" s="96">
        <v>55</v>
      </c>
      <c r="B60" s="96" t="s">
        <v>516</v>
      </c>
      <c r="C60" s="11" t="s">
        <v>517</v>
      </c>
      <c r="D60" s="16">
        <v>500000</v>
      </c>
      <c r="E60" s="16">
        <v>66650</v>
      </c>
      <c r="F60" s="41">
        <f>SUM(D60:E60)</f>
        <v>566650</v>
      </c>
      <c r="G60" s="159">
        <v>50</v>
      </c>
      <c r="H60" s="164">
        <v>11333</v>
      </c>
      <c r="I60" s="97">
        <v>33</v>
      </c>
      <c r="J60" s="97">
        <f t="shared" si="5"/>
        <v>17</v>
      </c>
      <c r="K60" s="91">
        <f t="shared" si="4"/>
        <v>373989</v>
      </c>
      <c r="L60" s="94">
        <f t="shared" si="6"/>
        <v>192661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688</v>
      </c>
      <c r="C61" s="11" t="s">
        <v>689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209">
        <v>11333</v>
      </c>
      <c r="I61" s="97">
        <v>38</v>
      </c>
      <c r="J61" s="97">
        <f t="shared" si="5"/>
        <v>12</v>
      </c>
      <c r="K61" s="91">
        <f t="shared" si="4"/>
        <v>430654</v>
      </c>
      <c r="L61" s="94">
        <f t="shared" si="6"/>
        <v>135996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635</v>
      </c>
      <c r="C62" s="11" t="s">
        <v>636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209">
        <v>11333</v>
      </c>
      <c r="I62" s="97">
        <v>54</v>
      </c>
      <c r="J62" s="97">
        <f t="shared" si="5"/>
        <v>-4</v>
      </c>
      <c r="K62" s="91">
        <f t="shared" si="4"/>
        <v>611982</v>
      </c>
      <c r="L62" s="94">
        <f t="shared" si="6"/>
        <v>-45332</v>
      </c>
      <c r="M62" s="11"/>
      <c r="N62" s="180" t="e">
        <f>#REF!-H62</f>
        <v>#REF!</v>
      </c>
    </row>
    <row r="63" spans="1:14" s="114" customFormat="1">
      <c r="A63" s="96">
        <v>58</v>
      </c>
      <c r="B63" s="96" t="s">
        <v>717</v>
      </c>
      <c r="C63" s="11" t="s">
        <v>718</v>
      </c>
      <c r="D63" s="16">
        <v>450000</v>
      </c>
      <c r="E63" s="16">
        <v>59985</v>
      </c>
      <c r="F63" s="16">
        <v>509985</v>
      </c>
      <c r="G63" s="159">
        <v>50</v>
      </c>
      <c r="H63" s="209">
        <v>10199.700000000001</v>
      </c>
      <c r="I63" s="97">
        <v>21</v>
      </c>
      <c r="J63" s="97">
        <f t="shared" si="5"/>
        <v>29</v>
      </c>
      <c r="K63" s="91">
        <f t="shared" si="4"/>
        <v>214193.7</v>
      </c>
      <c r="L63" s="94">
        <f t="shared" si="6"/>
        <v>295791.3</v>
      </c>
      <c r="M63" s="11"/>
      <c r="N63" s="180" t="e">
        <f>#REF!-H63</f>
        <v>#REF!</v>
      </c>
    </row>
    <row r="64" spans="1:14" s="114" customFormat="1">
      <c r="A64" s="96">
        <v>59</v>
      </c>
      <c r="B64" s="96" t="s">
        <v>579</v>
      </c>
      <c r="C64" s="11" t="s">
        <v>580</v>
      </c>
      <c r="D64" s="16">
        <v>500000</v>
      </c>
      <c r="E64" s="16">
        <v>33325</v>
      </c>
      <c r="F64" s="41">
        <f>SUM(D64:E64)</f>
        <v>533325</v>
      </c>
      <c r="G64" s="159">
        <v>25</v>
      </c>
      <c r="H64" s="209">
        <v>21333</v>
      </c>
      <c r="I64" s="97">
        <v>23</v>
      </c>
      <c r="J64" s="97">
        <f t="shared" si="5"/>
        <v>2</v>
      </c>
      <c r="K64" s="91">
        <f t="shared" si="4"/>
        <v>490659</v>
      </c>
      <c r="L64" s="94">
        <f t="shared" si="6"/>
        <v>42666</v>
      </c>
      <c r="M64" s="11"/>
      <c r="N64" s="180" t="e">
        <f>#REF!-H64</f>
        <v>#REF!</v>
      </c>
    </row>
    <row r="65" spans="1:14" s="114" customFormat="1">
      <c r="A65" s="96">
        <v>60</v>
      </c>
      <c r="B65" s="96" t="s">
        <v>698</v>
      </c>
      <c r="C65" s="11" t="s">
        <v>699</v>
      </c>
      <c r="D65" s="19">
        <v>500000</v>
      </c>
      <c r="E65" s="19">
        <v>66650</v>
      </c>
      <c r="F65" s="19">
        <v>566650</v>
      </c>
      <c r="G65" s="159">
        <v>50</v>
      </c>
      <c r="H65" s="209">
        <v>11333</v>
      </c>
      <c r="I65" s="97">
        <v>19</v>
      </c>
      <c r="J65" s="97">
        <f t="shared" si="5"/>
        <v>31</v>
      </c>
      <c r="K65" s="91">
        <f t="shared" si="4"/>
        <v>215327</v>
      </c>
      <c r="L65" s="91">
        <f t="shared" si="6"/>
        <v>351323</v>
      </c>
      <c r="M65" s="11"/>
      <c r="N65" s="180" t="e">
        <f>#REF!-H65</f>
        <v>#REF!</v>
      </c>
    </row>
    <row r="66" spans="1:14" s="114" customFormat="1">
      <c r="A66" s="96">
        <v>61</v>
      </c>
      <c r="B66" s="96" t="s">
        <v>702</v>
      </c>
      <c r="C66" s="11" t="s">
        <v>703</v>
      </c>
      <c r="D66" s="16">
        <v>450000</v>
      </c>
      <c r="E66" s="16">
        <v>59985</v>
      </c>
      <c r="F66" s="16">
        <v>509985</v>
      </c>
      <c r="G66" s="159">
        <v>50</v>
      </c>
      <c r="H66" s="209">
        <v>10199.700000000001</v>
      </c>
      <c r="I66" s="97">
        <v>18</v>
      </c>
      <c r="J66" s="97">
        <f t="shared" si="5"/>
        <v>32</v>
      </c>
      <c r="K66" s="91">
        <f t="shared" si="4"/>
        <v>183594.6</v>
      </c>
      <c r="L66" s="91">
        <f t="shared" si="6"/>
        <v>326390.40000000002</v>
      </c>
      <c r="M66" s="122"/>
      <c r="N66" s="180" t="e">
        <f>#REF!-H66</f>
        <v>#REF!</v>
      </c>
    </row>
    <row r="67" spans="1:14" s="114" customFormat="1">
      <c r="A67" s="96">
        <v>62</v>
      </c>
      <c r="B67" s="96" t="s">
        <v>676</v>
      </c>
      <c r="C67" s="11" t="s">
        <v>677</v>
      </c>
      <c r="D67" s="155">
        <v>150000</v>
      </c>
      <c r="E67" s="155">
        <v>19995</v>
      </c>
      <c r="F67" s="155">
        <f>SUM(D67:E67)</f>
        <v>169995</v>
      </c>
      <c r="G67" s="159">
        <v>50</v>
      </c>
      <c r="H67" s="209">
        <v>3399.9</v>
      </c>
      <c r="I67" s="97">
        <v>19</v>
      </c>
      <c r="J67" s="97">
        <f t="shared" si="5"/>
        <v>31</v>
      </c>
      <c r="K67" s="91">
        <f t="shared" ref="K67:K101" si="8">I67*H67</f>
        <v>64598.1</v>
      </c>
      <c r="L67" s="91">
        <f t="shared" si="6"/>
        <v>105396.9</v>
      </c>
      <c r="M67" s="122"/>
      <c r="N67" s="180" t="e">
        <f>#REF!-H67</f>
        <v>#REF!</v>
      </c>
    </row>
    <row r="68" spans="1:14" s="114" customFormat="1">
      <c r="A68" s="96">
        <v>63</v>
      </c>
      <c r="B68" s="96" t="s">
        <v>891</v>
      </c>
      <c r="C68" s="11" t="s">
        <v>913</v>
      </c>
      <c r="D68" s="12">
        <v>450000</v>
      </c>
      <c r="E68" s="12">
        <v>59985</v>
      </c>
      <c r="F68" s="15">
        <f>SUM(D68:E68)</f>
        <v>509985</v>
      </c>
      <c r="G68" s="14">
        <v>50</v>
      </c>
      <c r="H68" s="203">
        <v>10199.9</v>
      </c>
      <c r="I68" s="14">
        <v>39</v>
      </c>
      <c r="J68" s="97">
        <f t="shared" si="5"/>
        <v>11</v>
      </c>
      <c r="K68" s="91">
        <f t="shared" si="8"/>
        <v>397796.1</v>
      </c>
      <c r="L68" s="15">
        <f t="shared" si="6"/>
        <v>112188.90000000002</v>
      </c>
      <c r="M68" s="8"/>
      <c r="N68" s="180" t="e">
        <f>#REF!-H68</f>
        <v>#REF!</v>
      </c>
    </row>
    <row r="69" spans="1:14" s="114" customFormat="1">
      <c r="A69" s="96">
        <v>64</v>
      </c>
      <c r="B69" s="96" t="s">
        <v>621</v>
      </c>
      <c r="C69" s="11" t="s">
        <v>622</v>
      </c>
      <c r="D69" s="16">
        <v>500000</v>
      </c>
      <c r="E69" s="16">
        <v>66650</v>
      </c>
      <c r="F69" s="41">
        <f>SUM(D69:E69)</f>
        <v>566650</v>
      </c>
      <c r="G69" s="159">
        <v>50</v>
      </c>
      <c r="H69" s="209">
        <v>11333</v>
      </c>
      <c r="I69" s="97">
        <v>42</v>
      </c>
      <c r="J69" s="97">
        <f t="shared" si="5"/>
        <v>8</v>
      </c>
      <c r="K69" s="91">
        <f t="shared" si="8"/>
        <v>475986</v>
      </c>
      <c r="L69" s="94">
        <f t="shared" si="6"/>
        <v>90664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604</v>
      </c>
      <c r="C70" s="11" t="s">
        <v>605</v>
      </c>
      <c r="D70" s="16">
        <v>500000</v>
      </c>
      <c r="E70" s="16">
        <v>66650</v>
      </c>
      <c r="F70" s="41">
        <f>SUM(D70:E70)</f>
        <v>566650</v>
      </c>
      <c r="G70" s="159">
        <v>50</v>
      </c>
      <c r="H70" s="209">
        <v>11333</v>
      </c>
      <c r="I70" s="97">
        <v>54</v>
      </c>
      <c r="J70" s="97">
        <f t="shared" ref="J70:J101" si="9">G70-I70</f>
        <v>-4</v>
      </c>
      <c r="K70" s="91">
        <f t="shared" si="8"/>
        <v>611982</v>
      </c>
      <c r="L70" s="94">
        <f t="shared" ref="L70:L101" si="10">F70-K70</f>
        <v>-45332</v>
      </c>
      <c r="M70" s="11"/>
      <c r="N70" s="180" t="e">
        <f>#REF!-H70</f>
        <v>#REF!</v>
      </c>
    </row>
    <row r="71" spans="1:14" s="114" customFormat="1">
      <c r="A71" s="96">
        <v>66</v>
      </c>
      <c r="B71" s="96" t="s">
        <v>503</v>
      </c>
      <c r="C71" s="11" t="s">
        <v>504</v>
      </c>
      <c r="D71" s="16">
        <v>150000</v>
      </c>
      <c r="E71" s="16">
        <v>19995</v>
      </c>
      <c r="F71" s="41">
        <f>SUM(D71:E71)</f>
        <v>169995</v>
      </c>
      <c r="G71" s="159">
        <v>50</v>
      </c>
      <c r="H71" s="209">
        <v>3399.9</v>
      </c>
      <c r="I71" s="97">
        <v>42</v>
      </c>
      <c r="J71" s="97">
        <f t="shared" si="9"/>
        <v>8</v>
      </c>
      <c r="K71" s="91">
        <f t="shared" si="8"/>
        <v>142795.80000000002</v>
      </c>
      <c r="L71" s="94">
        <f t="shared" si="10"/>
        <v>27199.199999999983</v>
      </c>
      <c r="M71" s="11"/>
      <c r="N71" s="180" t="e">
        <f>#REF!-H71</f>
        <v>#REF!</v>
      </c>
    </row>
    <row r="72" spans="1:14" s="114" customFormat="1">
      <c r="A72" s="96">
        <v>67</v>
      </c>
      <c r="B72" s="96" t="s">
        <v>522</v>
      </c>
      <c r="C72" s="11" t="s">
        <v>523</v>
      </c>
      <c r="D72" s="19">
        <v>500000</v>
      </c>
      <c r="E72" s="19">
        <v>66650</v>
      </c>
      <c r="F72" s="19">
        <v>566650</v>
      </c>
      <c r="G72" s="159">
        <v>50</v>
      </c>
      <c r="H72" s="209">
        <v>11333</v>
      </c>
      <c r="I72" s="97">
        <v>19</v>
      </c>
      <c r="J72" s="97">
        <f t="shared" si="9"/>
        <v>31</v>
      </c>
      <c r="K72" s="91">
        <f t="shared" si="8"/>
        <v>215327</v>
      </c>
      <c r="L72" s="91">
        <f t="shared" si="10"/>
        <v>351323</v>
      </c>
      <c r="M72" s="122"/>
      <c r="N72" s="180" t="e">
        <f>#REF!-H72</f>
        <v>#REF!</v>
      </c>
    </row>
    <row r="73" spans="1:14" s="114" customFormat="1">
      <c r="A73" s="96">
        <v>68</v>
      </c>
      <c r="B73" s="96" t="s">
        <v>666</v>
      </c>
      <c r="C73" s="11" t="s">
        <v>667</v>
      </c>
      <c r="D73" s="19">
        <v>150000</v>
      </c>
      <c r="E73" s="19">
        <v>19995</v>
      </c>
      <c r="F73" s="19">
        <f>SUM(D73:E73)</f>
        <v>169995</v>
      </c>
      <c r="G73" s="159">
        <v>50</v>
      </c>
      <c r="H73" s="209">
        <v>3339.9</v>
      </c>
      <c r="I73" s="188">
        <v>5</v>
      </c>
      <c r="J73" s="97">
        <f t="shared" si="9"/>
        <v>45</v>
      </c>
      <c r="K73" s="91">
        <f t="shared" si="8"/>
        <v>16699.5</v>
      </c>
      <c r="L73" s="94">
        <f t="shared" si="10"/>
        <v>153295.5</v>
      </c>
      <c r="M73" s="214"/>
      <c r="N73" s="180" t="e">
        <f>#REF!-H73</f>
        <v>#REF!</v>
      </c>
    </row>
    <row r="74" spans="1:14" s="114" customFormat="1">
      <c r="A74" s="96">
        <v>69</v>
      </c>
      <c r="B74" s="122" t="s">
        <v>902</v>
      </c>
      <c r="C74" s="123" t="s">
        <v>926</v>
      </c>
      <c r="D74" s="19">
        <v>150000</v>
      </c>
      <c r="E74" s="19">
        <v>19995</v>
      </c>
      <c r="F74" s="19">
        <f>SUM(D74:E74)</f>
        <v>169995</v>
      </c>
      <c r="G74" s="159">
        <v>50</v>
      </c>
      <c r="H74" s="254">
        <v>3399.9</v>
      </c>
      <c r="I74" s="188">
        <v>2</v>
      </c>
      <c r="J74" s="188">
        <f t="shared" si="9"/>
        <v>48</v>
      </c>
      <c r="K74" s="257">
        <f t="shared" si="8"/>
        <v>6799.8</v>
      </c>
      <c r="L74" s="94">
        <f t="shared" si="10"/>
        <v>163195.20000000001</v>
      </c>
      <c r="M74" s="122"/>
      <c r="N74" s="180" t="e">
        <f>#REF!-H74</f>
        <v>#REF!</v>
      </c>
    </row>
    <row r="75" spans="1:14" s="114" customFormat="1">
      <c r="A75" s="96">
        <v>70</v>
      </c>
      <c r="B75" s="96" t="s">
        <v>686</v>
      </c>
      <c r="C75" s="11" t="s">
        <v>687</v>
      </c>
      <c r="D75" s="16">
        <v>500000</v>
      </c>
      <c r="E75" s="16">
        <v>66650</v>
      </c>
      <c r="F75" s="41">
        <f>SUM(D75:E75)</f>
        <v>566650</v>
      </c>
      <c r="G75" s="159">
        <v>50</v>
      </c>
      <c r="H75" s="209">
        <v>11333</v>
      </c>
      <c r="I75" s="97">
        <v>32</v>
      </c>
      <c r="J75" s="97">
        <f t="shared" si="9"/>
        <v>18</v>
      </c>
      <c r="K75" s="91">
        <f t="shared" si="8"/>
        <v>362656</v>
      </c>
      <c r="L75" s="94">
        <f t="shared" si="10"/>
        <v>203994</v>
      </c>
      <c r="M75" s="11"/>
      <c r="N75" s="180" t="e">
        <f>#REF!-H75</f>
        <v>#REF!</v>
      </c>
    </row>
    <row r="76" spans="1:14" s="114" customFormat="1">
      <c r="A76" s="96">
        <v>71</v>
      </c>
      <c r="B76" s="122" t="s">
        <v>890</v>
      </c>
      <c r="C76" s="123" t="s">
        <v>912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54">
        <v>11333</v>
      </c>
      <c r="I76" s="188">
        <v>2</v>
      </c>
      <c r="J76" s="188">
        <f t="shared" si="9"/>
        <v>48</v>
      </c>
      <c r="K76" s="257">
        <f t="shared" si="8"/>
        <v>22666</v>
      </c>
      <c r="L76" s="94">
        <f t="shared" si="10"/>
        <v>543984</v>
      </c>
      <c r="M76" s="122"/>
      <c r="N76" s="180" t="e">
        <f>#REF!-H76</f>
        <v>#REF!</v>
      </c>
    </row>
    <row r="77" spans="1:14" s="114" customFormat="1">
      <c r="A77" s="96">
        <v>72</v>
      </c>
      <c r="B77" s="96" t="s">
        <v>530</v>
      </c>
      <c r="C77" s="11" t="s">
        <v>531</v>
      </c>
      <c r="D77" s="16">
        <v>500000</v>
      </c>
      <c r="E77" s="16">
        <v>66650</v>
      </c>
      <c r="F77" s="16">
        <v>566650</v>
      </c>
      <c r="G77" s="159">
        <v>50</v>
      </c>
      <c r="H77" s="209">
        <v>11333</v>
      </c>
      <c r="I77" s="97">
        <v>32</v>
      </c>
      <c r="J77" s="97">
        <f t="shared" si="9"/>
        <v>18</v>
      </c>
      <c r="K77" s="91">
        <f t="shared" si="8"/>
        <v>362656</v>
      </c>
      <c r="L77" s="94">
        <f t="shared" si="10"/>
        <v>203994</v>
      </c>
      <c r="M77" s="11"/>
      <c r="N77" s="180" t="e">
        <f>#REF!-H77</f>
        <v>#REF!</v>
      </c>
    </row>
    <row r="78" spans="1:14" s="114" customFormat="1">
      <c r="A78" s="96">
        <v>73</v>
      </c>
      <c r="B78" s="96" t="s">
        <v>544</v>
      </c>
      <c r="C78" s="11" t="s">
        <v>545</v>
      </c>
      <c r="D78" s="16">
        <v>450000</v>
      </c>
      <c r="E78" s="16">
        <v>59985</v>
      </c>
      <c r="F78" s="16">
        <v>509985</v>
      </c>
      <c r="G78" s="159">
        <v>50</v>
      </c>
      <c r="H78" s="209">
        <v>10199.700000000001</v>
      </c>
      <c r="I78" s="97">
        <v>26</v>
      </c>
      <c r="J78" s="97">
        <f t="shared" si="9"/>
        <v>24</v>
      </c>
      <c r="K78" s="91">
        <f t="shared" si="8"/>
        <v>265192.2</v>
      </c>
      <c r="L78" s="94">
        <f t="shared" si="10"/>
        <v>244792.8</v>
      </c>
      <c r="M78" s="122"/>
      <c r="N78" s="180" t="e">
        <f>#REF!-H78</f>
        <v>#REF!</v>
      </c>
    </row>
    <row r="79" spans="1:14" s="114" customFormat="1">
      <c r="A79" s="96">
        <v>74</v>
      </c>
      <c r="B79" s="96" t="s">
        <v>651</v>
      </c>
      <c r="C79" s="11" t="s">
        <v>652</v>
      </c>
      <c r="D79" s="16">
        <v>450000</v>
      </c>
      <c r="E79" s="16">
        <v>59985</v>
      </c>
      <c r="F79" s="41">
        <f>SUM(D79:E79)</f>
        <v>509985</v>
      </c>
      <c r="G79" s="159">
        <v>50</v>
      </c>
      <c r="H79" s="209">
        <v>10199.700000000001</v>
      </c>
      <c r="I79" s="97">
        <v>38</v>
      </c>
      <c r="J79" s="97">
        <f t="shared" si="9"/>
        <v>12</v>
      </c>
      <c r="K79" s="91">
        <f t="shared" si="8"/>
        <v>387588.60000000003</v>
      </c>
      <c r="L79" s="94">
        <f t="shared" si="10"/>
        <v>122396.39999999997</v>
      </c>
      <c r="M79" s="11"/>
      <c r="N79" s="180" t="e">
        <f>#REF!-H79</f>
        <v>#REF!</v>
      </c>
    </row>
    <row r="80" spans="1:14" s="114" customFormat="1">
      <c r="A80" s="96">
        <v>75</v>
      </c>
      <c r="B80" s="96" t="s">
        <v>886</v>
      </c>
      <c r="C80" s="11" t="s">
        <v>908</v>
      </c>
      <c r="D80" s="16">
        <v>500000</v>
      </c>
      <c r="E80" s="16">
        <v>66650</v>
      </c>
      <c r="F80" s="41">
        <f>SUM(D80:E80)</f>
        <v>566650</v>
      </c>
      <c r="G80" s="159">
        <v>50</v>
      </c>
      <c r="H80" s="209">
        <v>11333</v>
      </c>
      <c r="I80" s="97">
        <v>33</v>
      </c>
      <c r="J80" s="97">
        <f t="shared" si="9"/>
        <v>17</v>
      </c>
      <c r="K80" s="91">
        <f t="shared" si="8"/>
        <v>373989</v>
      </c>
      <c r="L80" s="94">
        <f t="shared" si="10"/>
        <v>192661</v>
      </c>
      <c r="M80" s="11"/>
      <c r="N80" s="180" t="e">
        <f>#REF!-H80</f>
        <v>#REF!</v>
      </c>
    </row>
    <row r="81" spans="1:14" s="114" customFormat="1">
      <c r="A81" s="96">
        <v>76</v>
      </c>
      <c r="B81" s="11" t="s">
        <v>707</v>
      </c>
      <c r="C81" s="11" t="s">
        <v>708</v>
      </c>
      <c r="D81" s="16">
        <v>500000</v>
      </c>
      <c r="E81" s="16">
        <v>66650</v>
      </c>
      <c r="F81" s="16">
        <v>566650</v>
      </c>
      <c r="G81" s="159">
        <v>50</v>
      </c>
      <c r="H81" s="254">
        <v>11330</v>
      </c>
      <c r="I81" s="96">
        <v>32</v>
      </c>
      <c r="J81" s="97">
        <f t="shared" si="9"/>
        <v>18</v>
      </c>
      <c r="K81" s="91">
        <f t="shared" si="8"/>
        <v>362560</v>
      </c>
      <c r="L81" s="94">
        <f t="shared" si="10"/>
        <v>204090</v>
      </c>
      <c r="M81" s="11"/>
    </row>
    <row r="82" spans="1:14" s="114" customFormat="1">
      <c r="A82" s="96">
        <v>77</v>
      </c>
      <c r="B82" s="96" t="s">
        <v>598</v>
      </c>
      <c r="C82" s="11" t="s">
        <v>599</v>
      </c>
      <c r="D82" s="16">
        <v>500000</v>
      </c>
      <c r="E82" s="16">
        <v>66650</v>
      </c>
      <c r="F82" s="41">
        <f>SUM(D82:E82)</f>
        <v>566650</v>
      </c>
      <c r="G82" s="159">
        <v>50</v>
      </c>
      <c r="H82" s="209">
        <v>11333</v>
      </c>
      <c r="I82" s="97">
        <v>54</v>
      </c>
      <c r="J82" s="97">
        <f t="shared" si="9"/>
        <v>-4</v>
      </c>
      <c r="K82" s="91">
        <f t="shared" si="8"/>
        <v>611982</v>
      </c>
      <c r="L82" s="94">
        <f t="shared" si="10"/>
        <v>-45332</v>
      </c>
      <c r="M82" s="11"/>
      <c r="N82" s="180" t="e">
        <f>#REF!-H82</f>
        <v>#REF!</v>
      </c>
    </row>
    <row r="83" spans="1:14" s="114" customFormat="1">
      <c r="A83" s="96">
        <v>78</v>
      </c>
      <c r="B83" s="96" t="s">
        <v>551</v>
      </c>
      <c r="C83" s="11" t="s">
        <v>552</v>
      </c>
      <c r="D83" s="19">
        <v>500000</v>
      </c>
      <c r="E83" s="19">
        <v>66650</v>
      </c>
      <c r="F83" s="19">
        <v>566650</v>
      </c>
      <c r="G83" s="159">
        <v>50</v>
      </c>
      <c r="H83" s="209">
        <v>11333</v>
      </c>
      <c r="I83" s="97">
        <v>19</v>
      </c>
      <c r="J83" s="97">
        <f t="shared" si="9"/>
        <v>31</v>
      </c>
      <c r="K83" s="91">
        <f t="shared" si="8"/>
        <v>215327</v>
      </c>
      <c r="L83" s="91">
        <f t="shared" si="10"/>
        <v>351323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569</v>
      </c>
      <c r="C84" s="11" t="s">
        <v>570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09">
        <v>11333</v>
      </c>
      <c r="I84" s="97">
        <v>33</v>
      </c>
      <c r="J84" s="97">
        <f t="shared" si="9"/>
        <v>17</v>
      </c>
      <c r="K84" s="91">
        <f t="shared" si="8"/>
        <v>373989</v>
      </c>
      <c r="L84" s="94">
        <f t="shared" si="10"/>
        <v>192661</v>
      </c>
      <c r="M84" s="11"/>
    </row>
    <row r="85" spans="1:14" s="114" customFormat="1">
      <c r="A85" s="96">
        <v>80</v>
      </c>
      <c r="B85" s="96" t="s">
        <v>518</v>
      </c>
      <c r="C85" s="11" t="s">
        <v>519</v>
      </c>
      <c r="D85" s="19">
        <v>500000</v>
      </c>
      <c r="E85" s="19">
        <v>66650</v>
      </c>
      <c r="F85" s="19">
        <v>566650</v>
      </c>
      <c r="G85" s="159">
        <v>50</v>
      </c>
      <c r="H85" s="209">
        <v>11333</v>
      </c>
      <c r="I85" s="97">
        <v>19</v>
      </c>
      <c r="J85" s="97">
        <f t="shared" si="9"/>
        <v>31</v>
      </c>
      <c r="K85" s="91">
        <f t="shared" si="8"/>
        <v>215327</v>
      </c>
      <c r="L85" s="91">
        <f t="shared" si="10"/>
        <v>351323</v>
      </c>
      <c r="M85" s="122"/>
      <c r="N85" s="180" t="e">
        <f>#REF!-H85</f>
        <v>#REF!</v>
      </c>
    </row>
    <row r="86" spans="1:14" s="114" customFormat="1">
      <c r="A86" s="96">
        <v>81</v>
      </c>
      <c r="B86" s="96" t="s">
        <v>655</v>
      </c>
      <c r="C86" s="11" t="s">
        <v>656</v>
      </c>
      <c r="D86" s="16">
        <v>450000</v>
      </c>
      <c r="E86" s="16">
        <v>59985</v>
      </c>
      <c r="F86" s="41">
        <f>SUM(D86:E86)</f>
        <v>509985</v>
      </c>
      <c r="G86" s="159">
        <v>50</v>
      </c>
      <c r="H86" s="209">
        <v>10199.700000000001</v>
      </c>
      <c r="I86" s="97">
        <v>33</v>
      </c>
      <c r="J86" s="97">
        <f t="shared" si="9"/>
        <v>17</v>
      </c>
      <c r="K86" s="91">
        <f t="shared" si="8"/>
        <v>336590.10000000003</v>
      </c>
      <c r="L86" s="94">
        <f t="shared" si="10"/>
        <v>173394.89999999997</v>
      </c>
      <c r="M86" s="11"/>
      <c r="N86" s="180" t="e">
        <f>#REF!-H86</f>
        <v>#REF!</v>
      </c>
    </row>
    <row r="87" spans="1:14" s="114" customFormat="1">
      <c r="A87" s="96">
        <v>82</v>
      </c>
      <c r="B87" s="96" t="s">
        <v>553</v>
      </c>
      <c r="C87" s="11" t="s">
        <v>554</v>
      </c>
      <c r="D87" s="16">
        <v>500000</v>
      </c>
      <c r="E87" s="16">
        <v>66650</v>
      </c>
      <c r="F87" s="41">
        <f>SUM(D87:E87)</f>
        <v>566650</v>
      </c>
      <c r="G87" s="159">
        <v>50</v>
      </c>
      <c r="H87" s="209">
        <v>11333</v>
      </c>
      <c r="I87" s="97">
        <v>54</v>
      </c>
      <c r="J87" s="97">
        <f t="shared" si="9"/>
        <v>-4</v>
      </c>
      <c r="K87" s="91">
        <f t="shared" si="8"/>
        <v>611982</v>
      </c>
      <c r="L87" s="94">
        <f t="shared" si="10"/>
        <v>-45332</v>
      </c>
      <c r="M87" s="11"/>
      <c r="N87" s="180" t="e">
        <f>#REF!-H87</f>
        <v>#REF!</v>
      </c>
    </row>
    <row r="88" spans="1:14" s="114" customFormat="1">
      <c r="A88" s="96">
        <v>83</v>
      </c>
      <c r="B88" s="96" t="s">
        <v>536</v>
      </c>
      <c r="C88" s="11" t="s">
        <v>537</v>
      </c>
      <c r="D88" s="12">
        <v>500000</v>
      </c>
      <c r="E88" s="12">
        <v>66650</v>
      </c>
      <c r="F88" s="15">
        <f>SUM(D88:E88)</f>
        <v>566650</v>
      </c>
      <c r="G88" s="14">
        <v>50</v>
      </c>
      <c r="H88" s="237">
        <v>11333</v>
      </c>
      <c r="I88" s="14">
        <v>38</v>
      </c>
      <c r="J88" s="97">
        <f t="shared" si="9"/>
        <v>12</v>
      </c>
      <c r="K88" s="91">
        <f t="shared" si="8"/>
        <v>430654</v>
      </c>
      <c r="L88" s="15">
        <f t="shared" si="10"/>
        <v>135996</v>
      </c>
      <c r="M88" s="8"/>
      <c r="N88" s="180" t="e">
        <f>#REF!-H88</f>
        <v>#REF!</v>
      </c>
    </row>
    <row r="89" spans="1:14" s="114" customFormat="1">
      <c r="A89" s="96">
        <v>84</v>
      </c>
      <c r="B89" s="96" t="s">
        <v>883</v>
      </c>
      <c r="C89" s="11" t="s">
        <v>905</v>
      </c>
      <c r="D89" s="16">
        <v>500000</v>
      </c>
      <c r="E89" s="16">
        <v>66650</v>
      </c>
      <c r="F89" s="41">
        <f>SUM(D89:E89)</f>
        <v>566650</v>
      </c>
      <c r="G89" s="159">
        <v>50</v>
      </c>
      <c r="H89" s="209">
        <v>11333</v>
      </c>
      <c r="I89" s="97">
        <v>41</v>
      </c>
      <c r="J89" s="97">
        <f t="shared" si="9"/>
        <v>9</v>
      </c>
      <c r="K89" s="91">
        <f t="shared" si="8"/>
        <v>464653</v>
      </c>
      <c r="L89" s="94">
        <f t="shared" si="10"/>
        <v>101997</v>
      </c>
      <c r="M89" s="11"/>
      <c r="N89" s="180" t="e">
        <f>#REF!-H89</f>
        <v>#REF!</v>
      </c>
    </row>
    <row r="90" spans="1:14" s="114" customFormat="1">
      <c r="A90" s="96">
        <v>85</v>
      </c>
      <c r="B90" s="96" t="s">
        <v>596</v>
      </c>
      <c r="C90" s="11" t="s">
        <v>597</v>
      </c>
      <c r="D90" s="19">
        <v>500000</v>
      </c>
      <c r="E90" s="19">
        <v>66650</v>
      </c>
      <c r="F90" s="19">
        <v>566650</v>
      </c>
      <c r="G90" s="159">
        <v>50</v>
      </c>
      <c r="H90" s="209">
        <v>11333</v>
      </c>
      <c r="I90" s="97">
        <v>19</v>
      </c>
      <c r="J90" s="97">
        <f t="shared" si="9"/>
        <v>31</v>
      </c>
      <c r="K90" s="91">
        <f t="shared" si="8"/>
        <v>215327</v>
      </c>
      <c r="L90" s="91">
        <f t="shared" si="10"/>
        <v>351323</v>
      </c>
      <c r="M90" s="122"/>
      <c r="N90" s="180" t="e">
        <f>#REF!-H90</f>
        <v>#REF!</v>
      </c>
    </row>
    <row r="91" spans="1:14" s="114" customFormat="1">
      <c r="A91" s="96">
        <v>86</v>
      </c>
      <c r="B91" s="122" t="s">
        <v>885</v>
      </c>
      <c r="C91" s="123" t="s">
        <v>907</v>
      </c>
      <c r="D91" s="16">
        <v>500000</v>
      </c>
      <c r="E91" s="16">
        <v>66650</v>
      </c>
      <c r="F91" s="41">
        <f>SUM(D91:E91)</f>
        <v>566650</v>
      </c>
      <c r="G91" s="159">
        <v>50</v>
      </c>
      <c r="H91" s="254">
        <v>11333</v>
      </c>
      <c r="I91" s="188">
        <v>2</v>
      </c>
      <c r="J91" s="188">
        <f t="shared" si="9"/>
        <v>48</v>
      </c>
      <c r="K91" s="257">
        <f t="shared" si="8"/>
        <v>22666</v>
      </c>
      <c r="L91" s="94">
        <f t="shared" si="10"/>
        <v>543984</v>
      </c>
      <c r="M91" s="122"/>
      <c r="N91" s="180" t="e">
        <f>#REF!-H91</f>
        <v>#REF!</v>
      </c>
    </row>
    <row r="92" spans="1:14" s="114" customFormat="1">
      <c r="A92" s="96">
        <v>87</v>
      </c>
      <c r="B92" s="96" t="s">
        <v>607</v>
      </c>
      <c r="C92" s="11" t="s">
        <v>608</v>
      </c>
      <c r="D92" s="16">
        <v>450000</v>
      </c>
      <c r="E92" s="16">
        <v>59985</v>
      </c>
      <c r="F92" s="41">
        <f>SUM(D92:E92)</f>
        <v>509985</v>
      </c>
      <c r="G92" s="159">
        <v>50</v>
      </c>
      <c r="H92" s="209">
        <v>10199.700000000001</v>
      </c>
      <c r="I92" s="159">
        <v>42</v>
      </c>
      <c r="J92" s="97">
        <f t="shared" si="9"/>
        <v>8</v>
      </c>
      <c r="K92" s="91">
        <f t="shared" si="8"/>
        <v>428387.4</v>
      </c>
      <c r="L92" s="94">
        <f t="shared" si="10"/>
        <v>81597.599999999977</v>
      </c>
      <c r="M92" s="11"/>
      <c r="N92" s="180" t="e">
        <f>#REF!-H92</f>
        <v>#REF!</v>
      </c>
    </row>
    <row r="93" spans="1:14" s="114" customFormat="1">
      <c r="A93" s="96">
        <v>88</v>
      </c>
      <c r="B93" s="8" t="s">
        <v>868</v>
      </c>
      <c r="C93" s="11" t="s">
        <v>925</v>
      </c>
      <c r="D93" s="19">
        <v>150000</v>
      </c>
      <c r="E93" s="19">
        <v>19995</v>
      </c>
      <c r="F93" s="19">
        <f>SUM(D93:E93)</f>
        <v>169995</v>
      </c>
      <c r="G93" s="159">
        <v>50</v>
      </c>
      <c r="H93" s="254">
        <v>3399.9</v>
      </c>
      <c r="I93" s="159">
        <v>3</v>
      </c>
      <c r="J93" s="97">
        <f t="shared" si="9"/>
        <v>47</v>
      </c>
      <c r="K93" s="91">
        <f t="shared" si="8"/>
        <v>10199.700000000001</v>
      </c>
      <c r="L93" s="94">
        <f t="shared" si="10"/>
        <v>159795.29999999999</v>
      </c>
      <c r="M93" s="11"/>
      <c r="N93" s="180" t="e">
        <f>#REF!-H93</f>
        <v>#REF!</v>
      </c>
    </row>
    <row r="94" spans="1:14" s="114" customFormat="1">
      <c r="A94" s="96">
        <v>89</v>
      </c>
      <c r="B94" s="96" t="s">
        <v>642</v>
      </c>
      <c r="C94" s="11" t="s">
        <v>643</v>
      </c>
      <c r="D94" s="16">
        <v>500000</v>
      </c>
      <c r="E94" s="16">
        <v>66650</v>
      </c>
      <c r="F94" s="16">
        <v>566650</v>
      </c>
      <c r="G94" s="159">
        <v>50</v>
      </c>
      <c r="H94" s="253">
        <v>11333</v>
      </c>
      <c r="I94" s="101">
        <v>7</v>
      </c>
      <c r="J94" s="97">
        <f t="shared" si="9"/>
        <v>43</v>
      </c>
      <c r="K94" s="91">
        <f t="shared" si="8"/>
        <v>79331</v>
      </c>
      <c r="L94" s="94">
        <f t="shared" si="10"/>
        <v>487319</v>
      </c>
      <c r="M94" s="218"/>
      <c r="N94" s="180" t="e">
        <f>#REF!-H94</f>
        <v>#REF!</v>
      </c>
    </row>
    <row r="95" spans="1:14" s="114" customFormat="1">
      <c r="A95" s="96">
        <v>90</v>
      </c>
      <c r="B95" s="96" t="s">
        <v>661</v>
      </c>
      <c r="C95" s="11" t="s">
        <v>662</v>
      </c>
      <c r="D95" s="19">
        <v>500000</v>
      </c>
      <c r="E95" s="19">
        <v>66650</v>
      </c>
      <c r="F95" s="19">
        <v>566650</v>
      </c>
      <c r="G95" s="159">
        <v>50</v>
      </c>
      <c r="H95" s="209">
        <v>11333</v>
      </c>
      <c r="I95" s="97">
        <v>18</v>
      </c>
      <c r="J95" s="97">
        <f t="shared" si="9"/>
        <v>32</v>
      </c>
      <c r="K95" s="91">
        <f t="shared" si="8"/>
        <v>203994</v>
      </c>
      <c r="L95" s="91">
        <f t="shared" si="10"/>
        <v>362656</v>
      </c>
      <c r="M95" s="11"/>
      <c r="N95" s="180" t="e">
        <f>#REF!-H95</f>
        <v>#REF!</v>
      </c>
    </row>
    <row r="96" spans="1:14" s="114" customFormat="1">
      <c r="A96" s="96">
        <v>91</v>
      </c>
      <c r="B96" s="96" t="s">
        <v>719</v>
      </c>
      <c r="C96" s="11" t="s">
        <v>720</v>
      </c>
      <c r="D96" s="16">
        <v>500000</v>
      </c>
      <c r="E96" s="16">
        <v>66650</v>
      </c>
      <c r="F96" s="16">
        <v>566650</v>
      </c>
      <c r="G96" s="159">
        <v>50</v>
      </c>
      <c r="H96" s="209">
        <v>11333</v>
      </c>
      <c r="I96" s="101">
        <v>7</v>
      </c>
      <c r="J96" s="97">
        <f t="shared" si="9"/>
        <v>43</v>
      </c>
      <c r="K96" s="91">
        <f t="shared" si="8"/>
        <v>79331</v>
      </c>
      <c r="L96" s="94">
        <f t="shared" si="10"/>
        <v>487319</v>
      </c>
      <c r="M96" s="218"/>
      <c r="N96" s="180" t="e">
        <f>#REF!-H96</f>
        <v>#REF!</v>
      </c>
    </row>
    <row r="97" spans="1:14" s="114" customFormat="1">
      <c r="A97" s="96">
        <v>92</v>
      </c>
      <c r="B97" s="96" t="s">
        <v>668</v>
      </c>
      <c r="C97" s="11" t="s">
        <v>669</v>
      </c>
      <c r="D97" s="16">
        <v>450000</v>
      </c>
      <c r="E97" s="16">
        <v>59985</v>
      </c>
      <c r="F97" s="16">
        <v>509985</v>
      </c>
      <c r="G97" s="159">
        <v>50</v>
      </c>
      <c r="H97" s="209">
        <v>10199.700000000001</v>
      </c>
      <c r="I97" s="97">
        <v>18</v>
      </c>
      <c r="J97" s="97">
        <f t="shared" si="9"/>
        <v>32</v>
      </c>
      <c r="K97" s="91">
        <f t="shared" si="8"/>
        <v>183594.6</v>
      </c>
      <c r="L97" s="91">
        <f t="shared" si="10"/>
        <v>326390.40000000002</v>
      </c>
      <c r="M97" s="122"/>
      <c r="N97" s="180" t="e">
        <f>#REF!-H97</f>
        <v>#REF!</v>
      </c>
    </row>
    <row r="98" spans="1:14" s="114" customFormat="1">
      <c r="A98" s="96">
        <v>93</v>
      </c>
      <c r="B98" s="96" t="s">
        <v>594</v>
      </c>
      <c r="C98" s="11" t="s">
        <v>595</v>
      </c>
      <c r="D98" s="16">
        <v>500000</v>
      </c>
      <c r="E98" s="16">
        <v>66650</v>
      </c>
      <c r="F98" s="41">
        <f>SUM(D98:E98)</f>
        <v>566650</v>
      </c>
      <c r="G98" s="159">
        <v>50</v>
      </c>
      <c r="H98" s="209">
        <v>11333</v>
      </c>
      <c r="I98" s="97">
        <v>33</v>
      </c>
      <c r="J98" s="97">
        <f t="shared" si="9"/>
        <v>17</v>
      </c>
      <c r="K98" s="91">
        <f t="shared" si="8"/>
        <v>373989</v>
      </c>
      <c r="L98" s="94">
        <f t="shared" si="10"/>
        <v>192661</v>
      </c>
      <c r="M98" s="11"/>
      <c r="N98" s="180" t="e">
        <f>#REF!-H98</f>
        <v>#REF!</v>
      </c>
    </row>
    <row r="99" spans="1:14" s="114" customFormat="1">
      <c r="A99" s="96">
        <v>94</v>
      </c>
      <c r="B99" s="122" t="s">
        <v>892</v>
      </c>
      <c r="C99" s="123" t="s">
        <v>914</v>
      </c>
      <c r="D99" s="19">
        <v>450000</v>
      </c>
      <c r="E99" s="19">
        <v>59985</v>
      </c>
      <c r="F99" s="19">
        <v>509985</v>
      </c>
      <c r="G99" s="159">
        <v>50</v>
      </c>
      <c r="H99" s="254">
        <v>10199.700000000001</v>
      </c>
      <c r="I99" s="188">
        <v>2</v>
      </c>
      <c r="J99" s="188">
        <f t="shared" si="9"/>
        <v>48</v>
      </c>
      <c r="K99" s="257">
        <f t="shared" si="8"/>
        <v>20399.400000000001</v>
      </c>
      <c r="L99" s="94">
        <f t="shared" si="10"/>
        <v>489585.6</v>
      </c>
      <c r="M99" s="122" t="s">
        <v>251</v>
      </c>
      <c r="N99" s="180" t="e">
        <f>#REF!-H99</f>
        <v>#REF!</v>
      </c>
    </row>
    <row r="100" spans="1:14" s="114" customFormat="1">
      <c r="A100" s="96">
        <v>95</v>
      </c>
      <c r="B100" s="96" t="s">
        <v>585</v>
      </c>
      <c r="C100" s="11" t="s">
        <v>586</v>
      </c>
      <c r="D100" s="161">
        <v>500000</v>
      </c>
      <c r="E100" s="161">
        <v>66650</v>
      </c>
      <c r="F100" s="162">
        <f t="shared" ref="F100:F108" si="11">SUM(D100:E100)</f>
        <v>566650</v>
      </c>
      <c r="G100" s="96">
        <v>50</v>
      </c>
      <c r="H100" s="209">
        <v>11333</v>
      </c>
      <c r="I100" s="97">
        <v>33</v>
      </c>
      <c r="J100" s="97">
        <f t="shared" si="9"/>
        <v>17</v>
      </c>
      <c r="K100" s="146">
        <f t="shared" si="8"/>
        <v>373989</v>
      </c>
      <c r="L100" s="164">
        <f t="shared" si="10"/>
        <v>192661</v>
      </c>
      <c r="M100" s="123"/>
      <c r="N100" s="180" t="e">
        <f>#REF!-H100</f>
        <v>#REF!</v>
      </c>
    </row>
    <row r="101" spans="1:14" s="114" customFormat="1">
      <c r="A101" s="96">
        <v>96</v>
      </c>
      <c r="B101" s="122" t="s">
        <v>899</v>
      </c>
      <c r="C101" s="123" t="s">
        <v>922</v>
      </c>
      <c r="D101" s="19">
        <v>330000</v>
      </c>
      <c r="E101" s="19">
        <v>43989</v>
      </c>
      <c r="F101" s="19">
        <f t="shared" si="11"/>
        <v>373989</v>
      </c>
      <c r="G101" s="159">
        <v>50</v>
      </c>
      <c r="H101" s="254">
        <v>7479.78</v>
      </c>
      <c r="I101" s="188">
        <v>2</v>
      </c>
      <c r="J101" s="188">
        <f t="shared" si="9"/>
        <v>48</v>
      </c>
      <c r="K101" s="257">
        <f t="shared" si="8"/>
        <v>14959.56</v>
      </c>
      <c r="L101" s="94">
        <f t="shared" si="10"/>
        <v>359029.44</v>
      </c>
      <c r="M101" s="122"/>
      <c r="N101" s="180" t="e">
        <f>#REF!-H101</f>
        <v>#REF!</v>
      </c>
    </row>
    <row r="102" spans="1:14" s="114" customFormat="1">
      <c r="A102" s="96">
        <v>97</v>
      </c>
      <c r="B102" s="96" t="s">
        <v>647</v>
      </c>
      <c r="C102" s="11" t="s">
        <v>648</v>
      </c>
      <c r="D102" s="16">
        <v>500000</v>
      </c>
      <c r="E102" s="16">
        <v>66650</v>
      </c>
      <c r="F102" s="41">
        <f t="shared" si="11"/>
        <v>566650</v>
      </c>
      <c r="G102" s="159">
        <v>50</v>
      </c>
      <c r="H102" s="209">
        <v>11333</v>
      </c>
      <c r="I102" s="97">
        <v>11</v>
      </c>
      <c r="J102" s="97">
        <f t="shared" ref="J102:J133" si="12">G102-I102</f>
        <v>39</v>
      </c>
      <c r="K102" s="156">
        <f>(1*11333)</f>
        <v>11333</v>
      </c>
      <c r="L102" s="91">
        <f t="shared" ref="L102:L133" si="13">F102-K102</f>
        <v>555317</v>
      </c>
      <c r="M102" s="122"/>
    </row>
    <row r="103" spans="1:14" s="114" customFormat="1">
      <c r="A103" s="96">
        <v>98</v>
      </c>
      <c r="B103" s="96" t="s">
        <v>600</v>
      </c>
      <c r="C103" s="11" t="s">
        <v>601</v>
      </c>
      <c r="D103" s="16">
        <v>450000</v>
      </c>
      <c r="E103" s="16">
        <v>59985</v>
      </c>
      <c r="F103" s="41">
        <f t="shared" si="11"/>
        <v>509985</v>
      </c>
      <c r="G103" s="159">
        <v>50</v>
      </c>
      <c r="H103" s="209">
        <v>10199.700000000001</v>
      </c>
      <c r="I103" s="97">
        <v>32</v>
      </c>
      <c r="J103" s="97">
        <f t="shared" si="12"/>
        <v>18</v>
      </c>
      <c r="K103" s="91">
        <f>I103*H103</f>
        <v>326390.40000000002</v>
      </c>
      <c r="L103" s="94">
        <f t="shared" si="13"/>
        <v>183594.59999999998</v>
      </c>
      <c r="M103" s="11"/>
    </row>
    <row r="104" spans="1:14" s="114" customFormat="1">
      <c r="A104" s="96">
        <v>99</v>
      </c>
      <c r="B104" s="96" t="s">
        <v>546</v>
      </c>
      <c r="C104" s="11" t="s">
        <v>547</v>
      </c>
      <c r="D104" s="19">
        <v>330000</v>
      </c>
      <c r="E104" s="19">
        <v>43989</v>
      </c>
      <c r="F104" s="19">
        <f t="shared" si="11"/>
        <v>373989</v>
      </c>
      <c r="G104" s="159">
        <v>40</v>
      </c>
      <c r="H104" s="209">
        <v>9129.7800000000007</v>
      </c>
      <c r="I104" s="159">
        <v>7</v>
      </c>
      <c r="J104" s="97">
        <f t="shared" si="12"/>
        <v>33</v>
      </c>
      <c r="K104" s="91">
        <f>I104*H104</f>
        <v>63908.460000000006</v>
      </c>
      <c r="L104" s="94">
        <f t="shared" si="13"/>
        <v>310080.53999999998</v>
      </c>
      <c r="M104" s="214"/>
    </row>
    <row r="105" spans="1:14" s="114" customFormat="1">
      <c r="A105" s="96">
        <v>100</v>
      </c>
      <c r="B105" s="96" t="s">
        <v>638</v>
      </c>
      <c r="C105" s="11" t="s">
        <v>639</v>
      </c>
      <c r="D105" s="16">
        <v>500000</v>
      </c>
      <c r="E105" s="16">
        <v>66650</v>
      </c>
      <c r="F105" s="41">
        <f t="shared" si="11"/>
        <v>566650</v>
      </c>
      <c r="G105" s="159">
        <v>50</v>
      </c>
      <c r="H105" s="209">
        <v>11333</v>
      </c>
      <c r="I105" s="97">
        <v>11</v>
      </c>
      <c r="J105" s="97">
        <f t="shared" si="12"/>
        <v>39</v>
      </c>
      <c r="K105" s="156">
        <f>(1*11333)</f>
        <v>11333</v>
      </c>
      <c r="L105" s="91">
        <f t="shared" si="13"/>
        <v>555317</v>
      </c>
      <c r="M105" s="11"/>
      <c r="N105" s="120"/>
    </row>
    <row r="106" spans="1:14" s="114" customFormat="1">
      <c r="A106" s="96">
        <v>101</v>
      </c>
      <c r="B106" s="96" t="s">
        <v>629</v>
      </c>
      <c r="C106" s="11" t="s">
        <v>630</v>
      </c>
      <c r="D106" s="12">
        <v>330000</v>
      </c>
      <c r="E106" s="12">
        <v>43989</v>
      </c>
      <c r="F106" s="15">
        <f t="shared" si="11"/>
        <v>373989</v>
      </c>
      <c r="G106" s="14">
        <v>50</v>
      </c>
      <c r="H106" s="146">
        <v>7479.78</v>
      </c>
      <c r="I106" s="14">
        <v>38</v>
      </c>
      <c r="J106" s="97">
        <f t="shared" si="12"/>
        <v>12</v>
      </c>
      <c r="K106" s="91">
        <f t="shared" ref="K106:K136" si="14">I106*H106</f>
        <v>284231.64</v>
      </c>
      <c r="L106" s="15">
        <f t="shared" si="13"/>
        <v>89757.359999999986</v>
      </c>
      <c r="M106" s="8"/>
      <c r="N106"/>
    </row>
    <row r="107" spans="1:14" s="114" customFormat="1">
      <c r="A107" s="96">
        <v>102</v>
      </c>
      <c r="B107" s="96" t="s">
        <v>645</v>
      </c>
      <c r="C107" s="11" t="s">
        <v>646</v>
      </c>
      <c r="D107" s="16">
        <v>500000</v>
      </c>
      <c r="E107" s="16">
        <v>66650</v>
      </c>
      <c r="F107" s="41">
        <f t="shared" si="11"/>
        <v>566650</v>
      </c>
      <c r="G107" s="159">
        <v>50</v>
      </c>
      <c r="H107" s="209">
        <v>11333</v>
      </c>
      <c r="I107" s="97">
        <v>32</v>
      </c>
      <c r="J107" s="97">
        <f t="shared" si="12"/>
        <v>18</v>
      </c>
      <c r="K107" s="91">
        <f t="shared" si="14"/>
        <v>362656</v>
      </c>
      <c r="L107" s="94">
        <f t="shared" si="13"/>
        <v>203994</v>
      </c>
      <c r="M107" s="11"/>
      <c r="N107"/>
    </row>
    <row r="108" spans="1:14" s="114" customFormat="1">
      <c r="A108" s="96">
        <v>103</v>
      </c>
      <c r="B108" s="96" t="s">
        <v>540</v>
      </c>
      <c r="C108" s="11" t="s">
        <v>541</v>
      </c>
      <c r="D108" s="16">
        <v>500000</v>
      </c>
      <c r="E108" s="16">
        <v>66650</v>
      </c>
      <c r="F108" s="41">
        <f t="shared" si="11"/>
        <v>566650</v>
      </c>
      <c r="G108" s="159">
        <v>50</v>
      </c>
      <c r="H108" s="209">
        <v>11333</v>
      </c>
      <c r="I108" s="97">
        <v>37</v>
      </c>
      <c r="J108" s="97">
        <f t="shared" si="12"/>
        <v>13</v>
      </c>
      <c r="K108" s="91">
        <f t="shared" si="14"/>
        <v>419321</v>
      </c>
      <c r="L108" s="94">
        <f t="shared" si="13"/>
        <v>147329</v>
      </c>
      <c r="M108" s="11"/>
      <c r="N108"/>
    </row>
    <row r="109" spans="1:14" s="114" customFormat="1">
      <c r="A109" s="96">
        <v>104</v>
      </c>
      <c r="B109" s="8" t="s">
        <v>628</v>
      </c>
      <c r="C109" s="11" t="s">
        <v>917</v>
      </c>
      <c r="D109" s="19">
        <v>450000</v>
      </c>
      <c r="E109" s="19">
        <v>59985</v>
      </c>
      <c r="F109" s="19">
        <v>509985</v>
      </c>
      <c r="G109" s="159">
        <v>50</v>
      </c>
      <c r="H109" s="254">
        <v>10199.700000000001</v>
      </c>
      <c r="I109" s="159">
        <v>3</v>
      </c>
      <c r="J109" s="97">
        <f t="shared" si="12"/>
        <v>47</v>
      </c>
      <c r="K109" s="91">
        <f t="shared" si="14"/>
        <v>30599.100000000002</v>
      </c>
      <c r="L109" s="94">
        <f t="shared" si="13"/>
        <v>479385.9</v>
      </c>
      <c r="M109" s="11"/>
      <c r="N109"/>
    </row>
    <row r="110" spans="1:14" s="114" customFormat="1">
      <c r="A110" s="96">
        <v>105</v>
      </c>
      <c r="B110" s="96" t="s">
        <v>548</v>
      </c>
      <c r="C110" s="11" t="s">
        <v>549</v>
      </c>
      <c r="D110" s="12">
        <v>330000</v>
      </c>
      <c r="E110" s="12">
        <v>43989</v>
      </c>
      <c r="F110" s="15">
        <f>SUM(D110:E110)</f>
        <v>373989</v>
      </c>
      <c r="G110" s="14">
        <v>50</v>
      </c>
      <c r="H110" s="146">
        <v>7479.78</v>
      </c>
      <c r="I110" s="14">
        <v>38</v>
      </c>
      <c r="J110" s="97">
        <f t="shared" si="12"/>
        <v>12</v>
      </c>
      <c r="K110" s="91">
        <f t="shared" si="14"/>
        <v>284231.64</v>
      </c>
      <c r="L110" s="15">
        <f t="shared" si="13"/>
        <v>89757.359999999986</v>
      </c>
      <c r="M110" s="8"/>
      <c r="N110"/>
    </row>
    <row r="111" spans="1:14" s="114" customFormat="1">
      <c r="A111" s="96">
        <v>106</v>
      </c>
      <c r="B111" s="122" t="s">
        <v>678</v>
      </c>
      <c r="C111" s="123" t="s">
        <v>679</v>
      </c>
      <c r="D111" s="16">
        <v>500000</v>
      </c>
      <c r="E111" s="16">
        <v>66650</v>
      </c>
      <c r="F111" s="41">
        <f>SUM(D111:E111)</f>
        <v>566650</v>
      </c>
      <c r="G111" s="159">
        <v>50</v>
      </c>
      <c r="H111" s="254">
        <v>15222</v>
      </c>
      <c r="I111" s="188">
        <v>2</v>
      </c>
      <c r="J111" s="188">
        <f t="shared" si="12"/>
        <v>48</v>
      </c>
      <c r="K111" s="257">
        <f t="shared" si="14"/>
        <v>30444</v>
      </c>
      <c r="L111" s="94">
        <f t="shared" si="13"/>
        <v>536206</v>
      </c>
      <c r="M111" s="122" t="s">
        <v>251</v>
      </c>
      <c r="N111"/>
    </row>
    <row r="112" spans="1:14" s="114" customFormat="1">
      <c r="A112" s="96">
        <v>107</v>
      </c>
      <c r="B112" s="96" t="s">
        <v>501</v>
      </c>
      <c r="C112" s="11" t="s">
        <v>502</v>
      </c>
      <c r="D112" s="16">
        <v>500000</v>
      </c>
      <c r="E112" s="16">
        <v>66650</v>
      </c>
      <c r="F112" s="16">
        <v>566650</v>
      </c>
      <c r="G112" s="159">
        <v>50</v>
      </c>
      <c r="H112" s="203">
        <v>11333</v>
      </c>
      <c r="I112" s="159">
        <v>7</v>
      </c>
      <c r="J112" s="97">
        <f t="shared" si="12"/>
        <v>43</v>
      </c>
      <c r="K112" s="91">
        <f t="shared" si="14"/>
        <v>79331</v>
      </c>
      <c r="L112" s="94">
        <f t="shared" si="13"/>
        <v>487319</v>
      </c>
      <c r="M112" s="214"/>
      <c r="N112"/>
    </row>
    <row r="113" spans="1:15" s="114" customFormat="1">
      <c r="A113" s="96">
        <v>108</v>
      </c>
      <c r="B113" s="96" t="s">
        <v>514</v>
      </c>
      <c r="C113" s="11" t="s">
        <v>515</v>
      </c>
      <c r="D113" s="16">
        <v>500000</v>
      </c>
      <c r="E113" s="16">
        <v>66650</v>
      </c>
      <c r="F113" s="41">
        <f>SUM(D113:E113)</f>
        <v>566650</v>
      </c>
      <c r="G113" s="159">
        <v>50</v>
      </c>
      <c r="H113" s="209">
        <v>11333</v>
      </c>
      <c r="I113" s="97">
        <v>54</v>
      </c>
      <c r="J113" s="97">
        <f t="shared" si="12"/>
        <v>-4</v>
      </c>
      <c r="K113" s="91">
        <f t="shared" si="14"/>
        <v>611982</v>
      </c>
      <c r="L113" s="94">
        <f t="shared" si="13"/>
        <v>-45332</v>
      </c>
      <c r="M113" s="11"/>
      <c r="N113"/>
    </row>
    <row r="114" spans="1:15" s="114" customFormat="1">
      <c r="A114" s="96">
        <v>109</v>
      </c>
      <c r="B114" s="96" t="s">
        <v>557</v>
      </c>
      <c r="C114" s="11" t="s">
        <v>558</v>
      </c>
      <c r="D114" s="16">
        <v>450000</v>
      </c>
      <c r="E114" s="16">
        <v>59985</v>
      </c>
      <c r="F114" s="41">
        <f>SUM(D114:E114)</f>
        <v>509985</v>
      </c>
      <c r="G114" s="159">
        <v>50</v>
      </c>
      <c r="H114" s="209">
        <v>10199.700000000001</v>
      </c>
      <c r="I114" s="97">
        <v>33</v>
      </c>
      <c r="J114" s="97">
        <f t="shared" si="12"/>
        <v>17</v>
      </c>
      <c r="K114" s="91">
        <f t="shared" si="14"/>
        <v>336590.10000000003</v>
      </c>
      <c r="L114" s="94">
        <f t="shared" si="13"/>
        <v>173394.89999999997</v>
      </c>
      <c r="M114" s="11"/>
    </row>
    <row r="115" spans="1:15" s="114" customFormat="1">
      <c r="A115" s="96">
        <v>110</v>
      </c>
      <c r="B115" s="96" t="s">
        <v>583</v>
      </c>
      <c r="C115" s="11" t="s">
        <v>584</v>
      </c>
      <c r="D115" s="16">
        <v>500000</v>
      </c>
      <c r="E115" s="16">
        <v>66650</v>
      </c>
      <c r="F115" s="41">
        <f>SUM(D115:E115)</f>
        <v>566650</v>
      </c>
      <c r="G115" s="159">
        <v>50</v>
      </c>
      <c r="H115" s="209">
        <v>11333</v>
      </c>
      <c r="I115" s="97">
        <v>33</v>
      </c>
      <c r="J115" s="97">
        <f t="shared" si="12"/>
        <v>17</v>
      </c>
      <c r="K115" s="91">
        <f t="shared" si="14"/>
        <v>373989</v>
      </c>
      <c r="L115" s="94">
        <f t="shared" si="13"/>
        <v>192661</v>
      </c>
      <c r="M115" s="11"/>
    </row>
    <row r="116" spans="1:15" s="114" customFormat="1">
      <c r="A116" s="96">
        <v>111</v>
      </c>
      <c r="B116" s="96" t="s">
        <v>561</v>
      </c>
      <c r="C116" s="11" t="s">
        <v>562</v>
      </c>
      <c r="D116" s="16">
        <v>450000</v>
      </c>
      <c r="E116" s="16">
        <v>59985</v>
      </c>
      <c r="F116" s="41">
        <f>SUM(D116:E116)</f>
        <v>509985</v>
      </c>
      <c r="G116" s="159">
        <v>50</v>
      </c>
      <c r="H116" s="209">
        <v>10199.700000000001</v>
      </c>
      <c r="I116" s="97">
        <v>33</v>
      </c>
      <c r="J116" s="97">
        <f t="shared" si="12"/>
        <v>17</v>
      </c>
      <c r="K116" s="91">
        <f t="shared" si="14"/>
        <v>336590.10000000003</v>
      </c>
      <c r="L116" s="94">
        <f t="shared" si="13"/>
        <v>173394.89999999997</v>
      </c>
      <c r="M116" s="11"/>
    </row>
    <row r="117" spans="1:15" s="114" customFormat="1">
      <c r="A117" s="96">
        <v>112</v>
      </c>
      <c r="B117" s="96" t="s">
        <v>684</v>
      </c>
      <c r="C117" s="11" t="s">
        <v>685</v>
      </c>
      <c r="D117" s="19">
        <v>500000</v>
      </c>
      <c r="E117" s="19">
        <v>66650</v>
      </c>
      <c r="F117" s="19">
        <v>566650</v>
      </c>
      <c r="G117" s="159">
        <v>50</v>
      </c>
      <c r="H117" s="209">
        <v>11333</v>
      </c>
      <c r="I117" s="97">
        <v>19</v>
      </c>
      <c r="J117" s="97">
        <f t="shared" si="12"/>
        <v>31</v>
      </c>
      <c r="K117" s="91">
        <f t="shared" si="14"/>
        <v>215327</v>
      </c>
      <c r="L117" s="91">
        <f t="shared" si="13"/>
        <v>351323</v>
      </c>
      <c r="M117" s="122"/>
    </row>
    <row r="118" spans="1:15" s="114" customFormat="1">
      <c r="A118" s="96">
        <v>113</v>
      </c>
      <c r="B118" s="122" t="s">
        <v>882</v>
      </c>
      <c r="C118" s="123" t="s">
        <v>904</v>
      </c>
      <c r="D118" s="19">
        <v>450000</v>
      </c>
      <c r="E118" s="19">
        <v>59985</v>
      </c>
      <c r="F118" s="19">
        <v>509985</v>
      </c>
      <c r="G118" s="159">
        <v>50</v>
      </c>
      <c r="H118" s="254">
        <v>13699.7</v>
      </c>
      <c r="I118" s="188">
        <v>2</v>
      </c>
      <c r="J118" s="188">
        <f t="shared" si="12"/>
        <v>48</v>
      </c>
      <c r="K118" s="257">
        <f t="shared" si="14"/>
        <v>27399.4</v>
      </c>
      <c r="L118" s="94">
        <f t="shared" si="13"/>
        <v>482585.59999999998</v>
      </c>
      <c r="M118" s="122" t="s">
        <v>251</v>
      </c>
    </row>
    <row r="119" spans="1:15" s="114" customFormat="1">
      <c r="A119" s="96">
        <v>114</v>
      </c>
      <c r="B119" s="96" t="s">
        <v>611</v>
      </c>
      <c r="C119" s="11" t="s">
        <v>612</v>
      </c>
      <c r="D119" s="12">
        <v>500000</v>
      </c>
      <c r="E119" s="12">
        <v>66650</v>
      </c>
      <c r="F119" s="15">
        <f>SUM(D119:E119)</f>
        <v>566650</v>
      </c>
      <c r="G119" s="14">
        <v>50</v>
      </c>
      <c r="H119" s="203">
        <v>11333</v>
      </c>
      <c r="I119" s="14">
        <v>38</v>
      </c>
      <c r="J119" s="97">
        <f t="shared" si="12"/>
        <v>12</v>
      </c>
      <c r="K119" s="91">
        <f t="shared" si="14"/>
        <v>430654</v>
      </c>
      <c r="L119" s="15">
        <f t="shared" si="13"/>
        <v>135996</v>
      </c>
      <c r="M119" s="8"/>
    </row>
    <row r="120" spans="1:15" s="114" customFormat="1">
      <c r="A120" s="96">
        <v>115</v>
      </c>
      <c r="B120" s="96" t="s">
        <v>670</v>
      </c>
      <c r="C120" s="11" t="s">
        <v>671</v>
      </c>
      <c r="D120" s="16">
        <v>330000</v>
      </c>
      <c r="E120" s="16">
        <v>43989</v>
      </c>
      <c r="F120" s="41">
        <f>SUM(D120:E120)</f>
        <v>373989</v>
      </c>
      <c r="G120" s="159">
        <v>50</v>
      </c>
      <c r="H120" s="209">
        <v>7479.78</v>
      </c>
      <c r="I120" s="159">
        <v>41</v>
      </c>
      <c r="J120" s="97">
        <f t="shared" si="12"/>
        <v>9</v>
      </c>
      <c r="K120" s="91">
        <f t="shared" si="14"/>
        <v>306670.98</v>
      </c>
      <c r="L120" s="94">
        <f t="shared" si="13"/>
        <v>67318.020000000019</v>
      </c>
      <c r="M120" s="11"/>
    </row>
    <row r="121" spans="1:15" s="114" customFormat="1">
      <c r="A121" s="96">
        <v>116</v>
      </c>
      <c r="B121" s="122" t="s">
        <v>901</v>
      </c>
      <c r="C121" s="123" t="s">
        <v>924</v>
      </c>
      <c r="D121" s="19">
        <v>330000</v>
      </c>
      <c r="E121" s="19">
        <v>43989</v>
      </c>
      <c r="F121" s="19">
        <f>SUM(D121:E121)</f>
        <v>373989</v>
      </c>
      <c r="G121" s="159">
        <v>50</v>
      </c>
      <c r="H121" s="254">
        <v>7479.78</v>
      </c>
      <c r="I121" s="188">
        <v>2</v>
      </c>
      <c r="J121" s="188">
        <f t="shared" si="12"/>
        <v>48</v>
      </c>
      <c r="K121" s="257">
        <f t="shared" si="14"/>
        <v>14959.56</v>
      </c>
      <c r="L121" s="94">
        <f t="shared" si="13"/>
        <v>359029.44</v>
      </c>
      <c r="M121" s="122" t="s">
        <v>251</v>
      </c>
    </row>
    <row r="122" spans="1:15" s="114" customFormat="1">
      <c r="A122" s="96">
        <v>117</v>
      </c>
      <c r="B122" s="96" t="s">
        <v>563</v>
      </c>
      <c r="C122" s="11" t="s">
        <v>564</v>
      </c>
      <c r="D122" s="19">
        <v>330000</v>
      </c>
      <c r="E122" s="19">
        <v>43989</v>
      </c>
      <c r="F122" s="19">
        <f>SUM(D122:E122)</f>
        <v>373989</v>
      </c>
      <c r="G122" s="159">
        <v>50</v>
      </c>
      <c r="H122" s="203">
        <v>7479.78</v>
      </c>
      <c r="I122" s="97">
        <v>19</v>
      </c>
      <c r="J122" s="97">
        <f t="shared" si="12"/>
        <v>31</v>
      </c>
      <c r="K122" s="91">
        <f t="shared" si="14"/>
        <v>142115.82</v>
      </c>
      <c r="L122" s="91">
        <f t="shared" si="13"/>
        <v>231873.18</v>
      </c>
      <c r="M122" s="122"/>
    </row>
    <row r="123" spans="1:15" s="114" customFormat="1">
      <c r="A123" s="96">
        <v>118</v>
      </c>
      <c r="B123" s="96" t="s">
        <v>577</v>
      </c>
      <c r="C123" s="11" t="s">
        <v>578</v>
      </c>
      <c r="D123" s="19">
        <v>330000</v>
      </c>
      <c r="E123" s="19">
        <v>43989</v>
      </c>
      <c r="F123" s="19">
        <f>SUM(D123:E123)</f>
        <v>373989</v>
      </c>
      <c r="G123" s="159">
        <v>50</v>
      </c>
      <c r="H123" s="209">
        <v>7479.78</v>
      </c>
      <c r="I123" s="159">
        <v>7</v>
      </c>
      <c r="J123" s="97">
        <f t="shared" si="12"/>
        <v>43</v>
      </c>
      <c r="K123" s="91">
        <f t="shared" si="14"/>
        <v>52358.46</v>
      </c>
      <c r="L123" s="94">
        <f t="shared" si="13"/>
        <v>321630.53999999998</v>
      </c>
      <c r="M123" s="214"/>
    </row>
    <row r="124" spans="1:15" s="114" customFormat="1">
      <c r="A124" s="96">
        <v>119</v>
      </c>
      <c r="B124" s="96" t="s">
        <v>509</v>
      </c>
      <c r="C124" s="11" t="s">
        <v>510</v>
      </c>
      <c r="D124" s="19">
        <v>450000</v>
      </c>
      <c r="E124" s="19">
        <v>59985</v>
      </c>
      <c r="F124" s="19">
        <v>509985</v>
      </c>
      <c r="G124" s="159">
        <v>50</v>
      </c>
      <c r="H124" s="209">
        <v>10199.700000000001</v>
      </c>
      <c r="I124" s="97">
        <v>19</v>
      </c>
      <c r="J124" s="97">
        <f t="shared" si="12"/>
        <v>31</v>
      </c>
      <c r="K124" s="91">
        <f t="shared" si="14"/>
        <v>193794.30000000002</v>
      </c>
      <c r="L124" s="91">
        <f t="shared" si="13"/>
        <v>316190.69999999995</v>
      </c>
      <c r="M124" s="122"/>
    </row>
    <row r="125" spans="1:15" s="114" customFormat="1">
      <c r="A125" s="96">
        <v>120</v>
      </c>
      <c r="B125" s="96" t="s">
        <v>613</v>
      </c>
      <c r="C125" s="11" t="s">
        <v>614</v>
      </c>
      <c r="D125" s="16">
        <v>500000</v>
      </c>
      <c r="E125" s="16">
        <v>66650</v>
      </c>
      <c r="F125" s="41">
        <f>SUM(D125:E125)</f>
        <v>566650</v>
      </c>
      <c r="G125" s="159">
        <v>50</v>
      </c>
      <c r="H125" s="209">
        <v>11333</v>
      </c>
      <c r="I125" s="97">
        <v>53</v>
      </c>
      <c r="J125" s="97">
        <f t="shared" si="12"/>
        <v>-3</v>
      </c>
      <c r="K125" s="91">
        <f t="shared" si="14"/>
        <v>600649</v>
      </c>
      <c r="L125" s="94">
        <f t="shared" si="13"/>
        <v>-33999</v>
      </c>
      <c r="M125" s="11"/>
      <c r="O125" s="120"/>
    </row>
    <row r="126" spans="1:15" s="114" customFormat="1">
      <c r="A126" s="96">
        <v>121</v>
      </c>
      <c r="B126" s="96" t="s">
        <v>711</v>
      </c>
      <c r="C126" s="11" t="s">
        <v>712</v>
      </c>
      <c r="D126" s="16">
        <v>500000</v>
      </c>
      <c r="E126" s="16">
        <v>66650</v>
      </c>
      <c r="F126" s="41">
        <f>SUM(D126:E126)</f>
        <v>566650</v>
      </c>
      <c r="G126" s="159">
        <v>50</v>
      </c>
      <c r="H126" s="209">
        <v>11333</v>
      </c>
      <c r="I126" s="97">
        <v>32</v>
      </c>
      <c r="J126" s="97">
        <f t="shared" si="12"/>
        <v>18</v>
      </c>
      <c r="K126" s="91">
        <f t="shared" si="14"/>
        <v>362656</v>
      </c>
      <c r="L126" s="94">
        <f t="shared" si="13"/>
        <v>203994</v>
      </c>
      <c r="M126" s="11"/>
    </row>
    <row r="127" spans="1:15" s="114" customFormat="1">
      <c r="A127" s="96">
        <v>122</v>
      </c>
      <c r="B127" s="96" t="s">
        <v>538</v>
      </c>
      <c r="C127" s="11" t="s">
        <v>539</v>
      </c>
      <c r="D127" s="12">
        <v>500000</v>
      </c>
      <c r="E127" s="12">
        <v>66650</v>
      </c>
      <c r="F127" s="15">
        <f>SUM(D127:E127)</f>
        <v>566650</v>
      </c>
      <c r="G127" s="14">
        <v>50</v>
      </c>
      <c r="H127" s="203">
        <v>11333</v>
      </c>
      <c r="I127" s="14">
        <v>38</v>
      </c>
      <c r="J127" s="97">
        <f t="shared" si="12"/>
        <v>12</v>
      </c>
      <c r="K127" s="91">
        <f t="shared" si="14"/>
        <v>430654</v>
      </c>
      <c r="L127" s="15">
        <f t="shared" si="13"/>
        <v>135996</v>
      </c>
      <c r="M127" s="8"/>
    </row>
    <row r="128" spans="1:15" s="114" customFormat="1">
      <c r="A128" s="96">
        <v>123</v>
      </c>
      <c r="B128" s="96" t="s">
        <v>507</v>
      </c>
      <c r="C128" s="11" t="s">
        <v>508</v>
      </c>
      <c r="D128" s="16">
        <v>500000</v>
      </c>
      <c r="E128" s="16">
        <v>66650</v>
      </c>
      <c r="F128" s="16">
        <v>566650</v>
      </c>
      <c r="G128" s="159">
        <v>50</v>
      </c>
      <c r="H128" s="209">
        <v>11333</v>
      </c>
      <c r="I128" s="97">
        <v>19</v>
      </c>
      <c r="J128" s="97">
        <f t="shared" si="12"/>
        <v>31</v>
      </c>
      <c r="K128" s="91">
        <f t="shared" si="14"/>
        <v>215327</v>
      </c>
      <c r="L128" s="91">
        <f t="shared" si="13"/>
        <v>351323</v>
      </c>
      <c r="M128" s="11"/>
    </row>
    <row r="129" spans="1:15" s="114" customFormat="1">
      <c r="A129" s="96">
        <v>124</v>
      </c>
      <c r="B129" s="96" t="s">
        <v>728</v>
      </c>
      <c r="C129" s="11" t="s">
        <v>729</v>
      </c>
      <c r="D129" s="16">
        <v>500000</v>
      </c>
      <c r="E129" s="16">
        <v>47992</v>
      </c>
      <c r="F129" s="41">
        <f>SUM(D129:E129)</f>
        <v>547992</v>
      </c>
      <c r="G129" s="159">
        <v>36</v>
      </c>
      <c r="H129" s="203">
        <v>15222</v>
      </c>
      <c r="I129" s="97">
        <v>32</v>
      </c>
      <c r="J129" s="97">
        <f t="shared" si="12"/>
        <v>4</v>
      </c>
      <c r="K129" s="91">
        <f t="shared" si="14"/>
        <v>487104</v>
      </c>
      <c r="L129" s="94">
        <f t="shared" si="13"/>
        <v>60888</v>
      </c>
      <c r="M129" s="11"/>
    </row>
    <row r="130" spans="1:15" s="114" customFormat="1">
      <c r="A130" s="96">
        <v>125</v>
      </c>
      <c r="B130" s="122" t="s">
        <v>889</v>
      </c>
      <c r="C130" s="123" t="s">
        <v>911</v>
      </c>
      <c r="D130" s="16">
        <v>500000</v>
      </c>
      <c r="E130" s="16">
        <v>66650</v>
      </c>
      <c r="F130" s="41">
        <f>SUM(D130:E130)</f>
        <v>566650</v>
      </c>
      <c r="G130" s="159">
        <v>50</v>
      </c>
      <c r="H130" s="254">
        <v>11333</v>
      </c>
      <c r="I130" s="188">
        <v>2</v>
      </c>
      <c r="J130" s="188">
        <f t="shared" si="12"/>
        <v>48</v>
      </c>
      <c r="K130" s="257">
        <f t="shared" si="14"/>
        <v>22666</v>
      </c>
      <c r="L130" s="94">
        <f t="shared" si="13"/>
        <v>543984</v>
      </c>
      <c r="M130" s="122" t="s">
        <v>251</v>
      </c>
    </row>
    <row r="131" spans="1:15" s="114" customFormat="1">
      <c r="A131" s="96">
        <v>126</v>
      </c>
      <c r="B131" s="96" t="s">
        <v>590</v>
      </c>
      <c r="C131" s="11" t="s">
        <v>591</v>
      </c>
      <c r="D131" s="19">
        <v>150000</v>
      </c>
      <c r="E131" s="19">
        <v>19995</v>
      </c>
      <c r="F131" s="19">
        <f>SUM(D131:E131)</f>
        <v>169995</v>
      </c>
      <c r="G131" s="159">
        <v>50</v>
      </c>
      <c r="H131" s="203">
        <v>3399.9</v>
      </c>
      <c r="I131" s="97">
        <v>32</v>
      </c>
      <c r="J131" s="97">
        <f t="shared" si="12"/>
        <v>18</v>
      </c>
      <c r="K131" s="91">
        <f t="shared" si="14"/>
        <v>108796.8</v>
      </c>
      <c r="L131" s="94">
        <f t="shared" si="13"/>
        <v>61198.2</v>
      </c>
      <c r="M131" s="11"/>
      <c r="N131" s="120"/>
    </row>
    <row r="132" spans="1:15" s="114" customFormat="1">
      <c r="A132" s="96">
        <v>127</v>
      </c>
      <c r="B132" s="96" t="s">
        <v>631</v>
      </c>
      <c r="C132" s="11" t="s">
        <v>632</v>
      </c>
      <c r="D132" s="16">
        <v>500000</v>
      </c>
      <c r="E132" s="16">
        <v>66650</v>
      </c>
      <c r="F132" s="41">
        <f>SUM(D132:E132)</f>
        <v>566650</v>
      </c>
      <c r="G132" s="159">
        <v>50</v>
      </c>
      <c r="H132" s="209">
        <v>11333</v>
      </c>
      <c r="I132" s="159">
        <v>54</v>
      </c>
      <c r="J132" s="97">
        <f t="shared" si="12"/>
        <v>-4</v>
      </c>
      <c r="K132" s="91">
        <f t="shared" si="14"/>
        <v>611982</v>
      </c>
      <c r="L132" s="94">
        <f t="shared" si="13"/>
        <v>-45332</v>
      </c>
      <c r="M132" s="11"/>
    </row>
    <row r="133" spans="1:15" s="120" customFormat="1">
      <c r="A133" s="96">
        <v>128</v>
      </c>
      <c r="B133" s="11" t="s">
        <v>898</v>
      </c>
      <c r="C133" s="123" t="s">
        <v>921</v>
      </c>
      <c r="D133" s="19">
        <v>330000</v>
      </c>
      <c r="E133" s="19">
        <v>43989</v>
      </c>
      <c r="F133" s="19">
        <f>SUM(D133:E133)</f>
        <v>373989</v>
      </c>
      <c r="G133" s="159">
        <v>50</v>
      </c>
      <c r="H133" s="254">
        <v>7479.78</v>
      </c>
      <c r="I133" s="188">
        <v>2</v>
      </c>
      <c r="J133" s="188">
        <f t="shared" si="12"/>
        <v>48</v>
      </c>
      <c r="K133" s="257">
        <f t="shared" si="14"/>
        <v>14959.56</v>
      </c>
      <c r="L133" s="94">
        <f t="shared" si="13"/>
        <v>359029.44</v>
      </c>
      <c r="M133" s="122" t="s">
        <v>251</v>
      </c>
      <c r="N133" s="114"/>
      <c r="O133" s="114"/>
    </row>
    <row r="134" spans="1:15" s="114" customFormat="1">
      <c r="A134" s="96">
        <v>129</v>
      </c>
      <c r="B134" s="96" t="s">
        <v>705</v>
      </c>
      <c r="C134" s="11" t="s">
        <v>706</v>
      </c>
      <c r="D134" s="19">
        <v>450000</v>
      </c>
      <c r="E134" s="19">
        <v>59985</v>
      </c>
      <c r="F134" s="19">
        <v>509985</v>
      </c>
      <c r="G134" s="159">
        <v>50</v>
      </c>
      <c r="H134" s="209">
        <v>10199.700000000001</v>
      </c>
      <c r="I134" s="159">
        <v>7</v>
      </c>
      <c r="J134" s="97">
        <f>G134-I134</f>
        <v>43</v>
      </c>
      <c r="K134" s="91">
        <f t="shared" si="14"/>
        <v>71397.900000000009</v>
      </c>
      <c r="L134" s="94">
        <f>F134-K134</f>
        <v>438587.1</v>
      </c>
      <c r="M134" s="11"/>
    </row>
    <row r="135" spans="1:15" s="114" customFormat="1">
      <c r="A135" s="96">
        <v>130</v>
      </c>
      <c r="B135" s="11" t="s">
        <v>888</v>
      </c>
      <c r="C135" s="123" t="s">
        <v>910</v>
      </c>
      <c r="D135" s="16">
        <v>500000</v>
      </c>
      <c r="E135" s="16">
        <v>66650</v>
      </c>
      <c r="F135" s="41">
        <f>SUM(D135:E135)</f>
        <v>566650</v>
      </c>
      <c r="G135" s="159">
        <v>50</v>
      </c>
      <c r="H135" s="254">
        <v>11333</v>
      </c>
      <c r="I135" s="188">
        <v>2</v>
      </c>
      <c r="J135" s="188">
        <f>G135-I135</f>
        <v>48</v>
      </c>
      <c r="K135" s="257">
        <f t="shared" si="14"/>
        <v>22666</v>
      </c>
      <c r="L135" s="94">
        <f>F135-K135</f>
        <v>543984</v>
      </c>
      <c r="M135" s="122"/>
    </row>
    <row r="136" spans="1:15" s="114" customFormat="1">
      <c r="A136" s="96">
        <v>131</v>
      </c>
      <c r="B136" s="11" t="s">
        <v>929</v>
      </c>
      <c r="C136" s="11" t="s">
        <v>932</v>
      </c>
      <c r="D136" s="16">
        <v>500000</v>
      </c>
      <c r="E136" s="16">
        <v>66650</v>
      </c>
      <c r="F136" s="41">
        <f>SUM(D136:E136)</f>
        <v>566650</v>
      </c>
      <c r="G136" s="159">
        <v>50</v>
      </c>
      <c r="H136" s="271">
        <v>11333</v>
      </c>
      <c r="I136" s="272">
        <v>32</v>
      </c>
      <c r="J136" s="188">
        <f>G136-I136</f>
        <v>18</v>
      </c>
      <c r="K136" s="257">
        <f t="shared" si="14"/>
        <v>362656</v>
      </c>
      <c r="L136" s="94">
        <f>F136-K136</f>
        <v>203994</v>
      </c>
      <c r="M136" s="273" t="s">
        <v>934</v>
      </c>
    </row>
    <row r="137" spans="1:15" s="114" customFormat="1">
      <c r="A137" s="96">
        <v>132</v>
      </c>
      <c r="B137" s="126" t="s">
        <v>930</v>
      </c>
      <c r="C137" s="8" t="s">
        <v>933</v>
      </c>
      <c r="D137" s="19">
        <v>330000</v>
      </c>
      <c r="E137" s="19">
        <v>31672.200000000012</v>
      </c>
      <c r="F137" s="19">
        <f>SUM(D137:E137)</f>
        <v>361672.2</v>
      </c>
      <c r="G137" s="159">
        <v>36</v>
      </c>
      <c r="H137" s="34">
        <v>10046.450000000001</v>
      </c>
      <c r="I137" s="272"/>
      <c r="J137" s="34"/>
      <c r="K137" s="257">
        <f>I137*H137</f>
        <v>0</v>
      </c>
      <c r="L137" s="94">
        <f>F137-K137</f>
        <v>361672.2</v>
      </c>
      <c r="M137" s="8"/>
    </row>
    <row r="138" spans="1:15" s="114" customFormat="1">
      <c r="A138" s="96">
        <v>133</v>
      </c>
      <c r="B138" s="126" t="s">
        <v>928</v>
      </c>
      <c r="C138" s="8" t="s">
        <v>931</v>
      </c>
      <c r="D138" s="16">
        <v>500000</v>
      </c>
      <c r="E138" s="16">
        <v>47988.040000000037</v>
      </c>
      <c r="F138" s="41">
        <f>SUM(D138:E138)</f>
        <v>547988.04</v>
      </c>
      <c r="G138" s="159">
        <v>36</v>
      </c>
      <c r="H138" s="34">
        <v>15221.89</v>
      </c>
      <c r="I138" s="272">
        <v>17</v>
      </c>
      <c r="J138" s="188">
        <f>G138-I138</f>
        <v>19</v>
      </c>
      <c r="K138" s="257">
        <f>I138*H138</f>
        <v>258772.13</v>
      </c>
      <c r="L138" s="94">
        <f>F138-K138</f>
        <v>289215.91000000003</v>
      </c>
      <c r="M138" s="274" t="s">
        <v>935</v>
      </c>
    </row>
    <row r="139" spans="1:15" s="114" customFormat="1">
      <c r="A139" s="126"/>
      <c r="B139" s="126"/>
      <c r="C139" s="8"/>
      <c r="D139" s="34">
        <f>SUM(D6:D138)</f>
        <v>57182000</v>
      </c>
      <c r="E139" s="34">
        <f>SUM(E6:E138)</f>
        <v>7539398.8399999999</v>
      </c>
      <c r="F139" s="34">
        <f>SUM(F6:F138)</f>
        <v>64721398.840000004</v>
      </c>
      <c r="G139" s="34"/>
      <c r="H139" s="34">
        <f>SUM(H6:H138)</f>
        <v>1330468.2299999997</v>
      </c>
      <c r="I139" s="34"/>
      <c r="J139" s="34"/>
      <c r="K139" s="34">
        <f>SUM(K6:K138)</f>
        <v>32720021.160000004</v>
      </c>
      <c r="L139" s="34">
        <f>SUM(L6:L138)</f>
        <v>32001377.679999996</v>
      </c>
      <c r="M139" s="8"/>
    </row>
    <row r="140" spans="1:15" s="114" customFormat="1">
      <c r="A140" s="270"/>
      <c r="B140" s="270"/>
      <c r="C140" s="69"/>
      <c r="D140" s="67"/>
      <c r="E140" s="67"/>
      <c r="F140" s="67"/>
      <c r="G140" s="67"/>
      <c r="H140" s="276"/>
      <c r="I140" s="67"/>
      <c r="J140" s="67"/>
      <c r="K140" s="67"/>
      <c r="L140" s="67"/>
      <c r="M140" s="69"/>
    </row>
    <row r="141" spans="1:15" s="114" customFormat="1">
      <c r="A141" s="270"/>
      <c r="B141" s="270"/>
      <c r="C141" s="69"/>
      <c r="D141" s="67"/>
      <c r="E141" s="67"/>
      <c r="F141" s="67"/>
      <c r="G141" s="67"/>
      <c r="H141" s="67"/>
      <c r="I141" s="67"/>
      <c r="J141" s="67"/>
      <c r="K141" s="67"/>
      <c r="L141" s="67"/>
      <c r="M141" s="69"/>
    </row>
    <row r="142" spans="1:15" s="114" customFormat="1">
      <c r="A142" s="270"/>
      <c r="B142" s="270"/>
      <c r="C142" s="69"/>
      <c r="D142" s="67"/>
      <c r="E142" s="67"/>
      <c r="F142" s="67"/>
      <c r="G142" s="67"/>
      <c r="H142" s="67"/>
      <c r="I142" s="67"/>
      <c r="J142" s="67"/>
      <c r="K142" s="67"/>
      <c r="L142" s="67"/>
      <c r="M142" s="69"/>
    </row>
    <row r="143" spans="1:15" s="114" customFormat="1">
      <c r="A143" s="270"/>
      <c r="B143" s="270"/>
      <c r="C143" s="69"/>
      <c r="D143" s="67"/>
      <c r="E143" s="67"/>
      <c r="F143" s="67"/>
      <c r="G143" s="67"/>
      <c r="H143" s="67"/>
      <c r="I143" s="67"/>
      <c r="J143" s="67"/>
      <c r="K143" s="67"/>
      <c r="L143" s="67"/>
      <c r="M143" s="69"/>
    </row>
    <row r="144" spans="1:15" s="114" customFormat="1">
      <c r="A144" s="270"/>
      <c r="B144" s="270"/>
      <c r="C144" s="69"/>
      <c r="D144" s="67"/>
      <c r="E144" s="67"/>
      <c r="F144" s="67"/>
      <c r="G144" s="67"/>
      <c r="H144" s="67"/>
      <c r="I144" s="67"/>
      <c r="J144" s="67"/>
      <c r="K144" s="67"/>
      <c r="L144" s="67"/>
      <c r="M144" s="69"/>
    </row>
    <row r="145" spans="1:14" s="114" customFormat="1">
      <c r="A145" s="270"/>
      <c r="B145" s="270"/>
      <c r="C145" s="69"/>
      <c r="D145" s="67"/>
      <c r="E145" s="67"/>
      <c r="F145" s="67"/>
      <c r="G145" s="67"/>
      <c r="H145" s="67"/>
      <c r="I145" s="67"/>
      <c r="J145" s="67"/>
      <c r="K145" s="67"/>
      <c r="L145" s="67"/>
      <c r="M145" s="69"/>
    </row>
    <row r="146" spans="1:14" s="114" customFormat="1">
      <c r="A146" s="270"/>
      <c r="B146" s="270"/>
      <c r="C146" s="69"/>
      <c r="D146" s="67"/>
      <c r="E146" s="67"/>
      <c r="F146" s="67"/>
      <c r="G146" s="67"/>
      <c r="H146" s="67"/>
      <c r="I146" s="67"/>
      <c r="J146" s="67"/>
      <c r="K146" s="67"/>
      <c r="L146" s="67"/>
      <c r="M146" s="69"/>
    </row>
    <row r="147" spans="1:14" s="114" customFormat="1">
      <c r="A147" s="270"/>
      <c r="B147" s="270"/>
      <c r="C147" s="69"/>
      <c r="D147" s="67"/>
      <c r="E147" s="67"/>
      <c r="F147" s="67"/>
      <c r="G147" s="67"/>
      <c r="H147" s="67"/>
      <c r="I147" s="67"/>
      <c r="J147" s="67"/>
      <c r="K147" s="67"/>
      <c r="L147" s="67"/>
      <c r="M147" s="69"/>
    </row>
    <row r="148" spans="1:14" s="114" customFormat="1">
      <c r="A148" s="44"/>
      <c r="B148" s="44"/>
      <c r="C148" s="184"/>
      <c r="D148"/>
      <c r="E148"/>
      <c r="F148"/>
      <c r="G148" s="43"/>
      <c r="H148" s="39">
        <v>1354178.6699999997</v>
      </c>
      <c r="I148" s="99"/>
      <c r="J148" s="99"/>
      <c r="K148"/>
      <c r="L148"/>
      <c r="M148"/>
    </row>
    <row r="149" spans="1:14" s="114" customFormat="1">
      <c r="A149" s="96">
        <v>4</v>
      </c>
      <c r="B149" s="268" t="s">
        <v>606</v>
      </c>
      <c r="C149" s="269" t="s">
        <v>853</v>
      </c>
      <c r="D149" s="19">
        <v>150000</v>
      </c>
      <c r="E149" s="19">
        <v>19995</v>
      </c>
      <c r="F149" s="19">
        <f>SUM(D149:E149)</f>
        <v>169995</v>
      </c>
      <c r="G149" s="240">
        <v>50</v>
      </c>
      <c r="H149" s="254">
        <v>3399.9</v>
      </c>
      <c r="I149" s="247">
        <v>2</v>
      </c>
      <c r="J149" s="97">
        <f t="shared" ref="J149:J157" si="15">G149-I149</f>
        <v>48</v>
      </c>
      <c r="K149" s="91">
        <f t="shared" ref="K149:K157" si="16">I149*H149</f>
        <v>6799.8</v>
      </c>
      <c r="L149" s="94">
        <f t="shared" ref="L149:L157" si="17">F149-K149</f>
        <v>163195.20000000001</v>
      </c>
      <c r="M149" s="11"/>
      <c r="N149" s="180" t="e">
        <f>#REF!-H149</f>
        <v>#REF!</v>
      </c>
    </row>
    <row r="150" spans="1:14" s="114" customFormat="1">
      <c r="A150" s="96">
        <v>40</v>
      </c>
      <c r="B150" s="8" t="s">
        <v>623</v>
      </c>
      <c r="C150" s="132" t="s">
        <v>857</v>
      </c>
      <c r="D150" s="19">
        <v>450000</v>
      </c>
      <c r="E150" s="19">
        <v>59985</v>
      </c>
      <c r="F150" s="19">
        <v>509985</v>
      </c>
      <c r="G150" s="159">
        <v>50</v>
      </c>
      <c r="H150" s="254">
        <v>10199.700000000001</v>
      </c>
      <c r="I150" s="159">
        <v>2</v>
      </c>
      <c r="J150" s="97">
        <f t="shared" si="15"/>
        <v>48</v>
      </c>
      <c r="K150" s="91">
        <f t="shared" si="16"/>
        <v>20399.400000000001</v>
      </c>
      <c r="L150" s="94">
        <f t="shared" si="17"/>
        <v>489585.6</v>
      </c>
      <c r="M150" s="11"/>
      <c r="N150" s="180"/>
    </row>
    <row r="151" spans="1:14" s="114" customFormat="1">
      <c r="A151" s="96">
        <v>59</v>
      </c>
      <c r="B151" s="8" t="s">
        <v>663</v>
      </c>
      <c r="C151" s="132" t="s">
        <v>854</v>
      </c>
      <c r="D151" s="19">
        <v>330000</v>
      </c>
      <c r="E151" s="19">
        <v>43989</v>
      </c>
      <c r="F151" s="19">
        <f t="shared" ref="F151:F157" si="18">SUM(D151:E151)</f>
        <v>373989</v>
      </c>
      <c r="G151" s="159">
        <v>50</v>
      </c>
      <c r="H151" s="254">
        <v>7479.78</v>
      </c>
      <c r="I151" s="159">
        <v>2</v>
      </c>
      <c r="J151" s="97">
        <f t="shared" si="15"/>
        <v>48</v>
      </c>
      <c r="K151" s="91">
        <f t="shared" si="16"/>
        <v>14959.56</v>
      </c>
      <c r="L151" s="94">
        <f t="shared" si="17"/>
        <v>359029.44</v>
      </c>
      <c r="M151" s="11"/>
      <c r="N151" s="180" t="e">
        <f>#REF!-H151</f>
        <v>#REF!</v>
      </c>
    </row>
    <row r="152" spans="1:14" s="114" customFormat="1">
      <c r="A152" s="96">
        <v>99</v>
      </c>
      <c r="B152" s="8" t="s">
        <v>723</v>
      </c>
      <c r="C152" s="132" t="s">
        <v>861</v>
      </c>
      <c r="D152" s="16">
        <v>500000</v>
      </c>
      <c r="E152" s="16">
        <v>66650</v>
      </c>
      <c r="F152" s="41">
        <f t="shared" si="18"/>
        <v>566650</v>
      </c>
      <c r="G152" s="159">
        <v>50</v>
      </c>
      <c r="H152" s="254">
        <v>11333</v>
      </c>
      <c r="I152" s="159">
        <v>2</v>
      </c>
      <c r="J152" s="97">
        <f t="shared" si="15"/>
        <v>48</v>
      </c>
      <c r="K152" s="91">
        <f t="shared" si="16"/>
        <v>22666</v>
      </c>
      <c r="L152" s="94">
        <f t="shared" si="17"/>
        <v>543984</v>
      </c>
      <c r="M152" s="11"/>
    </row>
    <row r="153" spans="1:14" s="114" customFormat="1">
      <c r="A153" s="96">
        <v>7</v>
      </c>
      <c r="B153" s="241" t="s">
        <v>674</v>
      </c>
      <c r="C153" s="11" t="s">
        <v>675</v>
      </c>
      <c r="D153" s="16">
        <v>500000</v>
      </c>
      <c r="E153" s="16">
        <v>53320</v>
      </c>
      <c r="F153" s="41">
        <f t="shared" si="18"/>
        <v>553320</v>
      </c>
      <c r="G153" s="240">
        <v>40</v>
      </c>
      <c r="H153" s="209">
        <v>13833</v>
      </c>
      <c r="I153" s="243">
        <v>53</v>
      </c>
      <c r="J153" s="96">
        <f t="shared" si="15"/>
        <v>-13</v>
      </c>
      <c r="K153" s="16">
        <f t="shared" si="16"/>
        <v>733149</v>
      </c>
      <c r="L153" s="41">
        <f t="shared" si="17"/>
        <v>-179829</v>
      </c>
      <c r="M153" s="11"/>
      <c r="N153" s="180" t="e">
        <f>#REF!-H153</f>
        <v>#REF!</v>
      </c>
    </row>
    <row r="154" spans="1:14" s="114" customFormat="1">
      <c r="A154" s="96">
        <v>9</v>
      </c>
      <c r="B154" s="96" t="s">
        <v>602</v>
      </c>
      <c r="C154" s="11" t="s">
        <v>603</v>
      </c>
      <c r="D154" s="16">
        <v>330000</v>
      </c>
      <c r="E154" s="16">
        <v>43989</v>
      </c>
      <c r="F154" s="41">
        <f t="shared" si="18"/>
        <v>373989</v>
      </c>
      <c r="G154" s="159">
        <v>50</v>
      </c>
      <c r="H154" s="203">
        <v>7479.78</v>
      </c>
      <c r="I154" s="96">
        <v>41</v>
      </c>
      <c r="J154" s="96">
        <f t="shared" si="15"/>
        <v>9</v>
      </c>
      <c r="K154" s="16">
        <f t="shared" si="16"/>
        <v>306670.98</v>
      </c>
      <c r="L154" s="41">
        <f t="shared" si="17"/>
        <v>67318.020000000019</v>
      </c>
      <c r="M154" s="11"/>
      <c r="N154" s="180" t="e">
        <f>#REF!-H154</f>
        <v>#REF!</v>
      </c>
    </row>
    <row r="155" spans="1:14" s="114" customFormat="1">
      <c r="A155" s="96">
        <v>18</v>
      </c>
      <c r="B155" s="96" t="s">
        <v>672</v>
      </c>
      <c r="C155" s="11" t="s">
        <v>673</v>
      </c>
      <c r="D155" s="16">
        <v>500000</v>
      </c>
      <c r="E155" s="16">
        <v>53320</v>
      </c>
      <c r="F155" s="41">
        <f t="shared" si="18"/>
        <v>553320</v>
      </c>
      <c r="G155" s="159">
        <v>40</v>
      </c>
      <c r="H155" s="209">
        <v>13833</v>
      </c>
      <c r="I155" s="97">
        <v>53</v>
      </c>
      <c r="J155" s="97">
        <f t="shared" si="15"/>
        <v>-13</v>
      </c>
      <c r="K155" s="91">
        <f t="shared" si="16"/>
        <v>733149</v>
      </c>
      <c r="L155" s="94">
        <f t="shared" si="17"/>
        <v>-179829</v>
      </c>
      <c r="M155" s="11"/>
      <c r="N155" s="180" t="e">
        <f>#REF!-H155</f>
        <v>#REF!</v>
      </c>
    </row>
    <row r="156" spans="1:14" s="114" customFormat="1">
      <c r="A156" s="96">
        <v>56</v>
      </c>
      <c r="B156" s="96" t="s">
        <v>592</v>
      </c>
      <c r="C156" s="11" t="s">
        <v>593</v>
      </c>
      <c r="D156" s="16">
        <v>500000</v>
      </c>
      <c r="E156" s="16">
        <v>53320</v>
      </c>
      <c r="F156" s="41">
        <f t="shared" si="18"/>
        <v>553320</v>
      </c>
      <c r="G156" s="159">
        <v>40</v>
      </c>
      <c r="H156" s="209">
        <v>13833</v>
      </c>
      <c r="I156" s="97">
        <v>53</v>
      </c>
      <c r="J156" s="97">
        <f t="shared" si="15"/>
        <v>-13</v>
      </c>
      <c r="K156" s="91">
        <f t="shared" si="16"/>
        <v>733149</v>
      </c>
      <c r="L156" s="94">
        <f t="shared" si="17"/>
        <v>-179829</v>
      </c>
      <c r="M156" s="11"/>
      <c r="N156" s="180" t="e">
        <f>#REF!-H156</f>
        <v>#REF!</v>
      </c>
    </row>
    <row r="157" spans="1:14" s="114" customFormat="1">
      <c r="A157" s="96">
        <v>82</v>
      </c>
      <c r="B157" s="96" t="s">
        <v>555</v>
      </c>
      <c r="C157" s="11" t="s">
        <v>556</v>
      </c>
      <c r="D157" s="16">
        <v>500000</v>
      </c>
      <c r="E157" s="16">
        <v>66650</v>
      </c>
      <c r="F157" s="41">
        <f t="shared" si="18"/>
        <v>566650</v>
      </c>
      <c r="G157" s="159">
        <v>50</v>
      </c>
      <c r="H157" s="209">
        <v>11333</v>
      </c>
      <c r="I157" s="97">
        <v>32</v>
      </c>
      <c r="J157" s="97">
        <f t="shared" si="15"/>
        <v>18</v>
      </c>
      <c r="K157" s="91">
        <f t="shared" si="16"/>
        <v>362656</v>
      </c>
      <c r="L157" s="94">
        <f t="shared" si="17"/>
        <v>203994</v>
      </c>
      <c r="M157" s="11"/>
      <c r="N157" s="180" t="e">
        <f>#REF!-H157</f>
        <v>#REF!</v>
      </c>
    </row>
    <row r="158" spans="1:14" s="114" customFormat="1">
      <c r="A158" s="44"/>
      <c r="B158" s="44"/>
      <c r="C158" s="184"/>
      <c r="D158"/>
      <c r="E158"/>
      <c r="F158"/>
      <c r="G158" s="43"/>
      <c r="H158" s="39"/>
      <c r="I158" s="99"/>
      <c r="J158" s="99"/>
      <c r="K158"/>
      <c r="L158"/>
      <c r="M158"/>
    </row>
    <row r="159" spans="1:14" s="114" customFormat="1" ht="18" customHeight="1">
      <c r="A159" s="44"/>
      <c r="B159" s="44"/>
      <c r="C159" s="184"/>
      <c r="D159"/>
      <c r="E159"/>
      <c r="F159"/>
      <c r="G159" s="43"/>
      <c r="H159" s="39">
        <f>H148-H139</f>
        <v>23710.439999999944</v>
      </c>
      <c r="I159" s="99"/>
      <c r="J159" s="99"/>
      <c r="K159"/>
      <c r="L159"/>
      <c r="M159"/>
    </row>
    <row r="160" spans="1:14" s="114" customFormat="1" ht="18" customHeigh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4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44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44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44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44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44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 ht="18" customHeight="1">
      <c r="A167" s="44"/>
      <c r="B167" s="44"/>
      <c r="C167" s="184"/>
      <c r="D167"/>
      <c r="E167"/>
      <c r="F167"/>
      <c r="G167" s="43"/>
      <c r="H167" s="39"/>
      <c r="I167" s="99"/>
      <c r="J167" s="99"/>
      <c r="K167"/>
      <c r="L167"/>
      <c r="M167"/>
    </row>
    <row r="168" spans="1:14" s="114" customFormat="1">
      <c r="A168" s="96">
        <v>9</v>
      </c>
      <c r="B168" s="96" t="s">
        <v>704</v>
      </c>
      <c r="C168" s="2" t="s">
        <v>794</v>
      </c>
      <c r="D168" s="16">
        <v>500000</v>
      </c>
      <c r="E168" s="16">
        <v>66650</v>
      </c>
      <c r="F168" s="41">
        <f>SUM(D168:E168)</f>
        <v>566650</v>
      </c>
      <c r="G168" s="159">
        <v>50</v>
      </c>
      <c r="H168" s="209">
        <v>11333</v>
      </c>
      <c r="I168" s="96">
        <v>40</v>
      </c>
      <c r="J168" s="96">
        <f>G168-I168</f>
        <v>10</v>
      </c>
      <c r="K168" s="16">
        <f>I168*H168</f>
        <v>453320</v>
      </c>
      <c r="L168" s="41">
        <f>F168-K168</f>
        <v>113330</v>
      </c>
      <c r="M168" s="11"/>
      <c r="N168" s="180" t="e">
        <f>#REF!-H168</f>
        <v>#REF!</v>
      </c>
    </row>
    <row r="169" spans="1:14" s="114" customFormat="1">
      <c r="A169" s="96">
        <v>38</v>
      </c>
      <c r="B169" s="96" t="s">
        <v>511</v>
      </c>
      <c r="C169" s="173" t="s">
        <v>837</v>
      </c>
      <c r="D169" s="41">
        <v>200000</v>
      </c>
      <c r="E169" s="41">
        <v>26660</v>
      </c>
      <c r="F169" s="41">
        <f>SUM(D169:E169)</f>
        <v>226660</v>
      </c>
      <c r="G169" s="159">
        <v>40</v>
      </c>
      <c r="H169" s="203">
        <v>7479</v>
      </c>
      <c r="I169" s="97">
        <v>17</v>
      </c>
      <c r="J169" s="97">
        <f>G169-I169</f>
        <v>23</v>
      </c>
      <c r="K169" s="91">
        <f>I169*H169</f>
        <v>127143</v>
      </c>
      <c r="L169" s="94">
        <f>F169-K169</f>
        <v>99517</v>
      </c>
      <c r="M169" s="11"/>
      <c r="N169" s="180" t="e">
        <f>#REF!-H169</f>
        <v>#REF!</v>
      </c>
    </row>
    <row r="170" spans="1:14" s="114" customFormat="1">
      <c r="A170" s="96">
        <v>56</v>
      </c>
      <c r="B170" s="96" t="s">
        <v>637</v>
      </c>
      <c r="C170" s="23" t="s">
        <v>776</v>
      </c>
      <c r="D170" s="16">
        <v>500000</v>
      </c>
      <c r="E170" s="16">
        <v>66650</v>
      </c>
      <c r="F170" s="41">
        <f>SUM(D170:E170)</f>
        <v>566650</v>
      </c>
      <c r="G170" s="159">
        <v>50</v>
      </c>
      <c r="H170" s="209">
        <v>11333</v>
      </c>
      <c r="I170" s="97">
        <v>39</v>
      </c>
      <c r="J170" s="97">
        <f>G170-I170</f>
        <v>11</v>
      </c>
      <c r="K170" s="91">
        <f>I170*H170</f>
        <v>441987</v>
      </c>
      <c r="L170" s="94">
        <f>F170-K170</f>
        <v>124663</v>
      </c>
      <c r="M170" s="11"/>
      <c r="N170" s="180" t="e">
        <f>#REF!-H170</f>
        <v>#REF!</v>
      </c>
    </row>
    <row r="171" spans="1:14" s="114" customFormat="1">
      <c r="A171" s="96">
        <v>91</v>
      </c>
      <c r="B171" s="96" t="s">
        <v>587</v>
      </c>
      <c r="C171" s="2" t="s">
        <v>763</v>
      </c>
      <c r="D171" s="12">
        <v>500000</v>
      </c>
      <c r="E171" s="12">
        <v>66650</v>
      </c>
      <c r="F171" s="15">
        <f>SUM(D171:E171)</f>
        <v>566650</v>
      </c>
      <c r="G171" s="14">
        <v>50</v>
      </c>
      <c r="H171" s="143">
        <v>11333</v>
      </c>
      <c r="I171" s="14">
        <v>34</v>
      </c>
      <c r="J171" s="97">
        <f>G171-I171</f>
        <v>16</v>
      </c>
      <c r="K171" s="91">
        <f>I171*H171</f>
        <v>385322</v>
      </c>
      <c r="L171" s="15">
        <f>F171-K171</f>
        <v>181328</v>
      </c>
      <c r="M171" s="8"/>
      <c r="N171" s="180" t="e">
        <f>#REF!-H171</f>
        <v>#REF!</v>
      </c>
    </row>
    <row r="172" spans="1:14" s="114" customFormat="1">
      <c r="A172" s="96">
        <v>105</v>
      </c>
      <c r="B172" s="96" t="s">
        <v>678</v>
      </c>
      <c r="C172" s="23" t="s">
        <v>733</v>
      </c>
      <c r="D172" s="16">
        <v>500000</v>
      </c>
      <c r="E172" s="16">
        <v>47992</v>
      </c>
      <c r="F172" s="41">
        <f>SUM(D172:E172)</f>
        <v>547992</v>
      </c>
      <c r="G172" s="159">
        <v>36</v>
      </c>
      <c r="H172" s="203">
        <v>15222</v>
      </c>
      <c r="I172" s="97">
        <v>30</v>
      </c>
      <c r="J172" s="97">
        <f>G172-I172</f>
        <v>6</v>
      </c>
      <c r="K172" s="91">
        <f>I172*H172</f>
        <v>456660</v>
      </c>
      <c r="L172" s="94">
        <f>F172-K172</f>
        <v>91332</v>
      </c>
      <c r="M172" s="11"/>
      <c r="N172" s="180" t="e">
        <f>#REF!-H172</f>
        <v>#REF!</v>
      </c>
    </row>
    <row r="173" spans="1:14" s="114" customFormat="1"/>
    <row r="174" spans="1:14" s="114" customFormat="1">
      <c r="A174" s="96">
        <v>1</v>
      </c>
      <c r="B174" s="241"/>
      <c r="C174" s="4" t="s">
        <v>383</v>
      </c>
      <c r="D174" s="41">
        <v>200000</v>
      </c>
      <c r="E174" s="41">
        <v>26660</v>
      </c>
      <c r="F174" s="41">
        <f t="shared" ref="F174:F179" si="19">SUM(D174:E174)</f>
        <v>226660</v>
      </c>
      <c r="G174" s="159">
        <v>40</v>
      </c>
      <c r="H174" s="208">
        <v>5666.5</v>
      </c>
      <c r="I174" s="96">
        <v>42</v>
      </c>
      <c r="J174" s="96">
        <f t="shared" ref="J174:J183" si="20">G174-I174</f>
        <v>-2</v>
      </c>
      <c r="K174" s="16">
        <f t="shared" ref="K174:K183" si="21">I174*H174</f>
        <v>237993</v>
      </c>
      <c r="L174" s="41">
        <f t="shared" ref="L174:L183" si="22">F174-K174</f>
        <v>-11333</v>
      </c>
      <c r="M174" s="11"/>
      <c r="N174" s="180" t="e">
        <f>#REF!-H174</f>
        <v>#REF!</v>
      </c>
    </row>
    <row r="175" spans="1:14" s="114" customFormat="1">
      <c r="A175" s="96">
        <v>5</v>
      </c>
      <c r="B175" s="241"/>
      <c r="C175" s="4" t="s">
        <v>413</v>
      </c>
      <c r="D175" s="12">
        <v>180000</v>
      </c>
      <c r="E175" s="12">
        <v>23994</v>
      </c>
      <c r="F175" s="15">
        <f t="shared" si="19"/>
        <v>203994</v>
      </c>
      <c r="G175" s="14">
        <v>40</v>
      </c>
      <c r="H175" s="208">
        <v>5099.8500000000004</v>
      </c>
      <c r="I175" s="159">
        <v>38</v>
      </c>
      <c r="J175" s="97">
        <f t="shared" si="20"/>
        <v>2</v>
      </c>
      <c r="K175" s="91">
        <f t="shared" si="21"/>
        <v>193794.30000000002</v>
      </c>
      <c r="L175" s="15">
        <f t="shared" si="22"/>
        <v>10199.699999999983</v>
      </c>
      <c r="M175" s="8"/>
      <c r="N175" s="180" t="e">
        <f>#REF!-H175</f>
        <v>#REF!</v>
      </c>
    </row>
    <row r="176" spans="1:14" s="114" customFormat="1">
      <c r="A176" s="96">
        <v>12</v>
      </c>
      <c r="B176" s="96"/>
      <c r="C176" s="2" t="s">
        <v>389</v>
      </c>
      <c r="D176" s="41">
        <v>200000</v>
      </c>
      <c r="E176" s="41">
        <v>26660</v>
      </c>
      <c r="F176" s="41">
        <f t="shared" si="19"/>
        <v>226660</v>
      </c>
      <c r="G176" s="220">
        <v>40</v>
      </c>
      <c r="H176" s="208">
        <v>5666.5</v>
      </c>
      <c r="I176" s="96">
        <v>53</v>
      </c>
      <c r="J176" s="96">
        <f t="shared" si="20"/>
        <v>-13</v>
      </c>
      <c r="K176" s="16">
        <f t="shared" si="21"/>
        <v>300324.5</v>
      </c>
      <c r="L176" s="41">
        <f t="shared" si="22"/>
        <v>-73664.5</v>
      </c>
      <c r="M176" s="152"/>
      <c r="N176" s="180" t="e">
        <f>#REF!-H176</f>
        <v>#REF!</v>
      </c>
    </row>
    <row r="177" spans="1:15" s="114" customFormat="1">
      <c r="A177" s="96">
        <v>29</v>
      </c>
      <c r="B177" s="241"/>
      <c r="C177" s="4" t="s">
        <v>414</v>
      </c>
      <c r="D177" s="16">
        <v>180000</v>
      </c>
      <c r="E177" s="16">
        <v>23994</v>
      </c>
      <c r="F177" s="41">
        <f t="shared" si="19"/>
        <v>203994</v>
      </c>
      <c r="G177" s="159">
        <v>40</v>
      </c>
      <c r="H177" s="208">
        <v>5099.8500000000004</v>
      </c>
      <c r="I177" s="97">
        <v>40</v>
      </c>
      <c r="J177" s="97">
        <f t="shared" si="20"/>
        <v>0</v>
      </c>
      <c r="K177" s="91">
        <f t="shared" si="21"/>
        <v>203994</v>
      </c>
      <c r="L177" s="94">
        <f t="shared" si="22"/>
        <v>0</v>
      </c>
      <c r="M177" s="11"/>
      <c r="N177" s="180" t="e">
        <f>#REF!-H177</f>
        <v>#REF!</v>
      </c>
    </row>
    <row r="178" spans="1:15" s="114" customFormat="1">
      <c r="A178" s="96">
        <v>64</v>
      </c>
      <c r="B178" s="241"/>
      <c r="C178" s="4" t="s">
        <v>403</v>
      </c>
      <c r="D178" s="41">
        <v>200000</v>
      </c>
      <c r="E178" s="41">
        <v>26660</v>
      </c>
      <c r="F178" s="41">
        <f t="shared" si="19"/>
        <v>226660</v>
      </c>
      <c r="G178" s="159">
        <v>40</v>
      </c>
      <c r="H178" s="208">
        <v>5666.5</v>
      </c>
      <c r="I178" s="97">
        <v>42</v>
      </c>
      <c r="J178" s="97">
        <f t="shared" si="20"/>
        <v>-2</v>
      </c>
      <c r="K178" s="91">
        <f t="shared" si="21"/>
        <v>237993</v>
      </c>
      <c r="L178" s="94">
        <f t="shared" si="22"/>
        <v>-11333</v>
      </c>
      <c r="M178" s="11"/>
      <c r="N178" s="180" t="e">
        <f>#REF!-H178</f>
        <v>#REF!</v>
      </c>
    </row>
    <row r="179" spans="1:15" s="114" customFormat="1">
      <c r="A179" s="96">
        <v>68</v>
      </c>
      <c r="B179" s="241"/>
      <c r="C179" s="4" t="s">
        <v>422</v>
      </c>
      <c r="D179" s="16">
        <v>132000</v>
      </c>
      <c r="E179" s="16">
        <v>17595.599999999999</v>
      </c>
      <c r="F179" s="41">
        <f t="shared" si="19"/>
        <v>149595.6</v>
      </c>
      <c r="G179" s="159">
        <v>40</v>
      </c>
      <c r="H179" s="208">
        <v>3739.89</v>
      </c>
      <c r="I179" s="97">
        <v>42</v>
      </c>
      <c r="J179" s="97">
        <f t="shared" si="20"/>
        <v>-2</v>
      </c>
      <c r="K179" s="91">
        <f t="shared" si="21"/>
        <v>157075.38</v>
      </c>
      <c r="L179" s="94">
        <f t="shared" si="22"/>
        <v>-7479.7799999999988</v>
      </c>
      <c r="M179" s="11"/>
      <c r="N179" s="180" t="e">
        <f>#REF!-H179</f>
        <v>#REF!</v>
      </c>
    </row>
    <row r="180" spans="1:15" s="114" customFormat="1">
      <c r="A180" s="96">
        <v>86</v>
      </c>
      <c r="B180" s="241"/>
      <c r="C180" s="4" t="s">
        <v>407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0"/>
        <v>-2</v>
      </c>
      <c r="K180" s="91">
        <f t="shared" si="21"/>
        <v>237993</v>
      </c>
      <c r="L180" s="94">
        <f t="shared" si="22"/>
        <v>-11333</v>
      </c>
      <c r="M180" s="11"/>
      <c r="N180" s="180" t="e">
        <f>#REF!-H180</f>
        <v>#REF!</v>
      </c>
    </row>
    <row r="181" spans="1:15" s="114" customFormat="1">
      <c r="A181" s="96">
        <v>94</v>
      </c>
      <c r="B181" s="241"/>
      <c r="C181" s="4" t="s">
        <v>408</v>
      </c>
      <c r="D181" s="41">
        <v>200000</v>
      </c>
      <c r="E181" s="41">
        <v>26660</v>
      </c>
      <c r="F181" s="41">
        <v>226660</v>
      </c>
      <c r="G181" s="159">
        <v>40</v>
      </c>
      <c r="H181" s="208">
        <v>5666.5</v>
      </c>
      <c r="I181" s="97">
        <v>42</v>
      </c>
      <c r="J181" s="97">
        <f t="shared" si="20"/>
        <v>-2</v>
      </c>
      <c r="K181" s="91">
        <f t="shared" si="21"/>
        <v>237993</v>
      </c>
      <c r="L181" s="94">
        <f t="shared" si="22"/>
        <v>-11333</v>
      </c>
      <c r="M181" s="11"/>
      <c r="N181" s="180" t="e">
        <f>#REF!-H181</f>
        <v>#REF!</v>
      </c>
    </row>
    <row r="182" spans="1:15" s="114" customFormat="1">
      <c r="A182" s="96">
        <v>99</v>
      </c>
      <c r="B182" s="241"/>
      <c r="C182" s="4" t="s">
        <v>409</v>
      </c>
      <c r="D182" s="41">
        <v>200000</v>
      </c>
      <c r="E182" s="41">
        <v>26660</v>
      </c>
      <c r="F182" s="41">
        <f>SUM(D182:E182)</f>
        <v>226660</v>
      </c>
      <c r="G182" s="159">
        <v>40</v>
      </c>
      <c r="H182" s="208">
        <v>5666.5</v>
      </c>
      <c r="I182" s="97">
        <v>42</v>
      </c>
      <c r="J182" s="97">
        <f t="shared" si="20"/>
        <v>-2</v>
      </c>
      <c r="K182" s="91">
        <f t="shared" si="21"/>
        <v>237993</v>
      </c>
      <c r="L182" s="94">
        <f t="shared" si="22"/>
        <v>-11333</v>
      </c>
      <c r="M182" s="11"/>
      <c r="N182" s="180" t="e">
        <f>#REF!-H182</f>
        <v>#REF!</v>
      </c>
      <c r="O182"/>
    </row>
    <row r="183" spans="1:15" s="114" customFormat="1">
      <c r="A183" s="96">
        <v>107</v>
      </c>
      <c r="B183" s="241"/>
      <c r="C183" s="4" t="s">
        <v>35</v>
      </c>
      <c r="D183" s="155">
        <v>150000</v>
      </c>
      <c r="E183" s="155">
        <v>19995</v>
      </c>
      <c r="F183" s="155">
        <f>SUM(D183:E183)</f>
        <v>169995</v>
      </c>
      <c r="G183" s="159">
        <v>50</v>
      </c>
      <c r="H183" s="208">
        <v>3399.9</v>
      </c>
      <c r="I183" s="97">
        <v>14</v>
      </c>
      <c r="J183" s="97">
        <f t="shared" si="20"/>
        <v>36</v>
      </c>
      <c r="K183" s="91">
        <f t="shared" si="21"/>
        <v>47598.6</v>
      </c>
      <c r="L183" s="91">
        <f t="shared" si="22"/>
        <v>122396.4</v>
      </c>
      <c r="M183" s="122"/>
      <c r="N183" s="180" t="e">
        <f>#REF!-H183</f>
        <v>#REF!</v>
      </c>
      <c r="O183"/>
    </row>
    <row r="184" spans="1:15" s="114" customFormat="1">
      <c r="O184"/>
    </row>
    <row r="185" spans="1:15" s="114" customFormat="1">
      <c r="A185" s="96">
        <v>30</v>
      </c>
      <c r="B185" s="96"/>
      <c r="C185" s="25" t="s">
        <v>362</v>
      </c>
      <c r="D185" s="12">
        <v>450000</v>
      </c>
      <c r="E185" s="12">
        <v>59985</v>
      </c>
      <c r="F185" s="15">
        <f>SUM(D185:E185)</f>
        <v>509985</v>
      </c>
      <c r="G185" s="14">
        <v>50</v>
      </c>
      <c r="H185" s="212">
        <v>10199.700000000001</v>
      </c>
      <c r="I185" s="14">
        <v>30</v>
      </c>
      <c r="J185" s="97">
        <f t="shared" ref="J185:J192" si="23">G185-I185</f>
        <v>20</v>
      </c>
      <c r="K185" s="91">
        <f>I185*H185</f>
        <v>305991</v>
      </c>
      <c r="L185" s="15">
        <f t="shared" ref="L185:L192" si="24">F185-K185</f>
        <v>203994</v>
      </c>
      <c r="M185" s="8"/>
      <c r="N185" s="180" t="e">
        <f>#REF!-H185</f>
        <v>#REF!</v>
      </c>
      <c r="O185"/>
    </row>
    <row r="186" spans="1:15" s="114" customFormat="1" ht="14.25" customHeight="1">
      <c r="A186" s="96">
        <v>102</v>
      </c>
      <c r="B186" s="241"/>
      <c r="C186" s="46" t="s">
        <v>289</v>
      </c>
      <c r="D186" s="16">
        <v>180000</v>
      </c>
      <c r="E186" s="16">
        <v>23994</v>
      </c>
      <c r="F186" s="16">
        <v>203994</v>
      </c>
      <c r="G186" s="221">
        <v>40</v>
      </c>
      <c r="H186" s="167">
        <v>5099.8500000000004</v>
      </c>
      <c r="I186" s="97">
        <v>40</v>
      </c>
      <c r="J186" s="97">
        <f t="shared" si="23"/>
        <v>0</v>
      </c>
      <c r="K186" s="156">
        <f>(36*5099.85)</f>
        <v>183594.6</v>
      </c>
      <c r="L186" s="91">
        <f t="shared" si="24"/>
        <v>20399.399999999994</v>
      </c>
      <c r="M186" s="122"/>
      <c r="N186" s="180" t="e">
        <f>#REF!-H186</f>
        <v>#REF!</v>
      </c>
      <c r="O186"/>
    </row>
    <row r="187" spans="1:15" s="114" customFormat="1" ht="14.25" customHeight="1">
      <c r="A187" s="96">
        <v>90</v>
      </c>
      <c r="B187" s="241"/>
      <c r="C187" s="4" t="s">
        <v>416</v>
      </c>
      <c r="D187" s="12">
        <v>180000</v>
      </c>
      <c r="E187" s="12">
        <v>23994</v>
      </c>
      <c r="F187" s="15">
        <f>SUM(D187:E187)</f>
        <v>203994</v>
      </c>
      <c r="G187" s="21">
        <v>40</v>
      </c>
      <c r="H187" s="167">
        <v>5099.8500000000004</v>
      </c>
      <c r="I187" s="14">
        <v>47</v>
      </c>
      <c r="J187" s="97">
        <f t="shared" si="23"/>
        <v>-7</v>
      </c>
      <c r="K187" s="91">
        <f t="shared" ref="K187:K192" si="25">I187*H187</f>
        <v>239692.95</v>
      </c>
      <c r="L187" s="15">
        <f t="shared" si="24"/>
        <v>-35698.950000000012</v>
      </c>
      <c r="M187" s="10"/>
      <c r="N187" s="180" t="e">
        <f>#REF!-H187</f>
        <v>#REF!</v>
      </c>
      <c r="O187"/>
    </row>
    <row r="188" spans="1:15" ht="14.25" customHeight="1">
      <c r="A188" s="96">
        <v>4</v>
      </c>
      <c r="B188" s="241"/>
      <c r="C188" s="4" t="s">
        <v>384</v>
      </c>
      <c r="D188" s="41">
        <v>200000</v>
      </c>
      <c r="E188" s="41">
        <v>26660</v>
      </c>
      <c r="F188" s="41">
        <f>SUM(D188:E188)</f>
        <v>226660</v>
      </c>
      <c r="G188" s="159">
        <v>40</v>
      </c>
      <c r="H188" s="167">
        <v>5666.5</v>
      </c>
      <c r="I188" s="96">
        <v>32</v>
      </c>
      <c r="J188" s="96">
        <f t="shared" si="23"/>
        <v>8</v>
      </c>
      <c r="K188" s="16">
        <f t="shared" si="25"/>
        <v>181328</v>
      </c>
      <c r="L188" s="41">
        <f t="shared" si="24"/>
        <v>45332</v>
      </c>
      <c r="M188" s="11"/>
      <c r="N188" s="180" t="e">
        <f>#REF!-H188</f>
        <v>#REF!</v>
      </c>
    </row>
    <row r="189" spans="1:15" ht="14.25" customHeight="1">
      <c r="A189" s="96">
        <v>10</v>
      </c>
      <c r="B189" s="241"/>
      <c r="C189" s="4" t="s">
        <v>388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24">
        <v>5666.5</v>
      </c>
      <c r="I189" s="14">
        <v>38</v>
      </c>
      <c r="J189" s="97">
        <f t="shared" si="23"/>
        <v>2</v>
      </c>
      <c r="K189" s="91">
        <f t="shared" si="25"/>
        <v>215327</v>
      </c>
      <c r="L189" s="15">
        <f t="shared" si="24"/>
        <v>11333</v>
      </c>
      <c r="M189" s="8"/>
      <c r="N189" s="180" t="e">
        <f>#REF!-H189</f>
        <v>#REF!</v>
      </c>
    </row>
    <row r="190" spans="1:15" ht="14.25" customHeight="1">
      <c r="A190" s="96">
        <v>25</v>
      </c>
      <c r="B190" s="241"/>
      <c r="C190" s="4" t="s">
        <v>140</v>
      </c>
      <c r="D190" s="15">
        <v>200000</v>
      </c>
      <c r="E190" s="15">
        <v>26660</v>
      </c>
      <c r="F190" s="15">
        <f>SUM(D190:E190)</f>
        <v>226660</v>
      </c>
      <c r="G190" s="14">
        <v>40</v>
      </c>
      <c r="H190" s="167">
        <v>5666.5</v>
      </c>
      <c r="I190" s="14">
        <v>34</v>
      </c>
      <c r="J190" s="97">
        <f t="shared" si="23"/>
        <v>6</v>
      </c>
      <c r="K190" s="91">
        <f t="shared" si="25"/>
        <v>192661</v>
      </c>
      <c r="L190" s="15">
        <f t="shared" si="24"/>
        <v>33999</v>
      </c>
      <c r="M190" s="8"/>
      <c r="N190" s="180" t="e">
        <f>#REF!-H190</f>
        <v>#REF!</v>
      </c>
    </row>
    <row r="191" spans="1:15" ht="14.25" customHeight="1">
      <c r="A191" s="96">
        <v>31</v>
      </c>
      <c r="B191" s="96"/>
      <c r="C191" s="2" t="s">
        <v>284</v>
      </c>
      <c r="D191" s="19">
        <v>500000</v>
      </c>
      <c r="E191" s="19">
        <v>66650</v>
      </c>
      <c r="F191" s="19">
        <v>566650</v>
      </c>
      <c r="G191" s="159">
        <v>50</v>
      </c>
      <c r="H191" s="167">
        <v>11333</v>
      </c>
      <c r="I191" s="97">
        <v>34</v>
      </c>
      <c r="J191" s="97">
        <f t="shared" si="23"/>
        <v>16</v>
      </c>
      <c r="K191" s="91">
        <f t="shared" si="25"/>
        <v>385322</v>
      </c>
      <c r="L191" s="91">
        <f t="shared" si="24"/>
        <v>181328</v>
      </c>
      <c r="M191" s="122"/>
      <c r="N191" s="180" t="e">
        <f>#REF!-H191</f>
        <v>#REF!</v>
      </c>
    </row>
    <row r="192" spans="1:15" ht="14.25" customHeight="1">
      <c r="A192" s="96">
        <v>122</v>
      </c>
      <c r="B192" s="241"/>
      <c r="C192" s="168" t="s">
        <v>382</v>
      </c>
      <c r="D192" s="12">
        <v>330000</v>
      </c>
      <c r="E192" s="12">
        <v>43989</v>
      </c>
      <c r="F192" s="15">
        <f>SUM(D192:E192)</f>
        <v>373989</v>
      </c>
      <c r="G192" s="14">
        <v>50</v>
      </c>
      <c r="H192" s="222">
        <v>7479.78</v>
      </c>
      <c r="I192" s="14">
        <v>32</v>
      </c>
      <c r="J192" s="97">
        <f t="shared" si="23"/>
        <v>18</v>
      </c>
      <c r="K192" s="91">
        <f t="shared" si="25"/>
        <v>239352.95999999999</v>
      </c>
      <c r="L192" s="15">
        <f t="shared" si="24"/>
        <v>134636.04</v>
      </c>
      <c r="M192" s="8"/>
    </row>
    <row r="193" spans="1:15" ht="14.25" customHeight="1">
      <c r="A193" s="114"/>
      <c r="B193" s="114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</row>
    <row r="194" spans="1:15" ht="14.25" customHeight="1">
      <c r="A194" s="96">
        <v>96</v>
      </c>
      <c r="B194" s="241"/>
      <c r="C194" s="4" t="s">
        <v>482</v>
      </c>
      <c r="D194" s="12">
        <v>60000</v>
      </c>
      <c r="E194" s="12">
        <v>7998</v>
      </c>
      <c r="F194" s="15">
        <f>SUM(D194:E194)</f>
        <v>67998</v>
      </c>
      <c r="G194" s="14">
        <v>40</v>
      </c>
      <c r="H194" s="172">
        <v>1699.95</v>
      </c>
      <c r="I194" s="97">
        <v>41</v>
      </c>
      <c r="J194" s="97">
        <f>G194-I194</f>
        <v>-1</v>
      </c>
      <c r="K194" s="91">
        <f>I194*H194</f>
        <v>69697.95</v>
      </c>
      <c r="L194" s="94">
        <f>F194-K194</f>
        <v>-1699.9499999999971</v>
      </c>
      <c r="M194" s="122"/>
      <c r="N194" s="114"/>
    </row>
    <row r="195" spans="1:15" ht="14.25" customHeight="1">
      <c r="A195" s="114"/>
      <c r="B195" s="114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21"/>
    </row>
    <row r="196" spans="1:15" ht="14.25" customHeight="1">
      <c r="A196" s="96">
        <v>121</v>
      </c>
      <c r="B196" s="241"/>
      <c r="C196" s="4" t="s">
        <v>429</v>
      </c>
      <c r="D196" s="16">
        <v>60000</v>
      </c>
      <c r="E196" s="16">
        <v>7998</v>
      </c>
      <c r="F196" s="41">
        <f>SUM(D196:E196)</f>
        <v>67998</v>
      </c>
      <c r="G196" s="159">
        <v>40</v>
      </c>
      <c r="H196" s="167">
        <v>1699.95</v>
      </c>
      <c r="I196" s="97">
        <v>40</v>
      </c>
      <c r="J196" s="97">
        <f>G196-I196</f>
        <v>0</v>
      </c>
      <c r="K196" s="91">
        <f>I196*H196</f>
        <v>67998</v>
      </c>
      <c r="L196" s="94">
        <f>F196-K196</f>
        <v>0</v>
      </c>
      <c r="M196" s="11"/>
      <c r="N196" s="180" t="e">
        <f>#REF!-H196</f>
        <v>#REF!</v>
      </c>
    </row>
    <row r="198" spans="1:15">
      <c r="A198" s="96">
        <v>12</v>
      </c>
      <c r="B198" s="96"/>
      <c r="C198" s="2" t="s">
        <v>373</v>
      </c>
      <c r="D198" s="16">
        <v>330000</v>
      </c>
      <c r="E198" s="16">
        <v>43989</v>
      </c>
      <c r="F198" s="41">
        <f>SUM(D198:E198)</f>
        <v>373989</v>
      </c>
      <c r="G198" s="33">
        <v>50</v>
      </c>
      <c r="H198" s="16">
        <v>7479.78</v>
      </c>
      <c r="I198" s="96">
        <v>26</v>
      </c>
      <c r="J198" s="96">
        <f>G198-I198</f>
        <v>24</v>
      </c>
      <c r="K198" s="16">
        <f>I198*H198</f>
        <v>194474.28</v>
      </c>
      <c r="L198" s="41">
        <f>F198-K198</f>
        <v>179514.72</v>
      </c>
      <c r="M198" s="11"/>
      <c r="N198" s="180" t="e">
        <f>#REF!-H198</f>
        <v>#REF!</v>
      </c>
    </row>
    <row r="199" spans="1:15">
      <c r="A199" s="96">
        <v>87</v>
      </c>
      <c r="B199" s="96"/>
      <c r="C199" s="2" t="s">
        <v>421</v>
      </c>
      <c r="D199" s="16">
        <v>132000</v>
      </c>
      <c r="E199" s="16">
        <v>17595.599999999999</v>
      </c>
      <c r="F199" s="16">
        <v>149595.6</v>
      </c>
      <c r="G199" s="45">
        <v>40</v>
      </c>
      <c r="H199" s="19">
        <v>3739.89</v>
      </c>
      <c r="I199" s="97">
        <v>46</v>
      </c>
      <c r="J199" s="97">
        <f>G199-I199</f>
        <v>-6</v>
      </c>
      <c r="K199" s="91">
        <f>I199*H199</f>
        <v>172034.94</v>
      </c>
      <c r="L199" s="94">
        <f>F199-K199</f>
        <v>-22439.339999999997</v>
      </c>
      <c r="M199" s="11"/>
      <c r="N199" s="180" t="e">
        <f>#REF!-H199</f>
        <v>#REF!</v>
      </c>
    </row>
    <row r="200" spans="1:15" s="121" customFormat="1">
      <c r="A200" s="96">
        <v>116</v>
      </c>
      <c r="B200" s="96"/>
      <c r="C200" s="2" t="s">
        <v>377</v>
      </c>
      <c r="D200" s="155">
        <v>330000</v>
      </c>
      <c r="E200" s="155">
        <v>43989</v>
      </c>
      <c r="F200" s="155">
        <f>SUM(D200:E200)</f>
        <v>373989</v>
      </c>
      <c r="G200" s="33">
        <v>50</v>
      </c>
      <c r="H200" s="154">
        <v>7479.78</v>
      </c>
      <c r="I200" s="97">
        <v>12</v>
      </c>
      <c r="J200" s="97">
        <f>G200-I200</f>
        <v>38</v>
      </c>
      <c r="K200" s="91">
        <f>I200*H200</f>
        <v>89757.36</v>
      </c>
      <c r="L200" s="91">
        <f>F200-K200</f>
        <v>284231.64</v>
      </c>
      <c r="M200" s="122"/>
      <c r="N200" s="180" t="e">
        <f>#REF!-H200</f>
        <v>#REF!</v>
      </c>
      <c r="O200"/>
    </row>
    <row r="202" spans="1:15">
      <c r="A202" s="96">
        <v>144</v>
      </c>
      <c r="B202" s="96"/>
      <c r="C202" s="2" t="s">
        <v>410</v>
      </c>
      <c r="D202" s="41">
        <v>200000</v>
      </c>
      <c r="E202" s="41">
        <v>26660</v>
      </c>
      <c r="F202" s="41">
        <f>SUM(D202:E202)</f>
        <v>226660</v>
      </c>
      <c r="G202" s="33">
        <v>40</v>
      </c>
      <c r="H202" s="41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147</v>
      </c>
      <c r="B203" s="96"/>
      <c r="C203" s="2" t="s">
        <v>411</v>
      </c>
      <c r="D203" s="41">
        <v>200000</v>
      </c>
      <c r="E203" s="41">
        <v>26660</v>
      </c>
      <c r="F203" s="41">
        <v>226660</v>
      </c>
      <c r="G203" s="33">
        <v>40</v>
      </c>
      <c r="H203" s="19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4" spans="1:15">
      <c r="A204" s="96">
        <v>148</v>
      </c>
      <c r="B204" s="96"/>
      <c r="C204" s="2" t="s">
        <v>412</v>
      </c>
      <c r="D204" s="41">
        <v>200000</v>
      </c>
      <c r="E204" s="41">
        <v>26660</v>
      </c>
      <c r="F204" s="41">
        <f>SUM(D204:E204)</f>
        <v>226660</v>
      </c>
      <c r="G204" s="33">
        <v>40</v>
      </c>
      <c r="H204" s="41">
        <v>5666.5</v>
      </c>
      <c r="I204" s="97">
        <v>40</v>
      </c>
      <c r="J204" s="97">
        <f>G204-I204</f>
        <v>0</v>
      </c>
      <c r="K204" s="91">
        <f>I204*H204</f>
        <v>226660</v>
      </c>
      <c r="L204" s="94">
        <f>F204-K204</f>
        <v>0</v>
      </c>
      <c r="M204" s="11"/>
      <c r="N204" s="180" t="e">
        <f>#REF!-H204</f>
        <v>#REF!</v>
      </c>
    </row>
    <row r="206" spans="1:15">
      <c r="A206" s="96">
        <v>6</v>
      </c>
      <c r="B206" s="96"/>
      <c r="C206" s="2" t="s">
        <v>418</v>
      </c>
      <c r="D206" s="16">
        <v>132000</v>
      </c>
      <c r="E206" s="16">
        <v>17595.599999999999</v>
      </c>
      <c r="F206" s="41">
        <f t="shared" ref="F206:F218" si="26">SUM(D206:E206)</f>
        <v>149595.6</v>
      </c>
      <c r="G206" s="33">
        <v>40</v>
      </c>
      <c r="H206" s="16">
        <v>3739.89</v>
      </c>
      <c r="I206" s="96">
        <v>40</v>
      </c>
      <c r="J206" s="96">
        <f t="shared" ref="J206:J226" si="27">G206-I206</f>
        <v>0</v>
      </c>
      <c r="K206" s="16">
        <f t="shared" ref="K206:K226" si="28">I206*H206</f>
        <v>149595.6</v>
      </c>
      <c r="L206" s="41">
        <f t="shared" ref="L206:L226" si="29">F206-K206</f>
        <v>0</v>
      </c>
      <c r="M206" s="11"/>
      <c r="N206" s="180" t="e">
        <f>#REF!-H206</f>
        <v>#REF!</v>
      </c>
    </row>
    <row r="207" spans="1:15">
      <c r="A207" s="96">
        <v>11</v>
      </c>
      <c r="B207" s="96"/>
      <c r="C207" s="2" t="s">
        <v>386</v>
      </c>
      <c r="D207" s="41">
        <v>200000</v>
      </c>
      <c r="E207" s="41">
        <v>26660</v>
      </c>
      <c r="F207" s="41">
        <f t="shared" si="26"/>
        <v>226660</v>
      </c>
      <c r="G207" s="33">
        <v>40</v>
      </c>
      <c r="H207" s="41">
        <v>5666.5</v>
      </c>
      <c r="I207" s="96">
        <v>40</v>
      </c>
      <c r="J207" s="96">
        <f t="shared" si="27"/>
        <v>0</v>
      </c>
      <c r="K207" s="16">
        <f t="shared" si="28"/>
        <v>226660</v>
      </c>
      <c r="L207" s="41">
        <f t="shared" si="29"/>
        <v>0</v>
      </c>
      <c r="M207" s="11"/>
      <c r="N207" s="180" t="e">
        <f>#REF!-H207</f>
        <v>#REF!</v>
      </c>
    </row>
    <row r="208" spans="1:15">
      <c r="A208" s="96">
        <v>13</v>
      </c>
      <c r="B208" s="96"/>
      <c r="C208" s="2" t="s">
        <v>387</v>
      </c>
      <c r="D208" s="41">
        <v>200000</v>
      </c>
      <c r="E208" s="41">
        <v>26660</v>
      </c>
      <c r="F208" s="41">
        <f t="shared" si="26"/>
        <v>226660</v>
      </c>
      <c r="G208" s="33">
        <v>40</v>
      </c>
      <c r="H208" s="41">
        <v>5666.5</v>
      </c>
      <c r="I208" s="96">
        <v>40</v>
      </c>
      <c r="J208" s="96">
        <f t="shared" si="27"/>
        <v>0</v>
      </c>
      <c r="K208" s="16">
        <f t="shared" si="28"/>
        <v>226660</v>
      </c>
      <c r="L208" s="41">
        <f t="shared" si="29"/>
        <v>0</v>
      </c>
      <c r="M208" s="11"/>
      <c r="N208" s="180" t="e">
        <f>#REF!-H208</f>
        <v>#REF!</v>
      </c>
    </row>
    <row r="209" spans="1:15">
      <c r="A209" s="96">
        <v>20</v>
      </c>
      <c r="B209" s="96"/>
      <c r="C209" s="2" t="s">
        <v>390</v>
      </c>
      <c r="D209" s="41">
        <v>200000</v>
      </c>
      <c r="E209" s="41">
        <v>26660</v>
      </c>
      <c r="F209" s="41">
        <f t="shared" si="26"/>
        <v>226660</v>
      </c>
      <c r="G209" s="33">
        <v>40</v>
      </c>
      <c r="H209" s="41">
        <v>5666.5</v>
      </c>
      <c r="I209" s="96">
        <v>40</v>
      </c>
      <c r="J209" s="96">
        <f t="shared" si="27"/>
        <v>0</v>
      </c>
      <c r="K209" s="16">
        <f t="shared" si="28"/>
        <v>226660</v>
      </c>
      <c r="L209" s="41">
        <f t="shared" si="29"/>
        <v>0</v>
      </c>
      <c r="M209" s="11"/>
      <c r="N209" s="180" t="e">
        <f>#REF!-H209</f>
        <v>#REF!</v>
      </c>
    </row>
    <row r="210" spans="1:15">
      <c r="A210" s="96">
        <v>29</v>
      </c>
      <c r="B210" s="96"/>
      <c r="C210" s="2" t="s">
        <v>391</v>
      </c>
      <c r="D210" s="41">
        <v>200000</v>
      </c>
      <c r="E210" s="41">
        <v>26660</v>
      </c>
      <c r="F210" s="41">
        <f t="shared" si="26"/>
        <v>226660</v>
      </c>
      <c r="G210" s="33">
        <v>40</v>
      </c>
      <c r="H210" s="41">
        <v>5666.5</v>
      </c>
      <c r="I210" s="97">
        <v>40</v>
      </c>
      <c r="J210" s="97">
        <f t="shared" si="27"/>
        <v>0</v>
      </c>
      <c r="K210" s="91">
        <f t="shared" si="28"/>
        <v>226660</v>
      </c>
      <c r="L210" s="94">
        <f t="shared" si="29"/>
        <v>0</v>
      </c>
      <c r="M210" s="11"/>
      <c r="N210" s="180" t="e">
        <f>#REF!-H210</f>
        <v>#REF!</v>
      </c>
    </row>
    <row r="211" spans="1:15">
      <c r="A211" s="96">
        <v>31</v>
      </c>
      <c r="B211" s="96"/>
      <c r="C211" s="2" t="s">
        <v>392</v>
      </c>
      <c r="D211" s="41">
        <v>200000</v>
      </c>
      <c r="E211" s="41">
        <v>26660</v>
      </c>
      <c r="F211" s="41">
        <f t="shared" si="26"/>
        <v>226660</v>
      </c>
      <c r="G211" s="33">
        <v>40</v>
      </c>
      <c r="H211" s="41">
        <v>5666.5</v>
      </c>
      <c r="I211" s="97">
        <v>40</v>
      </c>
      <c r="J211" s="97">
        <f t="shared" si="27"/>
        <v>0</v>
      </c>
      <c r="K211" s="91">
        <f t="shared" si="28"/>
        <v>226660</v>
      </c>
      <c r="L211" s="94">
        <f t="shared" si="29"/>
        <v>0</v>
      </c>
      <c r="M211" s="11"/>
      <c r="N211" s="180" t="e">
        <f>#REF!-H211</f>
        <v>#REF!</v>
      </c>
    </row>
    <row r="212" spans="1:15">
      <c r="A212" s="96">
        <v>34</v>
      </c>
      <c r="B212" s="96"/>
      <c r="C212" s="2" t="s">
        <v>393</v>
      </c>
      <c r="D212" s="41">
        <v>200000</v>
      </c>
      <c r="E212" s="41">
        <v>26660</v>
      </c>
      <c r="F212" s="41">
        <f t="shared" si="26"/>
        <v>226660</v>
      </c>
      <c r="G212" s="33">
        <v>40</v>
      </c>
      <c r="H212" s="41">
        <v>5666.5</v>
      </c>
      <c r="I212" s="97">
        <v>40</v>
      </c>
      <c r="J212" s="97">
        <f t="shared" si="27"/>
        <v>0</v>
      </c>
      <c r="K212" s="91">
        <f t="shared" si="28"/>
        <v>226660</v>
      </c>
      <c r="L212" s="94">
        <f t="shared" si="29"/>
        <v>0</v>
      </c>
      <c r="M212" s="11"/>
      <c r="N212" s="180" t="e">
        <f>#REF!-H212</f>
        <v>#REF!</v>
      </c>
    </row>
    <row r="213" spans="1:15">
      <c r="A213" s="96">
        <v>41</v>
      </c>
      <c r="B213" s="96"/>
      <c r="C213" s="2" t="s">
        <v>415</v>
      </c>
      <c r="D213" s="16">
        <v>180000</v>
      </c>
      <c r="E213" s="16">
        <v>23994</v>
      </c>
      <c r="F213" s="41">
        <f t="shared" si="26"/>
        <v>203994</v>
      </c>
      <c r="G213" s="33">
        <v>40</v>
      </c>
      <c r="H213" s="16">
        <v>5099.8500000000004</v>
      </c>
      <c r="I213" s="97">
        <v>40</v>
      </c>
      <c r="J213" s="97">
        <f t="shared" si="27"/>
        <v>0</v>
      </c>
      <c r="K213" s="91">
        <f t="shared" si="28"/>
        <v>203994</v>
      </c>
      <c r="L213" s="94">
        <f t="shared" si="29"/>
        <v>0</v>
      </c>
      <c r="M213" s="11"/>
      <c r="N213" s="180" t="e">
        <f>#REF!-H213</f>
        <v>#REF!</v>
      </c>
    </row>
    <row r="214" spans="1:15">
      <c r="A214" s="96">
        <v>45</v>
      </c>
      <c r="B214" s="96"/>
      <c r="C214" s="2" t="s">
        <v>394</v>
      </c>
      <c r="D214" s="41">
        <v>200000</v>
      </c>
      <c r="E214" s="41">
        <v>26660</v>
      </c>
      <c r="F214" s="41">
        <f t="shared" si="26"/>
        <v>226660</v>
      </c>
      <c r="G214" s="33">
        <v>40</v>
      </c>
      <c r="H214" s="41">
        <v>5666.5</v>
      </c>
      <c r="I214" s="97">
        <v>40</v>
      </c>
      <c r="J214" s="97">
        <f t="shared" si="27"/>
        <v>0</v>
      </c>
      <c r="K214" s="91">
        <f t="shared" si="28"/>
        <v>226660</v>
      </c>
      <c r="L214" s="94">
        <f t="shared" si="29"/>
        <v>0</v>
      </c>
      <c r="M214" s="11"/>
      <c r="N214" s="180" t="e">
        <f>#REF!-H214</f>
        <v>#REF!</v>
      </c>
    </row>
    <row r="215" spans="1:15">
      <c r="A215" s="96">
        <v>51</v>
      </c>
      <c r="B215" s="96"/>
      <c r="C215" s="2" t="s">
        <v>395</v>
      </c>
      <c r="D215" s="15">
        <v>200000</v>
      </c>
      <c r="E215" s="15">
        <v>26660</v>
      </c>
      <c r="F215" s="15">
        <f t="shared" si="26"/>
        <v>226660</v>
      </c>
      <c r="G215" s="31">
        <v>40</v>
      </c>
      <c r="H215" s="15">
        <v>5666.5</v>
      </c>
      <c r="I215" s="14">
        <v>38</v>
      </c>
      <c r="J215" s="97">
        <f t="shared" si="27"/>
        <v>2</v>
      </c>
      <c r="K215" s="91">
        <f t="shared" si="28"/>
        <v>215327</v>
      </c>
      <c r="L215" s="15">
        <f t="shared" si="29"/>
        <v>11333</v>
      </c>
      <c r="M215" s="8"/>
      <c r="N215" s="180" t="e">
        <f>#REF!-H215</f>
        <v>#REF!</v>
      </c>
    </row>
    <row r="216" spans="1:15">
      <c r="A216" s="96">
        <v>59</v>
      </c>
      <c r="B216" s="96"/>
      <c r="C216" s="2" t="s">
        <v>419</v>
      </c>
      <c r="D216" s="16">
        <v>132000</v>
      </c>
      <c r="E216" s="16">
        <v>17595.599999999999</v>
      </c>
      <c r="F216" s="41">
        <f t="shared" si="26"/>
        <v>149595.6</v>
      </c>
      <c r="G216" s="33">
        <v>40</v>
      </c>
      <c r="H216" s="16">
        <v>3739.89</v>
      </c>
      <c r="I216" s="97">
        <v>40</v>
      </c>
      <c r="J216" s="97">
        <f t="shared" si="27"/>
        <v>0</v>
      </c>
      <c r="K216" s="91">
        <f t="shared" si="28"/>
        <v>149595.6</v>
      </c>
      <c r="L216" s="94">
        <f t="shared" si="29"/>
        <v>0</v>
      </c>
      <c r="M216" s="11"/>
      <c r="N216" s="180" t="e">
        <f>#REF!-H216</f>
        <v>#REF!</v>
      </c>
    </row>
    <row r="217" spans="1:15">
      <c r="A217" s="96">
        <v>60</v>
      </c>
      <c r="B217" s="96"/>
      <c r="C217" s="2" t="s">
        <v>396</v>
      </c>
      <c r="D217" s="41">
        <v>200000</v>
      </c>
      <c r="E217" s="41">
        <v>26660</v>
      </c>
      <c r="F217" s="41">
        <f t="shared" si="26"/>
        <v>226660</v>
      </c>
      <c r="G217" s="33">
        <v>40</v>
      </c>
      <c r="H217" s="41">
        <v>5666.5</v>
      </c>
      <c r="I217" s="97">
        <v>40</v>
      </c>
      <c r="J217" s="97">
        <f t="shared" si="27"/>
        <v>0</v>
      </c>
      <c r="K217" s="91">
        <f t="shared" si="28"/>
        <v>226660</v>
      </c>
      <c r="L217" s="94">
        <f t="shared" si="29"/>
        <v>0</v>
      </c>
      <c r="M217" s="11"/>
      <c r="N217" s="180" t="e">
        <f>#REF!-H217</f>
        <v>#REF!</v>
      </c>
    </row>
    <row r="218" spans="1:15">
      <c r="A218" s="96">
        <v>65</v>
      </c>
      <c r="B218" s="96"/>
      <c r="C218" s="2" t="s">
        <v>420</v>
      </c>
      <c r="D218" s="16">
        <v>132000</v>
      </c>
      <c r="E218" s="16">
        <v>17595.599999999999</v>
      </c>
      <c r="F218" s="41">
        <f t="shared" si="26"/>
        <v>149595.6</v>
      </c>
      <c r="G218" s="33">
        <v>40</v>
      </c>
      <c r="H218" s="16">
        <v>3739.89</v>
      </c>
      <c r="I218" s="97">
        <v>40</v>
      </c>
      <c r="J218" s="97">
        <f t="shared" si="27"/>
        <v>0</v>
      </c>
      <c r="K218" s="91">
        <f t="shared" si="28"/>
        <v>149595.6</v>
      </c>
      <c r="L218" s="94">
        <f t="shared" si="29"/>
        <v>0</v>
      </c>
      <c r="M218" s="11"/>
      <c r="N218" s="180" t="e">
        <f>#REF!-H218</f>
        <v>#REF!</v>
      </c>
    </row>
    <row r="219" spans="1:15">
      <c r="A219" s="96">
        <v>67</v>
      </c>
      <c r="B219" s="96"/>
      <c r="C219" s="2" t="s">
        <v>397</v>
      </c>
      <c r="D219" s="41">
        <v>200000</v>
      </c>
      <c r="E219" s="41">
        <v>26660</v>
      </c>
      <c r="F219" s="41">
        <v>226660</v>
      </c>
      <c r="G219" s="33">
        <v>40</v>
      </c>
      <c r="H219" s="19">
        <v>5666.5</v>
      </c>
      <c r="I219" s="97">
        <v>40</v>
      </c>
      <c r="J219" s="97">
        <f t="shared" si="27"/>
        <v>0</v>
      </c>
      <c r="K219" s="91">
        <f t="shared" si="28"/>
        <v>226660</v>
      </c>
      <c r="L219" s="94">
        <f t="shared" si="29"/>
        <v>0</v>
      </c>
      <c r="M219" s="11"/>
      <c r="N219" s="180" t="e">
        <f>#REF!-H219</f>
        <v>#REF!</v>
      </c>
    </row>
    <row r="220" spans="1:15">
      <c r="A220" s="96">
        <v>69</v>
      </c>
      <c r="B220" s="96"/>
      <c r="C220" s="2" t="s">
        <v>398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27"/>
        <v>0</v>
      </c>
      <c r="K220" s="91">
        <f t="shared" si="28"/>
        <v>226660</v>
      </c>
      <c r="L220" s="94">
        <f t="shared" si="29"/>
        <v>0</v>
      </c>
      <c r="M220" s="11"/>
      <c r="N220" s="180" t="e">
        <f>#REF!-H220</f>
        <v>#REF!</v>
      </c>
    </row>
    <row r="221" spans="1:15">
      <c r="A221" s="96">
        <v>72</v>
      </c>
      <c r="B221" s="96"/>
      <c r="C221" s="2" t="s">
        <v>399</v>
      </c>
      <c r="D221" s="41">
        <v>200000</v>
      </c>
      <c r="E221" s="41">
        <v>26660</v>
      </c>
      <c r="F221" s="41">
        <f>SUM(D221:E221)</f>
        <v>226660</v>
      </c>
      <c r="G221" s="33">
        <v>40</v>
      </c>
      <c r="H221" s="41">
        <v>5666.5</v>
      </c>
      <c r="I221" s="97">
        <v>40</v>
      </c>
      <c r="J221" s="97">
        <f t="shared" si="27"/>
        <v>0</v>
      </c>
      <c r="K221" s="91">
        <f t="shared" si="28"/>
        <v>226660</v>
      </c>
      <c r="L221" s="94">
        <f t="shared" si="29"/>
        <v>0</v>
      </c>
      <c r="M221" s="11"/>
      <c r="N221" s="180" t="e">
        <f>#REF!-H221</f>
        <v>#REF!</v>
      </c>
    </row>
    <row r="222" spans="1:15">
      <c r="A222" s="96">
        <v>73</v>
      </c>
      <c r="B222" s="96"/>
      <c r="C222" s="2" t="s">
        <v>428</v>
      </c>
      <c r="D222" s="16">
        <v>60000</v>
      </c>
      <c r="E222" s="16">
        <v>7998</v>
      </c>
      <c r="F222" s="41">
        <f>SUM(D222:E222)</f>
        <v>67998</v>
      </c>
      <c r="G222" s="33">
        <v>40</v>
      </c>
      <c r="H222" s="16">
        <v>1699.95</v>
      </c>
      <c r="I222" s="97">
        <v>40</v>
      </c>
      <c r="J222" s="97">
        <f t="shared" si="27"/>
        <v>0</v>
      </c>
      <c r="K222" s="91">
        <f t="shared" si="28"/>
        <v>67998</v>
      </c>
      <c r="L222" s="94">
        <f t="shared" si="29"/>
        <v>0</v>
      </c>
      <c r="M222" s="11"/>
      <c r="N222" s="180" t="e">
        <f>#REF!-H222</f>
        <v>#REF!</v>
      </c>
      <c r="O222" s="114"/>
    </row>
    <row r="223" spans="1:15">
      <c r="A223" s="96">
        <v>77</v>
      </c>
      <c r="B223" s="96"/>
      <c r="C223" s="2" t="s">
        <v>401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27"/>
        <v>0</v>
      </c>
      <c r="K223" s="91">
        <f t="shared" si="28"/>
        <v>226660</v>
      </c>
      <c r="L223" s="94">
        <f t="shared" si="29"/>
        <v>0</v>
      </c>
      <c r="M223" s="11"/>
      <c r="N223" s="180" t="e">
        <f>#REF!-H223</f>
        <v>#REF!</v>
      </c>
      <c r="O223" s="114"/>
    </row>
    <row r="224" spans="1:15">
      <c r="A224" s="96">
        <v>79</v>
      </c>
      <c r="B224" s="96"/>
      <c r="C224" s="2" t="s">
        <v>402</v>
      </c>
      <c r="D224" s="41">
        <v>200000</v>
      </c>
      <c r="E224" s="41">
        <v>26660</v>
      </c>
      <c r="F224" s="41">
        <f>SUM(D224:E224)</f>
        <v>226660</v>
      </c>
      <c r="G224" s="33">
        <v>40</v>
      </c>
      <c r="H224" s="41">
        <v>5666.5</v>
      </c>
      <c r="I224" s="97">
        <v>40</v>
      </c>
      <c r="J224" s="97">
        <f t="shared" si="27"/>
        <v>0</v>
      </c>
      <c r="K224" s="91">
        <f t="shared" si="28"/>
        <v>226660</v>
      </c>
      <c r="L224" s="94">
        <f t="shared" si="29"/>
        <v>0</v>
      </c>
      <c r="M224" s="11"/>
      <c r="N224" s="180" t="e">
        <f>#REF!-H224</f>
        <v>#REF!</v>
      </c>
      <c r="O224" s="114"/>
    </row>
    <row r="225" spans="1:15">
      <c r="A225" s="96">
        <v>82</v>
      </c>
      <c r="B225" s="96"/>
      <c r="C225" s="2" t="s">
        <v>404</v>
      </c>
      <c r="D225" s="41">
        <v>200000</v>
      </c>
      <c r="E225" s="41">
        <v>26660</v>
      </c>
      <c r="F225" s="41">
        <v>226660</v>
      </c>
      <c r="G225" s="33">
        <v>40</v>
      </c>
      <c r="H225" s="19">
        <v>5666.5</v>
      </c>
      <c r="I225" s="97">
        <v>40</v>
      </c>
      <c r="J225" s="97">
        <f t="shared" si="27"/>
        <v>0</v>
      </c>
      <c r="K225" s="91">
        <f t="shared" si="28"/>
        <v>226660</v>
      </c>
      <c r="L225" s="94">
        <f t="shared" si="29"/>
        <v>0</v>
      </c>
      <c r="M225" s="11"/>
      <c r="N225" s="180" t="e">
        <f>#REF!-H225</f>
        <v>#REF!</v>
      </c>
    </row>
    <row r="226" spans="1:15">
      <c r="A226" s="96">
        <v>84</v>
      </c>
      <c r="B226" s="96"/>
      <c r="C226" s="2" t="s">
        <v>405</v>
      </c>
      <c r="D226" s="41">
        <v>200000</v>
      </c>
      <c r="E226" s="41">
        <v>26660</v>
      </c>
      <c r="F226" s="41">
        <f>SUM(D226:E226)</f>
        <v>226660</v>
      </c>
      <c r="G226" s="33">
        <v>40</v>
      </c>
      <c r="H226" s="41">
        <v>5666.5</v>
      </c>
      <c r="I226" s="97">
        <v>40</v>
      </c>
      <c r="J226" s="97">
        <f t="shared" si="27"/>
        <v>0</v>
      </c>
      <c r="K226" s="91">
        <f t="shared" si="28"/>
        <v>226660</v>
      </c>
      <c r="L226" s="94">
        <f t="shared" si="29"/>
        <v>0</v>
      </c>
      <c r="M226" s="11"/>
      <c r="N226" s="180" t="e">
        <f>#REF!-H226</f>
        <v>#REF!</v>
      </c>
      <c r="O226" s="114"/>
    </row>
    <row r="227" spans="1:15">
      <c r="O227" s="114"/>
    </row>
    <row r="228" spans="1:15">
      <c r="O228" s="114"/>
    </row>
    <row r="229" spans="1:15">
      <c r="C229" s="127" t="s">
        <v>226</v>
      </c>
      <c r="D229" s="129">
        <v>200000</v>
      </c>
      <c r="E229" s="129">
        <v>26660</v>
      </c>
      <c r="F229" s="129">
        <v>226660</v>
      </c>
      <c r="G229" s="130">
        <v>40</v>
      </c>
      <c r="H229" s="137">
        <v>5666.5</v>
      </c>
      <c r="I229" s="134">
        <v>40</v>
      </c>
      <c r="J229" s="134">
        <f t="shared" ref="J229:J249" si="30">G229-I229</f>
        <v>0</v>
      </c>
      <c r="K229" s="135">
        <f t="shared" ref="K229:K249" si="31">I229*H229</f>
        <v>226660</v>
      </c>
      <c r="L229" s="136">
        <f t="shared" ref="L229:L249" si="32">F229-K229</f>
        <v>0</v>
      </c>
      <c r="M229" s="132"/>
      <c r="N229" s="121"/>
    </row>
    <row r="230" spans="1:15">
      <c r="C230" s="127" t="s">
        <v>181</v>
      </c>
      <c r="D230" s="129">
        <v>200000</v>
      </c>
      <c r="E230" s="129">
        <v>26660</v>
      </c>
      <c r="F230" s="129">
        <f t="shared" ref="F230:F236" si="33">SUM(D230:E230)</f>
        <v>226660</v>
      </c>
      <c r="G230" s="130">
        <v>40</v>
      </c>
      <c r="H230" s="129">
        <v>5666.5</v>
      </c>
      <c r="I230" s="134">
        <v>40</v>
      </c>
      <c r="J230" s="134">
        <f t="shared" si="30"/>
        <v>0</v>
      </c>
      <c r="K230" s="135">
        <f t="shared" si="31"/>
        <v>226660</v>
      </c>
      <c r="L230" s="136">
        <f t="shared" si="32"/>
        <v>0</v>
      </c>
      <c r="M230" s="132"/>
    </row>
    <row r="231" spans="1:15">
      <c r="C231" s="127" t="s">
        <v>249</v>
      </c>
      <c r="D231" s="128">
        <v>180000</v>
      </c>
      <c r="E231" s="128">
        <v>23994</v>
      </c>
      <c r="F231" s="129">
        <f t="shared" si="33"/>
        <v>203994</v>
      </c>
      <c r="G231" s="130">
        <v>40</v>
      </c>
      <c r="H231" s="128">
        <v>5099.8500000000004</v>
      </c>
      <c r="I231" s="134">
        <v>45</v>
      </c>
      <c r="J231" s="134">
        <f t="shared" si="30"/>
        <v>-5</v>
      </c>
      <c r="K231" s="135">
        <f t="shared" si="31"/>
        <v>229493.25000000003</v>
      </c>
      <c r="L231" s="136">
        <f t="shared" si="32"/>
        <v>-25499.250000000029</v>
      </c>
      <c r="M231" s="132"/>
    </row>
    <row r="232" spans="1:15">
      <c r="C232" s="127" t="s">
        <v>188</v>
      </c>
      <c r="D232" s="128">
        <v>180000</v>
      </c>
      <c r="E232" s="128">
        <v>23994</v>
      </c>
      <c r="F232" s="129">
        <f t="shared" si="33"/>
        <v>203994</v>
      </c>
      <c r="G232" s="130">
        <v>40</v>
      </c>
      <c r="H232" s="128">
        <v>5099.8500000000004</v>
      </c>
      <c r="I232" s="131">
        <v>37</v>
      </c>
      <c r="J232" s="131">
        <f t="shared" si="30"/>
        <v>3</v>
      </c>
      <c r="K232" s="128">
        <f t="shared" si="31"/>
        <v>188694.45</v>
      </c>
      <c r="L232" s="129">
        <f t="shared" si="32"/>
        <v>15299.549999999988</v>
      </c>
      <c r="M232" s="132"/>
    </row>
    <row r="233" spans="1:15">
      <c r="C233" s="127" t="s">
        <v>124</v>
      </c>
      <c r="D233" s="129">
        <v>200000</v>
      </c>
      <c r="E233" s="129">
        <v>26660</v>
      </c>
      <c r="F233" s="129">
        <f t="shared" si="33"/>
        <v>226660</v>
      </c>
      <c r="G233" s="130">
        <v>40</v>
      </c>
      <c r="H233" s="129">
        <v>5666.5</v>
      </c>
      <c r="I233" s="131">
        <v>40</v>
      </c>
      <c r="J233" s="131">
        <f t="shared" si="30"/>
        <v>0</v>
      </c>
      <c r="K233" s="128">
        <f t="shared" si="31"/>
        <v>226660</v>
      </c>
      <c r="L233" s="129">
        <f t="shared" si="32"/>
        <v>0</v>
      </c>
      <c r="M233" s="132"/>
    </row>
    <row r="234" spans="1:15">
      <c r="C234" s="127" t="s">
        <v>129</v>
      </c>
      <c r="D234" s="129">
        <v>200000</v>
      </c>
      <c r="E234" s="129">
        <v>26660</v>
      </c>
      <c r="F234" s="129">
        <f t="shared" si="33"/>
        <v>226660</v>
      </c>
      <c r="G234" s="130">
        <v>40</v>
      </c>
      <c r="H234" s="129">
        <v>5666.5</v>
      </c>
      <c r="I234" s="131">
        <v>38</v>
      </c>
      <c r="J234" s="131">
        <f t="shared" si="30"/>
        <v>2</v>
      </c>
      <c r="K234" s="128">
        <f t="shared" si="31"/>
        <v>215327</v>
      </c>
      <c r="L234" s="129">
        <f t="shared" si="32"/>
        <v>11333</v>
      </c>
      <c r="M234" s="132"/>
    </row>
    <row r="235" spans="1:15">
      <c r="C235" s="127" t="s">
        <v>202</v>
      </c>
      <c r="D235" s="128">
        <v>132000</v>
      </c>
      <c r="E235" s="128">
        <v>17595.599999999999</v>
      </c>
      <c r="F235" s="129">
        <f t="shared" si="33"/>
        <v>149595.6</v>
      </c>
      <c r="G235" s="130">
        <v>40</v>
      </c>
      <c r="H235" s="128">
        <v>3739.89</v>
      </c>
      <c r="I235" s="131">
        <v>34</v>
      </c>
      <c r="J235" s="131">
        <f t="shared" si="30"/>
        <v>6</v>
      </c>
      <c r="K235" s="128">
        <f t="shared" si="31"/>
        <v>127156.26</v>
      </c>
      <c r="L235" s="129">
        <f t="shared" si="32"/>
        <v>22439.340000000011</v>
      </c>
      <c r="M235" s="132"/>
    </row>
    <row r="236" spans="1:15">
      <c r="A236" s="101">
        <v>135</v>
      </c>
      <c r="B236" s="244"/>
      <c r="C236" s="125" t="s">
        <v>138</v>
      </c>
      <c r="D236" s="129">
        <v>200000</v>
      </c>
      <c r="E236" s="129">
        <v>26660</v>
      </c>
      <c r="F236" s="129">
        <f t="shared" si="33"/>
        <v>226660</v>
      </c>
      <c r="G236" s="130">
        <v>40</v>
      </c>
      <c r="H236" s="129">
        <v>5666.5</v>
      </c>
      <c r="I236" s="134">
        <v>37</v>
      </c>
      <c r="J236" s="134">
        <f t="shared" si="30"/>
        <v>3</v>
      </c>
      <c r="K236" s="135">
        <f t="shared" si="31"/>
        <v>209660.5</v>
      </c>
      <c r="L236" s="136">
        <f t="shared" si="32"/>
        <v>16999.5</v>
      </c>
      <c r="M236" s="132"/>
    </row>
    <row r="237" spans="1:15">
      <c r="A237" s="101">
        <v>167.333333333333</v>
      </c>
      <c r="B237" s="101"/>
      <c r="C237" s="127" t="s">
        <v>236</v>
      </c>
      <c r="D237" s="128">
        <v>180000</v>
      </c>
      <c r="E237" s="128">
        <v>23994</v>
      </c>
      <c r="F237" s="128">
        <v>203994</v>
      </c>
      <c r="G237" s="139">
        <v>40</v>
      </c>
      <c r="H237" s="137">
        <v>5099.8500000000004</v>
      </c>
      <c r="I237" s="134">
        <v>46</v>
      </c>
      <c r="J237" s="134">
        <f t="shared" si="30"/>
        <v>-6</v>
      </c>
      <c r="K237" s="135">
        <f t="shared" si="31"/>
        <v>234593.1</v>
      </c>
      <c r="L237" s="136">
        <f t="shared" si="32"/>
        <v>-30599.100000000006</v>
      </c>
      <c r="M237" s="140"/>
    </row>
    <row r="238" spans="1:15">
      <c r="A238" s="101">
        <v>144.833333333333</v>
      </c>
      <c r="B238" s="101"/>
      <c r="C238" s="127" t="s">
        <v>234</v>
      </c>
      <c r="D238" s="129">
        <v>200000</v>
      </c>
      <c r="E238" s="129">
        <v>26660</v>
      </c>
      <c r="F238" s="129">
        <v>226660</v>
      </c>
      <c r="G238" s="130">
        <v>40</v>
      </c>
      <c r="H238" s="137">
        <v>5666.5</v>
      </c>
      <c r="I238" s="134">
        <v>40</v>
      </c>
      <c r="J238" s="134">
        <f t="shared" si="30"/>
        <v>0</v>
      </c>
      <c r="K238" s="135">
        <f t="shared" si="31"/>
        <v>226660</v>
      </c>
      <c r="L238" s="136">
        <f t="shared" si="32"/>
        <v>0</v>
      </c>
      <c r="M238" s="132"/>
    </row>
    <row r="239" spans="1:15">
      <c r="A239" s="101">
        <v>146.333333333333</v>
      </c>
      <c r="B239" s="245"/>
      <c r="C239" s="141" t="s">
        <v>187</v>
      </c>
      <c r="D239" s="129">
        <v>150000</v>
      </c>
      <c r="E239" s="129">
        <v>11997</v>
      </c>
      <c r="F239" s="129">
        <f t="shared" ref="F239:F246" si="34">SUM(D239:E239)</f>
        <v>161997</v>
      </c>
      <c r="G239" s="130">
        <v>30</v>
      </c>
      <c r="H239" s="129">
        <v>5399.9</v>
      </c>
      <c r="I239" s="134">
        <v>31</v>
      </c>
      <c r="J239" s="134">
        <f t="shared" si="30"/>
        <v>-1</v>
      </c>
      <c r="K239" s="135">
        <f t="shared" si="31"/>
        <v>167396.9</v>
      </c>
      <c r="L239" s="136">
        <f t="shared" si="32"/>
        <v>-5399.8999999999942</v>
      </c>
      <c r="M239" s="132"/>
    </row>
    <row r="240" spans="1:15">
      <c r="A240" s="101">
        <v>147.833333333333</v>
      </c>
      <c r="B240" s="101"/>
      <c r="C240" s="127" t="s">
        <v>150</v>
      </c>
      <c r="D240" s="129">
        <v>200000</v>
      </c>
      <c r="E240" s="129">
        <v>26660</v>
      </c>
      <c r="F240" s="129">
        <f t="shared" si="34"/>
        <v>226660</v>
      </c>
      <c r="G240" s="130">
        <v>40</v>
      </c>
      <c r="H240" s="129">
        <v>5666.5</v>
      </c>
      <c r="I240" s="134">
        <v>40</v>
      </c>
      <c r="J240" s="134">
        <f t="shared" si="30"/>
        <v>0</v>
      </c>
      <c r="K240" s="135">
        <f t="shared" si="31"/>
        <v>226660</v>
      </c>
      <c r="L240" s="136">
        <f t="shared" si="32"/>
        <v>0</v>
      </c>
      <c r="M240" s="132"/>
    </row>
    <row r="241" spans="1:14">
      <c r="A241" s="101">
        <v>149.333333333333</v>
      </c>
      <c r="B241" s="244"/>
      <c r="C241" s="125" t="s">
        <v>151</v>
      </c>
      <c r="D241" s="129">
        <v>200000</v>
      </c>
      <c r="E241" s="129">
        <v>26660</v>
      </c>
      <c r="F241" s="129">
        <f t="shared" si="34"/>
        <v>226660</v>
      </c>
      <c r="G241" s="130">
        <v>40</v>
      </c>
      <c r="H241" s="129">
        <v>5666.5</v>
      </c>
      <c r="I241" s="134">
        <v>38</v>
      </c>
      <c r="J241" s="134">
        <f t="shared" si="30"/>
        <v>2</v>
      </c>
      <c r="K241" s="135">
        <f t="shared" si="31"/>
        <v>215327</v>
      </c>
      <c r="L241" s="136">
        <f t="shared" si="32"/>
        <v>11333</v>
      </c>
      <c r="M241" s="132"/>
    </row>
    <row r="242" spans="1:14">
      <c r="A242" s="101">
        <v>150.833333333333</v>
      </c>
      <c r="B242" s="244"/>
      <c r="C242" s="186" t="s">
        <v>266</v>
      </c>
      <c r="D242" s="128">
        <v>330000</v>
      </c>
      <c r="E242" s="128">
        <v>43989</v>
      </c>
      <c r="F242" s="129">
        <f t="shared" si="34"/>
        <v>373989</v>
      </c>
      <c r="G242" s="130">
        <v>50</v>
      </c>
      <c r="H242" s="138">
        <v>7479</v>
      </c>
      <c r="I242" s="134">
        <v>8</v>
      </c>
      <c r="J242" s="134">
        <f t="shared" si="30"/>
        <v>42</v>
      </c>
      <c r="K242" s="135">
        <f t="shared" si="31"/>
        <v>59832</v>
      </c>
      <c r="L242" s="136">
        <f t="shared" si="32"/>
        <v>314157</v>
      </c>
      <c r="M242" s="124"/>
    </row>
    <row r="243" spans="1:14">
      <c r="A243" s="101">
        <v>152.333333333333</v>
      </c>
      <c r="B243" s="244"/>
      <c r="C243" s="125" t="s">
        <v>156</v>
      </c>
      <c r="D243" s="129">
        <v>200000</v>
      </c>
      <c r="E243" s="129">
        <v>26660</v>
      </c>
      <c r="F243" s="129">
        <f t="shared" si="34"/>
        <v>226660</v>
      </c>
      <c r="G243" s="130">
        <v>40</v>
      </c>
      <c r="H243" s="133">
        <v>3739.89</v>
      </c>
      <c r="I243" s="134">
        <v>40</v>
      </c>
      <c r="J243" s="134">
        <f t="shared" si="30"/>
        <v>0</v>
      </c>
      <c r="K243" s="135">
        <f t="shared" si="31"/>
        <v>149595.6</v>
      </c>
      <c r="L243" s="136">
        <f t="shared" si="32"/>
        <v>77064.399999999994</v>
      </c>
      <c r="M243" s="132"/>
    </row>
    <row r="244" spans="1:14">
      <c r="A244" s="101">
        <v>153.833333333333</v>
      </c>
      <c r="B244" s="244"/>
      <c r="C244" s="125" t="s">
        <v>157</v>
      </c>
      <c r="D244" s="129">
        <v>200000</v>
      </c>
      <c r="E244" s="129">
        <v>26660</v>
      </c>
      <c r="F244" s="129">
        <f t="shared" si="34"/>
        <v>226660</v>
      </c>
      <c r="G244" s="130">
        <v>40</v>
      </c>
      <c r="H244" s="129">
        <v>5666.5</v>
      </c>
      <c r="I244" s="134">
        <v>40</v>
      </c>
      <c r="J244" s="134">
        <f t="shared" si="30"/>
        <v>0</v>
      </c>
      <c r="K244" s="135">
        <f t="shared" si="31"/>
        <v>226660</v>
      </c>
      <c r="L244" s="136">
        <f t="shared" si="32"/>
        <v>0</v>
      </c>
      <c r="M244" s="132"/>
    </row>
    <row r="245" spans="1:14">
      <c r="A245" s="101">
        <v>155.333333333333</v>
      </c>
      <c r="B245" s="244"/>
      <c r="C245" s="125" t="s">
        <v>158</v>
      </c>
      <c r="D245" s="129">
        <v>200000</v>
      </c>
      <c r="E245" s="129">
        <v>26660</v>
      </c>
      <c r="F245" s="129">
        <f t="shared" si="34"/>
        <v>226660</v>
      </c>
      <c r="G245" s="130">
        <v>40</v>
      </c>
      <c r="H245" s="129">
        <v>5666.5</v>
      </c>
      <c r="I245" s="134">
        <v>40</v>
      </c>
      <c r="J245" s="134">
        <f t="shared" si="30"/>
        <v>0</v>
      </c>
      <c r="K245" s="135">
        <f t="shared" si="31"/>
        <v>226660</v>
      </c>
      <c r="L245" s="136">
        <f t="shared" si="32"/>
        <v>0</v>
      </c>
      <c r="M245" s="132"/>
    </row>
    <row r="246" spans="1:14">
      <c r="A246" s="101">
        <v>156.833333333333</v>
      </c>
      <c r="B246" s="244"/>
      <c r="C246" s="125" t="s">
        <v>159</v>
      </c>
      <c r="D246" s="129">
        <v>200000</v>
      </c>
      <c r="E246" s="129">
        <v>26660</v>
      </c>
      <c r="F246" s="129">
        <f t="shared" si="34"/>
        <v>226660</v>
      </c>
      <c r="G246" s="130">
        <v>40</v>
      </c>
      <c r="H246" s="129">
        <v>5666.5</v>
      </c>
      <c r="I246" s="134">
        <v>31</v>
      </c>
      <c r="J246" s="134">
        <f t="shared" si="30"/>
        <v>9</v>
      </c>
      <c r="K246" s="135">
        <f t="shared" si="31"/>
        <v>175661.5</v>
      </c>
      <c r="L246" s="136">
        <f t="shared" si="32"/>
        <v>50998.5</v>
      </c>
      <c r="M246" s="132"/>
    </row>
    <row r="247" spans="1:14">
      <c r="A247" s="101">
        <v>158.333333333333</v>
      </c>
      <c r="B247" s="101"/>
      <c r="C247" s="127" t="s">
        <v>233</v>
      </c>
      <c r="D247" s="129">
        <v>200000</v>
      </c>
      <c r="E247" s="129">
        <v>26660</v>
      </c>
      <c r="F247" s="129">
        <v>226660</v>
      </c>
      <c r="G247" s="130">
        <v>40</v>
      </c>
      <c r="H247" s="137">
        <v>5666.5</v>
      </c>
      <c r="I247" s="134">
        <v>40</v>
      </c>
      <c r="J247" s="134">
        <f t="shared" si="30"/>
        <v>0</v>
      </c>
      <c r="K247" s="135">
        <f t="shared" si="31"/>
        <v>226660</v>
      </c>
      <c r="L247" s="136">
        <f t="shared" si="32"/>
        <v>0</v>
      </c>
      <c r="M247" s="132"/>
    </row>
    <row r="248" spans="1:14">
      <c r="A248" s="101">
        <v>159.833333333333</v>
      </c>
      <c r="B248" s="101"/>
      <c r="C248" s="127" t="s">
        <v>160</v>
      </c>
      <c r="D248" s="129">
        <v>200000</v>
      </c>
      <c r="E248" s="129">
        <v>26660</v>
      </c>
      <c r="F248" s="129">
        <f>SUM(D248:E248)</f>
        <v>226660</v>
      </c>
      <c r="G248" s="130">
        <v>40</v>
      </c>
      <c r="H248" s="129">
        <v>5666.5</v>
      </c>
      <c r="I248" s="134">
        <v>40</v>
      </c>
      <c r="J248" s="134">
        <f t="shared" si="30"/>
        <v>0</v>
      </c>
      <c r="K248" s="135">
        <f t="shared" si="31"/>
        <v>226660</v>
      </c>
      <c r="L248" s="136">
        <f t="shared" si="32"/>
        <v>0</v>
      </c>
      <c r="M248" s="132"/>
    </row>
    <row r="249" spans="1:14">
      <c r="A249" s="101">
        <v>161.333333333333</v>
      </c>
      <c r="B249" s="101"/>
      <c r="C249" s="127" t="s">
        <v>205</v>
      </c>
      <c r="D249" s="128">
        <v>132000</v>
      </c>
      <c r="E249" s="128">
        <v>17595.599999999999</v>
      </c>
      <c r="F249" s="129">
        <f>SUM(D249:E249)</f>
        <v>149595.6</v>
      </c>
      <c r="G249" s="130">
        <v>40</v>
      </c>
      <c r="H249" s="128">
        <v>3739.89</v>
      </c>
      <c r="I249" s="134">
        <v>40</v>
      </c>
      <c r="J249" s="134">
        <f t="shared" si="30"/>
        <v>0</v>
      </c>
      <c r="K249" s="135">
        <f t="shared" si="31"/>
        <v>149595.6</v>
      </c>
      <c r="L249" s="136">
        <f t="shared" si="32"/>
        <v>0</v>
      </c>
      <c r="M249" s="132"/>
    </row>
    <row r="251" spans="1:14">
      <c r="A251" s="101">
        <v>173.333333333333</v>
      </c>
      <c r="B251" s="245"/>
    </row>
    <row r="252" spans="1:14">
      <c r="A252" s="101">
        <v>174.833333333333</v>
      </c>
      <c r="B252" s="245"/>
    </row>
    <row r="255" spans="1:14">
      <c r="A255" s="160">
        <v>47</v>
      </c>
      <c r="B255" s="160"/>
      <c r="C255" s="181" t="s">
        <v>432</v>
      </c>
      <c r="D255" s="16">
        <v>500000</v>
      </c>
      <c r="E255" s="16">
        <v>66650</v>
      </c>
      <c r="F255" s="41">
        <f>SUM(D255:E255)</f>
        <v>566650</v>
      </c>
      <c r="G255" s="33">
        <v>50</v>
      </c>
      <c r="H255" s="24">
        <v>5666.5</v>
      </c>
      <c r="I255" s="97">
        <v>33</v>
      </c>
      <c r="J255" s="97">
        <f>G255-I255</f>
        <v>17</v>
      </c>
      <c r="K255" s="91">
        <f>I255*H255</f>
        <v>186994.5</v>
      </c>
      <c r="L255" s="94">
        <f>F255-K255</f>
        <v>379655.5</v>
      </c>
      <c r="M255" s="11"/>
      <c r="N255" s="180" t="e">
        <f>#REF!-H255</f>
        <v>#REF!</v>
      </c>
    </row>
    <row r="256" spans="1:14">
      <c r="A256" s="160">
        <v>70</v>
      </c>
      <c r="B256" s="160"/>
      <c r="C256" s="181" t="s">
        <v>433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40</v>
      </c>
      <c r="J256" s="97">
        <f>G256-I256</f>
        <v>0</v>
      </c>
      <c r="K256" s="91">
        <f>I256*H256</f>
        <v>226660</v>
      </c>
      <c r="L256" s="94">
        <f>F256-K256</f>
        <v>0</v>
      </c>
      <c r="M256" s="11"/>
      <c r="N256" s="180" t="e">
        <f>#REF!-H256</f>
        <v>#REF!</v>
      </c>
    </row>
    <row r="257" spans="1:14">
      <c r="A257" s="160">
        <v>93</v>
      </c>
      <c r="B257" s="160"/>
      <c r="C257" s="181" t="s">
        <v>434</v>
      </c>
      <c r="D257" s="41">
        <v>200000</v>
      </c>
      <c r="E257" s="41">
        <v>26660</v>
      </c>
      <c r="F257" s="41">
        <f>SUM(D257:E257)</f>
        <v>226660</v>
      </c>
      <c r="G257" s="33">
        <v>40</v>
      </c>
      <c r="H257" s="41">
        <v>5666.5</v>
      </c>
      <c r="I257" s="97">
        <v>41</v>
      </c>
      <c r="J257" s="97">
        <f>G257-I257</f>
        <v>-1</v>
      </c>
      <c r="K257" s="91">
        <f>I257*H257</f>
        <v>232326.5</v>
      </c>
      <c r="L257" s="94">
        <f>F257-K257</f>
        <v>-5666.5</v>
      </c>
      <c r="M257" s="11"/>
      <c r="N257" s="180" t="e">
        <f>#REF!-H257</f>
        <v>#REF!</v>
      </c>
    </row>
    <row r="258" spans="1:14">
      <c r="A258" s="160">
        <v>10</v>
      </c>
      <c r="B258" s="160"/>
      <c r="C258" s="181" t="s">
        <v>431</v>
      </c>
      <c r="D258" s="16">
        <v>450000</v>
      </c>
      <c r="E258" s="16">
        <v>28792.799999999999</v>
      </c>
      <c r="F258" s="41">
        <f>SUM(D258:E258)</f>
        <v>478792.8</v>
      </c>
      <c r="G258" s="33">
        <v>24</v>
      </c>
      <c r="H258" s="16">
        <v>19949.7</v>
      </c>
      <c r="I258" s="96">
        <v>24</v>
      </c>
      <c r="J258" s="96">
        <f>G258-I258</f>
        <v>0</v>
      </c>
      <c r="K258" s="16">
        <f>I258*H258</f>
        <v>478792.80000000005</v>
      </c>
      <c r="L258" s="41">
        <f>F258-K258</f>
        <v>0</v>
      </c>
      <c r="M258" s="11"/>
      <c r="N258" s="180" t="e">
        <f>#REF!-H258</f>
        <v>#REF!</v>
      </c>
    </row>
    <row r="259" spans="1:14">
      <c r="A259" s="160">
        <v>6</v>
      </c>
      <c r="B259" s="160"/>
      <c r="C259" s="181" t="s">
        <v>430</v>
      </c>
      <c r="D259" s="16">
        <v>330000</v>
      </c>
      <c r="E259" s="16">
        <v>21114.720000000001</v>
      </c>
      <c r="F259" s="41">
        <f>SUM(D259:E259)</f>
        <v>351114.72</v>
      </c>
      <c r="G259" s="33">
        <v>24</v>
      </c>
      <c r="H259" s="24">
        <v>6649.9</v>
      </c>
      <c r="I259" s="96">
        <v>24</v>
      </c>
      <c r="J259" s="96">
        <f>G259-I259</f>
        <v>0</v>
      </c>
      <c r="K259" s="16">
        <f>I259*H259</f>
        <v>159597.59999999998</v>
      </c>
      <c r="L259" s="41">
        <f>F259-K259</f>
        <v>191517.12</v>
      </c>
      <c r="M259" s="11"/>
      <c r="N259" s="180" t="e">
        <f>#REF!-H259</f>
        <v>#REF!</v>
      </c>
    </row>
    <row r="261" spans="1:14">
      <c r="A261" s="96">
        <v>77</v>
      </c>
      <c r="B261" s="96"/>
      <c r="C261" s="170" t="s">
        <v>400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36</v>
      </c>
      <c r="J261" s="97">
        <f>G261-I261</f>
        <v>4</v>
      </c>
      <c r="K261" s="91">
        <f>I261*H261</f>
        <v>203994</v>
      </c>
      <c r="L261" s="94">
        <f>F261-K261</f>
        <v>22666</v>
      </c>
      <c r="M261" s="11"/>
      <c r="N261" s="180" t="e">
        <f>#REF!-H261</f>
        <v>#REF!</v>
      </c>
    </row>
    <row r="262" spans="1:14">
      <c r="A262" s="96">
        <v>109</v>
      </c>
      <c r="B262" s="96"/>
      <c r="C262" s="142" t="s">
        <v>406</v>
      </c>
      <c r="D262" s="41">
        <v>200000</v>
      </c>
      <c r="E262" s="41">
        <v>26660</v>
      </c>
      <c r="F262" s="41">
        <f>SUM(D262:E262)</f>
        <v>226660</v>
      </c>
      <c r="G262" s="33">
        <v>40</v>
      </c>
      <c r="H262" s="41">
        <v>5666.5</v>
      </c>
      <c r="I262" s="97">
        <v>39</v>
      </c>
      <c r="J262" s="97">
        <f>G262-I262</f>
        <v>1</v>
      </c>
      <c r="K262" s="91">
        <f>I262*H262</f>
        <v>220993.5</v>
      </c>
      <c r="L262" s="94">
        <f>F262-K262</f>
        <v>5666.5</v>
      </c>
      <c r="M262" s="11"/>
      <c r="N262" s="180" t="e">
        <f>#REF!-H262</f>
        <v>#REF!</v>
      </c>
    </row>
    <row r="263" spans="1:14">
      <c r="A263" s="96">
        <v>127</v>
      </c>
      <c r="B263" s="96"/>
      <c r="C263" s="142" t="s">
        <v>423</v>
      </c>
      <c r="D263" s="16">
        <v>132000</v>
      </c>
      <c r="E263" s="16">
        <v>17595.599999999999</v>
      </c>
      <c r="F263" s="41">
        <f>SUM(D263:E263)</f>
        <v>149595.6</v>
      </c>
      <c r="G263" s="33">
        <v>40</v>
      </c>
      <c r="H263" s="16">
        <v>3739.89</v>
      </c>
      <c r="I263" s="97">
        <v>40</v>
      </c>
      <c r="J263" s="97">
        <f>G263-I263</f>
        <v>0</v>
      </c>
      <c r="K263" s="91">
        <f>I263*H263</f>
        <v>149595.6</v>
      </c>
      <c r="L263" s="94">
        <f>F263-K263</f>
        <v>0</v>
      </c>
      <c r="M263" s="11"/>
      <c r="N263" s="180" t="e">
        <f>#REF!-H263</f>
        <v>#REF!</v>
      </c>
    </row>
    <row r="264" spans="1:14">
      <c r="A264" s="96">
        <v>125</v>
      </c>
      <c r="B264" s="96"/>
      <c r="C264" s="142" t="s">
        <v>427</v>
      </c>
      <c r="D264" s="155">
        <v>150000</v>
      </c>
      <c r="E264" s="155">
        <v>19995</v>
      </c>
      <c r="F264" s="155">
        <f>SUM(D264:E264)</f>
        <v>169995</v>
      </c>
      <c r="G264" s="33">
        <v>50</v>
      </c>
      <c r="H264" s="154">
        <v>3399.9</v>
      </c>
      <c r="I264" s="97">
        <v>9</v>
      </c>
      <c r="J264" s="97">
        <f>G264-I264</f>
        <v>41</v>
      </c>
      <c r="K264" s="91">
        <f>I264*H264</f>
        <v>30599.100000000002</v>
      </c>
      <c r="L264" s="91">
        <f>F264-K264</f>
        <v>139395.9</v>
      </c>
      <c r="M264" s="122"/>
      <c r="N264" s="180" t="e">
        <f>#REF!-H264</f>
        <v>#REF!</v>
      </c>
    </row>
    <row r="265" spans="1:14">
      <c r="A265" s="96">
        <v>5</v>
      </c>
      <c r="B265" s="96"/>
      <c r="C265" s="2" t="s">
        <v>385</v>
      </c>
      <c r="D265" s="41">
        <v>200000</v>
      </c>
      <c r="E265" s="41">
        <v>26660</v>
      </c>
      <c r="F265" s="41">
        <f>SUM(D265:E265)</f>
        <v>226660</v>
      </c>
      <c r="G265" s="33">
        <v>40</v>
      </c>
      <c r="H265" s="41">
        <v>5666.5</v>
      </c>
      <c r="I265" s="96">
        <v>40</v>
      </c>
      <c r="J265" s="96">
        <f>G265-I265</f>
        <v>0</v>
      </c>
      <c r="K265" s="16">
        <f>I265*H265</f>
        <v>226660</v>
      </c>
      <c r="L265" s="41">
        <f>F265-K265</f>
        <v>0</v>
      </c>
      <c r="M265" s="11"/>
      <c r="N265" s="180" t="e">
        <f>#REF!-H265</f>
        <v>#REF!</v>
      </c>
    </row>
  </sheetData>
  <mergeCells count="2">
    <mergeCell ref="A3:M3"/>
    <mergeCell ref="A4:M4"/>
  </mergeCells>
  <conditionalFormatting sqref="C259">
    <cfRule type="duplicateValues" dxfId="1054" priority="134" stopIfTrue="1"/>
    <cfRule type="duplicateValues" dxfId="1053" priority="135" stopIfTrue="1"/>
  </conditionalFormatting>
  <conditionalFormatting sqref="C259">
    <cfRule type="duplicateValues" dxfId="1052" priority="133" stopIfTrue="1"/>
  </conditionalFormatting>
  <conditionalFormatting sqref="C206">
    <cfRule type="duplicateValues" dxfId="1051" priority="131" stopIfTrue="1"/>
    <cfRule type="duplicateValues" dxfId="1050" priority="132" stopIfTrue="1"/>
  </conditionalFormatting>
  <conditionalFormatting sqref="C206">
    <cfRule type="duplicateValues" dxfId="1049" priority="130" stopIfTrue="1"/>
  </conditionalFormatting>
  <conditionalFormatting sqref="C258">
    <cfRule type="duplicateValues" dxfId="1048" priority="128" stopIfTrue="1"/>
    <cfRule type="duplicateValues" dxfId="1047" priority="129" stopIfTrue="1"/>
  </conditionalFormatting>
  <conditionalFormatting sqref="C258">
    <cfRule type="duplicateValues" dxfId="1046" priority="127" stopIfTrue="1"/>
  </conditionalFormatting>
  <conditionalFormatting sqref="C208">
    <cfRule type="duplicateValues" dxfId="1045" priority="125" stopIfTrue="1"/>
    <cfRule type="duplicateValues" dxfId="1044" priority="126" stopIfTrue="1"/>
  </conditionalFormatting>
  <conditionalFormatting sqref="C208">
    <cfRule type="duplicateValues" dxfId="1043" priority="124" stopIfTrue="1"/>
  </conditionalFormatting>
  <conditionalFormatting sqref="C209">
    <cfRule type="duplicateValues" dxfId="1042" priority="122" stopIfTrue="1"/>
    <cfRule type="duplicateValues" dxfId="1041" priority="123" stopIfTrue="1"/>
  </conditionalFormatting>
  <conditionalFormatting sqref="C209">
    <cfRule type="duplicateValues" dxfId="1040" priority="121" stopIfTrue="1"/>
  </conditionalFormatting>
  <conditionalFormatting sqref="C211">
    <cfRule type="duplicateValues" dxfId="1039" priority="119" stopIfTrue="1"/>
    <cfRule type="duplicateValues" dxfId="1038" priority="120" stopIfTrue="1"/>
  </conditionalFormatting>
  <conditionalFormatting sqref="C211">
    <cfRule type="duplicateValues" dxfId="1037" priority="118" stopIfTrue="1"/>
  </conditionalFormatting>
  <conditionalFormatting sqref="C212">
    <cfRule type="duplicateValues" dxfId="1036" priority="116" stopIfTrue="1"/>
    <cfRule type="duplicateValues" dxfId="1035" priority="117" stopIfTrue="1"/>
  </conditionalFormatting>
  <conditionalFormatting sqref="C212">
    <cfRule type="duplicateValues" dxfId="1034" priority="115" stopIfTrue="1"/>
  </conditionalFormatting>
  <conditionalFormatting sqref="C255">
    <cfRule type="duplicateValues" dxfId="1033" priority="113" stopIfTrue="1"/>
    <cfRule type="duplicateValues" dxfId="1032" priority="114" stopIfTrue="1"/>
  </conditionalFormatting>
  <conditionalFormatting sqref="C255">
    <cfRule type="duplicateValues" dxfId="1031" priority="112" stopIfTrue="1"/>
  </conditionalFormatting>
  <conditionalFormatting sqref="C214">
    <cfRule type="duplicateValues" dxfId="1030" priority="110" stopIfTrue="1"/>
    <cfRule type="duplicateValues" dxfId="1029" priority="111" stopIfTrue="1"/>
  </conditionalFormatting>
  <conditionalFormatting sqref="C214">
    <cfRule type="duplicateValues" dxfId="1028" priority="109" stopIfTrue="1"/>
  </conditionalFormatting>
  <conditionalFormatting sqref="C215">
    <cfRule type="duplicateValues" dxfId="1027" priority="107" stopIfTrue="1"/>
    <cfRule type="duplicateValues" dxfId="1026" priority="108" stopIfTrue="1"/>
  </conditionalFormatting>
  <conditionalFormatting sqref="C215">
    <cfRule type="duplicateValues" dxfId="1025" priority="106" stopIfTrue="1"/>
  </conditionalFormatting>
  <conditionalFormatting sqref="C216">
    <cfRule type="duplicateValues" dxfId="1024" priority="104" stopIfTrue="1"/>
    <cfRule type="duplicateValues" dxfId="1023" priority="105" stopIfTrue="1"/>
  </conditionalFormatting>
  <conditionalFormatting sqref="C216">
    <cfRule type="duplicateValues" dxfId="1022" priority="103" stopIfTrue="1"/>
  </conditionalFormatting>
  <conditionalFormatting sqref="C231">
    <cfRule type="duplicateValues" dxfId="1021" priority="101" stopIfTrue="1"/>
    <cfRule type="duplicateValues" dxfId="1020" priority="102" stopIfTrue="1"/>
  </conditionalFormatting>
  <conditionalFormatting sqref="C231">
    <cfRule type="duplicateValues" dxfId="1019" priority="100" stopIfTrue="1"/>
  </conditionalFormatting>
  <conditionalFormatting sqref="C218">
    <cfRule type="duplicateValues" dxfId="1018" priority="98" stopIfTrue="1"/>
    <cfRule type="duplicateValues" dxfId="1017" priority="99" stopIfTrue="1"/>
  </conditionalFormatting>
  <conditionalFormatting sqref="C218">
    <cfRule type="duplicateValues" dxfId="1016" priority="97" stopIfTrue="1"/>
  </conditionalFormatting>
  <conditionalFormatting sqref="C256">
    <cfRule type="duplicateValues" dxfId="1015" priority="95" stopIfTrue="1"/>
    <cfRule type="duplicateValues" dxfId="1014" priority="96" stopIfTrue="1"/>
  </conditionalFormatting>
  <conditionalFormatting sqref="C256">
    <cfRule type="duplicateValues" dxfId="1013" priority="94" stopIfTrue="1"/>
  </conditionalFormatting>
  <conditionalFormatting sqref="C219">
    <cfRule type="duplicateValues" dxfId="1012" priority="92" stopIfTrue="1"/>
    <cfRule type="duplicateValues" dxfId="1011" priority="93" stopIfTrue="1"/>
  </conditionalFormatting>
  <conditionalFormatting sqref="C219">
    <cfRule type="duplicateValues" dxfId="1010" priority="91" stopIfTrue="1"/>
  </conditionalFormatting>
  <conditionalFormatting sqref="C220">
    <cfRule type="duplicateValues" dxfId="1009" priority="89" stopIfTrue="1"/>
    <cfRule type="duplicateValues" dxfId="1008" priority="90" stopIfTrue="1"/>
  </conditionalFormatting>
  <conditionalFormatting sqref="C220">
    <cfRule type="duplicateValues" dxfId="1007" priority="88" stopIfTrue="1"/>
  </conditionalFormatting>
  <conditionalFormatting sqref="C261">
    <cfRule type="duplicateValues" dxfId="1006" priority="86" stopIfTrue="1"/>
    <cfRule type="duplicateValues" dxfId="1005" priority="87" stopIfTrue="1"/>
  </conditionalFormatting>
  <conditionalFormatting sqref="C261">
    <cfRule type="duplicateValues" dxfId="1004" priority="85" stopIfTrue="1"/>
  </conditionalFormatting>
  <conditionalFormatting sqref="C223">
    <cfRule type="duplicateValues" dxfId="1003" priority="83" stopIfTrue="1"/>
    <cfRule type="duplicateValues" dxfId="1002" priority="84" stopIfTrue="1"/>
  </conditionalFormatting>
  <conditionalFormatting sqref="C223">
    <cfRule type="duplicateValues" dxfId="1001" priority="82" stopIfTrue="1"/>
  </conditionalFormatting>
  <conditionalFormatting sqref="C226">
    <cfRule type="duplicateValues" dxfId="1000" priority="80" stopIfTrue="1"/>
    <cfRule type="duplicateValues" dxfId="999" priority="81" stopIfTrue="1"/>
  </conditionalFormatting>
  <conditionalFormatting sqref="C226">
    <cfRule type="duplicateValues" dxfId="998" priority="79" stopIfTrue="1"/>
  </conditionalFormatting>
  <conditionalFormatting sqref="C199">
    <cfRule type="duplicateValues" dxfId="997" priority="77" stopIfTrue="1"/>
    <cfRule type="duplicateValues" dxfId="996" priority="78" stopIfTrue="1"/>
  </conditionalFormatting>
  <conditionalFormatting sqref="C199">
    <cfRule type="duplicateValues" dxfId="995" priority="76" stopIfTrue="1"/>
  </conditionalFormatting>
  <conditionalFormatting sqref="C257">
    <cfRule type="duplicateValues" dxfId="994" priority="74" stopIfTrue="1"/>
    <cfRule type="duplicateValues" dxfId="993" priority="75" stopIfTrue="1"/>
  </conditionalFormatting>
  <conditionalFormatting sqref="C257">
    <cfRule type="duplicateValues" dxfId="992" priority="73" stopIfTrue="1"/>
  </conditionalFormatting>
  <conditionalFormatting sqref="C249">
    <cfRule type="duplicateValues" dxfId="991" priority="71" stopIfTrue="1"/>
    <cfRule type="duplicateValues" dxfId="990" priority="72" stopIfTrue="1"/>
  </conditionalFormatting>
  <conditionalFormatting sqref="C249">
    <cfRule type="duplicateValues" dxfId="989" priority="70" stopIfTrue="1"/>
  </conditionalFormatting>
  <conditionalFormatting sqref="C221">
    <cfRule type="duplicateValues" dxfId="988" priority="68" stopIfTrue="1"/>
    <cfRule type="duplicateValues" dxfId="987" priority="69" stopIfTrue="1"/>
  </conditionalFormatting>
  <conditionalFormatting sqref="C221">
    <cfRule type="duplicateValues" dxfId="986" priority="67" stopIfTrue="1"/>
  </conditionalFormatting>
  <conditionalFormatting sqref="C236">
    <cfRule type="duplicateValues" dxfId="985" priority="65" stopIfTrue="1"/>
    <cfRule type="duplicateValues" dxfId="984" priority="66" stopIfTrue="1"/>
  </conditionalFormatting>
  <conditionalFormatting sqref="C236">
    <cfRule type="duplicateValues" dxfId="983" priority="64" stopIfTrue="1"/>
  </conditionalFormatting>
  <conditionalFormatting sqref="C238">
    <cfRule type="duplicateValues" dxfId="982" priority="62" stopIfTrue="1"/>
    <cfRule type="duplicateValues" dxfId="981" priority="63" stopIfTrue="1"/>
  </conditionalFormatting>
  <conditionalFormatting sqref="C238">
    <cfRule type="duplicateValues" dxfId="980" priority="61" stopIfTrue="1"/>
  </conditionalFormatting>
  <conditionalFormatting sqref="C240">
    <cfRule type="duplicateValues" dxfId="979" priority="59" stopIfTrue="1"/>
    <cfRule type="duplicateValues" dxfId="978" priority="60" stopIfTrue="1"/>
  </conditionalFormatting>
  <conditionalFormatting sqref="C240">
    <cfRule type="duplicateValues" dxfId="977" priority="58" stopIfTrue="1"/>
  </conditionalFormatting>
  <conditionalFormatting sqref="C241">
    <cfRule type="duplicateValues" dxfId="976" priority="56" stopIfTrue="1"/>
    <cfRule type="duplicateValues" dxfId="975" priority="57" stopIfTrue="1"/>
  </conditionalFormatting>
  <conditionalFormatting sqref="C241">
    <cfRule type="duplicateValues" dxfId="974" priority="55" stopIfTrue="1"/>
  </conditionalFormatting>
  <conditionalFormatting sqref="C242">
    <cfRule type="duplicateValues" dxfId="973" priority="53" stopIfTrue="1"/>
    <cfRule type="duplicateValues" dxfId="972" priority="54" stopIfTrue="1"/>
  </conditionalFormatting>
  <conditionalFormatting sqref="C242">
    <cfRule type="duplicateValues" dxfId="971" priority="52" stopIfTrue="1"/>
  </conditionalFormatting>
  <conditionalFormatting sqref="C243">
    <cfRule type="duplicateValues" dxfId="970" priority="50" stopIfTrue="1"/>
    <cfRule type="duplicateValues" dxfId="969" priority="51" stopIfTrue="1"/>
  </conditionalFormatting>
  <conditionalFormatting sqref="C243">
    <cfRule type="duplicateValues" dxfId="968" priority="49" stopIfTrue="1"/>
  </conditionalFormatting>
  <conditionalFormatting sqref="C244">
    <cfRule type="duplicateValues" dxfId="967" priority="47" stopIfTrue="1"/>
    <cfRule type="duplicateValues" dxfId="966" priority="48" stopIfTrue="1"/>
  </conditionalFormatting>
  <conditionalFormatting sqref="C244">
    <cfRule type="duplicateValues" dxfId="965" priority="46" stopIfTrue="1"/>
  </conditionalFormatting>
  <conditionalFormatting sqref="C245">
    <cfRule type="duplicateValues" dxfId="964" priority="44" stopIfTrue="1"/>
    <cfRule type="duplicateValues" dxfId="963" priority="45" stopIfTrue="1"/>
  </conditionalFormatting>
  <conditionalFormatting sqref="C245">
    <cfRule type="duplicateValues" dxfId="962" priority="43" stopIfTrue="1"/>
  </conditionalFormatting>
  <conditionalFormatting sqref="C3">
    <cfRule type="duplicateValues" dxfId="961" priority="42"/>
  </conditionalFormatting>
  <conditionalFormatting sqref="C246">
    <cfRule type="duplicateValues" dxfId="960" priority="40" stopIfTrue="1"/>
    <cfRule type="duplicateValues" dxfId="959" priority="41" stopIfTrue="1"/>
  </conditionalFormatting>
  <conditionalFormatting sqref="C246">
    <cfRule type="duplicateValues" dxfId="958" priority="39" stopIfTrue="1"/>
  </conditionalFormatting>
  <conditionalFormatting sqref="C198">
    <cfRule type="duplicateValues" dxfId="957" priority="37" stopIfTrue="1"/>
    <cfRule type="duplicateValues" dxfId="956" priority="38" stopIfTrue="1"/>
  </conditionalFormatting>
  <conditionalFormatting sqref="C198">
    <cfRule type="duplicateValues" dxfId="955" priority="36" stopIfTrue="1"/>
  </conditionalFormatting>
  <conditionalFormatting sqref="C210">
    <cfRule type="duplicateValues" dxfId="954" priority="35"/>
  </conditionalFormatting>
  <conditionalFormatting sqref="C186">
    <cfRule type="duplicateValues" dxfId="953" priority="34"/>
  </conditionalFormatting>
  <conditionalFormatting sqref="C251 C360:C1048576 C229:C249 C1:C5 C198:C200 C194 C202 C206:C226 C261:C265 C255:C259 C185:C186">
    <cfRule type="duplicateValues" dxfId="952" priority="33"/>
  </conditionalFormatting>
  <conditionalFormatting sqref="C255:C259 C261:C265 C198:C200 C194 C202 C206:C226 C185:C186">
    <cfRule type="duplicateValues" dxfId="951" priority="32"/>
  </conditionalFormatting>
  <conditionalFormatting sqref="C232:C233 C200 C262:C264">
    <cfRule type="duplicateValues" dxfId="950" priority="30" stopIfTrue="1"/>
    <cfRule type="duplicateValues" dxfId="949" priority="31" stopIfTrue="1"/>
  </conditionalFormatting>
  <conditionalFormatting sqref="C232:C233 C200 C262:C264">
    <cfRule type="duplicateValues" dxfId="948" priority="29" stopIfTrue="1"/>
  </conditionalFormatting>
  <conditionalFormatting sqref="C232:C233 C262:C264 C200">
    <cfRule type="duplicateValues" dxfId="947" priority="27" stopIfTrue="1"/>
    <cfRule type="duplicateValues" dxfId="946" priority="28" stopIfTrue="1"/>
  </conditionalFormatting>
  <conditionalFormatting sqref="C232:C233 C262:C264 C200">
    <cfRule type="duplicateValues" dxfId="945" priority="26" stopIfTrue="1"/>
  </conditionalFormatting>
  <conditionalFormatting sqref="C185">
    <cfRule type="duplicateValues" dxfId="944" priority="24" stopIfTrue="1"/>
    <cfRule type="duplicateValues" dxfId="943" priority="25" stopIfTrue="1"/>
  </conditionalFormatting>
  <conditionalFormatting sqref="C185">
    <cfRule type="duplicateValues" dxfId="942" priority="23" stopIfTrue="1"/>
  </conditionalFormatting>
  <conditionalFormatting sqref="C265 C196 C208:C210 C206 C198:C200 C212:C226 C202:C204 C194 C186">
    <cfRule type="duplicateValues" dxfId="941" priority="21" stopIfTrue="1"/>
    <cfRule type="duplicateValues" dxfId="940" priority="22" stopIfTrue="1"/>
  </conditionalFormatting>
  <conditionalFormatting sqref="C265 C196 C208:C210 C206 C198:C200 C212:C226 C202:C204 C194 C186">
    <cfRule type="duplicateValues" dxfId="939" priority="20" stopIfTrue="1"/>
  </conditionalFormatting>
  <conditionalFormatting sqref="C196 C194 C185:C186">
    <cfRule type="duplicateValues" dxfId="938" priority="18" stopIfTrue="1"/>
    <cfRule type="duplicateValues" dxfId="937" priority="19" stopIfTrue="1"/>
  </conditionalFormatting>
  <conditionalFormatting sqref="C196 C194 C185:C186">
    <cfRule type="duplicateValues" dxfId="936" priority="17" stopIfTrue="1"/>
  </conditionalFormatting>
  <conditionalFormatting sqref="C196 C194 C186">
    <cfRule type="duplicateValues" dxfId="935" priority="15" stopIfTrue="1"/>
    <cfRule type="duplicateValues" dxfId="934" priority="16" stopIfTrue="1"/>
  </conditionalFormatting>
  <conditionalFormatting sqref="C196 C194 C186">
    <cfRule type="duplicateValues" dxfId="933" priority="14" stopIfTrue="1"/>
  </conditionalFormatting>
  <conditionalFormatting sqref="C261:C265 C212:C226 C208:C210 C206 C198:C200 C196 C202:C204 C194 C185:C186">
    <cfRule type="duplicateValues" dxfId="932" priority="12" stopIfTrue="1"/>
    <cfRule type="duplicateValues" dxfId="931" priority="13" stopIfTrue="1"/>
  </conditionalFormatting>
  <conditionalFormatting sqref="C261:C265 C212:C226 C208:C210 C206 C198:C200 C196 C202:C204 C194 C185:C186">
    <cfRule type="duplicateValues" dxfId="930" priority="11" stopIfTrue="1"/>
  </conditionalFormatting>
  <conditionalFormatting sqref="C186">
    <cfRule type="duplicateValues" dxfId="929" priority="9" stopIfTrue="1"/>
    <cfRule type="duplicateValues" dxfId="928" priority="10" stopIfTrue="1"/>
  </conditionalFormatting>
  <conditionalFormatting sqref="C194 C240:C245 C229:C230 C236:C238 C186">
    <cfRule type="duplicateValues" dxfId="927" priority="7" stopIfTrue="1"/>
    <cfRule type="duplicateValues" dxfId="926" priority="8" stopIfTrue="1"/>
  </conditionalFormatting>
  <conditionalFormatting sqref="C194 C240:C245 C229:C230 C236:C238 C186">
    <cfRule type="duplicateValues" dxfId="925" priority="6" stopIfTrue="1"/>
  </conditionalFormatting>
  <conditionalFormatting sqref="C194 C240:C245 C360:C1048576 C247:C249 C198:C200 C1:C2 C4:C5 C211:C224 C261:C265 C255:C259 C206:C209 C226 C236:C238 C229:C233 C186">
    <cfRule type="duplicateValues" dxfId="924" priority="5"/>
  </conditionalFormatting>
  <conditionalFormatting sqref="C194 C261:C265 C360:C1048576 C1:C5 C255:C259 C198:C200 C206:C209 C229:C233 C236:C238 C211:C224 C240:C249 C226 C186">
    <cfRule type="duplicateValues" dxfId="923" priority="4"/>
  </conditionalFormatting>
  <conditionalFormatting sqref="C174:C175 C177:C183 C168:C172">
    <cfRule type="duplicateValues" dxfId="922" priority="2" stopIfTrue="1"/>
    <cfRule type="duplicateValues" dxfId="921" priority="3" stopIfTrue="1"/>
  </conditionalFormatting>
  <conditionalFormatting sqref="C174:C175 C177:C183 C168:C172">
    <cfRule type="duplicateValues" dxfId="920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3:O265"/>
  <sheetViews>
    <sheetView topLeftCell="A84" workbookViewId="0">
      <selection activeCell="C118" sqref="C118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936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41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240">
        <v>50</v>
      </c>
      <c r="H6" s="277">
        <v>7479.78</v>
      </c>
      <c r="I6" s="247">
        <v>8</v>
      </c>
      <c r="J6" s="97">
        <f t="shared" ref="J6:J37" si="0">G6-I6</f>
        <v>42</v>
      </c>
      <c r="K6" s="91">
        <f t="shared" ref="K6:K14" si="1">I6*H6</f>
        <v>59838.239999999998</v>
      </c>
      <c r="L6" s="94">
        <f t="shared" ref="L6:L37" si="2">F6-K6</f>
        <v>314150.76</v>
      </c>
      <c r="M6" s="214"/>
      <c r="N6" s="180" t="e">
        <f>#REF!-H6</f>
        <v>#REF!</v>
      </c>
    </row>
    <row r="7" spans="1:14" s="114" customFormat="1">
      <c r="A7" s="96">
        <v>2</v>
      </c>
      <c r="B7" s="241" t="s">
        <v>615</v>
      </c>
      <c r="C7" s="11" t="s">
        <v>616</v>
      </c>
      <c r="D7" s="16">
        <v>132000</v>
      </c>
      <c r="E7" s="16">
        <v>17595.599999999999</v>
      </c>
      <c r="F7" s="41">
        <f>SUM(D7:E7)</f>
        <v>149595.6</v>
      </c>
      <c r="G7" s="240">
        <v>40</v>
      </c>
      <c r="H7" s="278">
        <v>3739.89</v>
      </c>
      <c r="I7" s="243">
        <v>40</v>
      </c>
      <c r="J7" s="96">
        <f t="shared" si="0"/>
        <v>0</v>
      </c>
      <c r="K7" s="16">
        <f t="shared" si="1"/>
        <v>149595.6</v>
      </c>
      <c r="L7" s="41">
        <f t="shared" si="2"/>
        <v>0</v>
      </c>
      <c r="M7" s="11"/>
      <c r="N7" s="180" t="e">
        <f>#REF!-H7</f>
        <v>#REF!</v>
      </c>
    </row>
    <row r="8" spans="1:14" s="114" customFormat="1">
      <c r="A8" s="96">
        <v>3</v>
      </c>
      <c r="B8" s="122" t="s">
        <v>895</v>
      </c>
      <c r="C8" s="123" t="s">
        <v>918</v>
      </c>
      <c r="D8" s="19">
        <v>450000</v>
      </c>
      <c r="E8" s="19">
        <v>59985</v>
      </c>
      <c r="F8" s="19">
        <v>509985</v>
      </c>
      <c r="G8" s="240">
        <v>50</v>
      </c>
      <c r="H8" s="279">
        <v>10199.700000000001</v>
      </c>
      <c r="I8" s="250">
        <v>3</v>
      </c>
      <c r="J8" s="188">
        <f t="shared" si="0"/>
        <v>47</v>
      </c>
      <c r="K8" s="257">
        <f t="shared" si="1"/>
        <v>30599.100000000002</v>
      </c>
      <c r="L8" s="94">
        <f t="shared" si="2"/>
        <v>479385.9</v>
      </c>
      <c r="M8" s="122" t="s">
        <v>251</v>
      </c>
    </row>
    <row r="9" spans="1:14" s="114" customFormat="1">
      <c r="A9" s="96">
        <v>4</v>
      </c>
      <c r="B9" s="255" t="s">
        <v>653</v>
      </c>
      <c r="C9" s="11" t="s">
        <v>654</v>
      </c>
      <c r="D9" s="19">
        <v>330000</v>
      </c>
      <c r="E9" s="19">
        <v>43989</v>
      </c>
      <c r="F9" s="19">
        <f>SUM(D9:E9)</f>
        <v>373989</v>
      </c>
      <c r="G9" s="240">
        <v>50</v>
      </c>
      <c r="H9" s="279">
        <v>7479.78</v>
      </c>
      <c r="I9" s="243">
        <v>26</v>
      </c>
      <c r="J9" s="97">
        <f t="shared" si="0"/>
        <v>24</v>
      </c>
      <c r="K9" s="91">
        <f t="shared" si="1"/>
        <v>194474.28</v>
      </c>
      <c r="L9" s="94">
        <f t="shared" si="2"/>
        <v>179514.72</v>
      </c>
      <c r="M9" s="11"/>
      <c r="N9" s="180" t="e">
        <f>#REF!-H9</f>
        <v>#REF!</v>
      </c>
    </row>
    <row r="10" spans="1:14" s="114" customFormat="1">
      <c r="A10" s="96">
        <v>5</v>
      </c>
      <c r="B10" s="241" t="s">
        <v>528</v>
      </c>
      <c r="C10" s="11" t="s">
        <v>529</v>
      </c>
      <c r="D10" s="12">
        <v>500000</v>
      </c>
      <c r="E10" s="12">
        <v>66650</v>
      </c>
      <c r="F10" s="15">
        <f>SUM(D10:E10)</f>
        <v>566650</v>
      </c>
      <c r="G10" s="246">
        <v>50</v>
      </c>
      <c r="H10" s="278">
        <v>11333</v>
      </c>
      <c r="I10" s="248">
        <v>39</v>
      </c>
      <c r="J10" s="97">
        <f t="shared" si="0"/>
        <v>11</v>
      </c>
      <c r="K10" s="91">
        <f t="shared" si="1"/>
        <v>441987</v>
      </c>
      <c r="L10" s="15">
        <f t="shared" si="2"/>
        <v>124663</v>
      </c>
      <c r="M10" s="8"/>
      <c r="N10" s="180" t="e">
        <f>#REF!-H10</f>
        <v>#REF!</v>
      </c>
    </row>
    <row r="11" spans="1:14" s="114" customFormat="1">
      <c r="A11" s="96">
        <v>6</v>
      </c>
      <c r="B11" s="96" t="s">
        <v>692</v>
      </c>
      <c r="C11" s="11" t="s">
        <v>693</v>
      </c>
      <c r="D11" s="16">
        <v>330000</v>
      </c>
      <c r="E11" s="16">
        <v>43989</v>
      </c>
      <c r="F11" s="41">
        <f>SUM(D11:E11)</f>
        <v>373989</v>
      </c>
      <c r="G11" s="159">
        <v>50</v>
      </c>
      <c r="H11" s="278">
        <v>7478.78</v>
      </c>
      <c r="I11" s="159">
        <v>43</v>
      </c>
      <c r="J11" s="96">
        <f t="shared" si="0"/>
        <v>7</v>
      </c>
      <c r="K11" s="16">
        <f t="shared" si="1"/>
        <v>321587.53999999998</v>
      </c>
      <c r="L11" s="41">
        <f t="shared" si="2"/>
        <v>52401.460000000021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640</v>
      </c>
      <c r="C12" s="11" t="s">
        <v>641</v>
      </c>
      <c r="D12" s="16">
        <v>500000</v>
      </c>
      <c r="E12" s="16">
        <v>66650</v>
      </c>
      <c r="F12" s="41">
        <f>SUM(D12:E12)</f>
        <v>566650</v>
      </c>
      <c r="G12" s="159">
        <v>50</v>
      </c>
      <c r="H12" s="278">
        <v>11333</v>
      </c>
      <c r="I12" s="96">
        <v>34</v>
      </c>
      <c r="J12" s="96">
        <f t="shared" si="0"/>
        <v>16</v>
      </c>
      <c r="K12" s="16">
        <f t="shared" si="1"/>
        <v>385322</v>
      </c>
      <c r="L12" s="41">
        <f t="shared" si="2"/>
        <v>181328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709</v>
      </c>
      <c r="C13" s="11" t="s">
        <v>710</v>
      </c>
      <c r="D13" s="19">
        <v>500000</v>
      </c>
      <c r="E13" s="19">
        <v>66650</v>
      </c>
      <c r="F13" s="19">
        <v>566650</v>
      </c>
      <c r="G13" s="159">
        <v>50</v>
      </c>
      <c r="H13" s="278">
        <v>11333</v>
      </c>
      <c r="I13" s="96">
        <v>20</v>
      </c>
      <c r="J13" s="96">
        <f t="shared" si="0"/>
        <v>30</v>
      </c>
      <c r="K13" s="16">
        <f t="shared" si="1"/>
        <v>226660</v>
      </c>
      <c r="L13" s="16">
        <f t="shared" si="2"/>
        <v>339990</v>
      </c>
      <c r="M13" s="122"/>
      <c r="N13" s="180" t="e">
        <f>#REF!-H13</f>
        <v>#REF!</v>
      </c>
    </row>
    <row r="14" spans="1:14" s="114" customFormat="1">
      <c r="A14" s="96">
        <v>9</v>
      </c>
      <c r="B14" s="96" t="s">
        <v>696</v>
      </c>
      <c r="C14" s="11" t="s">
        <v>697</v>
      </c>
      <c r="D14" s="16">
        <v>500000</v>
      </c>
      <c r="E14" s="16">
        <v>66650</v>
      </c>
      <c r="F14" s="41">
        <f>SUM(D14:E14)</f>
        <v>566650</v>
      </c>
      <c r="G14" s="159">
        <v>50</v>
      </c>
      <c r="H14" s="278">
        <v>11333</v>
      </c>
      <c r="I14" s="96">
        <v>55</v>
      </c>
      <c r="J14" s="96">
        <f t="shared" si="0"/>
        <v>-5</v>
      </c>
      <c r="K14" s="16">
        <f t="shared" si="1"/>
        <v>623315</v>
      </c>
      <c r="L14" s="41">
        <f t="shared" si="2"/>
        <v>-56665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574</v>
      </c>
      <c r="C15" s="11" t="s">
        <v>575</v>
      </c>
      <c r="D15" s="16">
        <v>330000</v>
      </c>
      <c r="E15" s="16">
        <v>43989</v>
      </c>
      <c r="F15" s="41">
        <f>SUM(D15:E15)</f>
        <v>373989</v>
      </c>
      <c r="G15" s="159">
        <v>50</v>
      </c>
      <c r="H15" s="277">
        <v>7479.78</v>
      </c>
      <c r="I15" s="159">
        <v>43</v>
      </c>
      <c r="J15" s="97">
        <f t="shared" si="0"/>
        <v>7</v>
      </c>
      <c r="K15" s="91">
        <f>(32*7479.78)</f>
        <v>239352.95999999999</v>
      </c>
      <c r="L15" s="94">
        <f t="shared" si="2"/>
        <v>134636.04</v>
      </c>
      <c r="M15" s="11"/>
      <c r="N15" s="180" t="e">
        <f>#REF!-H15</f>
        <v>#REF!</v>
      </c>
    </row>
    <row r="16" spans="1:14" s="114" customFormat="1">
      <c r="A16" s="96">
        <v>11</v>
      </c>
      <c r="B16" s="96" t="s">
        <v>721</v>
      </c>
      <c r="C16" s="11" t="s">
        <v>722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78">
        <v>11333</v>
      </c>
      <c r="I16" s="97">
        <v>55</v>
      </c>
      <c r="J16" s="97">
        <f t="shared" si="0"/>
        <v>-5</v>
      </c>
      <c r="K16" s="91">
        <f>I16*H16</f>
        <v>623315</v>
      </c>
      <c r="L16" s="94">
        <f t="shared" si="2"/>
        <v>-56665</v>
      </c>
      <c r="M16" s="11"/>
      <c r="N16" s="180" t="e">
        <f>#REF!-H16</f>
        <v>#REF!</v>
      </c>
    </row>
    <row r="17" spans="1:14" s="114" customFormat="1">
      <c r="A17" s="96">
        <v>12</v>
      </c>
      <c r="B17" s="122" t="s">
        <v>884</v>
      </c>
      <c r="C17" s="123" t="s">
        <v>906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279">
        <v>11333</v>
      </c>
      <c r="I17" s="188">
        <v>3</v>
      </c>
      <c r="J17" s="188">
        <f t="shared" si="0"/>
        <v>47</v>
      </c>
      <c r="K17" s="257">
        <f>I17*H17</f>
        <v>33999</v>
      </c>
      <c r="L17" s="94">
        <f t="shared" si="2"/>
        <v>532651</v>
      </c>
      <c r="M17" s="122" t="s">
        <v>251</v>
      </c>
      <c r="N17" s="180" t="e">
        <f>#REF!-H17</f>
        <v>#REF!</v>
      </c>
    </row>
    <row r="18" spans="1:14" s="114" customFormat="1">
      <c r="A18" s="96">
        <v>13</v>
      </c>
      <c r="B18" s="96" t="s">
        <v>649</v>
      </c>
      <c r="C18" s="11" t="s">
        <v>650</v>
      </c>
      <c r="D18" s="16">
        <v>450000</v>
      </c>
      <c r="E18" s="16">
        <v>59985</v>
      </c>
      <c r="F18" s="16">
        <v>509985</v>
      </c>
      <c r="G18" s="159">
        <v>50</v>
      </c>
      <c r="H18" s="278">
        <v>10199.700000000001</v>
      </c>
      <c r="I18" s="97">
        <v>19</v>
      </c>
      <c r="J18" s="97">
        <f t="shared" si="0"/>
        <v>31</v>
      </c>
      <c r="K18" s="91">
        <f>I18*H18</f>
        <v>193794.30000000002</v>
      </c>
      <c r="L18" s="91">
        <f t="shared" si="2"/>
        <v>316190.69999999995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617</v>
      </c>
      <c r="C19" s="11" t="s">
        <v>618</v>
      </c>
      <c r="D19" s="16">
        <v>450000</v>
      </c>
      <c r="E19" s="16">
        <v>59985</v>
      </c>
      <c r="F19" s="16">
        <v>509985</v>
      </c>
      <c r="G19" s="159">
        <v>50</v>
      </c>
      <c r="H19" s="278">
        <v>10199.700000000001</v>
      </c>
      <c r="I19" s="97">
        <v>34</v>
      </c>
      <c r="J19" s="97">
        <f t="shared" si="0"/>
        <v>16</v>
      </c>
      <c r="K19" s="91">
        <f>I19*H19</f>
        <v>346789.80000000005</v>
      </c>
      <c r="L19" s="94">
        <f t="shared" si="2"/>
        <v>163195.19999999995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505</v>
      </c>
      <c r="C20" s="11" t="s">
        <v>506</v>
      </c>
      <c r="D20" s="16">
        <v>500000</v>
      </c>
      <c r="E20" s="16">
        <v>66650</v>
      </c>
      <c r="F20" s="41">
        <f>SUM(D20:E20)</f>
        <v>566650</v>
      </c>
      <c r="G20" s="159">
        <v>50</v>
      </c>
      <c r="H20" s="278">
        <v>11333</v>
      </c>
      <c r="I20" s="97">
        <v>34</v>
      </c>
      <c r="J20" s="97">
        <f t="shared" si="0"/>
        <v>16</v>
      </c>
      <c r="K20" s="91">
        <f>I20*H20</f>
        <v>385322</v>
      </c>
      <c r="L20" s="94">
        <f t="shared" si="2"/>
        <v>181328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565</v>
      </c>
      <c r="C21" s="11" t="s">
        <v>566</v>
      </c>
      <c r="D21" s="16">
        <v>60000</v>
      </c>
      <c r="E21" s="16">
        <v>7998</v>
      </c>
      <c r="F21" s="41">
        <f>SUM(D21:E21)</f>
        <v>67998</v>
      </c>
      <c r="G21" s="159">
        <v>40</v>
      </c>
      <c r="H21" s="278">
        <v>1699.95</v>
      </c>
      <c r="I21" s="97">
        <v>9</v>
      </c>
      <c r="J21" s="97">
        <f t="shared" si="0"/>
        <v>31</v>
      </c>
      <c r="K21" s="91"/>
      <c r="L21" s="94">
        <f t="shared" si="2"/>
        <v>67998</v>
      </c>
      <c r="M21" s="11"/>
    </row>
    <row r="22" spans="1:14" s="114" customFormat="1">
      <c r="A22" s="96">
        <v>17</v>
      </c>
      <c r="B22" s="96" t="s">
        <v>659</v>
      </c>
      <c r="C22" s="11" t="s">
        <v>660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78">
        <v>11333</v>
      </c>
      <c r="I22" s="97">
        <v>44</v>
      </c>
      <c r="J22" s="97">
        <f t="shared" si="0"/>
        <v>6</v>
      </c>
      <c r="K22" s="91">
        <f t="shared" ref="K22:K28" si="3">I22*H22</f>
        <v>498652</v>
      </c>
      <c r="L22" s="94">
        <f t="shared" si="2"/>
        <v>67998</v>
      </c>
      <c r="M22" s="11" t="s">
        <v>276</v>
      </c>
      <c r="N22" s="180" t="e">
        <f>#REF!-H22</f>
        <v>#REF!</v>
      </c>
    </row>
    <row r="23" spans="1:14" s="114" customFormat="1">
      <c r="A23" s="96">
        <v>18</v>
      </c>
      <c r="B23" s="96" t="s">
        <v>559</v>
      </c>
      <c r="C23" s="11" t="s">
        <v>560</v>
      </c>
      <c r="D23" s="16">
        <v>500000</v>
      </c>
      <c r="E23" s="16">
        <v>66650</v>
      </c>
      <c r="F23" s="16">
        <v>566650</v>
      </c>
      <c r="G23" s="159">
        <v>50</v>
      </c>
      <c r="H23" s="280">
        <v>11333</v>
      </c>
      <c r="I23" s="96">
        <v>8</v>
      </c>
      <c r="J23" s="97">
        <f t="shared" si="0"/>
        <v>42</v>
      </c>
      <c r="K23" s="91">
        <f t="shared" si="3"/>
        <v>90664</v>
      </c>
      <c r="L23" s="94">
        <f t="shared" si="2"/>
        <v>475986</v>
      </c>
      <c r="M23" s="215"/>
      <c r="N23" s="180" t="e">
        <f>#REF!-H23</f>
        <v>#REF!</v>
      </c>
    </row>
    <row r="24" spans="1:14" s="114" customFormat="1">
      <c r="A24" s="96">
        <v>19</v>
      </c>
      <c r="B24" s="96" t="s">
        <v>690</v>
      </c>
      <c r="C24" s="11" t="s">
        <v>691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78">
        <v>11333</v>
      </c>
      <c r="I24" s="188">
        <v>6</v>
      </c>
      <c r="J24" s="97">
        <f t="shared" si="0"/>
        <v>44</v>
      </c>
      <c r="K24" s="91">
        <f t="shared" si="3"/>
        <v>67998</v>
      </c>
      <c r="L24" s="94">
        <f t="shared" si="2"/>
        <v>498652</v>
      </c>
      <c r="M24" s="214"/>
      <c r="N24" s="180" t="e">
        <f>#REF!-H24</f>
        <v>#REF!</v>
      </c>
    </row>
    <row r="25" spans="1:14" s="114" customFormat="1">
      <c r="A25" s="96">
        <v>20</v>
      </c>
      <c r="B25" s="96" t="s">
        <v>581</v>
      </c>
      <c r="C25" s="11" t="s">
        <v>582</v>
      </c>
      <c r="D25" s="16">
        <v>330000</v>
      </c>
      <c r="E25" s="16">
        <v>43989</v>
      </c>
      <c r="F25" s="41">
        <f>SUM(D25:E25)</f>
        <v>373989</v>
      </c>
      <c r="G25" s="159">
        <v>50</v>
      </c>
      <c r="H25" s="278">
        <v>7479.78</v>
      </c>
      <c r="I25" s="97">
        <v>55</v>
      </c>
      <c r="J25" s="97">
        <f t="shared" si="0"/>
        <v>-5</v>
      </c>
      <c r="K25" s="91">
        <f t="shared" si="3"/>
        <v>411387.89999999997</v>
      </c>
      <c r="L25" s="94">
        <f t="shared" si="2"/>
        <v>-37398.899999999965</v>
      </c>
      <c r="M25" s="11"/>
      <c r="N25" s="180" t="e">
        <f>#REF!-H25</f>
        <v>#REF!</v>
      </c>
    </row>
    <row r="26" spans="1:14" s="114" customFormat="1">
      <c r="A26" s="96">
        <v>21</v>
      </c>
      <c r="B26" s="96" t="s">
        <v>567</v>
      </c>
      <c r="C26" s="11" t="s">
        <v>568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278">
        <v>7479.78</v>
      </c>
      <c r="I26" s="97">
        <v>55</v>
      </c>
      <c r="J26" s="97">
        <f t="shared" si="0"/>
        <v>-5</v>
      </c>
      <c r="K26" s="91">
        <f t="shared" si="3"/>
        <v>411387.89999999997</v>
      </c>
      <c r="L26" s="94">
        <f t="shared" si="2"/>
        <v>-37398.899999999965</v>
      </c>
      <c r="M26" s="11"/>
      <c r="N26" s="180" t="e">
        <f>#REF!-H26</f>
        <v>#REF!</v>
      </c>
    </row>
    <row r="27" spans="1:14" s="114" customFormat="1">
      <c r="A27" s="96">
        <v>22</v>
      </c>
      <c r="B27" s="96" t="s">
        <v>726</v>
      </c>
      <c r="C27" s="11" t="s">
        <v>727</v>
      </c>
      <c r="D27" s="19">
        <v>500000</v>
      </c>
      <c r="E27" s="19">
        <v>66650</v>
      </c>
      <c r="F27" s="19">
        <v>566650</v>
      </c>
      <c r="G27" s="159">
        <v>50</v>
      </c>
      <c r="H27" s="278">
        <v>11333</v>
      </c>
      <c r="I27" s="97">
        <v>20</v>
      </c>
      <c r="J27" s="97">
        <f t="shared" si="0"/>
        <v>30</v>
      </c>
      <c r="K27" s="91">
        <f t="shared" si="3"/>
        <v>226660</v>
      </c>
      <c r="L27" s="91">
        <f t="shared" si="2"/>
        <v>339990</v>
      </c>
      <c r="M27" s="122"/>
      <c r="N27" s="180" t="e">
        <f>#REF!-H27</f>
        <v>#REF!</v>
      </c>
    </row>
    <row r="28" spans="1:14" s="114" customFormat="1">
      <c r="A28" s="96">
        <v>23</v>
      </c>
      <c r="B28" s="96" t="s">
        <v>680</v>
      </c>
      <c r="C28" s="11" t="s">
        <v>681</v>
      </c>
      <c r="D28" s="19">
        <v>500000</v>
      </c>
      <c r="E28" s="19">
        <v>66650</v>
      </c>
      <c r="F28" s="19">
        <v>566650</v>
      </c>
      <c r="G28" s="159">
        <v>50</v>
      </c>
      <c r="H28" s="278">
        <v>11333</v>
      </c>
      <c r="I28" s="97">
        <v>20</v>
      </c>
      <c r="J28" s="97">
        <f t="shared" si="0"/>
        <v>30</v>
      </c>
      <c r="K28" s="91">
        <f t="shared" si="3"/>
        <v>226660</v>
      </c>
      <c r="L28" s="91">
        <f t="shared" si="2"/>
        <v>339990</v>
      </c>
      <c r="M28" s="122"/>
      <c r="N28" s="180" t="e">
        <f>#REF!-H28</f>
        <v>#REF!</v>
      </c>
    </row>
    <row r="29" spans="1:14" s="114" customFormat="1">
      <c r="A29" s="96">
        <v>24</v>
      </c>
      <c r="B29" s="96" t="s">
        <v>576</v>
      </c>
      <c r="C29" s="11" t="s">
        <v>927</v>
      </c>
      <c r="D29" s="16">
        <v>60000</v>
      </c>
      <c r="E29" s="16">
        <v>7998</v>
      </c>
      <c r="F29" s="41">
        <f>SUM(D29:E29)</f>
        <v>67998</v>
      </c>
      <c r="G29" s="159">
        <v>40</v>
      </c>
      <c r="H29" s="278">
        <v>1699.95</v>
      </c>
      <c r="I29" s="97">
        <v>9</v>
      </c>
      <c r="J29" s="97">
        <f t="shared" si="0"/>
        <v>31</v>
      </c>
      <c r="K29" s="91"/>
      <c r="L29" s="94">
        <f t="shared" si="2"/>
        <v>67998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588</v>
      </c>
      <c r="C30" s="11" t="s">
        <v>589</v>
      </c>
      <c r="D30" s="16">
        <v>500000</v>
      </c>
      <c r="E30" s="16">
        <v>66650</v>
      </c>
      <c r="F30" s="41">
        <f>SUM(D30:E30)</f>
        <v>566650</v>
      </c>
      <c r="G30" s="159">
        <v>50</v>
      </c>
      <c r="H30" s="278">
        <v>11333</v>
      </c>
      <c r="I30" s="97">
        <v>33</v>
      </c>
      <c r="J30" s="97">
        <f t="shared" si="0"/>
        <v>17</v>
      </c>
      <c r="K30" s="91">
        <f>I30*H30</f>
        <v>373989</v>
      </c>
      <c r="L30" s="94">
        <f t="shared" si="2"/>
        <v>192661</v>
      </c>
      <c r="M30" s="11"/>
      <c r="N30" s="180" t="e">
        <f>#REF!-H30</f>
        <v>#REF!</v>
      </c>
    </row>
    <row r="31" spans="1:14" s="114" customFormat="1">
      <c r="A31" s="96">
        <v>26</v>
      </c>
      <c r="B31" s="96" t="s">
        <v>512</v>
      </c>
      <c r="C31" s="11" t="s">
        <v>513</v>
      </c>
      <c r="D31" s="16">
        <v>500000</v>
      </c>
      <c r="E31" s="16">
        <v>66650</v>
      </c>
      <c r="F31" s="41">
        <f>SUM(D31:E31)</f>
        <v>566650</v>
      </c>
      <c r="G31" s="159">
        <v>50</v>
      </c>
      <c r="H31" s="278">
        <v>11333</v>
      </c>
      <c r="I31" s="97">
        <v>43</v>
      </c>
      <c r="J31" s="97">
        <f t="shared" si="0"/>
        <v>7</v>
      </c>
      <c r="K31" s="91">
        <f>I31*H31</f>
        <v>487319</v>
      </c>
      <c r="L31" s="94">
        <f t="shared" si="2"/>
        <v>79331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532</v>
      </c>
      <c r="C32" s="11" t="s">
        <v>533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278">
        <v>11333</v>
      </c>
      <c r="I32" s="97">
        <v>43</v>
      </c>
      <c r="J32" s="97">
        <f t="shared" si="0"/>
        <v>7</v>
      </c>
      <c r="K32" s="91">
        <f>I32*H32</f>
        <v>487319</v>
      </c>
      <c r="L32" s="94">
        <f t="shared" si="2"/>
        <v>79331</v>
      </c>
      <c r="M32" s="11"/>
    </row>
    <row r="33" spans="1:14" s="114" customFormat="1">
      <c r="A33" s="96">
        <v>28</v>
      </c>
      <c r="B33" s="96" t="s">
        <v>633</v>
      </c>
      <c r="C33" s="11" t="s">
        <v>634</v>
      </c>
      <c r="D33" s="19">
        <v>150000</v>
      </c>
      <c r="E33" s="19">
        <v>19995</v>
      </c>
      <c r="F33" s="19">
        <f>SUM(D33:E33)</f>
        <v>169995</v>
      </c>
      <c r="G33" s="159">
        <v>50</v>
      </c>
      <c r="H33" s="281">
        <v>3399.9</v>
      </c>
      <c r="I33" s="101">
        <v>8</v>
      </c>
      <c r="J33" s="97">
        <f t="shared" si="0"/>
        <v>42</v>
      </c>
      <c r="K33" s="91">
        <f>I33*H33</f>
        <v>27199.200000000001</v>
      </c>
      <c r="L33" s="94">
        <f t="shared" si="2"/>
        <v>142795.79999999999</v>
      </c>
      <c r="M33" s="218"/>
    </row>
    <row r="34" spans="1:14" s="114" customFormat="1">
      <c r="A34" s="96">
        <v>29</v>
      </c>
      <c r="B34" s="96" t="s">
        <v>534</v>
      </c>
      <c r="C34" s="11" t="s">
        <v>535</v>
      </c>
      <c r="D34" s="16">
        <v>450000</v>
      </c>
      <c r="E34" s="16">
        <v>59985</v>
      </c>
      <c r="F34" s="16">
        <v>509985</v>
      </c>
      <c r="G34" s="159">
        <v>50</v>
      </c>
      <c r="H34" s="278">
        <v>10199.700000000001</v>
      </c>
      <c r="I34" s="97">
        <v>12</v>
      </c>
      <c r="J34" s="97">
        <f t="shared" si="0"/>
        <v>38</v>
      </c>
      <c r="K34" s="91">
        <f>(1*10199.7)</f>
        <v>10199.700000000001</v>
      </c>
      <c r="L34" s="94">
        <f t="shared" si="2"/>
        <v>499785.3</v>
      </c>
      <c r="M34" s="11"/>
      <c r="N34" s="180" t="e">
        <f>#REF!-H34</f>
        <v>#REF!</v>
      </c>
    </row>
    <row r="35" spans="1:14" s="114" customFormat="1">
      <c r="A35" s="96">
        <v>30</v>
      </c>
      <c r="B35" s="96" t="s">
        <v>713</v>
      </c>
      <c r="C35" s="11" t="s">
        <v>714</v>
      </c>
      <c r="D35" s="16">
        <v>450000</v>
      </c>
      <c r="E35" s="16">
        <v>59985</v>
      </c>
      <c r="F35" s="41">
        <f t="shared" ref="F35:F46" si="4">SUM(D35:E35)</f>
        <v>509985</v>
      </c>
      <c r="G35" s="159">
        <v>50</v>
      </c>
      <c r="H35" s="278">
        <v>11333</v>
      </c>
      <c r="I35" s="97">
        <v>23</v>
      </c>
      <c r="J35" s="97">
        <f t="shared" si="0"/>
        <v>27</v>
      </c>
      <c r="K35" s="91">
        <f t="shared" ref="K35:K66" si="5">I35*H35</f>
        <v>260659</v>
      </c>
      <c r="L35" s="94">
        <f t="shared" si="2"/>
        <v>249326</v>
      </c>
      <c r="M35" s="11"/>
      <c r="N35" s="180" t="e">
        <f>#REF!-H35</f>
        <v>#REF!</v>
      </c>
    </row>
    <row r="36" spans="1:14" s="114" customFormat="1">
      <c r="A36" s="96">
        <v>31</v>
      </c>
      <c r="B36" s="96" t="s">
        <v>499</v>
      </c>
      <c r="C36" s="11" t="s">
        <v>500</v>
      </c>
      <c r="D36" s="16">
        <v>500000</v>
      </c>
      <c r="E36" s="16">
        <v>66650</v>
      </c>
      <c r="F36" s="41">
        <f t="shared" si="4"/>
        <v>566650</v>
      </c>
      <c r="G36" s="159">
        <v>50</v>
      </c>
      <c r="H36" s="277">
        <v>11333</v>
      </c>
      <c r="I36" s="188">
        <v>6</v>
      </c>
      <c r="J36" s="97">
        <f t="shared" si="0"/>
        <v>44</v>
      </c>
      <c r="K36" s="91">
        <f t="shared" si="5"/>
        <v>67998</v>
      </c>
      <c r="L36" s="94">
        <f t="shared" si="2"/>
        <v>498652</v>
      </c>
      <c r="M36" s="214"/>
      <c r="N36" s="180" t="e">
        <f>#REF!-H36</f>
        <v>#REF!</v>
      </c>
    </row>
    <row r="37" spans="1:14" s="114" customFormat="1">
      <c r="A37" s="96">
        <v>32</v>
      </c>
      <c r="B37" s="96" t="s">
        <v>572</v>
      </c>
      <c r="C37" s="11" t="s">
        <v>573</v>
      </c>
      <c r="D37" s="12">
        <v>150000</v>
      </c>
      <c r="E37" s="12">
        <v>19995</v>
      </c>
      <c r="F37" s="15">
        <f t="shared" si="4"/>
        <v>169995</v>
      </c>
      <c r="G37" s="14">
        <v>50</v>
      </c>
      <c r="H37" s="278">
        <v>3399.9</v>
      </c>
      <c r="I37" s="14">
        <v>39</v>
      </c>
      <c r="J37" s="97">
        <f t="shared" si="0"/>
        <v>11</v>
      </c>
      <c r="K37" s="91">
        <f t="shared" si="5"/>
        <v>132596.1</v>
      </c>
      <c r="L37" s="15">
        <f t="shared" si="2"/>
        <v>37398.899999999994</v>
      </c>
      <c r="M37" s="8"/>
      <c r="N37" s="180" t="e">
        <f>#REF!-H37</f>
        <v>#REF!</v>
      </c>
    </row>
    <row r="38" spans="1:14" s="114" customFormat="1">
      <c r="A38" s="96">
        <v>34</v>
      </c>
      <c r="B38" s="96" t="s">
        <v>626</v>
      </c>
      <c r="C38" s="11" t="s">
        <v>627</v>
      </c>
      <c r="D38" s="16">
        <v>330000</v>
      </c>
      <c r="E38" s="16">
        <v>43989</v>
      </c>
      <c r="F38" s="41">
        <f t="shared" si="4"/>
        <v>373989</v>
      </c>
      <c r="G38" s="159">
        <v>50</v>
      </c>
      <c r="H38" s="278">
        <v>7479.78</v>
      </c>
      <c r="I38" s="97">
        <v>34</v>
      </c>
      <c r="J38" s="97">
        <f t="shared" ref="J38:J69" si="6">G38-I38</f>
        <v>16</v>
      </c>
      <c r="K38" s="91">
        <f t="shared" si="5"/>
        <v>254312.52</v>
      </c>
      <c r="L38" s="94">
        <f t="shared" ref="L38:L69" si="7">F38-K38</f>
        <v>119676.48000000001</v>
      </c>
      <c r="M38" s="11"/>
      <c r="N38" s="180" t="e">
        <f>#REF!-H38</f>
        <v>#REF!</v>
      </c>
    </row>
    <row r="39" spans="1:14" s="114" customFormat="1">
      <c r="A39" s="96">
        <v>35</v>
      </c>
      <c r="B39" s="96" t="s">
        <v>730</v>
      </c>
      <c r="C39" s="11" t="s">
        <v>731</v>
      </c>
      <c r="D39" s="16">
        <v>500000</v>
      </c>
      <c r="E39" s="16">
        <v>66650</v>
      </c>
      <c r="F39" s="41">
        <f t="shared" si="4"/>
        <v>566650</v>
      </c>
      <c r="G39" s="159">
        <v>50</v>
      </c>
      <c r="H39" s="278">
        <v>11333</v>
      </c>
      <c r="I39" s="188">
        <v>10</v>
      </c>
      <c r="J39" s="188">
        <f t="shared" si="6"/>
        <v>40</v>
      </c>
      <c r="K39" s="91">
        <f t="shared" si="5"/>
        <v>113330</v>
      </c>
      <c r="L39" s="94">
        <f t="shared" si="7"/>
        <v>453320</v>
      </c>
      <c r="M39" s="122"/>
      <c r="N39" s="180" t="e">
        <f>#REF!-H39</f>
        <v>#REF!</v>
      </c>
    </row>
    <row r="40" spans="1:14" s="114" customFormat="1">
      <c r="A40" s="96">
        <v>36</v>
      </c>
      <c r="B40" s="96" t="s">
        <v>526</v>
      </c>
      <c r="C40" s="11" t="s">
        <v>527</v>
      </c>
      <c r="D40" s="16">
        <v>330000</v>
      </c>
      <c r="E40" s="16">
        <v>43989</v>
      </c>
      <c r="F40" s="41">
        <f t="shared" si="4"/>
        <v>373989</v>
      </c>
      <c r="G40" s="159">
        <v>50</v>
      </c>
      <c r="H40" s="277">
        <v>7479.78</v>
      </c>
      <c r="I40" s="97">
        <v>34</v>
      </c>
      <c r="J40" s="97">
        <f t="shared" si="6"/>
        <v>16</v>
      </c>
      <c r="K40" s="91">
        <f t="shared" si="5"/>
        <v>254312.52</v>
      </c>
      <c r="L40" s="94">
        <f t="shared" si="7"/>
        <v>119676.48000000001</v>
      </c>
      <c r="M40" s="11"/>
      <c r="N40" s="180" t="e">
        <f>#REF!-H40</f>
        <v>#REF!</v>
      </c>
    </row>
    <row r="41" spans="1:14" s="114" customFormat="1">
      <c r="A41" s="96">
        <v>37</v>
      </c>
      <c r="B41" s="96" t="s">
        <v>609</v>
      </c>
      <c r="C41" s="11" t="s">
        <v>610</v>
      </c>
      <c r="D41" s="16">
        <v>500000</v>
      </c>
      <c r="E41" s="16">
        <v>66650</v>
      </c>
      <c r="F41" s="41">
        <f t="shared" si="4"/>
        <v>566650</v>
      </c>
      <c r="G41" s="159">
        <v>50</v>
      </c>
      <c r="H41" s="278">
        <v>11333</v>
      </c>
      <c r="I41" s="97">
        <v>33</v>
      </c>
      <c r="J41" s="97">
        <f t="shared" si="6"/>
        <v>17</v>
      </c>
      <c r="K41" s="91">
        <f t="shared" si="5"/>
        <v>373989</v>
      </c>
      <c r="L41" s="94">
        <f t="shared" si="7"/>
        <v>192661</v>
      </c>
      <c r="M41" s="11"/>
      <c r="N41" s="180" t="e">
        <f>#REF!-H41</f>
        <v>#REF!</v>
      </c>
    </row>
    <row r="42" spans="1:14" s="114" customFormat="1">
      <c r="A42" s="96">
        <v>38</v>
      </c>
      <c r="B42" s="96" t="s">
        <v>682</v>
      </c>
      <c r="C42" s="11" t="s">
        <v>683</v>
      </c>
      <c r="D42" s="16">
        <v>500000</v>
      </c>
      <c r="E42" s="16">
        <v>66650</v>
      </c>
      <c r="F42" s="41">
        <f t="shared" si="4"/>
        <v>566650</v>
      </c>
      <c r="G42" s="159">
        <v>50</v>
      </c>
      <c r="H42" s="278">
        <v>11333</v>
      </c>
      <c r="I42" s="97">
        <v>34</v>
      </c>
      <c r="J42" s="97">
        <f t="shared" si="6"/>
        <v>16</v>
      </c>
      <c r="K42" s="91">
        <f t="shared" si="5"/>
        <v>385322</v>
      </c>
      <c r="L42" s="94">
        <f t="shared" si="7"/>
        <v>181328</v>
      </c>
      <c r="M42" s="11"/>
      <c r="N42" s="180" t="e">
        <f>#REF!-H42</f>
        <v>#REF!</v>
      </c>
    </row>
    <row r="43" spans="1:14" s="114" customFormat="1">
      <c r="A43" s="96">
        <v>39</v>
      </c>
      <c r="B43" s="96" t="s">
        <v>542</v>
      </c>
      <c r="C43" s="11" t="s">
        <v>543</v>
      </c>
      <c r="D43" s="16">
        <v>500000</v>
      </c>
      <c r="E43" s="16">
        <v>66650</v>
      </c>
      <c r="F43" s="41">
        <f t="shared" si="4"/>
        <v>566650</v>
      </c>
      <c r="G43" s="159">
        <v>50</v>
      </c>
      <c r="H43" s="278">
        <v>11333</v>
      </c>
      <c r="I43" s="97">
        <v>33</v>
      </c>
      <c r="J43" s="97">
        <f t="shared" si="6"/>
        <v>17</v>
      </c>
      <c r="K43" s="91">
        <f t="shared" si="5"/>
        <v>373989</v>
      </c>
      <c r="L43" s="94">
        <f t="shared" si="7"/>
        <v>192661</v>
      </c>
      <c r="M43" s="11"/>
      <c r="N43" s="180" t="e">
        <f>#REF!-H43</f>
        <v>#REF!</v>
      </c>
    </row>
    <row r="44" spans="1:14" s="114" customFormat="1">
      <c r="A44" s="96">
        <v>40</v>
      </c>
      <c r="B44" s="96" t="s">
        <v>657</v>
      </c>
      <c r="C44" s="11" t="s">
        <v>658</v>
      </c>
      <c r="D44" s="12">
        <v>500000</v>
      </c>
      <c r="E44" s="12">
        <v>66650</v>
      </c>
      <c r="F44" s="15">
        <f t="shared" si="4"/>
        <v>566650</v>
      </c>
      <c r="G44" s="14">
        <v>50</v>
      </c>
      <c r="H44" s="277">
        <v>11333</v>
      </c>
      <c r="I44" s="14">
        <v>39</v>
      </c>
      <c r="J44" s="97">
        <f t="shared" si="6"/>
        <v>11</v>
      </c>
      <c r="K44" s="91">
        <f t="shared" si="5"/>
        <v>441987</v>
      </c>
      <c r="L44" s="15">
        <f t="shared" si="7"/>
        <v>124663</v>
      </c>
      <c r="M44" s="8"/>
      <c r="N44" s="180" t="e">
        <f>#REF!-H44</f>
        <v>#REF!</v>
      </c>
    </row>
    <row r="45" spans="1:14" s="114" customFormat="1">
      <c r="A45" s="96">
        <v>42</v>
      </c>
      <c r="B45" s="122" t="s">
        <v>900</v>
      </c>
      <c r="C45" s="123" t="s">
        <v>923</v>
      </c>
      <c r="D45" s="19">
        <v>330000</v>
      </c>
      <c r="E45" s="19">
        <v>43989</v>
      </c>
      <c r="F45" s="19">
        <f t="shared" si="4"/>
        <v>373989</v>
      </c>
      <c r="G45" s="159">
        <v>50</v>
      </c>
      <c r="H45" s="279">
        <v>7479.78</v>
      </c>
      <c r="I45" s="188">
        <v>3</v>
      </c>
      <c r="J45" s="188">
        <f t="shared" si="6"/>
        <v>47</v>
      </c>
      <c r="K45" s="257">
        <f t="shared" si="5"/>
        <v>22439.34</v>
      </c>
      <c r="L45" s="94">
        <f t="shared" si="7"/>
        <v>351549.66</v>
      </c>
      <c r="M45" s="122" t="s">
        <v>251</v>
      </c>
      <c r="N45" s="180" t="e">
        <f>#REF!-H45</f>
        <v>#REF!</v>
      </c>
    </row>
    <row r="46" spans="1:14" s="114" customFormat="1">
      <c r="A46" s="96">
        <v>43</v>
      </c>
      <c r="B46" s="96" t="s">
        <v>694</v>
      </c>
      <c r="C46" s="11" t="s">
        <v>695</v>
      </c>
      <c r="D46" s="16">
        <v>330000</v>
      </c>
      <c r="E46" s="16">
        <v>43989</v>
      </c>
      <c r="F46" s="41">
        <f t="shared" si="4"/>
        <v>373989</v>
      </c>
      <c r="G46" s="159">
        <v>50</v>
      </c>
      <c r="H46" s="278">
        <v>7479.78</v>
      </c>
      <c r="I46" s="97">
        <v>55</v>
      </c>
      <c r="J46" s="97">
        <f t="shared" si="6"/>
        <v>-5</v>
      </c>
      <c r="K46" s="91">
        <f t="shared" si="5"/>
        <v>411387.89999999997</v>
      </c>
      <c r="L46" s="94">
        <f t="shared" si="7"/>
        <v>-37398.899999999965</v>
      </c>
      <c r="M46" s="11"/>
      <c r="N46" s="180" t="e">
        <f>#REF!-H46</f>
        <v>#REF!</v>
      </c>
    </row>
    <row r="47" spans="1:14" s="114" customFormat="1">
      <c r="A47" s="96">
        <v>44</v>
      </c>
      <c r="B47" s="122" t="s">
        <v>893</v>
      </c>
      <c r="C47" s="123" t="s">
        <v>915</v>
      </c>
      <c r="D47" s="19">
        <v>450000</v>
      </c>
      <c r="E47" s="19">
        <v>59985</v>
      </c>
      <c r="F47" s="19">
        <v>509985</v>
      </c>
      <c r="G47" s="159">
        <v>50</v>
      </c>
      <c r="H47" s="279">
        <v>10199.700000000001</v>
      </c>
      <c r="I47" s="188">
        <v>3</v>
      </c>
      <c r="J47" s="188">
        <f t="shared" si="6"/>
        <v>47</v>
      </c>
      <c r="K47" s="257">
        <f t="shared" si="5"/>
        <v>30599.100000000002</v>
      </c>
      <c r="L47" s="94">
        <f t="shared" si="7"/>
        <v>479385.9</v>
      </c>
      <c r="M47" s="122" t="s">
        <v>251</v>
      </c>
      <c r="N47" s="180" t="e">
        <f>#REF!-H47</f>
        <v>#REF!</v>
      </c>
    </row>
    <row r="48" spans="1:14" s="114" customFormat="1">
      <c r="A48" s="96">
        <v>45</v>
      </c>
      <c r="B48" s="96" t="s">
        <v>520</v>
      </c>
      <c r="C48" s="11" t="s">
        <v>521</v>
      </c>
      <c r="D48" s="19">
        <v>450000</v>
      </c>
      <c r="E48" s="19">
        <v>59985</v>
      </c>
      <c r="F48" s="19">
        <v>509985</v>
      </c>
      <c r="G48" s="159">
        <v>50</v>
      </c>
      <c r="H48" s="282">
        <v>10199.700000000001</v>
      </c>
      <c r="I48" s="97">
        <v>45</v>
      </c>
      <c r="J48" s="97">
        <f t="shared" si="6"/>
        <v>5</v>
      </c>
      <c r="K48" s="91">
        <f t="shared" si="5"/>
        <v>458986.50000000006</v>
      </c>
      <c r="L48" s="94">
        <f t="shared" si="7"/>
        <v>50998.499999999942</v>
      </c>
      <c r="M48" s="11"/>
      <c r="N48" s="180" t="e">
        <f>#REF!-H48</f>
        <v>#REF!</v>
      </c>
    </row>
    <row r="49" spans="1:14" s="114" customFormat="1">
      <c r="A49" s="96">
        <v>46</v>
      </c>
      <c r="B49" s="96" t="s">
        <v>715</v>
      </c>
      <c r="C49" s="11" t="s">
        <v>716</v>
      </c>
      <c r="D49" s="19">
        <v>450000</v>
      </c>
      <c r="E49" s="19">
        <v>59985</v>
      </c>
      <c r="F49" s="19">
        <v>509985</v>
      </c>
      <c r="G49" s="159">
        <v>50</v>
      </c>
      <c r="H49" s="278">
        <v>10199.700000000001</v>
      </c>
      <c r="I49" s="101">
        <v>8</v>
      </c>
      <c r="J49" s="97">
        <f t="shared" si="6"/>
        <v>42</v>
      </c>
      <c r="K49" s="91">
        <f t="shared" si="5"/>
        <v>81597.600000000006</v>
      </c>
      <c r="L49" s="94">
        <f t="shared" si="7"/>
        <v>428387.4</v>
      </c>
      <c r="M49" s="218"/>
    </row>
    <row r="50" spans="1:14" s="114" customFormat="1">
      <c r="A50" s="96">
        <v>47</v>
      </c>
      <c r="B50" s="96" t="s">
        <v>700</v>
      </c>
      <c r="C50" s="11" t="s">
        <v>701</v>
      </c>
      <c r="D50" s="16">
        <v>500000</v>
      </c>
      <c r="E50" s="16">
        <v>66650</v>
      </c>
      <c r="F50" s="41">
        <f>SUM(D50:E50)</f>
        <v>566650</v>
      </c>
      <c r="G50" s="159">
        <v>50</v>
      </c>
      <c r="H50" s="278">
        <v>11333</v>
      </c>
      <c r="I50" s="97">
        <v>55</v>
      </c>
      <c r="J50" s="97">
        <f t="shared" si="6"/>
        <v>-5</v>
      </c>
      <c r="K50" s="91">
        <f t="shared" si="5"/>
        <v>623315</v>
      </c>
      <c r="L50" s="94">
        <f t="shared" si="7"/>
        <v>-56665</v>
      </c>
      <c r="M50" s="11"/>
      <c r="N50" s="180" t="e">
        <f>#REF!-H50</f>
        <v>#REF!</v>
      </c>
    </row>
    <row r="51" spans="1:14" s="114" customFormat="1">
      <c r="A51" s="96">
        <v>48</v>
      </c>
      <c r="B51" s="96" t="s">
        <v>724</v>
      </c>
      <c r="C51" s="11" t="s">
        <v>725</v>
      </c>
      <c r="D51" s="19">
        <v>500000</v>
      </c>
      <c r="E51" s="19">
        <v>66650</v>
      </c>
      <c r="F51" s="19">
        <v>566650</v>
      </c>
      <c r="G51" s="159">
        <v>50</v>
      </c>
      <c r="H51" s="278">
        <v>11333</v>
      </c>
      <c r="I51" s="97">
        <v>19</v>
      </c>
      <c r="J51" s="97">
        <f t="shared" si="6"/>
        <v>31</v>
      </c>
      <c r="K51" s="91">
        <f t="shared" si="5"/>
        <v>215327</v>
      </c>
      <c r="L51" s="91">
        <f t="shared" si="7"/>
        <v>351323</v>
      </c>
      <c r="M51" s="122"/>
      <c r="N51" s="180" t="e">
        <f>#REF!-H51</f>
        <v>#REF!</v>
      </c>
    </row>
    <row r="52" spans="1:14" s="114" customFormat="1">
      <c r="A52" s="96">
        <v>49</v>
      </c>
      <c r="B52" s="96" t="s">
        <v>624</v>
      </c>
      <c r="C52" s="11" t="s">
        <v>625</v>
      </c>
      <c r="D52" s="16">
        <v>150000</v>
      </c>
      <c r="E52" s="16">
        <v>19995</v>
      </c>
      <c r="F52" s="41">
        <f>SUM(D52:E52)</f>
        <v>169995</v>
      </c>
      <c r="G52" s="159">
        <v>50</v>
      </c>
      <c r="H52" s="278">
        <v>3399.9</v>
      </c>
      <c r="I52" s="97">
        <v>43</v>
      </c>
      <c r="J52" s="97">
        <f t="shared" si="6"/>
        <v>7</v>
      </c>
      <c r="K52" s="91">
        <f t="shared" si="5"/>
        <v>146195.70000000001</v>
      </c>
      <c r="L52" s="94">
        <f t="shared" si="7"/>
        <v>23799.299999999988</v>
      </c>
      <c r="M52" s="11"/>
      <c r="N52" s="180" t="e">
        <f>#REF!-H52</f>
        <v>#REF!</v>
      </c>
    </row>
    <row r="53" spans="1:14" s="114" customFormat="1">
      <c r="A53" s="96">
        <v>50</v>
      </c>
      <c r="B53" s="122" t="s">
        <v>887</v>
      </c>
      <c r="C53" s="123" t="s">
        <v>909</v>
      </c>
      <c r="D53" s="16">
        <v>500000</v>
      </c>
      <c r="E53" s="16">
        <v>66650</v>
      </c>
      <c r="F53" s="41">
        <f>SUM(D53:E53)</f>
        <v>566650</v>
      </c>
      <c r="G53" s="159">
        <v>50</v>
      </c>
      <c r="H53" s="279">
        <v>11333</v>
      </c>
      <c r="I53" s="188">
        <v>3</v>
      </c>
      <c r="J53" s="188">
        <f t="shared" si="6"/>
        <v>47</v>
      </c>
      <c r="K53" s="257">
        <f t="shared" si="5"/>
        <v>33999</v>
      </c>
      <c r="L53" s="94">
        <f t="shared" si="7"/>
        <v>532651</v>
      </c>
      <c r="M53" s="122" t="s">
        <v>251</v>
      </c>
      <c r="N53" s="180" t="e">
        <f>#REF!-H53</f>
        <v>#REF!</v>
      </c>
    </row>
    <row r="54" spans="1:14" s="114" customFormat="1">
      <c r="A54" s="96">
        <v>51</v>
      </c>
      <c r="B54" s="122" t="s">
        <v>894</v>
      </c>
      <c r="C54" s="123" t="s">
        <v>916</v>
      </c>
      <c r="D54" s="19">
        <v>450000</v>
      </c>
      <c r="E54" s="19">
        <v>59985</v>
      </c>
      <c r="F54" s="19">
        <v>509985</v>
      </c>
      <c r="G54" s="159">
        <v>50</v>
      </c>
      <c r="H54" s="279">
        <v>10199.700000000001</v>
      </c>
      <c r="I54" s="188">
        <v>3</v>
      </c>
      <c r="J54" s="188">
        <f t="shared" si="6"/>
        <v>47</v>
      </c>
      <c r="K54" s="257">
        <f t="shared" si="5"/>
        <v>30599.100000000002</v>
      </c>
      <c r="L54" s="94">
        <f t="shared" si="7"/>
        <v>479385.9</v>
      </c>
      <c r="M54" s="122" t="s">
        <v>251</v>
      </c>
      <c r="N54" s="180" t="e">
        <f>#REF!-H54</f>
        <v>#REF!</v>
      </c>
    </row>
    <row r="55" spans="1:14" s="114" customFormat="1">
      <c r="A55" s="96">
        <v>52</v>
      </c>
      <c r="B55" s="96" t="s">
        <v>619</v>
      </c>
      <c r="C55" s="11" t="s">
        <v>620</v>
      </c>
      <c r="D55" s="16">
        <v>500000</v>
      </c>
      <c r="E55" s="16">
        <v>66650</v>
      </c>
      <c r="F55" s="16">
        <v>566650</v>
      </c>
      <c r="G55" s="159">
        <v>50</v>
      </c>
      <c r="H55" s="278">
        <v>11333</v>
      </c>
      <c r="I55" s="97">
        <v>34</v>
      </c>
      <c r="J55" s="97">
        <f t="shared" si="6"/>
        <v>16</v>
      </c>
      <c r="K55" s="91">
        <f t="shared" si="5"/>
        <v>385322</v>
      </c>
      <c r="L55" s="94">
        <f t="shared" si="7"/>
        <v>181328</v>
      </c>
      <c r="M55" s="11"/>
      <c r="N55" s="180" t="e">
        <f>#REF!-H55</f>
        <v>#REF!</v>
      </c>
    </row>
    <row r="56" spans="1:14" s="114" customFormat="1">
      <c r="A56" s="96">
        <v>53</v>
      </c>
      <c r="B56" s="96" t="s">
        <v>664</v>
      </c>
      <c r="C56" s="11" t="s">
        <v>665</v>
      </c>
      <c r="D56" s="19">
        <v>330000</v>
      </c>
      <c r="E56" s="19">
        <v>43989</v>
      </c>
      <c r="F56" s="19">
        <f>SUM(D56:E56)</f>
        <v>373989</v>
      </c>
      <c r="G56" s="159">
        <v>50</v>
      </c>
      <c r="H56" s="283">
        <v>7479.78</v>
      </c>
      <c r="I56" s="101">
        <v>8</v>
      </c>
      <c r="J56" s="97">
        <f t="shared" si="6"/>
        <v>42</v>
      </c>
      <c r="K56" s="91">
        <f t="shared" si="5"/>
        <v>59838.239999999998</v>
      </c>
      <c r="L56" s="94">
        <f t="shared" si="7"/>
        <v>314150.76</v>
      </c>
      <c r="M56" s="218"/>
      <c r="N56" s="180" t="e">
        <f>#REF!-H56</f>
        <v>#REF!</v>
      </c>
    </row>
    <row r="57" spans="1:14" s="114" customFormat="1">
      <c r="A57" s="96">
        <v>54</v>
      </c>
      <c r="B57" s="122" t="s">
        <v>896</v>
      </c>
      <c r="C57" s="123" t="s">
        <v>919</v>
      </c>
      <c r="D57" s="19">
        <v>450000</v>
      </c>
      <c r="E57" s="19">
        <v>59985</v>
      </c>
      <c r="F57" s="19">
        <v>509985</v>
      </c>
      <c r="G57" s="159">
        <v>50</v>
      </c>
      <c r="H57" s="279">
        <v>10199.700000000001</v>
      </c>
      <c r="I57" s="188">
        <v>3</v>
      </c>
      <c r="J57" s="188">
        <f t="shared" si="6"/>
        <v>47</v>
      </c>
      <c r="K57" s="257">
        <f t="shared" si="5"/>
        <v>30599.100000000002</v>
      </c>
      <c r="L57" s="94">
        <f t="shared" si="7"/>
        <v>479385.9</v>
      </c>
      <c r="M57" s="122" t="s">
        <v>251</v>
      </c>
      <c r="N57" s="180" t="e">
        <f>#REF!-H57</f>
        <v>#REF!</v>
      </c>
    </row>
    <row r="58" spans="1:14" s="114" customFormat="1">
      <c r="A58" s="96">
        <v>55</v>
      </c>
      <c r="B58" s="96" t="s">
        <v>516</v>
      </c>
      <c r="C58" s="11" t="s">
        <v>517</v>
      </c>
      <c r="D58" s="16">
        <v>500000</v>
      </c>
      <c r="E58" s="16">
        <v>66650</v>
      </c>
      <c r="F58" s="41">
        <f>SUM(D58:E58)</f>
        <v>566650</v>
      </c>
      <c r="G58" s="159">
        <v>50</v>
      </c>
      <c r="H58" s="284">
        <v>11333</v>
      </c>
      <c r="I58" s="97">
        <v>34</v>
      </c>
      <c r="J58" s="97">
        <f t="shared" si="6"/>
        <v>16</v>
      </c>
      <c r="K58" s="91">
        <f t="shared" si="5"/>
        <v>385322</v>
      </c>
      <c r="L58" s="94">
        <f t="shared" si="7"/>
        <v>181328</v>
      </c>
      <c r="M58" s="11"/>
      <c r="N58" s="180" t="e">
        <f>#REF!-H58</f>
        <v>#REF!</v>
      </c>
    </row>
    <row r="59" spans="1:14" s="114" customFormat="1">
      <c r="A59" s="96">
        <v>56</v>
      </c>
      <c r="B59" s="96" t="s">
        <v>688</v>
      </c>
      <c r="C59" s="11" t="s">
        <v>689</v>
      </c>
      <c r="D59" s="16">
        <v>500000</v>
      </c>
      <c r="E59" s="16">
        <v>66650</v>
      </c>
      <c r="F59" s="41">
        <f>SUM(D59:E59)</f>
        <v>566650</v>
      </c>
      <c r="G59" s="159">
        <v>50</v>
      </c>
      <c r="H59" s="278">
        <v>11333</v>
      </c>
      <c r="I59" s="97">
        <v>39</v>
      </c>
      <c r="J59" s="97">
        <f t="shared" si="6"/>
        <v>11</v>
      </c>
      <c r="K59" s="91">
        <f t="shared" si="5"/>
        <v>441987</v>
      </c>
      <c r="L59" s="94">
        <f t="shared" si="7"/>
        <v>124663</v>
      </c>
      <c r="M59" s="11"/>
      <c r="N59" s="180" t="e">
        <f>#REF!-H59</f>
        <v>#REF!</v>
      </c>
    </row>
    <row r="60" spans="1:14" s="114" customFormat="1">
      <c r="A60" s="96">
        <v>57</v>
      </c>
      <c r="B60" s="96" t="s">
        <v>635</v>
      </c>
      <c r="C60" s="11" t="s">
        <v>636</v>
      </c>
      <c r="D60" s="16">
        <v>500000</v>
      </c>
      <c r="E60" s="16">
        <v>66650</v>
      </c>
      <c r="F60" s="41">
        <f>SUM(D60:E60)</f>
        <v>566650</v>
      </c>
      <c r="G60" s="159">
        <v>50</v>
      </c>
      <c r="H60" s="278">
        <v>11333</v>
      </c>
      <c r="I60" s="97">
        <v>55</v>
      </c>
      <c r="J60" s="97">
        <f t="shared" si="6"/>
        <v>-5</v>
      </c>
      <c r="K60" s="91">
        <f t="shared" si="5"/>
        <v>623315</v>
      </c>
      <c r="L60" s="94">
        <f t="shared" si="7"/>
        <v>-56665</v>
      </c>
      <c r="M60" s="11"/>
      <c r="N60" s="180" t="e">
        <f>#REF!-H60</f>
        <v>#REF!</v>
      </c>
    </row>
    <row r="61" spans="1:14" s="114" customFormat="1">
      <c r="A61" s="96">
        <v>58</v>
      </c>
      <c r="B61" s="96" t="s">
        <v>717</v>
      </c>
      <c r="C61" s="11" t="s">
        <v>718</v>
      </c>
      <c r="D61" s="16">
        <v>450000</v>
      </c>
      <c r="E61" s="16">
        <v>59985</v>
      </c>
      <c r="F61" s="16">
        <v>509985</v>
      </c>
      <c r="G61" s="159">
        <v>50</v>
      </c>
      <c r="H61" s="278">
        <v>10199.700000000001</v>
      </c>
      <c r="I61" s="97">
        <v>22</v>
      </c>
      <c r="J61" s="97">
        <f t="shared" si="6"/>
        <v>28</v>
      </c>
      <c r="K61" s="91">
        <f t="shared" si="5"/>
        <v>224393.40000000002</v>
      </c>
      <c r="L61" s="94">
        <f t="shared" si="7"/>
        <v>285591.59999999998</v>
      </c>
      <c r="M61" s="11"/>
      <c r="N61" s="180" t="e">
        <f>#REF!-H61</f>
        <v>#REF!</v>
      </c>
    </row>
    <row r="62" spans="1:14" s="114" customFormat="1">
      <c r="A62" s="96">
        <v>59</v>
      </c>
      <c r="B62" s="96" t="s">
        <v>579</v>
      </c>
      <c r="C62" s="11" t="s">
        <v>580</v>
      </c>
      <c r="D62" s="16">
        <v>500000</v>
      </c>
      <c r="E62" s="16">
        <v>33325</v>
      </c>
      <c r="F62" s="41">
        <f>SUM(D62:E62)</f>
        <v>533325</v>
      </c>
      <c r="G62" s="159">
        <v>25</v>
      </c>
      <c r="H62" s="278">
        <v>21333</v>
      </c>
      <c r="I62" s="97">
        <v>24</v>
      </c>
      <c r="J62" s="97">
        <f t="shared" si="6"/>
        <v>1</v>
      </c>
      <c r="K62" s="91">
        <f t="shared" si="5"/>
        <v>511992</v>
      </c>
      <c r="L62" s="94">
        <f t="shared" si="7"/>
        <v>21333</v>
      </c>
      <c r="M62" s="11"/>
      <c r="N62" s="180" t="e">
        <f>#REF!-H62</f>
        <v>#REF!</v>
      </c>
    </row>
    <row r="63" spans="1:14" s="114" customFormat="1">
      <c r="A63" s="96">
        <v>60</v>
      </c>
      <c r="B63" s="96" t="s">
        <v>698</v>
      </c>
      <c r="C63" s="11" t="s">
        <v>699</v>
      </c>
      <c r="D63" s="19">
        <v>500000</v>
      </c>
      <c r="E63" s="19">
        <v>66650</v>
      </c>
      <c r="F63" s="19">
        <v>566650</v>
      </c>
      <c r="G63" s="159">
        <v>50</v>
      </c>
      <c r="H63" s="278">
        <v>11333</v>
      </c>
      <c r="I63" s="97">
        <v>20</v>
      </c>
      <c r="J63" s="97">
        <f t="shared" si="6"/>
        <v>30</v>
      </c>
      <c r="K63" s="91">
        <f t="shared" si="5"/>
        <v>226660</v>
      </c>
      <c r="L63" s="91">
        <f t="shared" si="7"/>
        <v>339990</v>
      </c>
      <c r="M63" s="11"/>
      <c r="N63" s="180" t="e">
        <f>#REF!-H63</f>
        <v>#REF!</v>
      </c>
    </row>
    <row r="64" spans="1:14" s="114" customFormat="1">
      <c r="A64" s="96">
        <v>61</v>
      </c>
      <c r="B64" s="96" t="s">
        <v>702</v>
      </c>
      <c r="C64" s="11" t="s">
        <v>703</v>
      </c>
      <c r="D64" s="16">
        <v>450000</v>
      </c>
      <c r="E64" s="16">
        <v>59985</v>
      </c>
      <c r="F64" s="16">
        <v>509985</v>
      </c>
      <c r="G64" s="159">
        <v>50</v>
      </c>
      <c r="H64" s="278">
        <v>10199.700000000001</v>
      </c>
      <c r="I64" s="97">
        <v>19</v>
      </c>
      <c r="J64" s="97">
        <f t="shared" si="6"/>
        <v>31</v>
      </c>
      <c r="K64" s="91">
        <f t="shared" si="5"/>
        <v>193794.30000000002</v>
      </c>
      <c r="L64" s="91">
        <f t="shared" si="7"/>
        <v>316190.69999999995</v>
      </c>
      <c r="M64" s="122"/>
      <c r="N64" s="180" t="e">
        <f>#REF!-H64</f>
        <v>#REF!</v>
      </c>
    </row>
    <row r="65" spans="1:14" s="114" customFormat="1">
      <c r="A65" s="96">
        <v>62</v>
      </c>
      <c r="B65" s="96" t="s">
        <v>676</v>
      </c>
      <c r="C65" s="11" t="s">
        <v>677</v>
      </c>
      <c r="D65" s="155">
        <v>150000</v>
      </c>
      <c r="E65" s="155">
        <v>19995</v>
      </c>
      <c r="F65" s="155">
        <f>SUM(D65:E65)</f>
        <v>169995</v>
      </c>
      <c r="G65" s="159">
        <v>50</v>
      </c>
      <c r="H65" s="278">
        <v>3399.9</v>
      </c>
      <c r="I65" s="97">
        <v>20</v>
      </c>
      <c r="J65" s="97">
        <f t="shared" si="6"/>
        <v>30</v>
      </c>
      <c r="K65" s="91">
        <f t="shared" si="5"/>
        <v>67998</v>
      </c>
      <c r="L65" s="91">
        <f t="shared" si="7"/>
        <v>101997</v>
      </c>
      <c r="M65" s="122"/>
      <c r="N65" s="180" t="e">
        <f>#REF!-H65</f>
        <v>#REF!</v>
      </c>
    </row>
    <row r="66" spans="1:14" s="114" customFormat="1">
      <c r="A66" s="96">
        <v>64</v>
      </c>
      <c r="B66" s="96" t="s">
        <v>621</v>
      </c>
      <c r="C66" s="11" t="s">
        <v>622</v>
      </c>
      <c r="D66" s="16">
        <v>500000</v>
      </c>
      <c r="E66" s="16">
        <v>66650</v>
      </c>
      <c r="F66" s="41">
        <f>SUM(D66:E66)</f>
        <v>566650</v>
      </c>
      <c r="G66" s="159">
        <v>50</v>
      </c>
      <c r="H66" s="278">
        <v>11333</v>
      </c>
      <c r="I66" s="97">
        <v>43</v>
      </c>
      <c r="J66" s="97">
        <f t="shared" si="6"/>
        <v>7</v>
      </c>
      <c r="K66" s="91">
        <f t="shared" si="5"/>
        <v>487319</v>
      </c>
      <c r="L66" s="94">
        <f t="shared" si="7"/>
        <v>79331</v>
      </c>
      <c r="M66" s="11"/>
      <c r="N66" s="180" t="e">
        <f>#REF!-H66</f>
        <v>#REF!</v>
      </c>
    </row>
    <row r="67" spans="1:14" s="114" customFormat="1">
      <c r="A67" s="96">
        <v>65</v>
      </c>
      <c r="B67" s="96" t="s">
        <v>604</v>
      </c>
      <c r="C67" s="11" t="s">
        <v>605</v>
      </c>
      <c r="D67" s="16">
        <v>500000</v>
      </c>
      <c r="E67" s="16">
        <v>66650</v>
      </c>
      <c r="F67" s="41">
        <f>SUM(D67:E67)</f>
        <v>566650</v>
      </c>
      <c r="G67" s="159">
        <v>50</v>
      </c>
      <c r="H67" s="278">
        <v>11333</v>
      </c>
      <c r="I67" s="97">
        <v>55</v>
      </c>
      <c r="J67" s="97">
        <f t="shared" si="6"/>
        <v>-5</v>
      </c>
      <c r="K67" s="91">
        <f t="shared" ref="K67:K97" si="8">I67*H67</f>
        <v>623315</v>
      </c>
      <c r="L67" s="94">
        <f t="shared" si="7"/>
        <v>-56665</v>
      </c>
      <c r="M67" s="11"/>
      <c r="N67" s="180" t="e">
        <f>#REF!-H67</f>
        <v>#REF!</v>
      </c>
    </row>
    <row r="68" spans="1:14" s="114" customFormat="1">
      <c r="A68" s="96">
        <v>66</v>
      </c>
      <c r="B68" s="96" t="s">
        <v>503</v>
      </c>
      <c r="C68" s="11" t="s">
        <v>504</v>
      </c>
      <c r="D68" s="16">
        <v>150000</v>
      </c>
      <c r="E68" s="16">
        <v>19995</v>
      </c>
      <c r="F68" s="41">
        <f>SUM(D68:E68)</f>
        <v>169995</v>
      </c>
      <c r="G68" s="159">
        <v>50</v>
      </c>
      <c r="H68" s="278">
        <v>3399.9</v>
      </c>
      <c r="I68" s="97">
        <v>43</v>
      </c>
      <c r="J68" s="97">
        <f t="shared" si="6"/>
        <v>7</v>
      </c>
      <c r="K68" s="91">
        <f t="shared" si="8"/>
        <v>146195.70000000001</v>
      </c>
      <c r="L68" s="94">
        <f t="shared" si="7"/>
        <v>23799.299999999988</v>
      </c>
      <c r="M68" s="11"/>
      <c r="N68" s="180" t="e">
        <f>#REF!-H68</f>
        <v>#REF!</v>
      </c>
    </row>
    <row r="69" spans="1:14" s="114" customFormat="1">
      <c r="A69" s="96">
        <v>67</v>
      </c>
      <c r="B69" s="96" t="s">
        <v>522</v>
      </c>
      <c r="C69" s="11" t="s">
        <v>523</v>
      </c>
      <c r="D69" s="19">
        <v>500000</v>
      </c>
      <c r="E69" s="19">
        <v>66650</v>
      </c>
      <c r="F69" s="19">
        <v>566650</v>
      </c>
      <c r="G69" s="159">
        <v>50</v>
      </c>
      <c r="H69" s="278">
        <v>11333</v>
      </c>
      <c r="I69" s="97">
        <v>20</v>
      </c>
      <c r="J69" s="97">
        <f t="shared" si="6"/>
        <v>30</v>
      </c>
      <c r="K69" s="91">
        <f t="shared" si="8"/>
        <v>226660</v>
      </c>
      <c r="L69" s="91">
        <f t="shared" si="7"/>
        <v>339990</v>
      </c>
      <c r="M69" s="122"/>
      <c r="N69" s="180" t="e">
        <f>#REF!-H69</f>
        <v>#REF!</v>
      </c>
    </row>
    <row r="70" spans="1:14" s="114" customFormat="1">
      <c r="A70" s="96">
        <v>68</v>
      </c>
      <c r="B70" s="96" t="s">
        <v>666</v>
      </c>
      <c r="C70" s="11" t="s">
        <v>667</v>
      </c>
      <c r="D70" s="19">
        <v>150000</v>
      </c>
      <c r="E70" s="19">
        <v>19995</v>
      </c>
      <c r="F70" s="19">
        <f>SUM(D70:E70)</f>
        <v>169995</v>
      </c>
      <c r="G70" s="159">
        <v>50</v>
      </c>
      <c r="H70" s="278">
        <v>3339.9</v>
      </c>
      <c r="I70" s="188">
        <v>6</v>
      </c>
      <c r="J70" s="97">
        <f t="shared" ref="J70:J100" si="9">G70-I70</f>
        <v>44</v>
      </c>
      <c r="K70" s="91">
        <f t="shared" si="8"/>
        <v>20039.400000000001</v>
      </c>
      <c r="L70" s="94">
        <f t="shared" ref="L70:L101" si="10">F70-K70</f>
        <v>149955.6</v>
      </c>
      <c r="M70" s="214"/>
      <c r="N70" s="180" t="e">
        <f>#REF!-H70</f>
        <v>#REF!</v>
      </c>
    </row>
    <row r="71" spans="1:14" s="114" customFormat="1">
      <c r="A71" s="96">
        <v>69</v>
      </c>
      <c r="B71" s="122" t="s">
        <v>902</v>
      </c>
      <c r="C71" s="123" t="s">
        <v>926</v>
      </c>
      <c r="D71" s="19">
        <v>150000</v>
      </c>
      <c r="E71" s="19">
        <v>19995</v>
      </c>
      <c r="F71" s="19">
        <f>SUM(D71:E71)</f>
        <v>169995</v>
      </c>
      <c r="G71" s="159">
        <v>50</v>
      </c>
      <c r="H71" s="279">
        <v>3399.9</v>
      </c>
      <c r="I71" s="188">
        <v>3</v>
      </c>
      <c r="J71" s="188">
        <f t="shared" si="9"/>
        <v>47</v>
      </c>
      <c r="K71" s="257">
        <f t="shared" si="8"/>
        <v>10199.700000000001</v>
      </c>
      <c r="L71" s="94">
        <f t="shared" si="10"/>
        <v>159795.29999999999</v>
      </c>
      <c r="M71" s="122"/>
      <c r="N71" s="180" t="e">
        <f>#REF!-H71</f>
        <v>#REF!</v>
      </c>
    </row>
    <row r="72" spans="1:14" s="114" customFormat="1">
      <c r="A72" s="96">
        <v>70</v>
      </c>
      <c r="B72" s="96" t="s">
        <v>686</v>
      </c>
      <c r="C72" s="11" t="s">
        <v>687</v>
      </c>
      <c r="D72" s="16">
        <v>500000</v>
      </c>
      <c r="E72" s="16">
        <v>66650</v>
      </c>
      <c r="F72" s="41">
        <f>SUM(D72:E72)</f>
        <v>566650</v>
      </c>
      <c r="G72" s="159">
        <v>50</v>
      </c>
      <c r="H72" s="278">
        <v>11333</v>
      </c>
      <c r="I72" s="97">
        <v>33</v>
      </c>
      <c r="J72" s="97">
        <f t="shared" si="9"/>
        <v>17</v>
      </c>
      <c r="K72" s="91">
        <f t="shared" si="8"/>
        <v>373989</v>
      </c>
      <c r="L72" s="94">
        <f t="shared" si="10"/>
        <v>192661</v>
      </c>
      <c r="M72" s="11"/>
      <c r="N72" s="180" t="e">
        <f>#REF!-H72</f>
        <v>#REF!</v>
      </c>
    </row>
    <row r="73" spans="1:14" s="114" customFormat="1">
      <c r="A73" s="96">
        <v>71</v>
      </c>
      <c r="B73" s="122" t="s">
        <v>890</v>
      </c>
      <c r="C73" s="123" t="s">
        <v>912</v>
      </c>
      <c r="D73" s="16">
        <v>500000</v>
      </c>
      <c r="E73" s="16">
        <v>66650</v>
      </c>
      <c r="F73" s="41">
        <f>SUM(D73:E73)</f>
        <v>566650</v>
      </c>
      <c r="G73" s="159">
        <v>50</v>
      </c>
      <c r="H73" s="279">
        <v>11333</v>
      </c>
      <c r="I73" s="188">
        <v>3</v>
      </c>
      <c r="J73" s="188">
        <f t="shared" si="9"/>
        <v>47</v>
      </c>
      <c r="K73" s="257">
        <f t="shared" si="8"/>
        <v>33999</v>
      </c>
      <c r="L73" s="94">
        <f t="shared" si="10"/>
        <v>532651</v>
      </c>
      <c r="M73" s="122"/>
      <c r="N73" s="180" t="e">
        <f>#REF!-H73</f>
        <v>#REF!</v>
      </c>
    </row>
    <row r="74" spans="1:14" s="114" customFormat="1">
      <c r="A74" s="96">
        <v>72</v>
      </c>
      <c r="B74" s="96" t="s">
        <v>530</v>
      </c>
      <c r="C74" s="11" t="s">
        <v>531</v>
      </c>
      <c r="D74" s="16">
        <v>500000</v>
      </c>
      <c r="E74" s="16">
        <v>66650</v>
      </c>
      <c r="F74" s="16">
        <v>566650</v>
      </c>
      <c r="G74" s="159">
        <v>50</v>
      </c>
      <c r="H74" s="278">
        <v>11333</v>
      </c>
      <c r="I74" s="97">
        <v>33</v>
      </c>
      <c r="J74" s="97">
        <f t="shared" si="9"/>
        <v>17</v>
      </c>
      <c r="K74" s="91">
        <f t="shared" si="8"/>
        <v>373989</v>
      </c>
      <c r="L74" s="94">
        <f t="shared" si="10"/>
        <v>192661</v>
      </c>
      <c r="M74" s="11"/>
      <c r="N74" s="180" t="e">
        <f>#REF!-H74</f>
        <v>#REF!</v>
      </c>
    </row>
    <row r="75" spans="1:14" s="114" customFormat="1">
      <c r="A75" s="96">
        <v>73</v>
      </c>
      <c r="B75" s="96" t="s">
        <v>544</v>
      </c>
      <c r="C75" s="11" t="s">
        <v>545</v>
      </c>
      <c r="D75" s="16">
        <v>450000</v>
      </c>
      <c r="E75" s="16">
        <v>59985</v>
      </c>
      <c r="F75" s="16">
        <v>509985</v>
      </c>
      <c r="G75" s="159">
        <v>50</v>
      </c>
      <c r="H75" s="278">
        <v>10199.700000000001</v>
      </c>
      <c r="I75" s="97">
        <v>27</v>
      </c>
      <c r="J75" s="97">
        <f t="shared" si="9"/>
        <v>23</v>
      </c>
      <c r="K75" s="91">
        <f t="shared" si="8"/>
        <v>275391.90000000002</v>
      </c>
      <c r="L75" s="94">
        <f t="shared" si="10"/>
        <v>234593.09999999998</v>
      </c>
      <c r="M75" s="122"/>
      <c r="N75" s="180" t="e">
        <f>#REF!-H75</f>
        <v>#REF!</v>
      </c>
    </row>
    <row r="76" spans="1:14" s="114" customFormat="1">
      <c r="A76" s="96">
        <v>74</v>
      </c>
      <c r="B76" s="96" t="s">
        <v>651</v>
      </c>
      <c r="C76" s="11" t="s">
        <v>652</v>
      </c>
      <c r="D76" s="16">
        <v>450000</v>
      </c>
      <c r="E76" s="16">
        <v>59985</v>
      </c>
      <c r="F76" s="41">
        <f>SUM(D76:E76)</f>
        <v>509985</v>
      </c>
      <c r="G76" s="159">
        <v>50</v>
      </c>
      <c r="H76" s="278">
        <v>10199.700000000001</v>
      </c>
      <c r="I76" s="97">
        <v>39</v>
      </c>
      <c r="J76" s="97">
        <f t="shared" si="9"/>
        <v>11</v>
      </c>
      <c r="K76" s="91">
        <f t="shared" si="8"/>
        <v>397788.30000000005</v>
      </c>
      <c r="L76" s="94">
        <f t="shared" si="10"/>
        <v>112196.69999999995</v>
      </c>
      <c r="M76" s="11"/>
      <c r="N76" s="180" t="e">
        <f>#REF!-H76</f>
        <v>#REF!</v>
      </c>
    </row>
    <row r="77" spans="1:14" s="114" customFormat="1">
      <c r="A77" s="96">
        <v>75</v>
      </c>
      <c r="B77" s="96" t="s">
        <v>886</v>
      </c>
      <c r="C77" s="11" t="s">
        <v>908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278">
        <v>11333</v>
      </c>
      <c r="I77" s="97">
        <v>34</v>
      </c>
      <c r="J77" s="97">
        <f t="shared" si="9"/>
        <v>16</v>
      </c>
      <c r="K77" s="91">
        <f t="shared" si="8"/>
        <v>385322</v>
      </c>
      <c r="L77" s="94">
        <f t="shared" si="10"/>
        <v>181328</v>
      </c>
      <c r="M77" s="11"/>
      <c r="N77" s="180" t="e">
        <f>#REF!-H77</f>
        <v>#REF!</v>
      </c>
    </row>
    <row r="78" spans="1:14" s="114" customFormat="1">
      <c r="A78" s="96">
        <v>76</v>
      </c>
      <c r="B78" s="11" t="s">
        <v>707</v>
      </c>
      <c r="C78" s="11" t="s">
        <v>708</v>
      </c>
      <c r="D78" s="16">
        <v>500000</v>
      </c>
      <c r="E78" s="16">
        <v>66650</v>
      </c>
      <c r="F78" s="16">
        <v>566650</v>
      </c>
      <c r="G78" s="159">
        <v>50</v>
      </c>
      <c r="H78" s="279">
        <v>11330</v>
      </c>
      <c r="I78" s="96">
        <v>33</v>
      </c>
      <c r="J78" s="97">
        <f t="shared" si="9"/>
        <v>17</v>
      </c>
      <c r="K78" s="91">
        <f t="shared" si="8"/>
        <v>373890</v>
      </c>
      <c r="L78" s="94">
        <f t="shared" si="10"/>
        <v>192760</v>
      </c>
      <c r="M78" s="11"/>
    </row>
    <row r="79" spans="1:14" s="114" customFormat="1">
      <c r="A79" s="96">
        <v>77</v>
      </c>
      <c r="B79" s="96" t="s">
        <v>598</v>
      </c>
      <c r="C79" s="11" t="s">
        <v>599</v>
      </c>
      <c r="D79" s="16">
        <v>500000</v>
      </c>
      <c r="E79" s="16">
        <v>66650</v>
      </c>
      <c r="F79" s="41">
        <f>SUM(D79:E79)</f>
        <v>566650</v>
      </c>
      <c r="G79" s="159">
        <v>50</v>
      </c>
      <c r="H79" s="278">
        <v>11333</v>
      </c>
      <c r="I79" s="97">
        <v>55</v>
      </c>
      <c r="J79" s="97">
        <f t="shared" si="9"/>
        <v>-5</v>
      </c>
      <c r="K79" s="91">
        <f t="shared" si="8"/>
        <v>623315</v>
      </c>
      <c r="L79" s="94">
        <f t="shared" si="10"/>
        <v>-56665</v>
      </c>
      <c r="M79" s="11"/>
      <c r="N79" s="180" t="e">
        <f>#REF!-H79</f>
        <v>#REF!</v>
      </c>
    </row>
    <row r="80" spans="1:14" s="114" customFormat="1">
      <c r="A80" s="96">
        <v>78</v>
      </c>
      <c r="B80" s="96" t="s">
        <v>551</v>
      </c>
      <c r="C80" s="11" t="s">
        <v>552</v>
      </c>
      <c r="D80" s="19">
        <v>500000</v>
      </c>
      <c r="E80" s="19">
        <v>66650</v>
      </c>
      <c r="F80" s="19">
        <v>566650</v>
      </c>
      <c r="G80" s="159">
        <v>50</v>
      </c>
      <c r="H80" s="278">
        <v>11333</v>
      </c>
      <c r="I80" s="97">
        <v>20</v>
      </c>
      <c r="J80" s="97">
        <f t="shared" si="9"/>
        <v>30</v>
      </c>
      <c r="K80" s="91">
        <f t="shared" si="8"/>
        <v>226660</v>
      </c>
      <c r="L80" s="91">
        <f t="shared" si="10"/>
        <v>339990</v>
      </c>
      <c r="M80" s="11"/>
      <c r="N80" s="180" t="e">
        <f>#REF!-H80</f>
        <v>#REF!</v>
      </c>
    </row>
    <row r="81" spans="1:14" s="114" customFormat="1">
      <c r="A81" s="96">
        <v>79</v>
      </c>
      <c r="B81" s="96" t="s">
        <v>569</v>
      </c>
      <c r="C81" s="11" t="s">
        <v>570</v>
      </c>
      <c r="D81" s="16">
        <v>500000</v>
      </c>
      <c r="E81" s="16">
        <v>66650</v>
      </c>
      <c r="F81" s="41">
        <f>SUM(D81:E81)</f>
        <v>566650</v>
      </c>
      <c r="G81" s="159">
        <v>50</v>
      </c>
      <c r="H81" s="278">
        <v>11333</v>
      </c>
      <c r="I81" s="97">
        <v>34</v>
      </c>
      <c r="J81" s="97">
        <f t="shared" si="9"/>
        <v>16</v>
      </c>
      <c r="K81" s="91">
        <f t="shared" si="8"/>
        <v>385322</v>
      </c>
      <c r="L81" s="94">
        <f t="shared" si="10"/>
        <v>181328</v>
      </c>
      <c r="M81" s="11"/>
    </row>
    <row r="82" spans="1:14" s="114" customFormat="1">
      <c r="A82" s="96">
        <v>80</v>
      </c>
      <c r="B82" s="96" t="s">
        <v>518</v>
      </c>
      <c r="C82" s="11" t="s">
        <v>519</v>
      </c>
      <c r="D82" s="19">
        <v>500000</v>
      </c>
      <c r="E82" s="19">
        <v>66650</v>
      </c>
      <c r="F82" s="19">
        <v>566650</v>
      </c>
      <c r="G82" s="159">
        <v>50</v>
      </c>
      <c r="H82" s="278">
        <v>11333</v>
      </c>
      <c r="I82" s="97">
        <v>20</v>
      </c>
      <c r="J82" s="97">
        <f t="shared" si="9"/>
        <v>30</v>
      </c>
      <c r="K82" s="91">
        <f t="shared" si="8"/>
        <v>226660</v>
      </c>
      <c r="L82" s="91">
        <f t="shared" si="10"/>
        <v>339990</v>
      </c>
      <c r="M82" s="122"/>
      <c r="N82" s="180" t="e">
        <f>#REF!-H82</f>
        <v>#REF!</v>
      </c>
    </row>
    <row r="83" spans="1:14" s="114" customFormat="1">
      <c r="A83" s="96">
        <v>81</v>
      </c>
      <c r="B83" s="96" t="s">
        <v>655</v>
      </c>
      <c r="C83" s="11" t="s">
        <v>656</v>
      </c>
      <c r="D83" s="16">
        <v>450000</v>
      </c>
      <c r="E83" s="16">
        <v>59985</v>
      </c>
      <c r="F83" s="41">
        <f>SUM(D83:E83)</f>
        <v>509985</v>
      </c>
      <c r="G83" s="159">
        <v>50</v>
      </c>
      <c r="H83" s="278">
        <v>10199.700000000001</v>
      </c>
      <c r="I83" s="97">
        <v>34</v>
      </c>
      <c r="J83" s="97">
        <f t="shared" si="9"/>
        <v>16</v>
      </c>
      <c r="K83" s="91">
        <f t="shared" si="8"/>
        <v>346789.80000000005</v>
      </c>
      <c r="L83" s="94">
        <f t="shared" si="10"/>
        <v>163195.19999999995</v>
      </c>
      <c r="M83" s="11"/>
      <c r="N83" s="180" t="e">
        <f>#REF!-H83</f>
        <v>#REF!</v>
      </c>
    </row>
    <row r="84" spans="1:14" s="114" customFormat="1">
      <c r="A84" s="96">
        <v>82</v>
      </c>
      <c r="B84" s="96" t="s">
        <v>553</v>
      </c>
      <c r="C84" s="11" t="s">
        <v>554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78">
        <v>11333</v>
      </c>
      <c r="I84" s="97">
        <v>55</v>
      </c>
      <c r="J84" s="97">
        <f t="shared" si="9"/>
        <v>-5</v>
      </c>
      <c r="K84" s="91">
        <f t="shared" si="8"/>
        <v>623315</v>
      </c>
      <c r="L84" s="94">
        <f t="shared" si="10"/>
        <v>-56665</v>
      </c>
      <c r="M84" s="11"/>
      <c r="N84" s="180" t="e">
        <f>#REF!-H84</f>
        <v>#REF!</v>
      </c>
    </row>
    <row r="85" spans="1:14" s="114" customFormat="1">
      <c r="A85" s="96">
        <v>83</v>
      </c>
      <c r="B85" s="96" t="s">
        <v>536</v>
      </c>
      <c r="C85" s="11" t="s">
        <v>537</v>
      </c>
      <c r="D85" s="12">
        <v>500000</v>
      </c>
      <c r="E85" s="12">
        <v>66650</v>
      </c>
      <c r="F85" s="15">
        <f>SUM(D85:E85)</f>
        <v>566650</v>
      </c>
      <c r="G85" s="14">
        <v>50</v>
      </c>
      <c r="H85" s="285">
        <v>11333</v>
      </c>
      <c r="I85" s="14">
        <v>39</v>
      </c>
      <c r="J85" s="97">
        <f t="shared" si="9"/>
        <v>11</v>
      </c>
      <c r="K85" s="91">
        <f t="shared" si="8"/>
        <v>441987</v>
      </c>
      <c r="L85" s="15">
        <f t="shared" si="10"/>
        <v>124663</v>
      </c>
      <c r="M85" s="8"/>
      <c r="N85" s="180" t="e">
        <f>#REF!-H85</f>
        <v>#REF!</v>
      </c>
    </row>
    <row r="86" spans="1:14" s="114" customFormat="1">
      <c r="A86" s="96">
        <v>84</v>
      </c>
      <c r="B86" s="96" t="s">
        <v>883</v>
      </c>
      <c r="C86" s="11" t="s">
        <v>905</v>
      </c>
      <c r="D86" s="16">
        <v>500000</v>
      </c>
      <c r="E86" s="16">
        <v>66650</v>
      </c>
      <c r="F86" s="41">
        <f>SUM(D86:E86)</f>
        <v>566650</v>
      </c>
      <c r="G86" s="159">
        <v>50</v>
      </c>
      <c r="H86" s="278">
        <v>11333</v>
      </c>
      <c r="I86" s="97">
        <v>42</v>
      </c>
      <c r="J86" s="97">
        <f t="shared" si="9"/>
        <v>8</v>
      </c>
      <c r="K86" s="91">
        <f t="shared" si="8"/>
        <v>475986</v>
      </c>
      <c r="L86" s="94">
        <f t="shared" si="10"/>
        <v>90664</v>
      </c>
      <c r="M86" s="11"/>
      <c r="N86" s="180" t="e">
        <f>#REF!-H86</f>
        <v>#REF!</v>
      </c>
    </row>
    <row r="87" spans="1:14" s="114" customFormat="1">
      <c r="A87" s="96">
        <v>85</v>
      </c>
      <c r="B87" s="96" t="s">
        <v>596</v>
      </c>
      <c r="C87" s="11" t="s">
        <v>597</v>
      </c>
      <c r="D87" s="19">
        <v>500000</v>
      </c>
      <c r="E87" s="19">
        <v>66650</v>
      </c>
      <c r="F87" s="19">
        <v>566650</v>
      </c>
      <c r="G87" s="159">
        <v>50</v>
      </c>
      <c r="H87" s="278">
        <v>11333</v>
      </c>
      <c r="I87" s="97">
        <v>20</v>
      </c>
      <c r="J87" s="97">
        <f t="shared" si="9"/>
        <v>30</v>
      </c>
      <c r="K87" s="91">
        <f t="shared" si="8"/>
        <v>226660</v>
      </c>
      <c r="L87" s="91">
        <f t="shared" si="10"/>
        <v>339990</v>
      </c>
      <c r="M87" s="122"/>
      <c r="N87" s="180" t="e">
        <f>#REF!-H87</f>
        <v>#REF!</v>
      </c>
    </row>
    <row r="88" spans="1:14" s="114" customFormat="1">
      <c r="A88" s="96">
        <v>86</v>
      </c>
      <c r="B88" s="122" t="s">
        <v>885</v>
      </c>
      <c r="C88" s="123" t="s">
        <v>907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279">
        <v>11333</v>
      </c>
      <c r="I88" s="188">
        <v>3</v>
      </c>
      <c r="J88" s="188">
        <f t="shared" si="9"/>
        <v>47</v>
      </c>
      <c r="K88" s="257">
        <f t="shared" si="8"/>
        <v>33999</v>
      </c>
      <c r="L88" s="94">
        <f t="shared" si="10"/>
        <v>532651</v>
      </c>
      <c r="M88" s="122"/>
      <c r="N88" s="180" t="e">
        <f>#REF!-H88</f>
        <v>#REF!</v>
      </c>
    </row>
    <row r="89" spans="1:14" s="114" customFormat="1">
      <c r="A89" s="96">
        <v>87</v>
      </c>
      <c r="B89" s="96" t="s">
        <v>607</v>
      </c>
      <c r="C89" s="11" t="s">
        <v>608</v>
      </c>
      <c r="D89" s="16">
        <v>450000</v>
      </c>
      <c r="E89" s="16">
        <v>59985</v>
      </c>
      <c r="F89" s="41">
        <f>SUM(D89:E89)</f>
        <v>509985</v>
      </c>
      <c r="G89" s="159">
        <v>50</v>
      </c>
      <c r="H89" s="278">
        <v>10199.700000000001</v>
      </c>
      <c r="I89" s="159">
        <v>43</v>
      </c>
      <c r="J89" s="97">
        <f t="shared" si="9"/>
        <v>7</v>
      </c>
      <c r="K89" s="91">
        <f t="shared" si="8"/>
        <v>438587.10000000003</v>
      </c>
      <c r="L89" s="94">
        <f t="shared" si="10"/>
        <v>71397.899999999965</v>
      </c>
      <c r="M89" s="11"/>
      <c r="N89" s="180" t="e">
        <f>#REF!-H89</f>
        <v>#REF!</v>
      </c>
    </row>
    <row r="90" spans="1:14" s="114" customFormat="1">
      <c r="A90" s="96">
        <v>88</v>
      </c>
      <c r="B90" s="8" t="s">
        <v>868</v>
      </c>
      <c r="C90" s="11" t="s">
        <v>925</v>
      </c>
      <c r="D90" s="19">
        <v>150000</v>
      </c>
      <c r="E90" s="19">
        <v>19995</v>
      </c>
      <c r="F90" s="19">
        <f>SUM(D90:E90)</f>
        <v>169995</v>
      </c>
      <c r="G90" s="159">
        <v>50</v>
      </c>
      <c r="H90" s="279">
        <v>3399.9</v>
      </c>
      <c r="I90" s="159">
        <v>4</v>
      </c>
      <c r="J90" s="97">
        <f t="shared" si="9"/>
        <v>46</v>
      </c>
      <c r="K90" s="91">
        <f t="shared" si="8"/>
        <v>13599.6</v>
      </c>
      <c r="L90" s="94">
        <f t="shared" si="10"/>
        <v>156395.4</v>
      </c>
      <c r="M90" s="11"/>
      <c r="N90" s="180" t="e">
        <f>#REF!-H90</f>
        <v>#REF!</v>
      </c>
    </row>
    <row r="91" spans="1:14" s="114" customFormat="1">
      <c r="A91" s="96">
        <v>89</v>
      </c>
      <c r="B91" s="96" t="s">
        <v>642</v>
      </c>
      <c r="C91" s="11" t="s">
        <v>643</v>
      </c>
      <c r="D91" s="16">
        <v>500000</v>
      </c>
      <c r="E91" s="16">
        <v>66650</v>
      </c>
      <c r="F91" s="16">
        <v>566650</v>
      </c>
      <c r="G91" s="159">
        <v>50</v>
      </c>
      <c r="H91" s="283">
        <v>11333</v>
      </c>
      <c r="I91" s="101">
        <v>8</v>
      </c>
      <c r="J91" s="97">
        <f t="shared" si="9"/>
        <v>42</v>
      </c>
      <c r="K91" s="91">
        <f t="shared" si="8"/>
        <v>90664</v>
      </c>
      <c r="L91" s="94">
        <f t="shared" si="10"/>
        <v>475986</v>
      </c>
      <c r="M91" s="218"/>
      <c r="N91" s="180" t="e">
        <f>#REF!-H91</f>
        <v>#REF!</v>
      </c>
    </row>
    <row r="92" spans="1:14" s="114" customFormat="1">
      <c r="A92" s="96">
        <v>90</v>
      </c>
      <c r="B92" s="96" t="s">
        <v>661</v>
      </c>
      <c r="C92" s="11" t="s">
        <v>662</v>
      </c>
      <c r="D92" s="19">
        <v>500000</v>
      </c>
      <c r="E92" s="19">
        <v>66650</v>
      </c>
      <c r="F92" s="19">
        <v>566650</v>
      </c>
      <c r="G92" s="159">
        <v>50</v>
      </c>
      <c r="H92" s="278">
        <v>11333</v>
      </c>
      <c r="I92" s="97">
        <v>19</v>
      </c>
      <c r="J92" s="97">
        <f t="shared" si="9"/>
        <v>31</v>
      </c>
      <c r="K92" s="91">
        <f t="shared" si="8"/>
        <v>215327</v>
      </c>
      <c r="L92" s="91">
        <f t="shared" si="10"/>
        <v>351323</v>
      </c>
      <c r="M92" s="11"/>
      <c r="N92" s="180" t="e">
        <f>#REF!-H92</f>
        <v>#REF!</v>
      </c>
    </row>
    <row r="93" spans="1:14" s="114" customFormat="1">
      <c r="A93" s="96">
        <v>91</v>
      </c>
      <c r="B93" s="96" t="s">
        <v>719</v>
      </c>
      <c r="C93" s="11" t="s">
        <v>720</v>
      </c>
      <c r="D93" s="16">
        <v>500000</v>
      </c>
      <c r="E93" s="16">
        <v>66650</v>
      </c>
      <c r="F93" s="16">
        <v>566650</v>
      </c>
      <c r="G93" s="159">
        <v>50</v>
      </c>
      <c r="H93" s="278">
        <v>11333</v>
      </c>
      <c r="I93" s="101">
        <v>8</v>
      </c>
      <c r="J93" s="97">
        <f t="shared" si="9"/>
        <v>42</v>
      </c>
      <c r="K93" s="91">
        <f t="shared" si="8"/>
        <v>90664</v>
      </c>
      <c r="L93" s="94">
        <f t="shared" si="10"/>
        <v>475986</v>
      </c>
      <c r="M93" s="218"/>
      <c r="N93" s="180" t="e">
        <f>#REF!-H93</f>
        <v>#REF!</v>
      </c>
    </row>
    <row r="94" spans="1:14" s="114" customFormat="1">
      <c r="A94" s="96">
        <v>92</v>
      </c>
      <c r="B94" s="96" t="s">
        <v>668</v>
      </c>
      <c r="C94" s="11" t="s">
        <v>669</v>
      </c>
      <c r="D94" s="16">
        <v>450000</v>
      </c>
      <c r="E94" s="16">
        <v>59985</v>
      </c>
      <c r="F94" s="16">
        <v>509985</v>
      </c>
      <c r="G94" s="159">
        <v>50</v>
      </c>
      <c r="H94" s="278">
        <v>10199.700000000001</v>
      </c>
      <c r="I94" s="97">
        <v>19</v>
      </c>
      <c r="J94" s="97">
        <f t="shared" si="9"/>
        <v>31</v>
      </c>
      <c r="K94" s="91">
        <f t="shared" si="8"/>
        <v>193794.30000000002</v>
      </c>
      <c r="L94" s="91">
        <f t="shared" si="10"/>
        <v>316190.69999999995</v>
      </c>
      <c r="M94" s="122"/>
      <c r="N94" s="180" t="e">
        <f>#REF!-H94</f>
        <v>#REF!</v>
      </c>
    </row>
    <row r="95" spans="1:14" s="114" customFormat="1">
      <c r="A95" s="96">
        <v>93</v>
      </c>
      <c r="B95" s="96" t="s">
        <v>594</v>
      </c>
      <c r="C95" s="11" t="s">
        <v>595</v>
      </c>
      <c r="D95" s="16">
        <v>500000</v>
      </c>
      <c r="E95" s="16">
        <v>66650</v>
      </c>
      <c r="F95" s="41">
        <f t="shared" ref="F95:F107" si="11">SUM(D95:E95)</f>
        <v>566650</v>
      </c>
      <c r="G95" s="159">
        <v>50</v>
      </c>
      <c r="H95" s="278">
        <v>11333</v>
      </c>
      <c r="I95" s="97">
        <v>34</v>
      </c>
      <c r="J95" s="97">
        <f t="shared" si="9"/>
        <v>16</v>
      </c>
      <c r="K95" s="91">
        <f t="shared" si="8"/>
        <v>385322</v>
      </c>
      <c r="L95" s="94">
        <f t="shared" si="10"/>
        <v>181328</v>
      </c>
      <c r="M95" s="11"/>
      <c r="N95" s="180" t="e">
        <f>#REF!-H95</f>
        <v>#REF!</v>
      </c>
    </row>
    <row r="96" spans="1:14" s="114" customFormat="1">
      <c r="A96" s="96">
        <v>95</v>
      </c>
      <c r="B96" s="96" t="s">
        <v>585</v>
      </c>
      <c r="C96" s="11" t="s">
        <v>586</v>
      </c>
      <c r="D96" s="161">
        <v>500000</v>
      </c>
      <c r="E96" s="161">
        <v>66650</v>
      </c>
      <c r="F96" s="162">
        <f t="shared" si="11"/>
        <v>566650</v>
      </c>
      <c r="G96" s="96">
        <v>50</v>
      </c>
      <c r="H96" s="278">
        <v>11333</v>
      </c>
      <c r="I96" s="97">
        <v>34</v>
      </c>
      <c r="J96" s="97">
        <f t="shared" si="9"/>
        <v>16</v>
      </c>
      <c r="K96" s="146">
        <f t="shared" si="8"/>
        <v>385322</v>
      </c>
      <c r="L96" s="164">
        <f t="shared" si="10"/>
        <v>181328</v>
      </c>
      <c r="M96" s="123"/>
      <c r="N96" s="180" t="e">
        <f>#REF!-H96</f>
        <v>#REF!</v>
      </c>
    </row>
    <row r="97" spans="1:14" s="114" customFormat="1">
      <c r="A97" s="96">
        <v>96</v>
      </c>
      <c r="B97" s="122" t="s">
        <v>899</v>
      </c>
      <c r="C97" s="123" t="s">
        <v>922</v>
      </c>
      <c r="D97" s="19">
        <v>330000</v>
      </c>
      <c r="E97" s="19">
        <v>43989</v>
      </c>
      <c r="F97" s="19">
        <f t="shared" si="11"/>
        <v>373989</v>
      </c>
      <c r="G97" s="159">
        <v>50</v>
      </c>
      <c r="H97" s="279">
        <v>7479.78</v>
      </c>
      <c r="I97" s="188">
        <v>3</v>
      </c>
      <c r="J97" s="188">
        <f t="shared" si="9"/>
        <v>47</v>
      </c>
      <c r="K97" s="257">
        <f t="shared" si="8"/>
        <v>22439.34</v>
      </c>
      <c r="L97" s="94">
        <f t="shared" si="10"/>
        <v>351549.66</v>
      </c>
      <c r="M97" s="122"/>
      <c r="N97" s="180" t="e">
        <f>#REF!-H97</f>
        <v>#REF!</v>
      </c>
    </row>
    <row r="98" spans="1:14" s="114" customFormat="1">
      <c r="A98" s="96">
        <v>97</v>
      </c>
      <c r="B98" s="96" t="s">
        <v>647</v>
      </c>
      <c r="C98" s="11" t="s">
        <v>648</v>
      </c>
      <c r="D98" s="16">
        <v>500000</v>
      </c>
      <c r="E98" s="16">
        <v>66650</v>
      </c>
      <c r="F98" s="41">
        <f t="shared" si="11"/>
        <v>566650</v>
      </c>
      <c r="G98" s="159">
        <v>50</v>
      </c>
      <c r="H98" s="278">
        <v>11333</v>
      </c>
      <c r="I98" s="97">
        <v>12</v>
      </c>
      <c r="J98" s="97">
        <f t="shared" si="9"/>
        <v>38</v>
      </c>
      <c r="K98" s="156">
        <f>(1*11333)</f>
        <v>11333</v>
      </c>
      <c r="L98" s="91">
        <f t="shared" si="10"/>
        <v>555317</v>
      </c>
      <c r="M98" s="122"/>
    </row>
    <row r="99" spans="1:14" s="114" customFormat="1">
      <c r="A99" s="96">
        <v>98</v>
      </c>
      <c r="B99" s="11" t="s">
        <v>929</v>
      </c>
      <c r="C99" s="11" t="s">
        <v>932</v>
      </c>
      <c r="D99" s="16">
        <v>500000</v>
      </c>
      <c r="E99" s="16">
        <v>66650</v>
      </c>
      <c r="F99" s="41">
        <f t="shared" si="11"/>
        <v>566650</v>
      </c>
      <c r="G99" s="159">
        <v>50</v>
      </c>
      <c r="H99" s="279">
        <v>11333</v>
      </c>
      <c r="I99" s="272">
        <v>33</v>
      </c>
      <c r="J99" s="188">
        <f t="shared" si="9"/>
        <v>17</v>
      </c>
      <c r="K99" s="257">
        <f>I99*H99</f>
        <v>373989</v>
      </c>
      <c r="L99" s="94">
        <f t="shared" si="10"/>
        <v>192661</v>
      </c>
      <c r="M99" s="273" t="s">
        <v>934</v>
      </c>
    </row>
    <row r="100" spans="1:14" s="114" customFormat="1">
      <c r="A100" s="96">
        <v>99</v>
      </c>
      <c r="B100" s="96" t="s">
        <v>600</v>
      </c>
      <c r="C100" s="11" t="s">
        <v>601</v>
      </c>
      <c r="D100" s="16">
        <v>450000</v>
      </c>
      <c r="E100" s="16">
        <v>59985</v>
      </c>
      <c r="F100" s="41">
        <f t="shared" si="11"/>
        <v>509985</v>
      </c>
      <c r="G100" s="159">
        <v>50</v>
      </c>
      <c r="H100" s="278">
        <v>10199.700000000001</v>
      </c>
      <c r="I100" s="97">
        <v>33</v>
      </c>
      <c r="J100" s="97">
        <f t="shared" si="9"/>
        <v>17</v>
      </c>
      <c r="K100" s="91">
        <f>I100*H100</f>
        <v>336590.10000000003</v>
      </c>
      <c r="L100" s="94">
        <f t="shared" si="10"/>
        <v>173394.89999999997</v>
      </c>
      <c r="M100" s="11"/>
    </row>
    <row r="101" spans="1:14" s="114" customFormat="1">
      <c r="A101" s="96">
        <v>100</v>
      </c>
      <c r="B101" s="126" t="s">
        <v>930</v>
      </c>
      <c r="C101" s="8" t="s">
        <v>933</v>
      </c>
      <c r="D101" s="19">
        <v>330000</v>
      </c>
      <c r="E101" s="19">
        <v>31672.200000000012</v>
      </c>
      <c r="F101" s="19">
        <f t="shared" si="11"/>
        <v>361672.2</v>
      </c>
      <c r="G101" s="159">
        <v>36</v>
      </c>
      <c r="H101" s="286">
        <v>10046.450000000001</v>
      </c>
      <c r="I101" s="272"/>
      <c r="J101" s="34"/>
      <c r="K101" s="257">
        <f>I101*H101</f>
        <v>0</v>
      </c>
      <c r="L101" s="94">
        <f t="shared" si="10"/>
        <v>361672.2</v>
      </c>
      <c r="M101" s="8"/>
    </row>
    <row r="102" spans="1:14" s="114" customFormat="1">
      <c r="A102" s="96">
        <v>101</v>
      </c>
      <c r="B102" s="96" t="s">
        <v>546</v>
      </c>
      <c r="C102" s="11" t="s">
        <v>547</v>
      </c>
      <c r="D102" s="19">
        <v>330000</v>
      </c>
      <c r="E102" s="19">
        <v>43989</v>
      </c>
      <c r="F102" s="19">
        <f t="shared" si="11"/>
        <v>373989</v>
      </c>
      <c r="G102" s="159">
        <v>40</v>
      </c>
      <c r="H102" s="278">
        <v>9129.7800000000007</v>
      </c>
      <c r="I102" s="159">
        <v>8</v>
      </c>
      <c r="J102" s="97">
        <f t="shared" ref="J102:J129" si="12">G102-I102</f>
        <v>32</v>
      </c>
      <c r="K102" s="91">
        <f>I102*H102</f>
        <v>73038.240000000005</v>
      </c>
      <c r="L102" s="94">
        <f t="shared" ref="L102:L129" si="13">F102-K102</f>
        <v>300950.76</v>
      </c>
      <c r="M102" s="214"/>
    </row>
    <row r="103" spans="1:14" s="114" customFormat="1">
      <c r="A103" s="96">
        <v>102</v>
      </c>
      <c r="B103" s="96" t="s">
        <v>638</v>
      </c>
      <c r="C103" s="11" t="s">
        <v>639</v>
      </c>
      <c r="D103" s="16">
        <v>500000</v>
      </c>
      <c r="E103" s="16">
        <v>66650</v>
      </c>
      <c r="F103" s="41">
        <f t="shared" si="11"/>
        <v>566650</v>
      </c>
      <c r="G103" s="159">
        <v>50</v>
      </c>
      <c r="H103" s="278">
        <v>11333</v>
      </c>
      <c r="I103" s="97">
        <v>12</v>
      </c>
      <c r="J103" s="97">
        <f t="shared" si="12"/>
        <v>38</v>
      </c>
      <c r="K103" s="156">
        <f>(1*11333)</f>
        <v>11333</v>
      </c>
      <c r="L103" s="91">
        <f t="shared" si="13"/>
        <v>555317</v>
      </c>
      <c r="M103" s="11"/>
      <c r="N103" s="120"/>
    </row>
    <row r="104" spans="1:14" s="114" customFormat="1">
      <c r="A104" s="96">
        <v>104</v>
      </c>
      <c r="B104" s="96" t="s">
        <v>629</v>
      </c>
      <c r="C104" s="11" t="s">
        <v>630</v>
      </c>
      <c r="D104" s="12">
        <v>330000</v>
      </c>
      <c r="E104" s="12">
        <v>43989</v>
      </c>
      <c r="F104" s="15">
        <f t="shared" si="11"/>
        <v>373989</v>
      </c>
      <c r="G104" s="14">
        <v>50</v>
      </c>
      <c r="H104" s="280">
        <v>7479.78</v>
      </c>
      <c r="I104" s="14">
        <v>39</v>
      </c>
      <c r="J104" s="97">
        <f t="shared" si="12"/>
        <v>11</v>
      </c>
      <c r="K104" s="91">
        <f t="shared" ref="K104:K129" si="14">I104*H104</f>
        <v>291711.42</v>
      </c>
      <c r="L104" s="15">
        <f t="shared" si="13"/>
        <v>82277.580000000016</v>
      </c>
      <c r="M104" s="8"/>
      <c r="N104"/>
    </row>
    <row r="105" spans="1:14" s="114" customFormat="1">
      <c r="A105" s="96">
        <v>105</v>
      </c>
      <c r="B105" s="96" t="s">
        <v>645</v>
      </c>
      <c r="C105" s="11" t="s">
        <v>646</v>
      </c>
      <c r="D105" s="16">
        <v>500000</v>
      </c>
      <c r="E105" s="16">
        <v>66650</v>
      </c>
      <c r="F105" s="41">
        <f t="shared" si="11"/>
        <v>566650</v>
      </c>
      <c r="G105" s="159">
        <v>50</v>
      </c>
      <c r="H105" s="278">
        <v>11333</v>
      </c>
      <c r="I105" s="97">
        <v>33</v>
      </c>
      <c r="J105" s="97">
        <f t="shared" si="12"/>
        <v>17</v>
      </c>
      <c r="K105" s="91">
        <f t="shared" si="14"/>
        <v>373989</v>
      </c>
      <c r="L105" s="94">
        <f t="shared" si="13"/>
        <v>192661</v>
      </c>
      <c r="M105" s="11"/>
      <c r="N105"/>
    </row>
    <row r="106" spans="1:14" s="114" customFormat="1">
      <c r="A106" s="96">
        <v>107</v>
      </c>
      <c r="B106" s="96" t="s">
        <v>548</v>
      </c>
      <c r="C106" s="11" t="s">
        <v>549</v>
      </c>
      <c r="D106" s="12">
        <v>330000</v>
      </c>
      <c r="E106" s="12">
        <v>43989</v>
      </c>
      <c r="F106" s="15">
        <f t="shared" si="11"/>
        <v>373989</v>
      </c>
      <c r="G106" s="14">
        <v>50</v>
      </c>
      <c r="H106" s="280">
        <v>7479.78</v>
      </c>
      <c r="I106" s="14">
        <v>39</v>
      </c>
      <c r="J106" s="97">
        <f t="shared" si="12"/>
        <v>11</v>
      </c>
      <c r="K106" s="91">
        <f t="shared" si="14"/>
        <v>291711.42</v>
      </c>
      <c r="L106" s="15">
        <f t="shared" si="13"/>
        <v>82277.580000000016</v>
      </c>
      <c r="M106" s="8"/>
      <c r="N106"/>
    </row>
    <row r="107" spans="1:14" s="114" customFormat="1">
      <c r="A107" s="96">
        <v>108</v>
      </c>
      <c r="B107" s="122" t="s">
        <v>678</v>
      </c>
      <c r="C107" s="123" t="s">
        <v>679</v>
      </c>
      <c r="D107" s="16">
        <v>500000</v>
      </c>
      <c r="E107" s="16">
        <v>66650</v>
      </c>
      <c r="F107" s="41">
        <f t="shared" si="11"/>
        <v>566650</v>
      </c>
      <c r="G107" s="159">
        <v>50</v>
      </c>
      <c r="H107" s="279">
        <v>15222</v>
      </c>
      <c r="I107" s="188">
        <v>3</v>
      </c>
      <c r="J107" s="188">
        <f t="shared" si="12"/>
        <v>47</v>
      </c>
      <c r="K107" s="257">
        <f t="shared" si="14"/>
        <v>45666</v>
      </c>
      <c r="L107" s="94">
        <f t="shared" si="13"/>
        <v>520984</v>
      </c>
      <c r="M107" s="122" t="s">
        <v>251</v>
      </c>
      <c r="N107"/>
    </row>
    <row r="108" spans="1:14" s="114" customFormat="1">
      <c r="A108" s="96">
        <v>109</v>
      </c>
      <c r="B108" s="96" t="s">
        <v>501</v>
      </c>
      <c r="C108" s="11" t="s">
        <v>502</v>
      </c>
      <c r="D108" s="16">
        <v>500000</v>
      </c>
      <c r="E108" s="16">
        <v>66650</v>
      </c>
      <c r="F108" s="16">
        <v>566650</v>
      </c>
      <c r="G108" s="159">
        <v>50</v>
      </c>
      <c r="H108" s="277">
        <v>11333</v>
      </c>
      <c r="I108" s="159">
        <v>8</v>
      </c>
      <c r="J108" s="97">
        <f t="shared" si="12"/>
        <v>42</v>
      </c>
      <c r="K108" s="91">
        <f t="shared" si="14"/>
        <v>90664</v>
      </c>
      <c r="L108" s="94">
        <f t="shared" si="13"/>
        <v>475986</v>
      </c>
      <c r="M108" s="214"/>
      <c r="N108"/>
    </row>
    <row r="109" spans="1:14" s="114" customFormat="1">
      <c r="A109" s="96">
        <v>110</v>
      </c>
      <c r="B109" s="96" t="s">
        <v>514</v>
      </c>
      <c r="C109" s="11" t="s">
        <v>515</v>
      </c>
      <c r="D109" s="16">
        <v>500000</v>
      </c>
      <c r="E109" s="16">
        <v>66650</v>
      </c>
      <c r="F109" s="41">
        <f>SUM(D109:E109)</f>
        <v>566650</v>
      </c>
      <c r="G109" s="159">
        <v>50</v>
      </c>
      <c r="H109" s="278">
        <v>11333</v>
      </c>
      <c r="I109" s="97">
        <v>55</v>
      </c>
      <c r="J109" s="97">
        <f t="shared" si="12"/>
        <v>-5</v>
      </c>
      <c r="K109" s="91">
        <f t="shared" si="14"/>
        <v>623315</v>
      </c>
      <c r="L109" s="94">
        <f t="shared" si="13"/>
        <v>-56665</v>
      </c>
      <c r="M109" s="11"/>
      <c r="N109"/>
    </row>
    <row r="110" spans="1:14" s="114" customFormat="1">
      <c r="A110" s="96">
        <v>111</v>
      </c>
      <c r="B110" s="96" t="s">
        <v>557</v>
      </c>
      <c r="C110" s="11" t="s">
        <v>558</v>
      </c>
      <c r="D110" s="16">
        <v>450000</v>
      </c>
      <c r="E110" s="16">
        <v>59985</v>
      </c>
      <c r="F110" s="41">
        <f>SUM(D110:E110)</f>
        <v>509985</v>
      </c>
      <c r="G110" s="159">
        <v>50</v>
      </c>
      <c r="H110" s="278">
        <v>10199.700000000001</v>
      </c>
      <c r="I110" s="97">
        <v>34</v>
      </c>
      <c r="J110" s="97">
        <f t="shared" si="12"/>
        <v>16</v>
      </c>
      <c r="K110" s="91">
        <f t="shared" si="14"/>
        <v>346789.80000000005</v>
      </c>
      <c r="L110" s="94">
        <f t="shared" si="13"/>
        <v>163195.19999999995</v>
      </c>
      <c r="M110" s="11"/>
    </row>
    <row r="111" spans="1:14" s="114" customFormat="1">
      <c r="A111" s="96">
        <v>112</v>
      </c>
      <c r="B111" s="96" t="s">
        <v>583</v>
      </c>
      <c r="C111" s="11" t="s">
        <v>584</v>
      </c>
      <c r="D111" s="16">
        <v>500000</v>
      </c>
      <c r="E111" s="16">
        <v>66650</v>
      </c>
      <c r="F111" s="41">
        <f>SUM(D111:E111)</f>
        <v>566650</v>
      </c>
      <c r="G111" s="159">
        <v>50</v>
      </c>
      <c r="H111" s="278">
        <v>11333</v>
      </c>
      <c r="I111" s="97">
        <v>34</v>
      </c>
      <c r="J111" s="97">
        <f t="shared" si="12"/>
        <v>16</v>
      </c>
      <c r="K111" s="91">
        <f t="shared" si="14"/>
        <v>385322</v>
      </c>
      <c r="L111" s="94">
        <f t="shared" si="13"/>
        <v>181328</v>
      </c>
      <c r="M111" s="11"/>
    </row>
    <row r="112" spans="1:14" s="114" customFormat="1">
      <c r="A112" s="96">
        <v>113</v>
      </c>
      <c r="B112" s="96" t="s">
        <v>561</v>
      </c>
      <c r="C112" s="11" t="s">
        <v>562</v>
      </c>
      <c r="D112" s="16">
        <v>450000</v>
      </c>
      <c r="E112" s="16">
        <v>59985</v>
      </c>
      <c r="F112" s="41">
        <f>SUM(D112:E112)</f>
        <v>509985</v>
      </c>
      <c r="G112" s="159">
        <v>50</v>
      </c>
      <c r="H112" s="278">
        <v>10199.700000000001</v>
      </c>
      <c r="I112" s="97">
        <v>34</v>
      </c>
      <c r="J112" s="97">
        <f t="shared" si="12"/>
        <v>16</v>
      </c>
      <c r="K112" s="91">
        <f t="shared" si="14"/>
        <v>346789.80000000005</v>
      </c>
      <c r="L112" s="94">
        <f t="shared" si="13"/>
        <v>163195.19999999995</v>
      </c>
      <c r="M112" s="11"/>
    </row>
    <row r="113" spans="1:15" s="114" customFormat="1">
      <c r="A113" s="96">
        <v>114</v>
      </c>
      <c r="B113" s="96" t="s">
        <v>684</v>
      </c>
      <c r="C113" s="11" t="s">
        <v>685</v>
      </c>
      <c r="D113" s="19">
        <v>500000</v>
      </c>
      <c r="E113" s="19">
        <v>66650</v>
      </c>
      <c r="F113" s="19">
        <v>566650</v>
      </c>
      <c r="G113" s="159">
        <v>50</v>
      </c>
      <c r="H113" s="278">
        <v>11333</v>
      </c>
      <c r="I113" s="97">
        <v>20</v>
      </c>
      <c r="J113" s="97">
        <f t="shared" si="12"/>
        <v>30</v>
      </c>
      <c r="K113" s="91">
        <f t="shared" si="14"/>
        <v>226660</v>
      </c>
      <c r="L113" s="91">
        <f t="shared" si="13"/>
        <v>339990</v>
      </c>
      <c r="M113" s="122"/>
    </row>
    <row r="114" spans="1:15" s="114" customFormat="1">
      <c r="A114" s="96">
        <v>116</v>
      </c>
      <c r="B114" s="96" t="s">
        <v>611</v>
      </c>
      <c r="C114" s="11" t="s">
        <v>612</v>
      </c>
      <c r="D114" s="12">
        <v>500000</v>
      </c>
      <c r="E114" s="12">
        <v>66650</v>
      </c>
      <c r="F114" s="15">
        <f>SUM(D114:E114)</f>
        <v>566650</v>
      </c>
      <c r="G114" s="14">
        <v>50</v>
      </c>
      <c r="H114" s="277">
        <v>11333</v>
      </c>
      <c r="I114" s="14">
        <v>39</v>
      </c>
      <c r="J114" s="97">
        <f t="shared" si="12"/>
        <v>11</v>
      </c>
      <c r="K114" s="91">
        <f t="shared" si="14"/>
        <v>441987</v>
      </c>
      <c r="L114" s="15">
        <f t="shared" si="13"/>
        <v>124663</v>
      </c>
      <c r="M114" s="8"/>
    </row>
    <row r="115" spans="1:15" s="114" customFormat="1">
      <c r="A115" s="96">
        <v>117</v>
      </c>
      <c r="B115" s="96" t="s">
        <v>670</v>
      </c>
      <c r="C115" s="11" t="s">
        <v>671</v>
      </c>
      <c r="D115" s="16">
        <v>330000</v>
      </c>
      <c r="E115" s="16">
        <v>43989</v>
      </c>
      <c r="F115" s="41">
        <f>SUM(D115:E115)</f>
        <v>373989</v>
      </c>
      <c r="G115" s="159">
        <v>50</v>
      </c>
      <c r="H115" s="278">
        <v>7479.78</v>
      </c>
      <c r="I115" s="159">
        <v>42</v>
      </c>
      <c r="J115" s="97">
        <f t="shared" si="12"/>
        <v>8</v>
      </c>
      <c r="K115" s="91">
        <f t="shared" si="14"/>
        <v>314150.76</v>
      </c>
      <c r="L115" s="94">
        <f t="shared" si="13"/>
        <v>59838.239999999991</v>
      </c>
      <c r="M115" s="11"/>
    </row>
    <row r="116" spans="1:15" s="114" customFormat="1">
      <c r="A116" s="96">
        <v>118</v>
      </c>
      <c r="B116" s="122" t="s">
        <v>901</v>
      </c>
      <c r="C116" s="123" t="s">
        <v>924</v>
      </c>
      <c r="D116" s="19">
        <v>330000</v>
      </c>
      <c r="E116" s="19">
        <v>43989</v>
      </c>
      <c r="F116" s="19">
        <f>SUM(D116:E116)</f>
        <v>373989</v>
      </c>
      <c r="G116" s="159">
        <v>50</v>
      </c>
      <c r="H116" s="279">
        <v>7479.78</v>
      </c>
      <c r="I116" s="188">
        <v>3</v>
      </c>
      <c r="J116" s="188">
        <f t="shared" si="12"/>
        <v>47</v>
      </c>
      <c r="K116" s="257">
        <f t="shared" si="14"/>
        <v>22439.34</v>
      </c>
      <c r="L116" s="94">
        <f t="shared" si="13"/>
        <v>351549.66</v>
      </c>
      <c r="M116" s="122" t="s">
        <v>251</v>
      </c>
    </row>
    <row r="117" spans="1:15" s="114" customFormat="1">
      <c r="A117" s="96">
        <v>119</v>
      </c>
      <c r="B117" s="96" t="s">
        <v>563</v>
      </c>
      <c r="C117" s="11" t="s">
        <v>564</v>
      </c>
      <c r="D117" s="19">
        <v>330000</v>
      </c>
      <c r="E117" s="19">
        <v>43989</v>
      </c>
      <c r="F117" s="19">
        <f>SUM(D117:E117)</f>
        <v>373989</v>
      </c>
      <c r="G117" s="159">
        <v>50</v>
      </c>
      <c r="H117" s="277">
        <v>7479.78</v>
      </c>
      <c r="I117" s="97">
        <v>20</v>
      </c>
      <c r="J117" s="97">
        <f t="shared" si="12"/>
        <v>30</v>
      </c>
      <c r="K117" s="91">
        <f t="shared" si="14"/>
        <v>149595.6</v>
      </c>
      <c r="L117" s="91">
        <f t="shared" si="13"/>
        <v>224393.4</v>
      </c>
      <c r="M117" s="122"/>
    </row>
    <row r="118" spans="1:15" s="114" customFormat="1">
      <c r="A118" s="96">
        <v>121</v>
      </c>
      <c r="B118" s="96" t="s">
        <v>509</v>
      </c>
      <c r="C118" s="11" t="s">
        <v>510</v>
      </c>
      <c r="D118" s="19">
        <v>450000</v>
      </c>
      <c r="E118" s="19">
        <v>59985</v>
      </c>
      <c r="F118" s="19">
        <v>509985</v>
      </c>
      <c r="G118" s="159">
        <v>50</v>
      </c>
      <c r="H118" s="278">
        <v>10199.700000000001</v>
      </c>
      <c r="I118" s="97">
        <v>20</v>
      </c>
      <c r="J118" s="97">
        <f t="shared" si="12"/>
        <v>30</v>
      </c>
      <c r="K118" s="91">
        <f t="shared" si="14"/>
        <v>203994</v>
      </c>
      <c r="L118" s="91">
        <f t="shared" si="13"/>
        <v>305991</v>
      </c>
      <c r="M118" s="122"/>
    </row>
    <row r="119" spans="1:15" s="114" customFormat="1">
      <c r="A119" s="96">
        <v>122</v>
      </c>
      <c r="B119" s="275" t="s">
        <v>928</v>
      </c>
      <c r="C119" s="8" t="s">
        <v>931</v>
      </c>
      <c r="D119" s="16">
        <v>500000</v>
      </c>
      <c r="E119" s="16">
        <v>47988.040000000037</v>
      </c>
      <c r="F119" s="41">
        <f>SUM(D119:E119)</f>
        <v>547988.04</v>
      </c>
      <c r="G119" s="159">
        <v>36</v>
      </c>
      <c r="H119" s="286">
        <v>15221.89</v>
      </c>
      <c r="I119" s="272">
        <v>18</v>
      </c>
      <c r="J119" s="188">
        <f t="shared" si="12"/>
        <v>18</v>
      </c>
      <c r="K119" s="257">
        <f t="shared" si="14"/>
        <v>273994.02</v>
      </c>
      <c r="L119" s="94">
        <f t="shared" si="13"/>
        <v>273994.02</v>
      </c>
      <c r="M119" s="274" t="s">
        <v>935</v>
      </c>
    </row>
    <row r="120" spans="1:15" s="114" customFormat="1">
      <c r="A120" s="96">
        <v>123</v>
      </c>
      <c r="B120" s="96" t="s">
        <v>613</v>
      </c>
      <c r="C120" s="11" t="s">
        <v>614</v>
      </c>
      <c r="D120" s="16">
        <v>500000</v>
      </c>
      <c r="E120" s="16">
        <v>66650</v>
      </c>
      <c r="F120" s="41">
        <f>SUM(D120:E120)</f>
        <v>566650</v>
      </c>
      <c r="G120" s="159">
        <v>50</v>
      </c>
      <c r="H120" s="278">
        <v>11333</v>
      </c>
      <c r="I120" s="97">
        <v>54</v>
      </c>
      <c r="J120" s="97">
        <f t="shared" si="12"/>
        <v>-4</v>
      </c>
      <c r="K120" s="91">
        <f t="shared" si="14"/>
        <v>611982</v>
      </c>
      <c r="L120" s="94">
        <f t="shared" si="13"/>
        <v>-45332</v>
      </c>
      <c r="M120" s="11"/>
    </row>
    <row r="121" spans="1:15" s="114" customFormat="1">
      <c r="A121" s="96">
        <v>124</v>
      </c>
      <c r="B121" s="96" t="s">
        <v>711</v>
      </c>
      <c r="C121" s="11" t="s">
        <v>712</v>
      </c>
      <c r="D121" s="16">
        <v>500000</v>
      </c>
      <c r="E121" s="16">
        <v>66650</v>
      </c>
      <c r="F121" s="41">
        <f>SUM(D121:E121)</f>
        <v>566650</v>
      </c>
      <c r="G121" s="159">
        <v>50</v>
      </c>
      <c r="H121" s="278">
        <v>11333</v>
      </c>
      <c r="I121" s="97">
        <v>33</v>
      </c>
      <c r="J121" s="97">
        <f t="shared" si="12"/>
        <v>17</v>
      </c>
      <c r="K121" s="91">
        <f t="shared" si="14"/>
        <v>373989</v>
      </c>
      <c r="L121" s="94">
        <f t="shared" si="13"/>
        <v>192661</v>
      </c>
      <c r="M121" s="11"/>
    </row>
    <row r="122" spans="1:15" s="114" customFormat="1">
      <c r="A122" s="96">
        <v>125</v>
      </c>
      <c r="B122" s="96" t="s">
        <v>538</v>
      </c>
      <c r="C122" s="11" t="s">
        <v>539</v>
      </c>
      <c r="D122" s="12">
        <v>500000</v>
      </c>
      <c r="E122" s="12">
        <v>66650</v>
      </c>
      <c r="F122" s="15">
        <f>SUM(D122:E122)</f>
        <v>566650</v>
      </c>
      <c r="G122" s="14">
        <v>50</v>
      </c>
      <c r="H122" s="277">
        <v>11333</v>
      </c>
      <c r="I122" s="14">
        <v>39</v>
      </c>
      <c r="J122" s="97">
        <f t="shared" si="12"/>
        <v>11</v>
      </c>
      <c r="K122" s="91">
        <f t="shared" si="14"/>
        <v>441987</v>
      </c>
      <c r="L122" s="15">
        <f t="shared" si="13"/>
        <v>124663</v>
      </c>
      <c r="M122" s="8"/>
    </row>
    <row r="123" spans="1:15" s="114" customFormat="1">
      <c r="A123" s="96">
        <v>126</v>
      </c>
      <c r="B123" s="96" t="s">
        <v>507</v>
      </c>
      <c r="C123" s="11" t="s">
        <v>508</v>
      </c>
      <c r="D123" s="16">
        <v>500000</v>
      </c>
      <c r="E123" s="16">
        <v>66650</v>
      </c>
      <c r="F123" s="16">
        <v>566650</v>
      </c>
      <c r="G123" s="159">
        <v>50</v>
      </c>
      <c r="H123" s="278">
        <v>11333</v>
      </c>
      <c r="I123" s="97">
        <v>20</v>
      </c>
      <c r="J123" s="97">
        <f t="shared" si="12"/>
        <v>30</v>
      </c>
      <c r="K123" s="91">
        <f t="shared" si="14"/>
        <v>226660</v>
      </c>
      <c r="L123" s="91">
        <f t="shared" si="13"/>
        <v>339990</v>
      </c>
      <c r="M123" s="11"/>
    </row>
    <row r="124" spans="1:15" s="114" customFormat="1">
      <c r="A124" s="96">
        <v>127</v>
      </c>
      <c r="B124" s="96" t="s">
        <v>728</v>
      </c>
      <c r="C124" s="11" t="s">
        <v>729</v>
      </c>
      <c r="D124" s="16">
        <v>500000</v>
      </c>
      <c r="E124" s="16">
        <v>47992</v>
      </c>
      <c r="F124" s="41">
        <f t="shared" ref="F124:F129" si="15">SUM(D124:E124)</f>
        <v>547992</v>
      </c>
      <c r="G124" s="159">
        <v>36</v>
      </c>
      <c r="H124" s="277">
        <v>15222</v>
      </c>
      <c r="I124" s="97">
        <v>33</v>
      </c>
      <c r="J124" s="97">
        <f t="shared" si="12"/>
        <v>3</v>
      </c>
      <c r="K124" s="91">
        <f t="shared" si="14"/>
        <v>502326</v>
      </c>
      <c r="L124" s="94">
        <f t="shared" si="13"/>
        <v>45666</v>
      </c>
      <c r="M124" s="11"/>
    </row>
    <row r="125" spans="1:15" s="114" customFormat="1">
      <c r="A125" s="96">
        <v>128</v>
      </c>
      <c r="B125" s="122" t="s">
        <v>889</v>
      </c>
      <c r="C125" s="123" t="s">
        <v>911</v>
      </c>
      <c r="D125" s="16">
        <v>500000</v>
      </c>
      <c r="E125" s="16">
        <v>66650</v>
      </c>
      <c r="F125" s="41">
        <f t="shared" si="15"/>
        <v>566650</v>
      </c>
      <c r="G125" s="159">
        <v>50</v>
      </c>
      <c r="H125" s="279">
        <v>11333</v>
      </c>
      <c r="I125" s="188">
        <v>3</v>
      </c>
      <c r="J125" s="188">
        <f t="shared" si="12"/>
        <v>47</v>
      </c>
      <c r="K125" s="257">
        <f t="shared" si="14"/>
        <v>33999</v>
      </c>
      <c r="L125" s="94">
        <f t="shared" si="13"/>
        <v>532651</v>
      </c>
      <c r="M125" s="122" t="s">
        <v>251</v>
      </c>
      <c r="O125" s="120"/>
    </row>
    <row r="126" spans="1:15" s="114" customFormat="1">
      <c r="A126" s="96">
        <v>130</v>
      </c>
      <c r="B126" s="96" t="s">
        <v>590</v>
      </c>
      <c r="C126" s="11" t="s">
        <v>591</v>
      </c>
      <c r="D126" s="19">
        <v>150000</v>
      </c>
      <c r="E126" s="19">
        <v>19995</v>
      </c>
      <c r="F126" s="19">
        <f t="shared" si="15"/>
        <v>169995</v>
      </c>
      <c r="G126" s="159">
        <v>50</v>
      </c>
      <c r="H126" s="277">
        <v>3399.9</v>
      </c>
      <c r="I126" s="97">
        <v>33</v>
      </c>
      <c r="J126" s="97">
        <f t="shared" si="12"/>
        <v>17</v>
      </c>
      <c r="K126" s="91">
        <f t="shared" si="14"/>
        <v>112196.7</v>
      </c>
      <c r="L126" s="94">
        <f t="shared" si="13"/>
        <v>57798.3</v>
      </c>
      <c r="M126" s="11"/>
      <c r="N126" s="120"/>
    </row>
    <row r="127" spans="1:15" s="114" customFormat="1">
      <c r="A127" s="96">
        <v>131</v>
      </c>
      <c r="B127" s="96" t="s">
        <v>631</v>
      </c>
      <c r="C127" s="11" t="s">
        <v>632</v>
      </c>
      <c r="D127" s="16">
        <v>500000</v>
      </c>
      <c r="E127" s="16">
        <v>66650</v>
      </c>
      <c r="F127" s="41">
        <f t="shared" si="15"/>
        <v>566650</v>
      </c>
      <c r="G127" s="159">
        <v>50</v>
      </c>
      <c r="H127" s="278">
        <v>11333</v>
      </c>
      <c r="I127" s="159">
        <v>55</v>
      </c>
      <c r="J127" s="97">
        <f t="shared" si="12"/>
        <v>-5</v>
      </c>
      <c r="K127" s="91">
        <f t="shared" si="14"/>
        <v>623315</v>
      </c>
      <c r="L127" s="94">
        <f t="shared" si="13"/>
        <v>-56665</v>
      </c>
      <c r="M127" s="11"/>
    </row>
    <row r="128" spans="1:15" s="114" customFormat="1">
      <c r="A128" s="96">
        <v>132</v>
      </c>
      <c r="B128" s="11" t="s">
        <v>898</v>
      </c>
      <c r="C128" s="123" t="s">
        <v>921</v>
      </c>
      <c r="D128" s="19">
        <v>330000</v>
      </c>
      <c r="E128" s="19">
        <v>43989</v>
      </c>
      <c r="F128" s="19">
        <f t="shared" si="15"/>
        <v>373989</v>
      </c>
      <c r="G128" s="159">
        <v>50</v>
      </c>
      <c r="H128" s="279">
        <v>7479.78</v>
      </c>
      <c r="I128" s="188">
        <v>3</v>
      </c>
      <c r="J128" s="188">
        <f t="shared" si="12"/>
        <v>47</v>
      </c>
      <c r="K128" s="257">
        <f t="shared" si="14"/>
        <v>22439.34</v>
      </c>
      <c r="L128" s="94">
        <f t="shared" si="13"/>
        <v>351549.66</v>
      </c>
      <c r="M128" s="122" t="s">
        <v>251</v>
      </c>
    </row>
    <row r="129" spans="1:15" s="114" customFormat="1">
      <c r="A129" s="96">
        <v>133</v>
      </c>
      <c r="B129" s="11" t="s">
        <v>888</v>
      </c>
      <c r="C129" s="123" t="s">
        <v>910</v>
      </c>
      <c r="D129" s="16">
        <v>500000</v>
      </c>
      <c r="E129" s="16">
        <v>66650</v>
      </c>
      <c r="F129" s="41">
        <f t="shared" si="15"/>
        <v>566650</v>
      </c>
      <c r="G129" s="159">
        <v>50</v>
      </c>
      <c r="H129" s="279">
        <v>11333</v>
      </c>
      <c r="I129" s="188">
        <v>3</v>
      </c>
      <c r="J129" s="188">
        <f t="shared" si="12"/>
        <v>47</v>
      </c>
      <c r="K129" s="257">
        <f t="shared" si="14"/>
        <v>33999</v>
      </c>
      <c r="L129" s="94">
        <f t="shared" si="13"/>
        <v>532651</v>
      </c>
      <c r="M129" s="122"/>
    </row>
    <row r="130" spans="1:15" s="114" customFormat="1">
      <c r="A130" s="126"/>
      <c r="B130" s="126"/>
      <c r="C130" s="8"/>
      <c r="D130" s="34">
        <f>SUM(D6:D129)</f>
        <v>53152000</v>
      </c>
      <c r="E130" s="34">
        <f>SUM(E6:E129)</f>
        <v>7002199.8399999999</v>
      </c>
      <c r="F130" s="34">
        <f>SUM(F6:F129)</f>
        <v>60154199.840000004</v>
      </c>
      <c r="G130" s="34"/>
      <c r="H130" s="34">
        <f>SUM(H6:H129)</f>
        <v>1233124.0499999998</v>
      </c>
      <c r="I130" s="34"/>
      <c r="J130" s="34"/>
      <c r="K130" s="34">
        <f>SUM(K6:K129)</f>
        <v>32832016.620000008</v>
      </c>
      <c r="L130" s="34">
        <f>SUM(L6:L129)</f>
        <v>27322183.219999988</v>
      </c>
      <c r="M130" s="8"/>
    </row>
    <row r="131" spans="1:15" s="114" customFormat="1">
      <c r="A131" s="270"/>
      <c r="B131" s="270"/>
      <c r="C131" s="69"/>
      <c r="D131" s="67"/>
      <c r="E131" s="67"/>
      <c r="F131" s="67"/>
      <c r="G131" s="67"/>
      <c r="H131" s="67"/>
      <c r="I131" s="67"/>
      <c r="J131" s="67"/>
      <c r="K131" s="67"/>
      <c r="L131" s="67"/>
      <c r="M131" s="69"/>
    </row>
    <row r="132" spans="1:15" s="114" customFormat="1">
      <c r="A132" s="270"/>
      <c r="B132" s="270"/>
      <c r="C132" s="69"/>
      <c r="D132" s="67"/>
      <c r="E132" s="67"/>
      <c r="F132" s="67"/>
      <c r="G132" s="67"/>
      <c r="H132" s="67"/>
      <c r="I132" s="67"/>
      <c r="J132" s="67"/>
      <c r="K132" s="67"/>
      <c r="L132" s="67"/>
      <c r="M132" s="69"/>
    </row>
    <row r="133" spans="1:15" s="120" customFormat="1">
      <c r="A133" s="270"/>
      <c r="B133" s="270"/>
      <c r="C133" s="69"/>
      <c r="D133" s="67"/>
      <c r="E133" s="67"/>
      <c r="F133" s="67"/>
      <c r="G133" s="67"/>
      <c r="H133" s="67"/>
      <c r="I133" s="67"/>
      <c r="J133" s="67"/>
      <c r="K133" s="67"/>
      <c r="L133" s="67"/>
      <c r="M133" s="69"/>
      <c r="N133" s="114"/>
      <c r="O133" s="114"/>
    </row>
    <row r="134" spans="1:15" s="114" customFormat="1">
      <c r="A134" s="270"/>
      <c r="B134" s="270"/>
      <c r="C134" s="69"/>
      <c r="D134" s="67"/>
      <c r="E134" s="67"/>
      <c r="F134" s="67"/>
      <c r="G134" s="67"/>
      <c r="H134" s="67"/>
      <c r="I134" s="67"/>
      <c r="J134" s="67"/>
      <c r="K134" s="67"/>
      <c r="L134" s="67"/>
      <c r="M134" s="69"/>
    </row>
    <row r="135" spans="1:15" s="114" customFormat="1">
      <c r="A135" s="270"/>
      <c r="B135" s="270"/>
      <c r="C135" s="69"/>
      <c r="D135" s="67"/>
      <c r="E135" s="67"/>
      <c r="F135" s="67"/>
      <c r="G135" s="67"/>
      <c r="H135" s="67"/>
      <c r="I135" s="67"/>
      <c r="J135" s="67"/>
      <c r="K135" s="67"/>
      <c r="L135" s="67"/>
      <c r="M135" s="69"/>
    </row>
    <row r="136" spans="1:15" s="114" customFormat="1">
      <c r="A136" s="270"/>
      <c r="B136" s="270"/>
      <c r="C136" s="69"/>
      <c r="D136" s="67"/>
      <c r="E136" s="67"/>
      <c r="F136" s="67"/>
      <c r="G136" s="67"/>
      <c r="H136" s="67"/>
      <c r="I136" s="67"/>
      <c r="J136" s="67"/>
      <c r="K136" s="67"/>
      <c r="L136" s="67"/>
      <c r="M136" s="69"/>
    </row>
    <row r="137" spans="1:15" s="114" customFormat="1">
      <c r="A137" s="270"/>
      <c r="B137" s="270"/>
      <c r="C137" s="69"/>
      <c r="D137" s="67"/>
      <c r="E137" s="67"/>
      <c r="F137" s="67"/>
      <c r="G137" s="67"/>
      <c r="H137" s="67"/>
      <c r="I137" s="67"/>
      <c r="J137" s="67"/>
      <c r="K137" s="67"/>
      <c r="L137" s="67"/>
      <c r="M137" s="69"/>
    </row>
    <row r="138" spans="1:15" s="114" customFormat="1">
      <c r="A138" s="270"/>
      <c r="B138" s="270"/>
      <c r="C138" s="69"/>
      <c r="D138" s="67"/>
      <c r="E138" s="67"/>
      <c r="F138" s="67"/>
      <c r="G138" s="67"/>
      <c r="H138" s="67"/>
      <c r="I138" s="67"/>
      <c r="J138" s="67"/>
      <c r="K138" s="67"/>
      <c r="L138" s="67"/>
      <c r="M138" s="69"/>
    </row>
    <row r="139" spans="1:15" s="114" customFormat="1">
      <c r="A139" s="44"/>
      <c r="B139" s="44"/>
      <c r="C139" s="184"/>
      <c r="D139"/>
      <c r="E139"/>
      <c r="F139"/>
      <c r="G139" s="43"/>
      <c r="H139" s="39">
        <v>1354178.6699999997</v>
      </c>
      <c r="I139" s="99"/>
      <c r="J139" s="99"/>
      <c r="K139"/>
      <c r="L139"/>
      <c r="M139"/>
    </row>
    <row r="140" spans="1:15" s="114" customFormat="1">
      <c r="A140" s="96">
        <v>4</v>
      </c>
      <c r="B140" s="268" t="s">
        <v>606</v>
      </c>
      <c r="C140" s="269" t="s">
        <v>853</v>
      </c>
      <c r="D140" s="19">
        <v>150000</v>
      </c>
      <c r="E140" s="19">
        <v>19995</v>
      </c>
      <c r="F140" s="19">
        <f>SUM(D140:E140)</f>
        <v>169995</v>
      </c>
      <c r="G140" s="240">
        <v>50</v>
      </c>
      <c r="H140" s="254">
        <v>3399.9</v>
      </c>
      <c r="I140" s="247">
        <v>2</v>
      </c>
      <c r="J140" s="97">
        <f t="shared" ref="J140:J157" si="16">G140-I140</f>
        <v>48</v>
      </c>
      <c r="K140" s="91">
        <f t="shared" ref="K140:K157" si="17">I140*H140</f>
        <v>6799.8</v>
      </c>
      <c r="L140" s="94">
        <f t="shared" ref="L140:L157" si="18">F140-K140</f>
        <v>163195.20000000001</v>
      </c>
      <c r="M140" s="11"/>
    </row>
    <row r="141" spans="1:15" s="114" customFormat="1">
      <c r="A141" s="96">
        <v>40</v>
      </c>
      <c r="B141" s="8" t="s">
        <v>623</v>
      </c>
      <c r="C141" s="132" t="s">
        <v>857</v>
      </c>
      <c r="D141" s="19">
        <v>450000</v>
      </c>
      <c r="E141" s="19">
        <v>59985</v>
      </c>
      <c r="F141" s="19">
        <v>509985</v>
      </c>
      <c r="G141" s="159">
        <v>50</v>
      </c>
      <c r="H141" s="254">
        <v>10199.700000000001</v>
      </c>
      <c r="I141" s="159">
        <v>2</v>
      </c>
      <c r="J141" s="97">
        <f t="shared" si="16"/>
        <v>48</v>
      </c>
      <c r="K141" s="91">
        <f t="shared" si="17"/>
        <v>20399.400000000001</v>
      </c>
      <c r="L141" s="94">
        <f t="shared" si="18"/>
        <v>489585.6</v>
      </c>
      <c r="M141" s="11"/>
      <c r="N141" s="180"/>
    </row>
    <row r="142" spans="1:15" s="114" customFormat="1">
      <c r="A142" s="96">
        <v>59</v>
      </c>
      <c r="B142" s="8" t="s">
        <v>663</v>
      </c>
      <c r="C142" s="132" t="s">
        <v>854</v>
      </c>
      <c r="D142" s="19">
        <v>330000</v>
      </c>
      <c r="E142" s="19">
        <v>43989</v>
      </c>
      <c r="F142" s="19">
        <f t="shared" ref="F142:F148" si="19">SUM(D142:E142)</f>
        <v>373989</v>
      </c>
      <c r="G142" s="159">
        <v>50</v>
      </c>
      <c r="H142" s="254">
        <v>7479.78</v>
      </c>
      <c r="I142" s="159">
        <v>2</v>
      </c>
      <c r="J142" s="97">
        <f t="shared" si="16"/>
        <v>48</v>
      </c>
      <c r="K142" s="91">
        <f t="shared" si="17"/>
        <v>14959.56</v>
      </c>
      <c r="L142" s="94">
        <f t="shared" si="18"/>
        <v>359029.44</v>
      </c>
      <c r="M142" s="11"/>
      <c r="N142" s="180"/>
    </row>
    <row r="143" spans="1:15" s="114" customFormat="1">
      <c r="A143" s="96">
        <v>99</v>
      </c>
      <c r="B143" s="8" t="s">
        <v>723</v>
      </c>
      <c r="C143" s="132" t="s">
        <v>861</v>
      </c>
      <c r="D143" s="16">
        <v>500000</v>
      </c>
      <c r="E143" s="16">
        <v>66650</v>
      </c>
      <c r="F143" s="41">
        <f t="shared" si="19"/>
        <v>566650</v>
      </c>
      <c r="G143" s="159">
        <v>50</v>
      </c>
      <c r="H143" s="254">
        <v>11333</v>
      </c>
      <c r="I143" s="159">
        <v>2</v>
      </c>
      <c r="J143" s="97">
        <f t="shared" si="16"/>
        <v>48</v>
      </c>
      <c r="K143" s="91">
        <f t="shared" si="17"/>
        <v>22666</v>
      </c>
      <c r="L143" s="94">
        <f t="shared" si="18"/>
        <v>543984</v>
      </c>
      <c r="M143" s="11"/>
      <c r="N143" s="180" t="e">
        <f>#REF!-H142</f>
        <v>#REF!</v>
      </c>
    </row>
    <row r="144" spans="1:15" s="114" customFormat="1">
      <c r="A144" s="96">
        <v>7</v>
      </c>
      <c r="B144" s="241" t="s">
        <v>674</v>
      </c>
      <c r="C144" s="11" t="s">
        <v>675</v>
      </c>
      <c r="D144" s="16">
        <v>500000</v>
      </c>
      <c r="E144" s="16">
        <v>53320</v>
      </c>
      <c r="F144" s="41">
        <f t="shared" si="19"/>
        <v>553320</v>
      </c>
      <c r="G144" s="240">
        <v>40</v>
      </c>
      <c r="H144" s="209">
        <v>13833</v>
      </c>
      <c r="I144" s="243">
        <v>53</v>
      </c>
      <c r="J144" s="96">
        <f t="shared" si="16"/>
        <v>-13</v>
      </c>
      <c r="K144" s="16">
        <f t="shared" si="17"/>
        <v>733149</v>
      </c>
      <c r="L144" s="41">
        <f t="shared" si="18"/>
        <v>-179829</v>
      </c>
      <c r="M144" s="11"/>
    </row>
    <row r="145" spans="1:14" s="114" customFormat="1">
      <c r="A145" s="96">
        <v>9</v>
      </c>
      <c r="B145" s="96" t="s">
        <v>602</v>
      </c>
      <c r="C145" s="11" t="s">
        <v>603</v>
      </c>
      <c r="D145" s="16">
        <v>330000</v>
      </c>
      <c r="E145" s="16">
        <v>43989</v>
      </c>
      <c r="F145" s="41">
        <f t="shared" si="19"/>
        <v>373989</v>
      </c>
      <c r="G145" s="159">
        <v>50</v>
      </c>
      <c r="H145" s="203">
        <v>7479.78</v>
      </c>
      <c r="I145" s="96">
        <v>41</v>
      </c>
      <c r="J145" s="96">
        <f t="shared" si="16"/>
        <v>9</v>
      </c>
      <c r="K145" s="16">
        <f t="shared" si="17"/>
        <v>306670.98</v>
      </c>
      <c r="L145" s="41">
        <f t="shared" si="18"/>
        <v>67318.020000000019</v>
      </c>
      <c r="M145" s="11"/>
      <c r="N145" s="180" t="e">
        <f>#REF!-H144</f>
        <v>#REF!</v>
      </c>
    </row>
    <row r="146" spans="1:14" s="114" customFormat="1">
      <c r="A146" s="96">
        <v>18</v>
      </c>
      <c r="B146" s="96" t="s">
        <v>672</v>
      </c>
      <c r="C146" s="11" t="s">
        <v>673</v>
      </c>
      <c r="D146" s="16">
        <v>500000</v>
      </c>
      <c r="E146" s="16">
        <v>53320</v>
      </c>
      <c r="F146" s="41">
        <f t="shared" si="19"/>
        <v>553320</v>
      </c>
      <c r="G146" s="159">
        <v>40</v>
      </c>
      <c r="H146" s="209">
        <v>13833</v>
      </c>
      <c r="I146" s="97">
        <v>53</v>
      </c>
      <c r="J146" s="97">
        <f t="shared" si="16"/>
        <v>-13</v>
      </c>
      <c r="K146" s="91">
        <f t="shared" si="17"/>
        <v>733149</v>
      </c>
      <c r="L146" s="94">
        <f t="shared" si="18"/>
        <v>-179829</v>
      </c>
      <c r="M146" s="11"/>
      <c r="N146" s="180" t="e">
        <f>#REF!-H145</f>
        <v>#REF!</v>
      </c>
    </row>
    <row r="147" spans="1:14" s="114" customFormat="1">
      <c r="A147" s="96">
        <v>56</v>
      </c>
      <c r="B147" s="96" t="s">
        <v>592</v>
      </c>
      <c r="C147" s="11" t="s">
        <v>593</v>
      </c>
      <c r="D147" s="16">
        <v>500000</v>
      </c>
      <c r="E147" s="16">
        <v>53320</v>
      </c>
      <c r="F147" s="41">
        <f t="shared" si="19"/>
        <v>553320</v>
      </c>
      <c r="G147" s="159">
        <v>40</v>
      </c>
      <c r="H147" s="209">
        <v>13833</v>
      </c>
      <c r="I147" s="97">
        <v>53</v>
      </c>
      <c r="J147" s="97">
        <f t="shared" si="16"/>
        <v>-13</v>
      </c>
      <c r="K147" s="91">
        <f t="shared" si="17"/>
        <v>733149</v>
      </c>
      <c r="L147" s="94">
        <f t="shared" si="18"/>
        <v>-179829</v>
      </c>
      <c r="M147" s="11"/>
      <c r="N147" s="180" t="e">
        <f>#REF!-H146</f>
        <v>#REF!</v>
      </c>
    </row>
    <row r="148" spans="1:14" s="114" customFormat="1">
      <c r="A148" s="96">
        <v>82</v>
      </c>
      <c r="B148" s="96" t="s">
        <v>555</v>
      </c>
      <c r="C148" s="11" t="s">
        <v>556</v>
      </c>
      <c r="D148" s="16">
        <v>500000</v>
      </c>
      <c r="E148" s="16">
        <v>66650</v>
      </c>
      <c r="F148" s="41">
        <f t="shared" si="19"/>
        <v>566650</v>
      </c>
      <c r="G148" s="159">
        <v>50</v>
      </c>
      <c r="H148" s="209">
        <v>11333</v>
      </c>
      <c r="I148" s="97">
        <v>32</v>
      </c>
      <c r="J148" s="97">
        <f t="shared" si="16"/>
        <v>18</v>
      </c>
      <c r="K148" s="91">
        <f t="shared" si="17"/>
        <v>362656</v>
      </c>
      <c r="L148" s="94">
        <f t="shared" si="18"/>
        <v>203994</v>
      </c>
      <c r="M148" s="11"/>
      <c r="N148" s="180" t="e">
        <f>#REF!-H147</f>
        <v>#REF!</v>
      </c>
    </row>
    <row r="149" spans="1:14" s="114" customFormat="1">
      <c r="A149" s="96">
        <v>129</v>
      </c>
      <c r="B149" s="96" t="s">
        <v>705</v>
      </c>
      <c r="C149" s="11" t="s">
        <v>706</v>
      </c>
      <c r="D149" s="19">
        <v>450000</v>
      </c>
      <c r="E149" s="19">
        <v>59985</v>
      </c>
      <c r="F149" s="19">
        <v>509985</v>
      </c>
      <c r="G149" s="159">
        <v>50</v>
      </c>
      <c r="H149" s="209">
        <v>10199.700000000001</v>
      </c>
      <c r="I149" s="159">
        <v>7</v>
      </c>
      <c r="J149" s="97">
        <f t="shared" si="16"/>
        <v>43</v>
      </c>
      <c r="K149" s="91">
        <f t="shared" si="17"/>
        <v>71397.900000000009</v>
      </c>
      <c r="L149" s="94">
        <f t="shared" si="18"/>
        <v>438587.1</v>
      </c>
      <c r="M149" s="11"/>
      <c r="N149" s="180" t="e">
        <f>#REF!-H148</f>
        <v>#REF!</v>
      </c>
    </row>
    <row r="150" spans="1:14" s="114" customFormat="1">
      <c r="A150" s="96">
        <v>103</v>
      </c>
      <c r="B150" s="96" t="s">
        <v>540</v>
      </c>
      <c r="C150" s="11" t="s">
        <v>541</v>
      </c>
      <c r="D150" s="16">
        <v>500000</v>
      </c>
      <c r="E150" s="16">
        <v>66650</v>
      </c>
      <c r="F150" s="41">
        <f>SUM(D150:E150)</f>
        <v>566650</v>
      </c>
      <c r="G150" s="159">
        <v>50</v>
      </c>
      <c r="H150" s="209">
        <v>11333</v>
      </c>
      <c r="I150" s="97">
        <v>37</v>
      </c>
      <c r="J150" s="97">
        <f t="shared" si="16"/>
        <v>13</v>
      </c>
      <c r="K150" s="91">
        <f t="shared" si="17"/>
        <v>419321</v>
      </c>
      <c r="L150" s="94">
        <f t="shared" si="18"/>
        <v>147329</v>
      </c>
      <c r="M150" s="11"/>
      <c r="N150"/>
    </row>
    <row r="151" spans="1:14" s="114" customFormat="1">
      <c r="A151" s="96">
        <v>33</v>
      </c>
      <c r="B151" s="122" t="s">
        <v>897</v>
      </c>
      <c r="C151" s="123" t="s">
        <v>920</v>
      </c>
      <c r="D151" s="19">
        <v>450000</v>
      </c>
      <c r="E151" s="19">
        <v>59985</v>
      </c>
      <c r="F151" s="19">
        <v>509985</v>
      </c>
      <c r="G151" s="159">
        <v>50</v>
      </c>
      <c r="H151" s="254">
        <v>10199.700000000001</v>
      </c>
      <c r="I151" s="188">
        <v>2</v>
      </c>
      <c r="J151" s="188">
        <f t="shared" si="16"/>
        <v>48</v>
      </c>
      <c r="K151" s="257">
        <f t="shared" si="17"/>
        <v>20399.400000000001</v>
      </c>
      <c r="L151" s="94">
        <f t="shared" si="18"/>
        <v>489585.6</v>
      </c>
      <c r="M151" s="122" t="s">
        <v>251</v>
      </c>
    </row>
    <row r="152" spans="1:14" s="114" customFormat="1">
      <c r="A152" s="96">
        <v>41</v>
      </c>
      <c r="B152" s="122" t="s">
        <v>881</v>
      </c>
      <c r="C152" s="123" t="s">
        <v>903</v>
      </c>
      <c r="D152" s="16">
        <v>500000</v>
      </c>
      <c r="E152" s="16">
        <v>66650</v>
      </c>
      <c r="F152" s="41">
        <f>SUM(D152:E152)</f>
        <v>566650</v>
      </c>
      <c r="G152" s="159">
        <v>50</v>
      </c>
      <c r="H152" s="254">
        <v>13833</v>
      </c>
      <c r="I152" s="188">
        <v>2</v>
      </c>
      <c r="J152" s="188">
        <f t="shared" si="16"/>
        <v>48</v>
      </c>
      <c r="K152" s="257">
        <f t="shared" si="17"/>
        <v>27666</v>
      </c>
      <c r="L152" s="94">
        <f t="shared" si="18"/>
        <v>538984</v>
      </c>
      <c r="M152" s="122" t="s">
        <v>251</v>
      </c>
      <c r="N152" s="180" t="e">
        <f>#REF!-H152</f>
        <v>#REF!</v>
      </c>
    </row>
    <row r="153" spans="1:14" s="114" customFormat="1">
      <c r="A153" s="96">
        <v>63</v>
      </c>
      <c r="B153" s="96" t="s">
        <v>891</v>
      </c>
      <c r="C153" s="11" t="s">
        <v>913</v>
      </c>
      <c r="D153" s="12">
        <v>450000</v>
      </c>
      <c r="E153" s="12">
        <v>59985</v>
      </c>
      <c r="F153" s="15">
        <f>SUM(D153:E153)</f>
        <v>509985</v>
      </c>
      <c r="G153" s="14">
        <v>50</v>
      </c>
      <c r="H153" s="203">
        <v>10199.9</v>
      </c>
      <c r="I153" s="14">
        <v>39</v>
      </c>
      <c r="J153" s="97">
        <f t="shared" si="16"/>
        <v>11</v>
      </c>
      <c r="K153" s="91">
        <f t="shared" si="17"/>
        <v>397796.1</v>
      </c>
      <c r="L153" s="15">
        <f t="shared" si="18"/>
        <v>112188.90000000002</v>
      </c>
      <c r="M153" s="8"/>
      <c r="N153" s="180" t="e">
        <f>#REF!-H153</f>
        <v>#REF!</v>
      </c>
    </row>
    <row r="154" spans="1:14" s="114" customFormat="1">
      <c r="A154" s="96">
        <v>94</v>
      </c>
      <c r="B154" s="122" t="s">
        <v>892</v>
      </c>
      <c r="C154" s="123" t="s">
        <v>914</v>
      </c>
      <c r="D154" s="19">
        <v>450000</v>
      </c>
      <c r="E154" s="19">
        <v>59985</v>
      </c>
      <c r="F154" s="19">
        <v>509985</v>
      </c>
      <c r="G154" s="159">
        <v>50</v>
      </c>
      <c r="H154" s="254">
        <v>10199.700000000001</v>
      </c>
      <c r="I154" s="188">
        <v>2</v>
      </c>
      <c r="J154" s="188">
        <f t="shared" si="16"/>
        <v>48</v>
      </c>
      <c r="K154" s="257">
        <f t="shared" si="17"/>
        <v>20399.400000000001</v>
      </c>
      <c r="L154" s="94">
        <f t="shared" si="18"/>
        <v>489585.6</v>
      </c>
      <c r="M154" s="122" t="s">
        <v>251</v>
      </c>
      <c r="N154" s="180" t="e">
        <f>#REF!-H154</f>
        <v>#REF!</v>
      </c>
    </row>
    <row r="155" spans="1:14" s="114" customFormat="1">
      <c r="A155" s="96">
        <v>106</v>
      </c>
      <c r="B155" s="8" t="s">
        <v>628</v>
      </c>
      <c r="C155" s="11" t="s">
        <v>917</v>
      </c>
      <c r="D155" s="19">
        <v>450000</v>
      </c>
      <c r="E155" s="19">
        <v>59985</v>
      </c>
      <c r="F155" s="19">
        <v>509985</v>
      </c>
      <c r="G155" s="159">
        <v>50</v>
      </c>
      <c r="H155" s="254">
        <v>10199.700000000001</v>
      </c>
      <c r="I155" s="159">
        <v>3</v>
      </c>
      <c r="J155" s="97">
        <f t="shared" si="16"/>
        <v>47</v>
      </c>
      <c r="K155" s="91">
        <f t="shared" si="17"/>
        <v>30599.100000000002</v>
      </c>
      <c r="L155" s="94">
        <f t="shared" si="18"/>
        <v>479385.9</v>
      </c>
      <c r="M155" s="11"/>
      <c r="N155"/>
    </row>
    <row r="156" spans="1:14" s="114" customFormat="1">
      <c r="A156" s="96">
        <v>115</v>
      </c>
      <c r="B156" s="122" t="s">
        <v>882</v>
      </c>
      <c r="C156" s="123" t="s">
        <v>904</v>
      </c>
      <c r="D156" s="19">
        <v>450000</v>
      </c>
      <c r="E156" s="19">
        <v>59985</v>
      </c>
      <c r="F156" s="19">
        <v>509985</v>
      </c>
      <c r="G156" s="159">
        <v>50</v>
      </c>
      <c r="H156" s="254">
        <v>13699.7</v>
      </c>
      <c r="I156" s="188">
        <v>2</v>
      </c>
      <c r="J156" s="188">
        <f t="shared" si="16"/>
        <v>48</v>
      </c>
      <c r="K156" s="257">
        <f t="shared" si="17"/>
        <v>27399.4</v>
      </c>
      <c r="L156" s="94">
        <f t="shared" si="18"/>
        <v>482585.59999999998</v>
      </c>
      <c r="M156" s="122" t="s">
        <v>251</v>
      </c>
    </row>
    <row r="157" spans="1:14" s="114" customFormat="1">
      <c r="A157" s="96">
        <v>120</v>
      </c>
      <c r="B157" s="96" t="s">
        <v>577</v>
      </c>
      <c r="C157" s="11" t="s">
        <v>578</v>
      </c>
      <c r="D157" s="19">
        <v>330000</v>
      </c>
      <c r="E157" s="19">
        <v>43989</v>
      </c>
      <c r="F157" s="19">
        <f>SUM(D157:E157)</f>
        <v>373989</v>
      </c>
      <c r="G157" s="159">
        <v>50</v>
      </c>
      <c r="H157" s="209">
        <v>7479.78</v>
      </c>
      <c r="I157" s="159">
        <v>7</v>
      </c>
      <c r="J157" s="97">
        <f t="shared" si="16"/>
        <v>43</v>
      </c>
      <c r="K157" s="91">
        <f t="shared" si="17"/>
        <v>52358.46</v>
      </c>
      <c r="L157" s="94">
        <f t="shared" si="18"/>
        <v>321630.53999999998</v>
      </c>
      <c r="M157" s="214"/>
    </row>
    <row r="158" spans="1:14" s="114" customFormat="1">
      <c r="A158" s="44"/>
      <c r="B158" s="44"/>
      <c r="C158" s="184"/>
      <c r="D158"/>
      <c r="E158"/>
      <c r="F158"/>
      <c r="G158" s="43"/>
      <c r="H158" s="39"/>
      <c r="I158" s="99"/>
      <c r="J158" s="99"/>
      <c r="K158"/>
      <c r="L158"/>
      <c r="M158"/>
    </row>
    <row r="159" spans="1:14" s="114" customFormat="1" ht="18" customHeight="1">
      <c r="A159" s="44"/>
      <c r="B159" s="44"/>
      <c r="C159" s="184"/>
      <c r="D159"/>
      <c r="E159"/>
      <c r="F159"/>
      <c r="G159" s="43"/>
      <c r="H159" s="39">
        <f>H139-H130</f>
        <v>121054.61999999988</v>
      </c>
      <c r="I159" s="99"/>
      <c r="J159" s="99"/>
      <c r="K159"/>
      <c r="L159"/>
      <c r="M159"/>
    </row>
    <row r="160" spans="1:14" s="114" customFormat="1" ht="18" customHeigh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4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44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44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44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44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44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 ht="18" customHeight="1">
      <c r="A167" s="44"/>
      <c r="B167" s="44"/>
      <c r="C167" s="184"/>
      <c r="D167"/>
      <c r="E167"/>
      <c r="F167"/>
      <c r="G167" s="43"/>
      <c r="H167" s="39"/>
      <c r="I167" s="99"/>
      <c r="J167" s="99"/>
      <c r="K167"/>
      <c r="L167"/>
      <c r="M167"/>
    </row>
    <row r="168" spans="1:14" s="114" customFormat="1">
      <c r="A168" s="96">
        <v>9</v>
      </c>
      <c r="B168" s="96" t="s">
        <v>704</v>
      </c>
      <c r="C168" s="2" t="s">
        <v>794</v>
      </c>
      <c r="D168" s="16">
        <v>500000</v>
      </c>
      <c r="E168" s="16">
        <v>66650</v>
      </c>
      <c r="F168" s="41">
        <f>SUM(D168:E168)</f>
        <v>566650</v>
      </c>
      <c r="G168" s="159">
        <v>50</v>
      </c>
      <c r="H168" s="209">
        <v>11333</v>
      </c>
      <c r="I168" s="96">
        <v>40</v>
      </c>
      <c r="J168" s="96">
        <f>G168-I168</f>
        <v>10</v>
      </c>
      <c r="K168" s="16">
        <f>I168*H168</f>
        <v>453320</v>
      </c>
      <c r="L168" s="41">
        <f>F168-K168</f>
        <v>113330</v>
      </c>
      <c r="M168" s="11"/>
      <c r="N168" s="180" t="e">
        <f>#REF!-H168</f>
        <v>#REF!</v>
      </c>
    </row>
    <row r="169" spans="1:14" s="114" customFormat="1">
      <c r="A169" s="96">
        <v>38</v>
      </c>
      <c r="B169" s="96" t="s">
        <v>511</v>
      </c>
      <c r="C169" s="173" t="s">
        <v>837</v>
      </c>
      <c r="D169" s="41">
        <v>200000</v>
      </c>
      <c r="E169" s="41">
        <v>26660</v>
      </c>
      <c r="F169" s="41">
        <f>SUM(D169:E169)</f>
        <v>226660</v>
      </c>
      <c r="G169" s="159">
        <v>40</v>
      </c>
      <c r="H169" s="203">
        <v>7479</v>
      </c>
      <c r="I169" s="97">
        <v>17</v>
      </c>
      <c r="J169" s="97">
        <f>G169-I169</f>
        <v>23</v>
      </c>
      <c r="K169" s="91">
        <f>I169*H169</f>
        <v>127143</v>
      </c>
      <c r="L169" s="94">
        <f>F169-K169</f>
        <v>99517</v>
      </c>
      <c r="M169" s="11"/>
      <c r="N169" s="180" t="e">
        <f>#REF!-H169</f>
        <v>#REF!</v>
      </c>
    </row>
    <row r="170" spans="1:14" s="114" customFormat="1">
      <c r="A170" s="96">
        <v>56</v>
      </c>
      <c r="B170" s="96" t="s">
        <v>637</v>
      </c>
      <c r="C170" s="23" t="s">
        <v>776</v>
      </c>
      <c r="D170" s="16">
        <v>500000</v>
      </c>
      <c r="E170" s="16">
        <v>66650</v>
      </c>
      <c r="F170" s="41">
        <f>SUM(D170:E170)</f>
        <v>566650</v>
      </c>
      <c r="G170" s="159">
        <v>50</v>
      </c>
      <c r="H170" s="209">
        <v>11333</v>
      </c>
      <c r="I170" s="97">
        <v>39</v>
      </c>
      <c r="J170" s="97">
        <f>G170-I170</f>
        <v>11</v>
      </c>
      <c r="K170" s="91">
        <f>I170*H170</f>
        <v>441987</v>
      </c>
      <c r="L170" s="94">
        <f>F170-K170</f>
        <v>124663</v>
      </c>
      <c r="M170" s="11"/>
      <c r="N170" s="180" t="e">
        <f>#REF!-H170</f>
        <v>#REF!</v>
      </c>
    </row>
    <row r="171" spans="1:14" s="114" customFormat="1">
      <c r="A171" s="96">
        <v>91</v>
      </c>
      <c r="B171" s="96" t="s">
        <v>587</v>
      </c>
      <c r="C171" s="2" t="s">
        <v>763</v>
      </c>
      <c r="D171" s="12">
        <v>500000</v>
      </c>
      <c r="E171" s="12">
        <v>66650</v>
      </c>
      <c r="F171" s="15">
        <f>SUM(D171:E171)</f>
        <v>566650</v>
      </c>
      <c r="G171" s="14">
        <v>50</v>
      </c>
      <c r="H171" s="143">
        <v>11333</v>
      </c>
      <c r="I171" s="14">
        <v>34</v>
      </c>
      <c r="J171" s="97">
        <f>G171-I171</f>
        <v>16</v>
      </c>
      <c r="K171" s="91">
        <f>I171*H171</f>
        <v>385322</v>
      </c>
      <c r="L171" s="15">
        <f>F171-K171</f>
        <v>181328</v>
      </c>
      <c r="M171" s="8"/>
      <c r="N171" s="180" t="e">
        <f>#REF!-H171</f>
        <v>#REF!</v>
      </c>
    </row>
    <row r="172" spans="1:14" s="114" customFormat="1">
      <c r="A172" s="96">
        <v>105</v>
      </c>
      <c r="B172" s="96" t="s">
        <v>678</v>
      </c>
      <c r="C172" s="23" t="s">
        <v>733</v>
      </c>
      <c r="D172" s="16">
        <v>500000</v>
      </c>
      <c r="E172" s="16">
        <v>47992</v>
      </c>
      <c r="F172" s="41">
        <f>SUM(D172:E172)</f>
        <v>547992</v>
      </c>
      <c r="G172" s="159">
        <v>36</v>
      </c>
      <c r="H172" s="203">
        <v>15222</v>
      </c>
      <c r="I172" s="97">
        <v>30</v>
      </c>
      <c r="J172" s="97">
        <f>G172-I172</f>
        <v>6</v>
      </c>
      <c r="K172" s="91">
        <f>I172*H172</f>
        <v>456660</v>
      </c>
      <c r="L172" s="94">
        <f>F172-K172</f>
        <v>91332</v>
      </c>
      <c r="M172" s="11"/>
      <c r="N172" s="180" t="e">
        <f>#REF!-H172</f>
        <v>#REF!</v>
      </c>
    </row>
    <row r="173" spans="1:14" s="114" customFormat="1"/>
    <row r="174" spans="1:14" s="114" customFormat="1">
      <c r="A174" s="96">
        <v>1</v>
      </c>
      <c r="B174" s="241"/>
      <c r="C174" s="4" t="s">
        <v>383</v>
      </c>
      <c r="D174" s="41">
        <v>200000</v>
      </c>
      <c r="E174" s="41">
        <v>26660</v>
      </c>
      <c r="F174" s="41">
        <f t="shared" ref="F174:F179" si="20">SUM(D174:E174)</f>
        <v>226660</v>
      </c>
      <c r="G174" s="159">
        <v>40</v>
      </c>
      <c r="H174" s="208">
        <v>5666.5</v>
      </c>
      <c r="I174" s="96">
        <v>42</v>
      </c>
      <c r="J174" s="96">
        <f t="shared" ref="J174:J183" si="21">G174-I174</f>
        <v>-2</v>
      </c>
      <c r="K174" s="16">
        <f t="shared" ref="K174:K183" si="22">I174*H174</f>
        <v>237993</v>
      </c>
      <c r="L174" s="41">
        <f t="shared" ref="L174:L183" si="23">F174-K174</f>
        <v>-11333</v>
      </c>
      <c r="M174" s="11"/>
      <c r="N174" s="180" t="e">
        <f>#REF!-H174</f>
        <v>#REF!</v>
      </c>
    </row>
    <row r="175" spans="1:14" s="114" customFormat="1">
      <c r="A175" s="96">
        <v>5</v>
      </c>
      <c r="B175" s="241"/>
      <c r="C175" s="4" t="s">
        <v>413</v>
      </c>
      <c r="D175" s="12">
        <v>180000</v>
      </c>
      <c r="E175" s="12">
        <v>23994</v>
      </c>
      <c r="F175" s="15">
        <f t="shared" si="20"/>
        <v>203994</v>
      </c>
      <c r="G175" s="14">
        <v>40</v>
      </c>
      <c r="H175" s="208">
        <v>5099.8500000000004</v>
      </c>
      <c r="I175" s="159">
        <v>38</v>
      </c>
      <c r="J175" s="97">
        <f t="shared" si="21"/>
        <v>2</v>
      </c>
      <c r="K175" s="91">
        <f t="shared" si="22"/>
        <v>193794.30000000002</v>
      </c>
      <c r="L175" s="15">
        <f t="shared" si="23"/>
        <v>10199.699999999983</v>
      </c>
      <c r="M175" s="8"/>
      <c r="N175" s="180" t="e">
        <f>#REF!-H175</f>
        <v>#REF!</v>
      </c>
    </row>
    <row r="176" spans="1:14" s="114" customFormat="1">
      <c r="A176" s="96">
        <v>12</v>
      </c>
      <c r="B176" s="96"/>
      <c r="C176" s="2" t="s">
        <v>389</v>
      </c>
      <c r="D176" s="41">
        <v>200000</v>
      </c>
      <c r="E176" s="41">
        <v>26660</v>
      </c>
      <c r="F176" s="41">
        <f t="shared" si="20"/>
        <v>226660</v>
      </c>
      <c r="G176" s="220">
        <v>40</v>
      </c>
      <c r="H176" s="208">
        <v>5666.5</v>
      </c>
      <c r="I176" s="96">
        <v>53</v>
      </c>
      <c r="J176" s="96">
        <f t="shared" si="21"/>
        <v>-13</v>
      </c>
      <c r="K176" s="16">
        <f t="shared" si="22"/>
        <v>300324.5</v>
      </c>
      <c r="L176" s="41">
        <f t="shared" si="23"/>
        <v>-73664.5</v>
      </c>
      <c r="M176" s="152"/>
      <c r="N176" s="180" t="e">
        <f>#REF!-H176</f>
        <v>#REF!</v>
      </c>
    </row>
    <row r="177" spans="1:15" s="114" customFormat="1">
      <c r="A177" s="96">
        <v>29</v>
      </c>
      <c r="B177" s="241"/>
      <c r="C177" s="4" t="s">
        <v>414</v>
      </c>
      <c r="D177" s="16">
        <v>180000</v>
      </c>
      <c r="E177" s="16">
        <v>23994</v>
      </c>
      <c r="F177" s="41">
        <f t="shared" si="20"/>
        <v>203994</v>
      </c>
      <c r="G177" s="159">
        <v>40</v>
      </c>
      <c r="H177" s="208">
        <v>5099.8500000000004</v>
      </c>
      <c r="I177" s="97">
        <v>40</v>
      </c>
      <c r="J177" s="97">
        <f t="shared" si="21"/>
        <v>0</v>
      </c>
      <c r="K177" s="91">
        <f t="shared" si="22"/>
        <v>203994</v>
      </c>
      <c r="L177" s="94">
        <f t="shared" si="23"/>
        <v>0</v>
      </c>
      <c r="M177" s="11"/>
      <c r="N177" s="180" t="e">
        <f>#REF!-H177</f>
        <v>#REF!</v>
      </c>
    </row>
    <row r="178" spans="1:15" s="114" customFormat="1">
      <c r="A178" s="96">
        <v>64</v>
      </c>
      <c r="B178" s="241"/>
      <c r="C178" s="4" t="s">
        <v>403</v>
      </c>
      <c r="D178" s="41">
        <v>200000</v>
      </c>
      <c r="E178" s="41">
        <v>26660</v>
      </c>
      <c r="F178" s="41">
        <f t="shared" si="20"/>
        <v>226660</v>
      </c>
      <c r="G178" s="159">
        <v>40</v>
      </c>
      <c r="H178" s="208">
        <v>5666.5</v>
      </c>
      <c r="I178" s="97">
        <v>42</v>
      </c>
      <c r="J178" s="97">
        <f t="shared" si="21"/>
        <v>-2</v>
      </c>
      <c r="K178" s="91">
        <f t="shared" si="22"/>
        <v>237993</v>
      </c>
      <c r="L178" s="94">
        <f t="shared" si="23"/>
        <v>-11333</v>
      </c>
      <c r="M178" s="11"/>
      <c r="N178" s="180" t="e">
        <f>#REF!-H178</f>
        <v>#REF!</v>
      </c>
    </row>
    <row r="179" spans="1:15" s="114" customFormat="1">
      <c r="A179" s="96">
        <v>68</v>
      </c>
      <c r="B179" s="241"/>
      <c r="C179" s="4" t="s">
        <v>422</v>
      </c>
      <c r="D179" s="16">
        <v>132000</v>
      </c>
      <c r="E179" s="16">
        <v>17595.599999999999</v>
      </c>
      <c r="F179" s="41">
        <f t="shared" si="20"/>
        <v>149595.6</v>
      </c>
      <c r="G179" s="159">
        <v>40</v>
      </c>
      <c r="H179" s="208">
        <v>3739.89</v>
      </c>
      <c r="I179" s="97">
        <v>42</v>
      </c>
      <c r="J179" s="97">
        <f t="shared" si="21"/>
        <v>-2</v>
      </c>
      <c r="K179" s="91">
        <f t="shared" si="22"/>
        <v>157075.38</v>
      </c>
      <c r="L179" s="94">
        <f t="shared" si="23"/>
        <v>-7479.7799999999988</v>
      </c>
      <c r="M179" s="11"/>
      <c r="N179" s="180" t="e">
        <f>#REF!-H179</f>
        <v>#REF!</v>
      </c>
    </row>
    <row r="180" spans="1:15" s="114" customFormat="1">
      <c r="A180" s="96">
        <v>86</v>
      </c>
      <c r="B180" s="241"/>
      <c r="C180" s="4" t="s">
        <v>407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1"/>
        <v>-2</v>
      </c>
      <c r="K180" s="91">
        <f t="shared" si="22"/>
        <v>237993</v>
      </c>
      <c r="L180" s="94">
        <f t="shared" si="23"/>
        <v>-11333</v>
      </c>
      <c r="M180" s="11"/>
      <c r="N180" s="180" t="e">
        <f>#REF!-H180</f>
        <v>#REF!</v>
      </c>
    </row>
    <row r="181" spans="1:15" s="114" customFormat="1">
      <c r="A181" s="96">
        <v>94</v>
      </c>
      <c r="B181" s="241"/>
      <c r="C181" s="4" t="s">
        <v>408</v>
      </c>
      <c r="D181" s="41">
        <v>200000</v>
      </c>
      <c r="E181" s="41">
        <v>26660</v>
      </c>
      <c r="F181" s="41">
        <v>226660</v>
      </c>
      <c r="G181" s="159">
        <v>40</v>
      </c>
      <c r="H181" s="208">
        <v>5666.5</v>
      </c>
      <c r="I181" s="97">
        <v>42</v>
      </c>
      <c r="J181" s="97">
        <f t="shared" si="21"/>
        <v>-2</v>
      </c>
      <c r="K181" s="91">
        <f t="shared" si="22"/>
        <v>237993</v>
      </c>
      <c r="L181" s="94">
        <f t="shared" si="23"/>
        <v>-11333</v>
      </c>
      <c r="M181" s="11"/>
      <c r="N181" s="180" t="e">
        <f>#REF!-H181</f>
        <v>#REF!</v>
      </c>
    </row>
    <row r="182" spans="1:15" s="114" customFormat="1">
      <c r="A182" s="96">
        <v>99</v>
      </c>
      <c r="B182" s="241"/>
      <c r="C182" s="4" t="s">
        <v>409</v>
      </c>
      <c r="D182" s="41">
        <v>200000</v>
      </c>
      <c r="E182" s="41">
        <v>26660</v>
      </c>
      <c r="F182" s="41">
        <f>SUM(D182:E182)</f>
        <v>226660</v>
      </c>
      <c r="G182" s="159">
        <v>40</v>
      </c>
      <c r="H182" s="208">
        <v>5666.5</v>
      </c>
      <c r="I182" s="97">
        <v>42</v>
      </c>
      <c r="J182" s="97">
        <f t="shared" si="21"/>
        <v>-2</v>
      </c>
      <c r="K182" s="91">
        <f t="shared" si="22"/>
        <v>237993</v>
      </c>
      <c r="L182" s="94">
        <f t="shared" si="23"/>
        <v>-11333</v>
      </c>
      <c r="M182" s="11"/>
      <c r="N182" s="180" t="e">
        <f>#REF!-H182</f>
        <v>#REF!</v>
      </c>
      <c r="O182"/>
    </row>
    <row r="183" spans="1:15" s="114" customFormat="1">
      <c r="A183" s="96">
        <v>107</v>
      </c>
      <c r="B183" s="241"/>
      <c r="C183" s="4" t="s">
        <v>35</v>
      </c>
      <c r="D183" s="155">
        <v>150000</v>
      </c>
      <c r="E183" s="155">
        <v>19995</v>
      </c>
      <c r="F183" s="155">
        <f>SUM(D183:E183)</f>
        <v>169995</v>
      </c>
      <c r="G183" s="159">
        <v>50</v>
      </c>
      <c r="H183" s="208">
        <v>3399.9</v>
      </c>
      <c r="I183" s="97">
        <v>14</v>
      </c>
      <c r="J183" s="97">
        <f t="shared" si="21"/>
        <v>36</v>
      </c>
      <c r="K183" s="91">
        <f t="shared" si="22"/>
        <v>47598.6</v>
      </c>
      <c r="L183" s="91">
        <f t="shared" si="23"/>
        <v>122396.4</v>
      </c>
      <c r="M183" s="122"/>
      <c r="N183" s="180" t="e">
        <f>#REF!-H183</f>
        <v>#REF!</v>
      </c>
      <c r="O183"/>
    </row>
    <row r="184" spans="1:15" s="114" customFormat="1">
      <c r="O184"/>
    </row>
    <row r="185" spans="1:15" s="114" customFormat="1">
      <c r="A185" s="96">
        <v>30</v>
      </c>
      <c r="B185" s="96"/>
      <c r="C185" s="25" t="s">
        <v>362</v>
      </c>
      <c r="D185" s="12">
        <v>450000</v>
      </c>
      <c r="E185" s="12">
        <v>59985</v>
      </c>
      <c r="F185" s="15">
        <f>SUM(D185:E185)</f>
        <v>509985</v>
      </c>
      <c r="G185" s="14">
        <v>50</v>
      </c>
      <c r="H185" s="212">
        <v>10199.700000000001</v>
      </c>
      <c r="I185" s="14">
        <v>30</v>
      </c>
      <c r="J185" s="97">
        <f t="shared" ref="J185:J192" si="24">G185-I185</f>
        <v>20</v>
      </c>
      <c r="K185" s="91">
        <f>I185*H185</f>
        <v>305991</v>
      </c>
      <c r="L185" s="15">
        <f t="shared" ref="L185:L192" si="25">F185-K185</f>
        <v>203994</v>
      </c>
      <c r="M185" s="8"/>
      <c r="N185" s="180" t="e">
        <f>#REF!-H185</f>
        <v>#REF!</v>
      </c>
      <c r="O185"/>
    </row>
    <row r="186" spans="1:15" s="114" customFormat="1" ht="14.25" customHeight="1">
      <c r="A186" s="96">
        <v>102</v>
      </c>
      <c r="B186" s="241"/>
      <c r="C186" s="46" t="s">
        <v>289</v>
      </c>
      <c r="D186" s="16">
        <v>180000</v>
      </c>
      <c r="E186" s="16">
        <v>23994</v>
      </c>
      <c r="F186" s="16">
        <v>203994</v>
      </c>
      <c r="G186" s="221">
        <v>40</v>
      </c>
      <c r="H186" s="167">
        <v>5099.8500000000004</v>
      </c>
      <c r="I186" s="97">
        <v>40</v>
      </c>
      <c r="J186" s="97">
        <f t="shared" si="24"/>
        <v>0</v>
      </c>
      <c r="K186" s="156">
        <f>(36*5099.85)</f>
        <v>183594.6</v>
      </c>
      <c r="L186" s="91">
        <f t="shared" si="25"/>
        <v>20399.399999999994</v>
      </c>
      <c r="M186" s="122"/>
      <c r="N186" s="180" t="e">
        <f>#REF!-H186</f>
        <v>#REF!</v>
      </c>
      <c r="O186"/>
    </row>
    <row r="187" spans="1:15" s="114" customFormat="1" ht="14.25" customHeight="1">
      <c r="A187" s="96">
        <v>90</v>
      </c>
      <c r="B187" s="241"/>
      <c r="C187" s="4" t="s">
        <v>416</v>
      </c>
      <c r="D187" s="12">
        <v>180000</v>
      </c>
      <c r="E187" s="12">
        <v>23994</v>
      </c>
      <c r="F187" s="15">
        <f>SUM(D187:E187)</f>
        <v>203994</v>
      </c>
      <c r="G187" s="21">
        <v>40</v>
      </c>
      <c r="H187" s="167">
        <v>5099.8500000000004</v>
      </c>
      <c r="I187" s="14">
        <v>47</v>
      </c>
      <c r="J187" s="97">
        <f t="shared" si="24"/>
        <v>-7</v>
      </c>
      <c r="K187" s="91">
        <f t="shared" ref="K187:K192" si="26">I187*H187</f>
        <v>239692.95</v>
      </c>
      <c r="L187" s="15">
        <f t="shared" si="25"/>
        <v>-35698.950000000012</v>
      </c>
      <c r="M187" s="10"/>
      <c r="N187" s="180" t="e">
        <f>#REF!-H187</f>
        <v>#REF!</v>
      </c>
      <c r="O187"/>
    </row>
    <row r="188" spans="1:15" ht="14.25" customHeight="1">
      <c r="A188" s="96">
        <v>4</v>
      </c>
      <c r="B188" s="241"/>
      <c r="C188" s="4" t="s">
        <v>384</v>
      </c>
      <c r="D188" s="41">
        <v>200000</v>
      </c>
      <c r="E188" s="41">
        <v>26660</v>
      </c>
      <c r="F188" s="41">
        <f>SUM(D188:E188)</f>
        <v>226660</v>
      </c>
      <c r="G188" s="159">
        <v>40</v>
      </c>
      <c r="H188" s="167">
        <v>5666.5</v>
      </c>
      <c r="I188" s="96">
        <v>32</v>
      </c>
      <c r="J188" s="96">
        <f t="shared" si="24"/>
        <v>8</v>
      </c>
      <c r="K188" s="16">
        <f t="shared" si="26"/>
        <v>181328</v>
      </c>
      <c r="L188" s="41">
        <f t="shared" si="25"/>
        <v>45332</v>
      </c>
      <c r="M188" s="11"/>
      <c r="N188" s="180" t="e">
        <f>#REF!-H188</f>
        <v>#REF!</v>
      </c>
    </row>
    <row r="189" spans="1:15" ht="14.25" customHeight="1">
      <c r="A189" s="96">
        <v>10</v>
      </c>
      <c r="B189" s="241"/>
      <c r="C189" s="4" t="s">
        <v>388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24">
        <v>5666.5</v>
      </c>
      <c r="I189" s="14">
        <v>38</v>
      </c>
      <c r="J189" s="97">
        <f t="shared" si="24"/>
        <v>2</v>
      </c>
      <c r="K189" s="91">
        <f t="shared" si="26"/>
        <v>215327</v>
      </c>
      <c r="L189" s="15">
        <f t="shared" si="25"/>
        <v>11333</v>
      </c>
      <c r="M189" s="8"/>
      <c r="N189" s="180" t="e">
        <f>#REF!-H189</f>
        <v>#REF!</v>
      </c>
    </row>
    <row r="190" spans="1:15" ht="14.25" customHeight="1">
      <c r="A190" s="96">
        <v>25</v>
      </c>
      <c r="B190" s="241"/>
      <c r="C190" s="4" t="s">
        <v>140</v>
      </c>
      <c r="D190" s="15">
        <v>200000</v>
      </c>
      <c r="E190" s="15">
        <v>26660</v>
      </c>
      <c r="F190" s="15">
        <f>SUM(D190:E190)</f>
        <v>226660</v>
      </c>
      <c r="G190" s="14">
        <v>40</v>
      </c>
      <c r="H190" s="167">
        <v>5666.5</v>
      </c>
      <c r="I190" s="14">
        <v>34</v>
      </c>
      <c r="J190" s="97">
        <f t="shared" si="24"/>
        <v>6</v>
      </c>
      <c r="K190" s="91">
        <f t="shared" si="26"/>
        <v>192661</v>
      </c>
      <c r="L190" s="15">
        <f t="shared" si="25"/>
        <v>33999</v>
      </c>
      <c r="M190" s="8"/>
      <c r="N190" s="180" t="e">
        <f>#REF!-H190</f>
        <v>#REF!</v>
      </c>
    </row>
    <row r="191" spans="1:15" ht="14.25" customHeight="1">
      <c r="A191" s="96">
        <v>31</v>
      </c>
      <c r="B191" s="96"/>
      <c r="C191" s="2" t="s">
        <v>284</v>
      </c>
      <c r="D191" s="19">
        <v>500000</v>
      </c>
      <c r="E191" s="19">
        <v>66650</v>
      </c>
      <c r="F191" s="19">
        <v>566650</v>
      </c>
      <c r="G191" s="159">
        <v>50</v>
      </c>
      <c r="H191" s="167">
        <v>11333</v>
      </c>
      <c r="I191" s="97">
        <v>34</v>
      </c>
      <c r="J191" s="97">
        <f t="shared" si="24"/>
        <v>16</v>
      </c>
      <c r="K191" s="91">
        <f t="shared" si="26"/>
        <v>385322</v>
      </c>
      <c r="L191" s="91">
        <f t="shared" si="25"/>
        <v>181328</v>
      </c>
      <c r="M191" s="122"/>
      <c r="N191" s="180" t="e">
        <f>#REF!-H191</f>
        <v>#REF!</v>
      </c>
    </row>
    <row r="192" spans="1:15" ht="14.25" customHeight="1">
      <c r="A192" s="96">
        <v>122</v>
      </c>
      <c r="B192" s="241"/>
      <c r="C192" s="168" t="s">
        <v>382</v>
      </c>
      <c r="D192" s="12">
        <v>330000</v>
      </c>
      <c r="E192" s="12">
        <v>43989</v>
      </c>
      <c r="F192" s="15">
        <f>SUM(D192:E192)</f>
        <v>373989</v>
      </c>
      <c r="G192" s="14">
        <v>50</v>
      </c>
      <c r="H192" s="222">
        <v>7479.78</v>
      </c>
      <c r="I192" s="14">
        <v>32</v>
      </c>
      <c r="J192" s="97">
        <f t="shared" si="24"/>
        <v>18</v>
      </c>
      <c r="K192" s="91">
        <f t="shared" si="26"/>
        <v>239352.95999999999</v>
      </c>
      <c r="L192" s="15">
        <f t="shared" si="25"/>
        <v>134636.04</v>
      </c>
      <c r="M192" s="8"/>
    </row>
    <row r="193" spans="1:15" ht="14.25" customHeight="1">
      <c r="A193" s="114"/>
      <c r="B193" s="114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</row>
    <row r="194" spans="1:15" ht="14.25" customHeight="1">
      <c r="A194" s="96">
        <v>96</v>
      </c>
      <c r="B194" s="241"/>
      <c r="C194" s="4" t="s">
        <v>482</v>
      </c>
      <c r="D194" s="12">
        <v>60000</v>
      </c>
      <c r="E194" s="12">
        <v>7998</v>
      </c>
      <c r="F194" s="15">
        <f>SUM(D194:E194)</f>
        <v>67998</v>
      </c>
      <c r="G194" s="14">
        <v>40</v>
      </c>
      <c r="H194" s="172">
        <v>1699.95</v>
      </c>
      <c r="I194" s="97">
        <v>41</v>
      </c>
      <c r="J194" s="97">
        <f>G194-I194</f>
        <v>-1</v>
      </c>
      <c r="K194" s="91">
        <f>I194*H194</f>
        <v>69697.95</v>
      </c>
      <c r="L194" s="94">
        <f>F194-K194</f>
        <v>-1699.9499999999971</v>
      </c>
      <c r="M194" s="122"/>
      <c r="N194" s="114"/>
    </row>
    <row r="195" spans="1:15" ht="14.25" customHeight="1">
      <c r="A195" s="114"/>
      <c r="B195" s="114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21"/>
    </row>
    <row r="196" spans="1:15" ht="14.25" customHeight="1">
      <c r="A196" s="96">
        <v>121</v>
      </c>
      <c r="B196" s="241"/>
      <c r="C196" s="4" t="s">
        <v>429</v>
      </c>
      <c r="D196" s="16">
        <v>60000</v>
      </c>
      <c r="E196" s="16">
        <v>7998</v>
      </c>
      <c r="F196" s="41">
        <f>SUM(D196:E196)</f>
        <v>67998</v>
      </c>
      <c r="G196" s="159">
        <v>40</v>
      </c>
      <c r="H196" s="167">
        <v>1699.95</v>
      </c>
      <c r="I196" s="97">
        <v>40</v>
      </c>
      <c r="J196" s="97">
        <f>G196-I196</f>
        <v>0</v>
      </c>
      <c r="K196" s="91">
        <f>I196*H196</f>
        <v>67998</v>
      </c>
      <c r="L196" s="94">
        <f>F196-K196</f>
        <v>0</v>
      </c>
      <c r="M196" s="11"/>
      <c r="N196" s="180" t="e">
        <f>#REF!-H196</f>
        <v>#REF!</v>
      </c>
    </row>
    <row r="198" spans="1:15">
      <c r="A198" s="96">
        <v>12</v>
      </c>
      <c r="B198" s="96"/>
      <c r="C198" s="2" t="s">
        <v>373</v>
      </c>
      <c r="D198" s="16">
        <v>330000</v>
      </c>
      <c r="E198" s="16">
        <v>43989</v>
      </c>
      <c r="F198" s="41">
        <f>SUM(D198:E198)</f>
        <v>373989</v>
      </c>
      <c r="G198" s="33">
        <v>50</v>
      </c>
      <c r="H198" s="16">
        <v>7479.78</v>
      </c>
      <c r="I198" s="96">
        <v>26</v>
      </c>
      <c r="J198" s="96">
        <f>G198-I198</f>
        <v>24</v>
      </c>
      <c r="K198" s="16">
        <f>I198*H198</f>
        <v>194474.28</v>
      </c>
      <c r="L198" s="41">
        <f>F198-K198</f>
        <v>179514.72</v>
      </c>
      <c r="M198" s="11"/>
      <c r="N198" s="180" t="e">
        <f>#REF!-H198</f>
        <v>#REF!</v>
      </c>
    </row>
    <row r="199" spans="1:15">
      <c r="A199" s="96">
        <v>87</v>
      </c>
      <c r="B199" s="96"/>
      <c r="C199" s="2" t="s">
        <v>421</v>
      </c>
      <c r="D199" s="16">
        <v>132000</v>
      </c>
      <c r="E199" s="16">
        <v>17595.599999999999</v>
      </c>
      <c r="F199" s="16">
        <v>149595.6</v>
      </c>
      <c r="G199" s="45">
        <v>40</v>
      </c>
      <c r="H199" s="19">
        <v>3739.89</v>
      </c>
      <c r="I199" s="97">
        <v>46</v>
      </c>
      <c r="J199" s="97">
        <f>G199-I199</f>
        <v>-6</v>
      </c>
      <c r="K199" s="91">
        <f>I199*H199</f>
        <v>172034.94</v>
      </c>
      <c r="L199" s="94">
        <f>F199-K199</f>
        <v>-22439.339999999997</v>
      </c>
      <c r="M199" s="11"/>
      <c r="N199" s="180" t="e">
        <f>#REF!-H199</f>
        <v>#REF!</v>
      </c>
    </row>
    <row r="200" spans="1:15" s="121" customFormat="1">
      <c r="A200" s="96">
        <v>116</v>
      </c>
      <c r="B200" s="96"/>
      <c r="C200" s="2" t="s">
        <v>377</v>
      </c>
      <c r="D200" s="155">
        <v>330000</v>
      </c>
      <c r="E200" s="155">
        <v>43989</v>
      </c>
      <c r="F200" s="155">
        <f>SUM(D200:E200)</f>
        <v>373989</v>
      </c>
      <c r="G200" s="33">
        <v>50</v>
      </c>
      <c r="H200" s="154">
        <v>7479.78</v>
      </c>
      <c r="I200" s="97">
        <v>12</v>
      </c>
      <c r="J200" s="97">
        <f>G200-I200</f>
        <v>38</v>
      </c>
      <c r="K200" s="91">
        <f>I200*H200</f>
        <v>89757.36</v>
      </c>
      <c r="L200" s="91">
        <f>F200-K200</f>
        <v>284231.64</v>
      </c>
      <c r="M200" s="122"/>
      <c r="N200" s="180" t="e">
        <f>#REF!-H200</f>
        <v>#REF!</v>
      </c>
      <c r="O200"/>
    </row>
    <row r="202" spans="1:15">
      <c r="A202" s="96">
        <v>144</v>
      </c>
      <c r="B202" s="96"/>
      <c r="C202" s="2" t="s">
        <v>410</v>
      </c>
      <c r="D202" s="41">
        <v>200000</v>
      </c>
      <c r="E202" s="41">
        <v>26660</v>
      </c>
      <c r="F202" s="41">
        <f>SUM(D202:E202)</f>
        <v>226660</v>
      </c>
      <c r="G202" s="33">
        <v>40</v>
      </c>
      <c r="H202" s="41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147</v>
      </c>
      <c r="B203" s="96"/>
      <c r="C203" s="2" t="s">
        <v>411</v>
      </c>
      <c r="D203" s="41">
        <v>200000</v>
      </c>
      <c r="E203" s="41">
        <v>26660</v>
      </c>
      <c r="F203" s="41">
        <v>226660</v>
      </c>
      <c r="G203" s="33">
        <v>40</v>
      </c>
      <c r="H203" s="19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4" spans="1:15">
      <c r="A204" s="96">
        <v>148</v>
      </c>
      <c r="B204" s="96"/>
      <c r="C204" s="2" t="s">
        <v>412</v>
      </c>
      <c r="D204" s="41">
        <v>200000</v>
      </c>
      <c r="E204" s="41">
        <v>26660</v>
      </c>
      <c r="F204" s="41">
        <f>SUM(D204:E204)</f>
        <v>226660</v>
      </c>
      <c r="G204" s="33">
        <v>40</v>
      </c>
      <c r="H204" s="41">
        <v>5666.5</v>
      </c>
      <c r="I204" s="97">
        <v>40</v>
      </c>
      <c r="J204" s="97">
        <f>G204-I204</f>
        <v>0</v>
      </c>
      <c r="K204" s="91">
        <f>I204*H204</f>
        <v>226660</v>
      </c>
      <c r="L204" s="94">
        <f>F204-K204</f>
        <v>0</v>
      </c>
      <c r="M204" s="11"/>
      <c r="N204" s="180" t="e">
        <f>#REF!-H204</f>
        <v>#REF!</v>
      </c>
    </row>
    <row r="206" spans="1:15">
      <c r="A206" s="96">
        <v>6</v>
      </c>
      <c r="B206" s="96"/>
      <c r="C206" s="2" t="s">
        <v>418</v>
      </c>
      <c r="D206" s="16">
        <v>132000</v>
      </c>
      <c r="E206" s="16">
        <v>17595.599999999999</v>
      </c>
      <c r="F206" s="41">
        <f t="shared" ref="F206:F218" si="27">SUM(D206:E206)</f>
        <v>149595.6</v>
      </c>
      <c r="G206" s="33">
        <v>40</v>
      </c>
      <c r="H206" s="16">
        <v>3739.89</v>
      </c>
      <c r="I206" s="96">
        <v>40</v>
      </c>
      <c r="J206" s="96">
        <f t="shared" ref="J206:J226" si="28">G206-I206</f>
        <v>0</v>
      </c>
      <c r="K206" s="16">
        <f t="shared" ref="K206:K226" si="29">I206*H206</f>
        <v>149595.6</v>
      </c>
      <c r="L206" s="41">
        <f t="shared" ref="L206:L226" si="30">F206-K206</f>
        <v>0</v>
      </c>
      <c r="M206" s="11"/>
      <c r="N206" s="180" t="e">
        <f>#REF!-H206</f>
        <v>#REF!</v>
      </c>
    </row>
    <row r="207" spans="1:15">
      <c r="A207" s="96">
        <v>11</v>
      </c>
      <c r="B207" s="96"/>
      <c r="C207" s="2" t="s">
        <v>386</v>
      </c>
      <c r="D207" s="41">
        <v>200000</v>
      </c>
      <c r="E207" s="41">
        <v>26660</v>
      </c>
      <c r="F207" s="41">
        <f t="shared" si="27"/>
        <v>226660</v>
      </c>
      <c r="G207" s="33">
        <v>40</v>
      </c>
      <c r="H207" s="41">
        <v>5666.5</v>
      </c>
      <c r="I207" s="96">
        <v>40</v>
      </c>
      <c r="J207" s="96">
        <f t="shared" si="28"/>
        <v>0</v>
      </c>
      <c r="K207" s="16">
        <f t="shared" si="29"/>
        <v>226660</v>
      </c>
      <c r="L207" s="41">
        <f t="shared" si="30"/>
        <v>0</v>
      </c>
      <c r="M207" s="11"/>
      <c r="N207" s="180" t="e">
        <f>#REF!-H207</f>
        <v>#REF!</v>
      </c>
    </row>
    <row r="208" spans="1:15">
      <c r="A208" s="96">
        <v>13</v>
      </c>
      <c r="B208" s="96"/>
      <c r="C208" s="2" t="s">
        <v>387</v>
      </c>
      <c r="D208" s="41">
        <v>200000</v>
      </c>
      <c r="E208" s="41">
        <v>26660</v>
      </c>
      <c r="F208" s="41">
        <f t="shared" si="27"/>
        <v>226660</v>
      </c>
      <c r="G208" s="33">
        <v>40</v>
      </c>
      <c r="H208" s="41">
        <v>5666.5</v>
      </c>
      <c r="I208" s="96">
        <v>40</v>
      </c>
      <c r="J208" s="96">
        <f t="shared" si="28"/>
        <v>0</v>
      </c>
      <c r="K208" s="16">
        <f t="shared" si="29"/>
        <v>226660</v>
      </c>
      <c r="L208" s="41">
        <f t="shared" si="30"/>
        <v>0</v>
      </c>
      <c r="M208" s="11"/>
      <c r="N208" s="180" t="e">
        <f>#REF!-H208</f>
        <v>#REF!</v>
      </c>
    </row>
    <row r="209" spans="1:15">
      <c r="A209" s="96">
        <v>20</v>
      </c>
      <c r="B209" s="96"/>
      <c r="C209" s="2" t="s">
        <v>390</v>
      </c>
      <c r="D209" s="41">
        <v>200000</v>
      </c>
      <c r="E209" s="41">
        <v>26660</v>
      </c>
      <c r="F209" s="41">
        <f t="shared" si="27"/>
        <v>226660</v>
      </c>
      <c r="G209" s="33">
        <v>40</v>
      </c>
      <c r="H209" s="41">
        <v>5666.5</v>
      </c>
      <c r="I209" s="96">
        <v>40</v>
      </c>
      <c r="J209" s="96">
        <f t="shared" si="28"/>
        <v>0</v>
      </c>
      <c r="K209" s="16">
        <f t="shared" si="29"/>
        <v>226660</v>
      </c>
      <c r="L209" s="41">
        <f t="shared" si="30"/>
        <v>0</v>
      </c>
      <c r="M209" s="11"/>
      <c r="N209" s="180" t="e">
        <f>#REF!-H209</f>
        <v>#REF!</v>
      </c>
    </row>
    <row r="210" spans="1:15">
      <c r="A210" s="96">
        <v>29</v>
      </c>
      <c r="B210" s="96"/>
      <c r="C210" s="2" t="s">
        <v>391</v>
      </c>
      <c r="D210" s="41">
        <v>200000</v>
      </c>
      <c r="E210" s="41">
        <v>26660</v>
      </c>
      <c r="F210" s="41">
        <f t="shared" si="27"/>
        <v>226660</v>
      </c>
      <c r="G210" s="33">
        <v>40</v>
      </c>
      <c r="H210" s="41">
        <v>5666.5</v>
      </c>
      <c r="I210" s="97">
        <v>40</v>
      </c>
      <c r="J210" s="97">
        <f t="shared" si="28"/>
        <v>0</v>
      </c>
      <c r="K210" s="91">
        <f t="shared" si="29"/>
        <v>226660</v>
      </c>
      <c r="L210" s="94">
        <f t="shared" si="30"/>
        <v>0</v>
      </c>
      <c r="M210" s="11"/>
      <c r="N210" s="180" t="e">
        <f>#REF!-H210</f>
        <v>#REF!</v>
      </c>
    </row>
    <row r="211" spans="1:15">
      <c r="A211" s="96">
        <v>31</v>
      </c>
      <c r="B211" s="96"/>
      <c r="C211" s="2" t="s">
        <v>392</v>
      </c>
      <c r="D211" s="41">
        <v>200000</v>
      </c>
      <c r="E211" s="41">
        <v>26660</v>
      </c>
      <c r="F211" s="41">
        <f t="shared" si="27"/>
        <v>226660</v>
      </c>
      <c r="G211" s="33">
        <v>40</v>
      </c>
      <c r="H211" s="41">
        <v>5666.5</v>
      </c>
      <c r="I211" s="97">
        <v>40</v>
      </c>
      <c r="J211" s="97">
        <f t="shared" si="28"/>
        <v>0</v>
      </c>
      <c r="K211" s="91">
        <f t="shared" si="29"/>
        <v>226660</v>
      </c>
      <c r="L211" s="94">
        <f t="shared" si="30"/>
        <v>0</v>
      </c>
      <c r="M211" s="11"/>
      <c r="N211" s="180" t="e">
        <f>#REF!-H211</f>
        <v>#REF!</v>
      </c>
    </row>
    <row r="212" spans="1:15">
      <c r="A212" s="96">
        <v>34</v>
      </c>
      <c r="B212" s="96"/>
      <c r="C212" s="2" t="s">
        <v>393</v>
      </c>
      <c r="D212" s="41">
        <v>200000</v>
      </c>
      <c r="E212" s="41">
        <v>26660</v>
      </c>
      <c r="F212" s="41">
        <f t="shared" si="27"/>
        <v>226660</v>
      </c>
      <c r="G212" s="33">
        <v>40</v>
      </c>
      <c r="H212" s="41">
        <v>5666.5</v>
      </c>
      <c r="I212" s="97">
        <v>40</v>
      </c>
      <c r="J212" s="97">
        <f t="shared" si="28"/>
        <v>0</v>
      </c>
      <c r="K212" s="91">
        <f t="shared" si="29"/>
        <v>226660</v>
      </c>
      <c r="L212" s="94">
        <f t="shared" si="30"/>
        <v>0</v>
      </c>
      <c r="M212" s="11"/>
      <c r="N212" s="180" t="e">
        <f>#REF!-H212</f>
        <v>#REF!</v>
      </c>
    </row>
    <row r="213" spans="1:15">
      <c r="A213" s="96">
        <v>41</v>
      </c>
      <c r="B213" s="96"/>
      <c r="C213" s="2" t="s">
        <v>415</v>
      </c>
      <c r="D213" s="16">
        <v>180000</v>
      </c>
      <c r="E213" s="16">
        <v>23994</v>
      </c>
      <c r="F213" s="41">
        <f t="shared" si="27"/>
        <v>203994</v>
      </c>
      <c r="G213" s="33">
        <v>40</v>
      </c>
      <c r="H213" s="16">
        <v>5099.8500000000004</v>
      </c>
      <c r="I213" s="97">
        <v>40</v>
      </c>
      <c r="J213" s="97">
        <f t="shared" si="28"/>
        <v>0</v>
      </c>
      <c r="K213" s="91">
        <f t="shared" si="29"/>
        <v>203994</v>
      </c>
      <c r="L213" s="94">
        <f t="shared" si="30"/>
        <v>0</v>
      </c>
      <c r="M213" s="11"/>
      <c r="N213" s="180" t="e">
        <f>#REF!-H213</f>
        <v>#REF!</v>
      </c>
    </row>
    <row r="214" spans="1:15">
      <c r="A214" s="96">
        <v>45</v>
      </c>
      <c r="B214" s="96"/>
      <c r="C214" s="2" t="s">
        <v>394</v>
      </c>
      <c r="D214" s="41">
        <v>200000</v>
      </c>
      <c r="E214" s="41">
        <v>26660</v>
      </c>
      <c r="F214" s="41">
        <f t="shared" si="27"/>
        <v>226660</v>
      </c>
      <c r="G214" s="33">
        <v>40</v>
      </c>
      <c r="H214" s="41">
        <v>5666.5</v>
      </c>
      <c r="I214" s="97">
        <v>40</v>
      </c>
      <c r="J214" s="97">
        <f t="shared" si="28"/>
        <v>0</v>
      </c>
      <c r="K214" s="91">
        <f t="shared" si="29"/>
        <v>226660</v>
      </c>
      <c r="L214" s="94">
        <f t="shared" si="30"/>
        <v>0</v>
      </c>
      <c r="M214" s="11"/>
      <c r="N214" s="180" t="e">
        <f>#REF!-H214</f>
        <v>#REF!</v>
      </c>
    </row>
    <row r="215" spans="1:15">
      <c r="A215" s="96">
        <v>51</v>
      </c>
      <c r="B215" s="96"/>
      <c r="C215" s="2" t="s">
        <v>395</v>
      </c>
      <c r="D215" s="15">
        <v>200000</v>
      </c>
      <c r="E215" s="15">
        <v>26660</v>
      </c>
      <c r="F215" s="15">
        <f t="shared" si="27"/>
        <v>226660</v>
      </c>
      <c r="G215" s="31">
        <v>40</v>
      </c>
      <c r="H215" s="15">
        <v>5666.5</v>
      </c>
      <c r="I215" s="14">
        <v>38</v>
      </c>
      <c r="J215" s="97">
        <f t="shared" si="28"/>
        <v>2</v>
      </c>
      <c r="K215" s="91">
        <f t="shared" si="29"/>
        <v>215327</v>
      </c>
      <c r="L215" s="15">
        <f t="shared" si="30"/>
        <v>11333</v>
      </c>
      <c r="M215" s="8"/>
      <c r="N215" s="180" t="e">
        <f>#REF!-H215</f>
        <v>#REF!</v>
      </c>
    </row>
    <row r="216" spans="1:15">
      <c r="A216" s="96">
        <v>59</v>
      </c>
      <c r="B216" s="96"/>
      <c r="C216" s="2" t="s">
        <v>419</v>
      </c>
      <c r="D216" s="16">
        <v>132000</v>
      </c>
      <c r="E216" s="16">
        <v>17595.599999999999</v>
      </c>
      <c r="F216" s="41">
        <f t="shared" si="27"/>
        <v>149595.6</v>
      </c>
      <c r="G216" s="33">
        <v>40</v>
      </c>
      <c r="H216" s="16">
        <v>3739.89</v>
      </c>
      <c r="I216" s="97">
        <v>40</v>
      </c>
      <c r="J216" s="97">
        <f t="shared" si="28"/>
        <v>0</v>
      </c>
      <c r="K216" s="91">
        <f t="shared" si="29"/>
        <v>149595.6</v>
      </c>
      <c r="L216" s="94">
        <f t="shared" si="30"/>
        <v>0</v>
      </c>
      <c r="M216" s="11"/>
      <c r="N216" s="180" t="e">
        <f>#REF!-H216</f>
        <v>#REF!</v>
      </c>
    </row>
    <row r="217" spans="1:15">
      <c r="A217" s="96">
        <v>60</v>
      </c>
      <c r="B217" s="96"/>
      <c r="C217" s="2" t="s">
        <v>396</v>
      </c>
      <c r="D217" s="41">
        <v>200000</v>
      </c>
      <c r="E217" s="41">
        <v>26660</v>
      </c>
      <c r="F217" s="41">
        <f t="shared" si="27"/>
        <v>226660</v>
      </c>
      <c r="G217" s="33">
        <v>40</v>
      </c>
      <c r="H217" s="41">
        <v>5666.5</v>
      </c>
      <c r="I217" s="97">
        <v>40</v>
      </c>
      <c r="J217" s="97">
        <f t="shared" si="28"/>
        <v>0</v>
      </c>
      <c r="K217" s="91">
        <f t="shared" si="29"/>
        <v>226660</v>
      </c>
      <c r="L217" s="94">
        <f t="shared" si="30"/>
        <v>0</v>
      </c>
      <c r="M217" s="11"/>
      <c r="N217" s="180" t="e">
        <f>#REF!-H217</f>
        <v>#REF!</v>
      </c>
    </row>
    <row r="218" spans="1:15">
      <c r="A218" s="96">
        <v>65</v>
      </c>
      <c r="B218" s="96"/>
      <c r="C218" s="2" t="s">
        <v>420</v>
      </c>
      <c r="D218" s="16">
        <v>132000</v>
      </c>
      <c r="E218" s="16">
        <v>17595.599999999999</v>
      </c>
      <c r="F218" s="41">
        <f t="shared" si="27"/>
        <v>149595.6</v>
      </c>
      <c r="G218" s="33">
        <v>40</v>
      </c>
      <c r="H218" s="16">
        <v>3739.89</v>
      </c>
      <c r="I218" s="97">
        <v>40</v>
      </c>
      <c r="J218" s="97">
        <f t="shared" si="28"/>
        <v>0</v>
      </c>
      <c r="K218" s="91">
        <f t="shared" si="29"/>
        <v>149595.6</v>
      </c>
      <c r="L218" s="94">
        <f t="shared" si="30"/>
        <v>0</v>
      </c>
      <c r="M218" s="11"/>
      <c r="N218" s="180" t="e">
        <f>#REF!-H218</f>
        <v>#REF!</v>
      </c>
    </row>
    <row r="219" spans="1:15">
      <c r="A219" s="96">
        <v>67</v>
      </c>
      <c r="B219" s="96"/>
      <c r="C219" s="2" t="s">
        <v>397</v>
      </c>
      <c r="D219" s="41">
        <v>200000</v>
      </c>
      <c r="E219" s="41">
        <v>26660</v>
      </c>
      <c r="F219" s="41">
        <v>226660</v>
      </c>
      <c r="G219" s="33">
        <v>40</v>
      </c>
      <c r="H219" s="19">
        <v>5666.5</v>
      </c>
      <c r="I219" s="97">
        <v>40</v>
      </c>
      <c r="J219" s="97">
        <f t="shared" si="28"/>
        <v>0</v>
      </c>
      <c r="K219" s="91">
        <f t="shared" si="29"/>
        <v>226660</v>
      </c>
      <c r="L219" s="94">
        <f t="shared" si="30"/>
        <v>0</v>
      </c>
      <c r="M219" s="11"/>
      <c r="N219" s="180" t="e">
        <f>#REF!-H219</f>
        <v>#REF!</v>
      </c>
    </row>
    <row r="220" spans="1:15">
      <c r="A220" s="96">
        <v>69</v>
      </c>
      <c r="B220" s="96"/>
      <c r="C220" s="2" t="s">
        <v>398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28"/>
        <v>0</v>
      </c>
      <c r="K220" s="91">
        <f t="shared" si="29"/>
        <v>226660</v>
      </c>
      <c r="L220" s="94">
        <f t="shared" si="30"/>
        <v>0</v>
      </c>
      <c r="M220" s="11"/>
      <c r="N220" s="180" t="e">
        <f>#REF!-H220</f>
        <v>#REF!</v>
      </c>
    </row>
    <row r="221" spans="1:15">
      <c r="A221" s="96">
        <v>72</v>
      </c>
      <c r="B221" s="96"/>
      <c r="C221" s="2" t="s">
        <v>399</v>
      </c>
      <c r="D221" s="41">
        <v>200000</v>
      </c>
      <c r="E221" s="41">
        <v>26660</v>
      </c>
      <c r="F221" s="41">
        <f>SUM(D221:E221)</f>
        <v>226660</v>
      </c>
      <c r="G221" s="33">
        <v>40</v>
      </c>
      <c r="H221" s="41">
        <v>5666.5</v>
      </c>
      <c r="I221" s="97">
        <v>40</v>
      </c>
      <c r="J221" s="97">
        <f t="shared" si="28"/>
        <v>0</v>
      </c>
      <c r="K221" s="91">
        <f t="shared" si="29"/>
        <v>226660</v>
      </c>
      <c r="L221" s="94">
        <f t="shared" si="30"/>
        <v>0</v>
      </c>
      <c r="M221" s="11"/>
      <c r="N221" s="180" t="e">
        <f>#REF!-H221</f>
        <v>#REF!</v>
      </c>
    </row>
    <row r="222" spans="1:15">
      <c r="A222" s="96">
        <v>73</v>
      </c>
      <c r="B222" s="96"/>
      <c r="C222" s="2" t="s">
        <v>428</v>
      </c>
      <c r="D222" s="16">
        <v>60000</v>
      </c>
      <c r="E222" s="16">
        <v>7998</v>
      </c>
      <c r="F222" s="41">
        <f>SUM(D222:E222)</f>
        <v>67998</v>
      </c>
      <c r="G222" s="33">
        <v>40</v>
      </c>
      <c r="H222" s="16">
        <v>1699.95</v>
      </c>
      <c r="I222" s="97">
        <v>40</v>
      </c>
      <c r="J222" s="97">
        <f t="shared" si="28"/>
        <v>0</v>
      </c>
      <c r="K222" s="91">
        <f t="shared" si="29"/>
        <v>67998</v>
      </c>
      <c r="L222" s="94">
        <f t="shared" si="30"/>
        <v>0</v>
      </c>
      <c r="M222" s="11"/>
      <c r="N222" s="180" t="e">
        <f>#REF!-H222</f>
        <v>#REF!</v>
      </c>
      <c r="O222" s="114"/>
    </row>
    <row r="223" spans="1:15">
      <c r="A223" s="96">
        <v>77</v>
      </c>
      <c r="B223" s="96"/>
      <c r="C223" s="2" t="s">
        <v>401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28"/>
        <v>0</v>
      </c>
      <c r="K223" s="91">
        <f t="shared" si="29"/>
        <v>226660</v>
      </c>
      <c r="L223" s="94">
        <f t="shared" si="30"/>
        <v>0</v>
      </c>
      <c r="M223" s="11"/>
      <c r="N223" s="180" t="e">
        <f>#REF!-H223</f>
        <v>#REF!</v>
      </c>
      <c r="O223" s="114"/>
    </row>
    <row r="224" spans="1:15">
      <c r="A224" s="96">
        <v>79</v>
      </c>
      <c r="B224" s="96"/>
      <c r="C224" s="2" t="s">
        <v>402</v>
      </c>
      <c r="D224" s="41">
        <v>200000</v>
      </c>
      <c r="E224" s="41">
        <v>26660</v>
      </c>
      <c r="F224" s="41">
        <f>SUM(D224:E224)</f>
        <v>226660</v>
      </c>
      <c r="G224" s="33">
        <v>40</v>
      </c>
      <c r="H224" s="41">
        <v>5666.5</v>
      </c>
      <c r="I224" s="97">
        <v>40</v>
      </c>
      <c r="J224" s="97">
        <f t="shared" si="28"/>
        <v>0</v>
      </c>
      <c r="K224" s="91">
        <f t="shared" si="29"/>
        <v>226660</v>
      </c>
      <c r="L224" s="94">
        <f t="shared" si="30"/>
        <v>0</v>
      </c>
      <c r="M224" s="11"/>
      <c r="N224" s="180" t="e">
        <f>#REF!-H224</f>
        <v>#REF!</v>
      </c>
      <c r="O224" s="114"/>
    </row>
    <row r="225" spans="1:15">
      <c r="A225" s="96">
        <v>82</v>
      </c>
      <c r="B225" s="96"/>
      <c r="C225" s="2" t="s">
        <v>404</v>
      </c>
      <c r="D225" s="41">
        <v>200000</v>
      </c>
      <c r="E225" s="41">
        <v>26660</v>
      </c>
      <c r="F225" s="41">
        <v>226660</v>
      </c>
      <c r="G225" s="33">
        <v>40</v>
      </c>
      <c r="H225" s="19">
        <v>5666.5</v>
      </c>
      <c r="I225" s="97">
        <v>40</v>
      </c>
      <c r="J225" s="97">
        <f t="shared" si="28"/>
        <v>0</v>
      </c>
      <c r="K225" s="91">
        <f t="shared" si="29"/>
        <v>226660</v>
      </c>
      <c r="L225" s="94">
        <f t="shared" si="30"/>
        <v>0</v>
      </c>
      <c r="M225" s="11"/>
      <c r="N225" s="180" t="e">
        <f>#REF!-H225</f>
        <v>#REF!</v>
      </c>
    </row>
    <row r="226" spans="1:15">
      <c r="A226" s="96">
        <v>84</v>
      </c>
      <c r="B226" s="96"/>
      <c r="C226" s="2" t="s">
        <v>405</v>
      </c>
      <c r="D226" s="41">
        <v>200000</v>
      </c>
      <c r="E226" s="41">
        <v>26660</v>
      </c>
      <c r="F226" s="41">
        <f>SUM(D226:E226)</f>
        <v>226660</v>
      </c>
      <c r="G226" s="33">
        <v>40</v>
      </c>
      <c r="H226" s="41">
        <v>5666.5</v>
      </c>
      <c r="I226" s="97">
        <v>40</v>
      </c>
      <c r="J226" s="97">
        <f t="shared" si="28"/>
        <v>0</v>
      </c>
      <c r="K226" s="91">
        <f t="shared" si="29"/>
        <v>226660</v>
      </c>
      <c r="L226" s="94">
        <f t="shared" si="30"/>
        <v>0</v>
      </c>
      <c r="M226" s="11"/>
      <c r="N226" s="180" t="e">
        <f>#REF!-H226</f>
        <v>#REF!</v>
      </c>
      <c r="O226" s="114"/>
    </row>
    <row r="227" spans="1:15">
      <c r="O227" s="114"/>
    </row>
    <row r="228" spans="1:15">
      <c r="O228" s="114"/>
    </row>
    <row r="229" spans="1:15">
      <c r="C229" s="127" t="s">
        <v>226</v>
      </c>
      <c r="D229" s="129">
        <v>200000</v>
      </c>
      <c r="E229" s="129">
        <v>26660</v>
      </c>
      <c r="F229" s="129">
        <v>226660</v>
      </c>
      <c r="G229" s="130">
        <v>40</v>
      </c>
      <c r="H229" s="137">
        <v>5666.5</v>
      </c>
      <c r="I229" s="134">
        <v>40</v>
      </c>
      <c r="J229" s="134">
        <f t="shared" ref="J229:J249" si="31">G229-I229</f>
        <v>0</v>
      </c>
      <c r="K229" s="135">
        <f t="shared" ref="K229:K249" si="32">I229*H229</f>
        <v>226660</v>
      </c>
      <c r="L229" s="136">
        <f t="shared" ref="L229:L249" si="33">F229-K229</f>
        <v>0</v>
      </c>
      <c r="M229" s="132"/>
      <c r="N229" s="121"/>
    </row>
    <row r="230" spans="1:15">
      <c r="C230" s="127" t="s">
        <v>181</v>
      </c>
      <c r="D230" s="129">
        <v>200000</v>
      </c>
      <c r="E230" s="129">
        <v>26660</v>
      </c>
      <c r="F230" s="129">
        <f t="shared" ref="F230:F236" si="34">SUM(D230:E230)</f>
        <v>226660</v>
      </c>
      <c r="G230" s="130">
        <v>40</v>
      </c>
      <c r="H230" s="129">
        <v>5666.5</v>
      </c>
      <c r="I230" s="134">
        <v>40</v>
      </c>
      <c r="J230" s="134">
        <f t="shared" si="31"/>
        <v>0</v>
      </c>
      <c r="K230" s="135">
        <f t="shared" si="32"/>
        <v>226660</v>
      </c>
      <c r="L230" s="136">
        <f t="shared" si="33"/>
        <v>0</v>
      </c>
      <c r="M230" s="132"/>
    </row>
    <row r="231" spans="1:15">
      <c r="C231" s="127" t="s">
        <v>249</v>
      </c>
      <c r="D231" s="128">
        <v>180000</v>
      </c>
      <c r="E231" s="128">
        <v>23994</v>
      </c>
      <c r="F231" s="129">
        <f t="shared" si="34"/>
        <v>203994</v>
      </c>
      <c r="G231" s="130">
        <v>40</v>
      </c>
      <c r="H231" s="128">
        <v>5099.8500000000004</v>
      </c>
      <c r="I231" s="134">
        <v>45</v>
      </c>
      <c r="J231" s="134">
        <f t="shared" si="31"/>
        <v>-5</v>
      </c>
      <c r="K231" s="135">
        <f t="shared" si="32"/>
        <v>229493.25000000003</v>
      </c>
      <c r="L231" s="136">
        <f t="shared" si="33"/>
        <v>-25499.250000000029</v>
      </c>
      <c r="M231" s="132"/>
    </row>
    <row r="232" spans="1:15">
      <c r="C232" s="127" t="s">
        <v>188</v>
      </c>
      <c r="D232" s="128">
        <v>180000</v>
      </c>
      <c r="E232" s="128">
        <v>23994</v>
      </c>
      <c r="F232" s="129">
        <f t="shared" si="34"/>
        <v>203994</v>
      </c>
      <c r="G232" s="130">
        <v>40</v>
      </c>
      <c r="H232" s="128">
        <v>5099.8500000000004</v>
      </c>
      <c r="I232" s="131">
        <v>37</v>
      </c>
      <c r="J232" s="131">
        <f t="shared" si="31"/>
        <v>3</v>
      </c>
      <c r="K232" s="128">
        <f t="shared" si="32"/>
        <v>188694.45</v>
      </c>
      <c r="L232" s="129">
        <f t="shared" si="33"/>
        <v>15299.549999999988</v>
      </c>
      <c r="M232" s="132"/>
    </row>
    <row r="233" spans="1:15">
      <c r="C233" s="127" t="s">
        <v>124</v>
      </c>
      <c r="D233" s="129">
        <v>200000</v>
      </c>
      <c r="E233" s="129">
        <v>26660</v>
      </c>
      <c r="F233" s="129">
        <f t="shared" si="34"/>
        <v>226660</v>
      </c>
      <c r="G233" s="130">
        <v>40</v>
      </c>
      <c r="H233" s="129">
        <v>5666.5</v>
      </c>
      <c r="I233" s="131">
        <v>40</v>
      </c>
      <c r="J233" s="131">
        <f t="shared" si="31"/>
        <v>0</v>
      </c>
      <c r="K233" s="128">
        <f t="shared" si="32"/>
        <v>226660</v>
      </c>
      <c r="L233" s="129">
        <f t="shared" si="33"/>
        <v>0</v>
      </c>
      <c r="M233" s="132"/>
    </row>
    <row r="234" spans="1:15">
      <c r="C234" s="127" t="s">
        <v>129</v>
      </c>
      <c r="D234" s="129">
        <v>200000</v>
      </c>
      <c r="E234" s="129">
        <v>26660</v>
      </c>
      <c r="F234" s="129">
        <f t="shared" si="34"/>
        <v>226660</v>
      </c>
      <c r="G234" s="130">
        <v>40</v>
      </c>
      <c r="H234" s="129">
        <v>5666.5</v>
      </c>
      <c r="I234" s="131">
        <v>38</v>
      </c>
      <c r="J234" s="131">
        <f t="shared" si="31"/>
        <v>2</v>
      </c>
      <c r="K234" s="128">
        <f t="shared" si="32"/>
        <v>215327</v>
      </c>
      <c r="L234" s="129">
        <f t="shared" si="33"/>
        <v>11333</v>
      </c>
      <c r="M234" s="132"/>
    </row>
    <row r="235" spans="1:15">
      <c r="C235" s="127" t="s">
        <v>202</v>
      </c>
      <c r="D235" s="128">
        <v>132000</v>
      </c>
      <c r="E235" s="128">
        <v>17595.599999999999</v>
      </c>
      <c r="F235" s="129">
        <f t="shared" si="34"/>
        <v>149595.6</v>
      </c>
      <c r="G235" s="130">
        <v>40</v>
      </c>
      <c r="H235" s="128">
        <v>3739.89</v>
      </c>
      <c r="I235" s="131">
        <v>34</v>
      </c>
      <c r="J235" s="131">
        <f t="shared" si="31"/>
        <v>6</v>
      </c>
      <c r="K235" s="128">
        <f t="shared" si="32"/>
        <v>127156.26</v>
      </c>
      <c r="L235" s="129">
        <f t="shared" si="33"/>
        <v>22439.340000000011</v>
      </c>
      <c r="M235" s="132"/>
    </row>
    <row r="236" spans="1:15">
      <c r="A236" s="101">
        <v>135</v>
      </c>
      <c r="B236" s="244"/>
      <c r="C236" s="125" t="s">
        <v>138</v>
      </c>
      <c r="D236" s="129">
        <v>200000</v>
      </c>
      <c r="E236" s="129">
        <v>26660</v>
      </c>
      <c r="F236" s="129">
        <f t="shared" si="34"/>
        <v>226660</v>
      </c>
      <c r="G236" s="130">
        <v>40</v>
      </c>
      <c r="H236" s="129">
        <v>5666.5</v>
      </c>
      <c r="I236" s="134">
        <v>37</v>
      </c>
      <c r="J236" s="134">
        <f t="shared" si="31"/>
        <v>3</v>
      </c>
      <c r="K236" s="135">
        <f t="shared" si="32"/>
        <v>209660.5</v>
      </c>
      <c r="L236" s="136">
        <f t="shared" si="33"/>
        <v>16999.5</v>
      </c>
      <c r="M236" s="132"/>
    </row>
    <row r="237" spans="1:15">
      <c r="A237" s="101">
        <v>167.333333333333</v>
      </c>
      <c r="B237" s="101"/>
      <c r="C237" s="127" t="s">
        <v>236</v>
      </c>
      <c r="D237" s="128">
        <v>180000</v>
      </c>
      <c r="E237" s="128">
        <v>23994</v>
      </c>
      <c r="F237" s="128">
        <v>203994</v>
      </c>
      <c r="G237" s="139">
        <v>40</v>
      </c>
      <c r="H237" s="137">
        <v>5099.8500000000004</v>
      </c>
      <c r="I237" s="134">
        <v>46</v>
      </c>
      <c r="J237" s="134">
        <f t="shared" si="31"/>
        <v>-6</v>
      </c>
      <c r="K237" s="135">
        <f t="shared" si="32"/>
        <v>234593.1</v>
      </c>
      <c r="L237" s="136">
        <f t="shared" si="33"/>
        <v>-30599.100000000006</v>
      </c>
      <c r="M237" s="140"/>
    </row>
    <row r="238" spans="1:15">
      <c r="A238" s="101">
        <v>144.833333333333</v>
      </c>
      <c r="B238" s="101"/>
      <c r="C238" s="127" t="s">
        <v>234</v>
      </c>
      <c r="D238" s="129">
        <v>200000</v>
      </c>
      <c r="E238" s="129">
        <v>26660</v>
      </c>
      <c r="F238" s="129">
        <v>226660</v>
      </c>
      <c r="G238" s="130">
        <v>40</v>
      </c>
      <c r="H238" s="137">
        <v>5666.5</v>
      </c>
      <c r="I238" s="134">
        <v>40</v>
      </c>
      <c r="J238" s="134">
        <f t="shared" si="31"/>
        <v>0</v>
      </c>
      <c r="K238" s="135">
        <f t="shared" si="32"/>
        <v>226660</v>
      </c>
      <c r="L238" s="136">
        <f t="shared" si="33"/>
        <v>0</v>
      </c>
      <c r="M238" s="132"/>
    </row>
    <row r="239" spans="1:15">
      <c r="A239" s="101">
        <v>146.333333333333</v>
      </c>
      <c r="B239" s="245"/>
      <c r="C239" s="141" t="s">
        <v>187</v>
      </c>
      <c r="D239" s="129">
        <v>150000</v>
      </c>
      <c r="E239" s="129">
        <v>11997</v>
      </c>
      <c r="F239" s="129">
        <f t="shared" ref="F239:F246" si="35">SUM(D239:E239)</f>
        <v>161997</v>
      </c>
      <c r="G239" s="130">
        <v>30</v>
      </c>
      <c r="H239" s="129">
        <v>5399.9</v>
      </c>
      <c r="I239" s="134">
        <v>31</v>
      </c>
      <c r="J239" s="134">
        <f t="shared" si="31"/>
        <v>-1</v>
      </c>
      <c r="K239" s="135">
        <f t="shared" si="32"/>
        <v>167396.9</v>
      </c>
      <c r="L239" s="136">
        <f t="shared" si="33"/>
        <v>-5399.8999999999942</v>
      </c>
      <c r="M239" s="132"/>
    </row>
    <row r="240" spans="1:15">
      <c r="A240" s="101">
        <v>147.833333333333</v>
      </c>
      <c r="B240" s="101"/>
      <c r="C240" s="127" t="s">
        <v>150</v>
      </c>
      <c r="D240" s="129">
        <v>200000</v>
      </c>
      <c r="E240" s="129">
        <v>26660</v>
      </c>
      <c r="F240" s="129">
        <f t="shared" si="35"/>
        <v>226660</v>
      </c>
      <c r="G240" s="130">
        <v>40</v>
      </c>
      <c r="H240" s="129">
        <v>5666.5</v>
      </c>
      <c r="I240" s="134">
        <v>40</v>
      </c>
      <c r="J240" s="134">
        <f t="shared" si="31"/>
        <v>0</v>
      </c>
      <c r="K240" s="135">
        <f t="shared" si="32"/>
        <v>226660</v>
      </c>
      <c r="L240" s="136">
        <f t="shared" si="33"/>
        <v>0</v>
      </c>
      <c r="M240" s="132"/>
    </row>
    <row r="241" spans="1:14">
      <c r="A241" s="101">
        <v>149.333333333333</v>
      </c>
      <c r="B241" s="244"/>
      <c r="C241" s="125" t="s">
        <v>151</v>
      </c>
      <c r="D241" s="129">
        <v>200000</v>
      </c>
      <c r="E241" s="129">
        <v>26660</v>
      </c>
      <c r="F241" s="129">
        <f t="shared" si="35"/>
        <v>226660</v>
      </c>
      <c r="G241" s="130">
        <v>40</v>
      </c>
      <c r="H241" s="129">
        <v>5666.5</v>
      </c>
      <c r="I241" s="134">
        <v>38</v>
      </c>
      <c r="J241" s="134">
        <f t="shared" si="31"/>
        <v>2</v>
      </c>
      <c r="K241" s="135">
        <f t="shared" si="32"/>
        <v>215327</v>
      </c>
      <c r="L241" s="136">
        <f t="shared" si="33"/>
        <v>11333</v>
      </c>
      <c r="M241" s="132"/>
    </row>
    <row r="242" spans="1:14">
      <c r="A242" s="101">
        <v>150.833333333333</v>
      </c>
      <c r="B242" s="244"/>
      <c r="C242" s="186" t="s">
        <v>266</v>
      </c>
      <c r="D242" s="128">
        <v>330000</v>
      </c>
      <c r="E242" s="128">
        <v>43989</v>
      </c>
      <c r="F242" s="129">
        <f t="shared" si="35"/>
        <v>373989</v>
      </c>
      <c r="G242" s="130">
        <v>50</v>
      </c>
      <c r="H242" s="138">
        <v>7479</v>
      </c>
      <c r="I242" s="134">
        <v>8</v>
      </c>
      <c r="J242" s="134">
        <f t="shared" si="31"/>
        <v>42</v>
      </c>
      <c r="K242" s="135">
        <f t="shared" si="32"/>
        <v>59832</v>
      </c>
      <c r="L242" s="136">
        <f t="shared" si="33"/>
        <v>314157</v>
      </c>
      <c r="M242" s="124"/>
    </row>
    <row r="243" spans="1:14">
      <c r="A243" s="101">
        <v>152.333333333333</v>
      </c>
      <c r="B243" s="244"/>
      <c r="C243" s="125" t="s">
        <v>156</v>
      </c>
      <c r="D243" s="129">
        <v>200000</v>
      </c>
      <c r="E243" s="129">
        <v>26660</v>
      </c>
      <c r="F243" s="129">
        <f t="shared" si="35"/>
        <v>226660</v>
      </c>
      <c r="G243" s="130">
        <v>40</v>
      </c>
      <c r="H243" s="133">
        <v>3739.89</v>
      </c>
      <c r="I243" s="134">
        <v>40</v>
      </c>
      <c r="J243" s="134">
        <f t="shared" si="31"/>
        <v>0</v>
      </c>
      <c r="K243" s="135">
        <f t="shared" si="32"/>
        <v>149595.6</v>
      </c>
      <c r="L243" s="136">
        <f t="shared" si="33"/>
        <v>77064.399999999994</v>
      </c>
      <c r="M243" s="132"/>
    </row>
    <row r="244" spans="1:14">
      <c r="A244" s="101">
        <v>153.833333333333</v>
      </c>
      <c r="B244" s="244"/>
      <c r="C244" s="125" t="s">
        <v>157</v>
      </c>
      <c r="D244" s="129">
        <v>200000</v>
      </c>
      <c r="E244" s="129">
        <v>26660</v>
      </c>
      <c r="F244" s="129">
        <f t="shared" si="35"/>
        <v>226660</v>
      </c>
      <c r="G244" s="130">
        <v>40</v>
      </c>
      <c r="H244" s="129">
        <v>5666.5</v>
      </c>
      <c r="I244" s="134">
        <v>40</v>
      </c>
      <c r="J244" s="134">
        <f t="shared" si="31"/>
        <v>0</v>
      </c>
      <c r="K244" s="135">
        <f t="shared" si="32"/>
        <v>226660</v>
      </c>
      <c r="L244" s="136">
        <f t="shared" si="33"/>
        <v>0</v>
      </c>
      <c r="M244" s="132"/>
    </row>
    <row r="245" spans="1:14">
      <c r="A245" s="101">
        <v>155.333333333333</v>
      </c>
      <c r="B245" s="244"/>
      <c r="C245" s="125" t="s">
        <v>158</v>
      </c>
      <c r="D245" s="129">
        <v>200000</v>
      </c>
      <c r="E245" s="129">
        <v>26660</v>
      </c>
      <c r="F245" s="129">
        <f t="shared" si="35"/>
        <v>226660</v>
      </c>
      <c r="G245" s="130">
        <v>40</v>
      </c>
      <c r="H245" s="129">
        <v>5666.5</v>
      </c>
      <c r="I245" s="134">
        <v>40</v>
      </c>
      <c r="J245" s="134">
        <f t="shared" si="31"/>
        <v>0</v>
      </c>
      <c r="K245" s="135">
        <f t="shared" si="32"/>
        <v>226660</v>
      </c>
      <c r="L245" s="136">
        <f t="shared" si="33"/>
        <v>0</v>
      </c>
      <c r="M245" s="132"/>
    </row>
    <row r="246" spans="1:14">
      <c r="A246" s="101">
        <v>156.833333333333</v>
      </c>
      <c r="B246" s="244"/>
      <c r="C246" s="125" t="s">
        <v>159</v>
      </c>
      <c r="D246" s="129">
        <v>200000</v>
      </c>
      <c r="E246" s="129">
        <v>26660</v>
      </c>
      <c r="F246" s="129">
        <f t="shared" si="35"/>
        <v>226660</v>
      </c>
      <c r="G246" s="130">
        <v>40</v>
      </c>
      <c r="H246" s="129">
        <v>5666.5</v>
      </c>
      <c r="I246" s="134">
        <v>31</v>
      </c>
      <c r="J246" s="134">
        <f t="shared" si="31"/>
        <v>9</v>
      </c>
      <c r="K246" s="135">
        <f t="shared" si="32"/>
        <v>175661.5</v>
      </c>
      <c r="L246" s="136">
        <f t="shared" si="33"/>
        <v>50998.5</v>
      </c>
      <c r="M246" s="132"/>
    </row>
    <row r="247" spans="1:14">
      <c r="A247" s="101">
        <v>158.333333333333</v>
      </c>
      <c r="B247" s="101"/>
      <c r="C247" s="127" t="s">
        <v>233</v>
      </c>
      <c r="D247" s="129">
        <v>200000</v>
      </c>
      <c r="E247" s="129">
        <v>26660</v>
      </c>
      <c r="F247" s="129">
        <v>226660</v>
      </c>
      <c r="G247" s="130">
        <v>40</v>
      </c>
      <c r="H247" s="137">
        <v>5666.5</v>
      </c>
      <c r="I247" s="134">
        <v>40</v>
      </c>
      <c r="J247" s="134">
        <f t="shared" si="31"/>
        <v>0</v>
      </c>
      <c r="K247" s="135">
        <f t="shared" si="32"/>
        <v>226660</v>
      </c>
      <c r="L247" s="136">
        <f t="shared" si="33"/>
        <v>0</v>
      </c>
      <c r="M247" s="132"/>
    </row>
    <row r="248" spans="1:14">
      <c r="A248" s="101">
        <v>159.833333333333</v>
      </c>
      <c r="B248" s="101"/>
      <c r="C248" s="127" t="s">
        <v>160</v>
      </c>
      <c r="D248" s="129">
        <v>200000</v>
      </c>
      <c r="E248" s="129">
        <v>26660</v>
      </c>
      <c r="F248" s="129">
        <f>SUM(D248:E248)</f>
        <v>226660</v>
      </c>
      <c r="G248" s="130">
        <v>40</v>
      </c>
      <c r="H248" s="129">
        <v>5666.5</v>
      </c>
      <c r="I248" s="134">
        <v>40</v>
      </c>
      <c r="J248" s="134">
        <f t="shared" si="31"/>
        <v>0</v>
      </c>
      <c r="K248" s="135">
        <f t="shared" si="32"/>
        <v>226660</v>
      </c>
      <c r="L248" s="136">
        <f t="shared" si="33"/>
        <v>0</v>
      </c>
      <c r="M248" s="132"/>
    </row>
    <row r="249" spans="1:14">
      <c r="A249" s="101">
        <v>161.333333333333</v>
      </c>
      <c r="B249" s="101"/>
      <c r="C249" s="127" t="s">
        <v>205</v>
      </c>
      <c r="D249" s="128">
        <v>132000</v>
      </c>
      <c r="E249" s="128">
        <v>17595.599999999999</v>
      </c>
      <c r="F249" s="129">
        <f>SUM(D249:E249)</f>
        <v>149595.6</v>
      </c>
      <c r="G249" s="130">
        <v>40</v>
      </c>
      <c r="H249" s="128">
        <v>3739.89</v>
      </c>
      <c r="I249" s="134">
        <v>40</v>
      </c>
      <c r="J249" s="134">
        <f t="shared" si="31"/>
        <v>0</v>
      </c>
      <c r="K249" s="135">
        <f t="shared" si="32"/>
        <v>149595.6</v>
      </c>
      <c r="L249" s="136">
        <f t="shared" si="33"/>
        <v>0</v>
      </c>
      <c r="M249" s="132"/>
    </row>
    <row r="251" spans="1:14">
      <c r="A251" s="101">
        <v>173.333333333333</v>
      </c>
      <c r="B251" s="245"/>
    </row>
    <row r="252" spans="1:14">
      <c r="A252" s="101">
        <v>174.833333333333</v>
      </c>
      <c r="B252" s="245"/>
    </row>
    <row r="255" spans="1:14">
      <c r="A255" s="160">
        <v>47</v>
      </c>
      <c r="B255" s="160"/>
      <c r="C255" s="181" t="s">
        <v>432</v>
      </c>
      <c r="D255" s="16">
        <v>500000</v>
      </c>
      <c r="E255" s="16">
        <v>66650</v>
      </c>
      <c r="F255" s="41">
        <f>SUM(D255:E255)</f>
        <v>566650</v>
      </c>
      <c r="G255" s="33">
        <v>50</v>
      </c>
      <c r="H255" s="24">
        <v>5666.5</v>
      </c>
      <c r="I255" s="97">
        <v>33</v>
      </c>
      <c r="J255" s="97">
        <f>G255-I255</f>
        <v>17</v>
      </c>
      <c r="K255" s="91">
        <f>I255*H255</f>
        <v>186994.5</v>
      </c>
      <c r="L255" s="94">
        <f>F255-K255</f>
        <v>379655.5</v>
      </c>
      <c r="M255" s="11"/>
      <c r="N255" s="180" t="e">
        <f>#REF!-H255</f>
        <v>#REF!</v>
      </c>
    </row>
    <row r="256" spans="1:14">
      <c r="A256" s="160">
        <v>70</v>
      </c>
      <c r="B256" s="160"/>
      <c r="C256" s="181" t="s">
        <v>433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40</v>
      </c>
      <c r="J256" s="97">
        <f>G256-I256</f>
        <v>0</v>
      </c>
      <c r="K256" s="91">
        <f>I256*H256</f>
        <v>226660</v>
      </c>
      <c r="L256" s="94">
        <f>F256-K256</f>
        <v>0</v>
      </c>
      <c r="M256" s="11"/>
      <c r="N256" s="180" t="e">
        <f>#REF!-H256</f>
        <v>#REF!</v>
      </c>
    </row>
    <row r="257" spans="1:14">
      <c r="A257" s="160">
        <v>93</v>
      </c>
      <c r="B257" s="160"/>
      <c r="C257" s="181" t="s">
        <v>434</v>
      </c>
      <c r="D257" s="41">
        <v>200000</v>
      </c>
      <c r="E257" s="41">
        <v>26660</v>
      </c>
      <c r="F257" s="41">
        <f>SUM(D257:E257)</f>
        <v>226660</v>
      </c>
      <c r="G257" s="33">
        <v>40</v>
      </c>
      <c r="H257" s="41">
        <v>5666.5</v>
      </c>
      <c r="I257" s="97">
        <v>41</v>
      </c>
      <c r="J257" s="97">
        <f>G257-I257</f>
        <v>-1</v>
      </c>
      <c r="K257" s="91">
        <f>I257*H257</f>
        <v>232326.5</v>
      </c>
      <c r="L257" s="94">
        <f>F257-K257</f>
        <v>-5666.5</v>
      </c>
      <c r="M257" s="11"/>
      <c r="N257" s="180" t="e">
        <f>#REF!-H257</f>
        <v>#REF!</v>
      </c>
    </row>
    <row r="258" spans="1:14">
      <c r="A258" s="160">
        <v>10</v>
      </c>
      <c r="B258" s="160"/>
      <c r="C258" s="181" t="s">
        <v>431</v>
      </c>
      <c r="D258" s="16">
        <v>450000</v>
      </c>
      <c r="E258" s="16">
        <v>28792.799999999999</v>
      </c>
      <c r="F258" s="41">
        <f>SUM(D258:E258)</f>
        <v>478792.8</v>
      </c>
      <c r="G258" s="33">
        <v>24</v>
      </c>
      <c r="H258" s="16">
        <v>19949.7</v>
      </c>
      <c r="I258" s="96">
        <v>24</v>
      </c>
      <c r="J258" s="96">
        <f>G258-I258</f>
        <v>0</v>
      </c>
      <c r="K258" s="16">
        <f>I258*H258</f>
        <v>478792.80000000005</v>
      </c>
      <c r="L258" s="41">
        <f>F258-K258</f>
        <v>0</v>
      </c>
      <c r="M258" s="11"/>
      <c r="N258" s="180" t="e">
        <f>#REF!-H258</f>
        <v>#REF!</v>
      </c>
    </row>
    <row r="259" spans="1:14">
      <c r="A259" s="160">
        <v>6</v>
      </c>
      <c r="B259" s="160"/>
      <c r="C259" s="181" t="s">
        <v>430</v>
      </c>
      <c r="D259" s="16">
        <v>330000</v>
      </c>
      <c r="E259" s="16">
        <v>21114.720000000001</v>
      </c>
      <c r="F259" s="41">
        <f>SUM(D259:E259)</f>
        <v>351114.72</v>
      </c>
      <c r="G259" s="33">
        <v>24</v>
      </c>
      <c r="H259" s="24">
        <v>6649.9</v>
      </c>
      <c r="I259" s="96">
        <v>24</v>
      </c>
      <c r="J259" s="96">
        <f>G259-I259</f>
        <v>0</v>
      </c>
      <c r="K259" s="16">
        <f>I259*H259</f>
        <v>159597.59999999998</v>
      </c>
      <c r="L259" s="41">
        <f>F259-K259</f>
        <v>191517.12</v>
      </c>
      <c r="M259" s="11"/>
      <c r="N259" s="180" t="e">
        <f>#REF!-H259</f>
        <v>#REF!</v>
      </c>
    </row>
    <row r="261" spans="1:14">
      <c r="A261" s="96">
        <v>77</v>
      </c>
      <c r="B261" s="96"/>
      <c r="C261" s="170" t="s">
        <v>400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36</v>
      </c>
      <c r="J261" s="97">
        <f>G261-I261</f>
        <v>4</v>
      </c>
      <c r="K261" s="91">
        <f>I261*H261</f>
        <v>203994</v>
      </c>
      <c r="L261" s="94">
        <f>F261-K261</f>
        <v>22666</v>
      </c>
      <c r="M261" s="11"/>
      <c r="N261" s="180" t="e">
        <f>#REF!-H261</f>
        <v>#REF!</v>
      </c>
    </row>
    <row r="262" spans="1:14">
      <c r="A262" s="96">
        <v>109</v>
      </c>
      <c r="B262" s="96"/>
      <c r="C262" s="142" t="s">
        <v>406</v>
      </c>
      <c r="D262" s="41">
        <v>200000</v>
      </c>
      <c r="E262" s="41">
        <v>26660</v>
      </c>
      <c r="F262" s="41">
        <f>SUM(D262:E262)</f>
        <v>226660</v>
      </c>
      <c r="G262" s="33">
        <v>40</v>
      </c>
      <c r="H262" s="41">
        <v>5666.5</v>
      </c>
      <c r="I262" s="97">
        <v>39</v>
      </c>
      <c r="J262" s="97">
        <f>G262-I262</f>
        <v>1</v>
      </c>
      <c r="K262" s="91">
        <f>I262*H262</f>
        <v>220993.5</v>
      </c>
      <c r="L262" s="94">
        <f>F262-K262</f>
        <v>5666.5</v>
      </c>
      <c r="M262" s="11"/>
      <c r="N262" s="180" t="e">
        <f>#REF!-H262</f>
        <v>#REF!</v>
      </c>
    </row>
    <row r="263" spans="1:14">
      <c r="A263" s="96">
        <v>127</v>
      </c>
      <c r="B263" s="96"/>
      <c r="C263" s="142" t="s">
        <v>423</v>
      </c>
      <c r="D263" s="16">
        <v>132000</v>
      </c>
      <c r="E263" s="16">
        <v>17595.599999999999</v>
      </c>
      <c r="F263" s="41">
        <f>SUM(D263:E263)</f>
        <v>149595.6</v>
      </c>
      <c r="G263" s="33">
        <v>40</v>
      </c>
      <c r="H263" s="16">
        <v>3739.89</v>
      </c>
      <c r="I263" s="97">
        <v>40</v>
      </c>
      <c r="J263" s="97">
        <f>G263-I263</f>
        <v>0</v>
      </c>
      <c r="K263" s="91">
        <f>I263*H263</f>
        <v>149595.6</v>
      </c>
      <c r="L263" s="94">
        <f>F263-K263</f>
        <v>0</v>
      </c>
      <c r="M263" s="11"/>
      <c r="N263" s="180" t="e">
        <f>#REF!-H263</f>
        <v>#REF!</v>
      </c>
    </row>
    <row r="264" spans="1:14">
      <c r="A264" s="96">
        <v>125</v>
      </c>
      <c r="B264" s="96"/>
      <c r="C264" s="142" t="s">
        <v>427</v>
      </c>
      <c r="D264" s="155">
        <v>150000</v>
      </c>
      <c r="E264" s="155">
        <v>19995</v>
      </c>
      <c r="F264" s="155">
        <f>SUM(D264:E264)</f>
        <v>169995</v>
      </c>
      <c r="G264" s="33">
        <v>50</v>
      </c>
      <c r="H264" s="154">
        <v>3399.9</v>
      </c>
      <c r="I264" s="97">
        <v>9</v>
      </c>
      <c r="J264" s="97">
        <f>G264-I264</f>
        <v>41</v>
      </c>
      <c r="K264" s="91">
        <f>I264*H264</f>
        <v>30599.100000000002</v>
      </c>
      <c r="L264" s="91">
        <f>F264-K264</f>
        <v>139395.9</v>
      </c>
      <c r="M264" s="122"/>
      <c r="N264" s="180" t="e">
        <f>#REF!-H264</f>
        <v>#REF!</v>
      </c>
    </row>
    <row r="265" spans="1:14">
      <c r="A265" s="96">
        <v>5</v>
      </c>
      <c r="B265" s="96"/>
      <c r="C265" s="2" t="s">
        <v>385</v>
      </c>
      <c r="D265" s="41">
        <v>200000</v>
      </c>
      <c r="E265" s="41">
        <v>26660</v>
      </c>
      <c r="F265" s="41">
        <f>SUM(D265:E265)</f>
        <v>226660</v>
      </c>
      <c r="G265" s="33">
        <v>40</v>
      </c>
      <c r="H265" s="41">
        <v>5666.5</v>
      </c>
      <c r="I265" s="96">
        <v>40</v>
      </c>
      <c r="J265" s="96">
        <f>G265-I265</f>
        <v>0</v>
      </c>
      <c r="K265" s="16">
        <f>I265*H265</f>
        <v>226660</v>
      </c>
      <c r="L265" s="41">
        <f>F265-K265</f>
        <v>0</v>
      </c>
      <c r="M265" s="11"/>
      <c r="N265" s="180" t="e">
        <f>#REF!-H265</f>
        <v>#REF!</v>
      </c>
    </row>
  </sheetData>
  <sortState ref="B6:N132">
    <sortCondition ref="C6:C132"/>
  </sortState>
  <mergeCells count="2">
    <mergeCell ref="A3:M3"/>
    <mergeCell ref="A4:M4"/>
  </mergeCells>
  <conditionalFormatting sqref="C259">
    <cfRule type="duplicateValues" dxfId="919" priority="134" stopIfTrue="1"/>
    <cfRule type="duplicateValues" dxfId="918" priority="135" stopIfTrue="1"/>
  </conditionalFormatting>
  <conditionalFormatting sqref="C259">
    <cfRule type="duplicateValues" dxfId="917" priority="133" stopIfTrue="1"/>
  </conditionalFormatting>
  <conditionalFormatting sqref="C206">
    <cfRule type="duplicateValues" dxfId="916" priority="131" stopIfTrue="1"/>
    <cfRule type="duplicateValues" dxfId="915" priority="132" stopIfTrue="1"/>
  </conditionalFormatting>
  <conditionalFormatting sqref="C206">
    <cfRule type="duplicateValues" dxfId="914" priority="130" stopIfTrue="1"/>
  </conditionalFormatting>
  <conditionalFormatting sqref="C258">
    <cfRule type="duplicateValues" dxfId="913" priority="128" stopIfTrue="1"/>
    <cfRule type="duplicateValues" dxfId="912" priority="129" stopIfTrue="1"/>
  </conditionalFormatting>
  <conditionalFormatting sqref="C258">
    <cfRule type="duplicateValues" dxfId="911" priority="127" stopIfTrue="1"/>
  </conditionalFormatting>
  <conditionalFormatting sqref="C208">
    <cfRule type="duplicateValues" dxfId="910" priority="125" stopIfTrue="1"/>
    <cfRule type="duplicateValues" dxfId="909" priority="126" stopIfTrue="1"/>
  </conditionalFormatting>
  <conditionalFormatting sqref="C208">
    <cfRule type="duplicateValues" dxfId="908" priority="124" stopIfTrue="1"/>
  </conditionalFormatting>
  <conditionalFormatting sqref="C209">
    <cfRule type="duplicateValues" dxfId="907" priority="122" stopIfTrue="1"/>
    <cfRule type="duplicateValues" dxfId="906" priority="123" stopIfTrue="1"/>
  </conditionalFormatting>
  <conditionalFormatting sqref="C209">
    <cfRule type="duplicateValues" dxfId="905" priority="121" stopIfTrue="1"/>
  </conditionalFormatting>
  <conditionalFormatting sqref="C211">
    <cfRule type="duplicateValues" dxfId="904" priority="119" stopIfTrue="1"/>
    <cfRule type="duplicateValues" dxfId="903" priority="120" stopIfTrue="1"/>
  </conditionalFormatting>
  <conditionalFormatting sqref="C211">
    <cfRule type="duplicateValues" dxfId="902" priority="118" stopIfTrue="1"/>
  </conditionalFormatting>
  <conditionalFormatting sqref="C212">
    <cfRule type="duplicateValues" dxfId="901" priority="116" stopIfTrue="1"/>
    <cfRule type="duplicateValues" dxfId="900" priority="117" stopIfTrue="1"/>
  </conditionalFormatting>
  <conditionalFormatting sqref="C212">
    <cfRule type="duplicateValues" dxfId="899" priority="115" stopIfTrue="1"/>
  </conditionalFormatting>
  <conditionalFormatting sqref="C255">
    <cfRule type="duplicateValues" dxfId="898" priority="113" stopIfTrue="1"/>
    <cfRule type="duplicateValues" dxfId="897" priority="114" stopIfTrue="1"/>
  </conditionalFormatting>
  <conditionalFormatting sqref="C255">
    <cfRule type="duplicateValues" dxfId="896" priority="112" stopIfTrue="1"/>
  </conditionalFormatting>
  <conditionalFormatting sqref="C214">
    <cfRule type="duplicateValues" dxfId="895" priority="110" stopIfTrue="1"/>
    <cfRule type="duplicateValues" dxfId="894" priority="111" stopIfTrue="1"/>
  </conditionalFormatting>
  <conditionalFormatting sqref="C214">
    <cfRule type="duplicateValues" dxfId="893" priority="109" stopIfTrue="1"/>
  </conditionalFormatting>
  <conditionalFormatting sqref="C215">
    <cfRule type="duplicateValues" dxfId="892" priority="107" stopIfTrue="1"/>
    <cfRule type="duplicateValues" dxfId="891" priority="108" stopIfTrue="1"/>
  </conditionalFormatting>
  <conditionalFormatting sqref="C215">
    <cfRule type="duplicateValues" dxfId="890" priority="106" stopIfTrue="1"/>
  </conditionalFormatting>
  <conditionalFormatting sqref="C216">
    <cfRule type="duplicateValues" dxfId="889" priority="104" stopIfTrue="1"/>
    <cfRule type="duplicateValues" dxfId="888" priority="105" stopIfTrue="1"/>
  </conditionalFormatting>
  <conditionalFormatting sqref="C216">
    <cfRule type="duplicateValues" dxfId="887" priority="103" stopIfTrue="1"/>
  </conditionalFormatting>
  <conditionalFormatting sqref="C231">
    <cfRule type="duplicateValues" dxfId="886" priority="101" stopIfTrue="1"/>
    <cfRule type="duplicateValues" dxfId="885" priority="102" stopIfTrue="1"/>
  </conditionalFormatting>
  <conditionalFormatting sqref="C231">
    <cfRule type="duplicateValues" dxfId="884" priority="100" stopIfTrue="1"/>
  </conditionalFormatting>
  <conditionalFormatting sqref="C218">
    <cfRule type="duplicateValues" dxfId="883" priority="98" stopIfTrue="1"/>
    <cfRule type="duplicateValues" dxfId="882" priority="99" stopIfTrue="1"/>
  </conditionalFormatting>
  <conditionalFormatting sqref="C218">
    <cfRule type="duplicateValues" dxfId="881" priority="97" stopIfTrue="1"/>
  </conditionalFormatting>
  <conditionalFormatting sqref="C256">
    <cfRule type="duplicateValues" dxfId="880" priority="95" stopIfTrue="1"/>
    <cfRule type="duplicateValues" dxfId="879" priority="96" stopIfTrue="1"/>
  </conditionalFormatting>
  <conditionalFormatting sqref="C256">
    <cfRule type="duplicateValues" dxfId="878" priority="94" stopIfTrue="1"/>
  </conditionalFormatting>
  <conditionalFormatting sqref="C219">
    <cfRule type="duplicateValues" dxfId="877" priority="92" stopIfTrue="1"/>
    <cfRule type="duplicateValues" dxfId="876" priority="93" stopIfTrue="1"/>
  </conditionalFormatting>
  <conditionalFormatting sqref="C219">
    <cfRule type="duplicateValues" dxfId="875" priority="91" stopIfTrue="1"/>
  </conditionalFormatting>
  <conditionalFormatting sqref="C220">
    <cfRule type="duplicateValues" dxfId="874" priority="89" stopIfTrue="1"/>
    <cfRule type="duplicateValues" dxfId="873" priority="90" stopIfTrue="1"/>
  </conditionalFormatting>
  <conditionalFormatting sqref="C220">
    <cfRule type="duplicateValues" dxfId="872" priority="88" stopIfTrue="1"/>
  </conditionalFormatting>
  <conditionalFormatting sqref="C261">
    <cfRule type="duplicateValues" dxfId="871" priority="86" stopIfTrue="1"/>
    <cfRule type="duplicateValues" dxfId="870" priority="87" stopIfTrue="1"/>
  </conditionalFormatting>
  <conditionalFormatting sqref="C261">
    <cfRule type="duplicateValues" dxfId="869" priority="85" stopIfTrue="1"/>
  </conditionalFormatting>
  <conditionalFormatting sqref="C223">
    <cfRule type="duplicateValues" dxfId="868" priority="83" stopIfTrue="1"/>
    <cfRule type="duplicateValues" dxfId="867" priority="84" stopIfTrue="1"/>
  </conditionalFormatting>
  <conditionalFormatting sqref="C223">
    <cfRule type="duplicateValues" dxfId="866" priority="82" stopIfTrue="1"/>
  </conditionalFormatting>
  <conditionalFormatting sqref="C226">
    <cfRule type="duplicateValues" dxfId="865" priority="80" stopIfTrue="1"/>
    <cfRule type="duplicateValues" dxfId="864" priority="81" stopIfTrue="1"/>
  </conditionalFormatting>
  <conditionalFormatting sqref="C226">
    <cfRule type="duplicateValues" dxfId="863" priority="79" stopIfTrue="1"/>
  </conditionalFormatting>
  <conditionalFormatting sqref="C199">
    <cfRule type="duplicateValues" dxfId="862" priority="77" stopIfTrue="1"/>
    <cfRule type="duplicateValues" dxfId="861" priority="78" stopIfTrue="1"/>
  </conditionalFormatting>
  <conditionalFormatting sqref="C199">
    <cfRule type="duplicateValues" dxfId="860" priority="76" stopIfTrue="1"/>
  </conditionalFormatting>
  <conditionalFormatting sqref="C257">
    <cfRule type="duplicateValues" dxfId="859" priority="74" stopIfTrue="1"/>
    <cfRule type="duplicateValues" dxfId="858" priority="75" stopIfTrue="1"/>
  </conditionalFormatting>
  <conditionalFormatting sqref="C257">
    <cfRule type="duplicateValues" dxfId="857" priority="73" stopIfTrue="1"/>
  </conditionalFormatting>
  <conditionalFormatting sqref="C249">
    <cfRule type="duplicateValues" dxfId="856" priority="71" stopIfTrue="1"/>
    <cfRule type="duplicateValues" dxfId="855" priority="72" stopIfTrue="1"/>
  </conditionalFormatting>
  <conditionalFormatting sqref="C249">
    <cfRule type="duplicateValues" dxfId="854" priority="70" stopIfTrue="1"/>
  </conditionalFormatting>
  <conditionalFormatting sqref="C221">
    <cfRule type="duplicateValues" dxfId="853" priority="68" stopIfTrue="1"/>
    <cfRule type="duplicateValues" dxfId="852" priority="69" stopIfTrue="1"/>
  </conditionalFormatting>
  <conditionalFormatting sqref="C221">
    <cfRule type="duplicateValues" dxfId="851" priority="67" stopIfTrue="1"/>
  </conditionalFormatting>
  <conditionalFormatting sqref="C236">
    <cfRule type="duplicateValues" dxfId="850" priority="65" stopIfTrue="1"/>
    <cfRule type="duplicateValues" dxfId="849" priority="66" stopIfTrue="1"/>
  </conditionalFormatting>
  <conditionalFormatting sqref="C236">
    <cfRule type="duplicateValues" dxfId="848" priority="64" stopIfTrue="1"/>
  </conditionalFormatting>
  <conditionalFormatting sqref="C238">
    <cfRule type="duplicateValues" dxfId="847" priority="62" stopIfTrue="1"/>
    <cfRule type="duplicateValues" dxfId="846" priority="63" stopIfTrue="1"/>
  </conditionalFormatting>
  <conditionalFormatting sqref="C238">
    <cfRule type="duplicateValues" dxfId="845" priority="61" stopIfTrue="1"/>
  </conditionalFormatting>
  <conditionalFormatting sqref="C240">
    <cfRule type="duplicateValues" dxfId="844" priority="59" stopIfTrue="1"/>
    <cfRule type="duplicateValues" dxfId="843" priority="60" stopIfTrue="1"/>
  </conditionalFormatting>
  <conditionalFormatting sqref="C240">
    <cfRule type="duplicateValues" dxfId="842" priority="58" stopIfTrue="1"/>
  </conditionalFormatting>
  <conditionalFormatting sqref="C241">
    <cfRule type="duplicateValues" dxfId="841" priority="56" stopIfTrue="1"/>
    <cfRule type="duplicateValues" dxfId="840" priority="57" stopIfTrue="1"/>
  </conditionalFormatting>
  <conditionalFormatting sqref="C241">
    <cfRule type="duplicateValues" dxfId="839" priority="55" stopIfTrue="1"/>
  </conditionalFormatting>
  <conditionalFormatting sqref="C242">
    <cfRule type="duplicateValues" dxfId="838" priority="53" stopIfTrue="1"/>
    <cfRule type="duplicateValues" dxfId="837" priority="54" stopIfTrue="1"/>
  </conditionalFormatting>
  <conditionalFormatting sqref="C242">
    <cfRule type="duplicateValues" dxfId="836" priority="52" stopIfTrue="1"/>
  </conditionalFormatting>
  <conditionalFormatting sqref="C243">
    <cfRule type="duplicateValues" dxfId="835" priority="50" stopIfTrue="1"/>
    <cfRule type="duplicateValues" dxfId="834" priority="51" stopIfTrue="1"/>
  </conditionalFormatting>
  <conditionalFormatting sqref="C243">
    <cfRule type="duplicateValues" dxfId="833" priority="49" stopIfTrue="1"/>
  </conditionalFormatting>
  <conditionalFormatting sqref="C244">
    <cfRule type="duplicateValues" dxfId="832" priority="47" stopIfTrue="1"/>
    <cfRule type="duplicateValues" dxfId="831" priority="48" stopIfTrue="1"/>
  </conditionalFormatting>
  <conditionalFormatting sqref="C244">
    <cfRule type="duplicateValues" dxfId="830" priority="46" stopIfTrue="1"/>
  </conditionalFormatting>
  <conditionalFormatting sqref="C245">
    <cfRule type="duplicateValues" dxfId="829" priority="44" stopIfTrue="1"/>
    <cfRule type="duplicateValues" dxfId="828" priority="45" stopIfTrue="1"/>
  </conditionalFormatting>
  <conditionalFormatting sqref="C245">
    <cfRule type="duplicateValues" dxfId="827" priority="43" stopIfTrue="1"/>
  </conditionalFormatting>
  <conditionalFormatting sqref="C3">
    <cfRule type="duplicateValues" dxfId="826" priority="42"/>
  </conditionalFormatting>
  <conditionalFormatting sqref="C246">
    <cfRule type="duplicateValues" dxfId="825" priority="40" stopIfTrue="1"/>
    <cfRule type="duplicateValues" dxfId="824" priority="41" stopIfTrue="1"/>
  </conditionalFormatting>
  <conditionalFormatting sqref="C246">
    <cfRule type="duplicateValues" dxfId="823" priority="39" stopIfTrue="1"/>
  </conditionalFormatting>
  <conditionalFormatting sqref="C198">
    <cfRule type="duplicateValues" dxfId="822" priority="37" stopIfTrue="1"/>
    <cfRule type="duplicateValues" dxfId="821" priority="38" stopIfTrue="1"/>
  </conditionalFormatting>
  <conditionalFormatting sqref="C198">
    <cfRule type="duplicateValues" dxfId="820" priority="36" stopIfTrue="1"/>
  </conditionalFormatting>
  <conditionalFormatting sqref="C210">
    <cfRule type="duplicateValues" dxfId="819" priority="35"/>
  </conditionalFormatting>
  <conditionalFormatting sqref="C186">
    <cfRule type="duplicateValues" dxfId="818" priority="34"/>
  </conditionalFormatting>
  <conditionalFormatting sqref="C251 C360:C1048576 C229:C249 C1:C5 C198:C200 C194 C202 C206:C226 C261:C265 C255:C259 C185:C186">
    <cfRule type="duplicateValues" dxfId="817" priority="33"/>
  </conditionalFormatting>
  <conditionalFormatting sqref="C255:C259 C261:C265 C198:C200 C194 C202 C206:C226 C185:C186">
    <cfRule type="duplicateValues" dxfId="816" priority="32"/>
  </conditionalFormatting>
  <conditionalFormatting sqref="C232:C233 C200 C262:C264">
    <cfRule type="duplicateValues" dxfId="815" priority="30" stopIfTrue="1"/>
    <cfRule type="duplicateValues" dxfId="814" priority="31" stopIfTrue="1"/>
  </conditionalFormatting>
  <conditionalFormatting sqref="C232:C233 C200 C262:C264">
    <cfRule type="duplicateValues" dxfId="813" priority="29" stopIfTrue="1"/>
  </conditionalFormatting>
  <conditionalFormatting sqref="C232:C233 C262:C264 C200">
    <cfRule type="duplicateValues" dxfId="812" priority="27" stopIfTrue="1"/>
    <cfRule type="duplicateValues" dxfId="811" priority="28" stopIfTrue="1"/>
  </conditionalFormatting>
  <conditionalFormatting sqref="C232:C233 C262:C264 C200">
    <cfRule type="duplicateValues" dxfId="810" priority="26" stopIfTrue="1"/>
  </conditionalFormatting>
  <conditionalFormatting sqref="C185">
    <cfRule type="duplicateValues" dxfId="809" priority="24" stopIfTrue="1"/>
    <cfRule type="duplicateValues" dxfId="808" priority="25" stopIfTrue="1"/>
  </conditionalFormatting>
  <conditionalFormatting sqref="C185">
    <cfRule type="duplicateValues" dxfId="807" priority="23" stopIfTrue="1"/>
  </conditionalFormatting>
  <conditionalFormatting sqref="C265 C196 C208:C210 C206 C198:C200 C212:C226 C202:C204 C194 C186">
    <cfRule type="duplicateValues" dxfId="806" priority="21" stopIfTrue="1"/>
    <cfRule type="duplicateValues" dxfId="805" priority="22" stopIfTrue="1"/>
  </conditionalFormatting>
  <conditionalFormatting sqref="C265 C196 C208:C210 C206 C198:C200 C212:C226 C202:C204 C194 C186">
    <cfRule type="duplicateValues" dxfId="804" priority="20" stopIfTrue="1"/>
  </conditionalFormatting>
  <conditionalFormatting sqref="C196 C194 C185:C186">
    <cfRule type="duplicateValues" dxfId="803" priority="18" stopIfTrue="1"/>
    <cfRule type="duplicateValues" dxfId="802" priority="19" stopIfTrue="1"/>
  </conditionalFormatting>
  <conditionalFormatting sqref="C196 C194 C185:C186">
    <cfRule type="duplicateValues" dxfId="801" priority="17" stopIfTrue="1"/>
  </conditionalFormatting>
  <conditionalFormatting sqref="C196 C194 C186">
    <cfRule type="duplicateValues" dxfId="800" priority="15" stopIfTrue="1"/>
    <cfRule type="duplicateValues" dxfId="799" priority="16" stopIfTrue="1"/>
  </conditionalFormatting>
  <conditionalFormatting sqref="C196 C194 C186">
    <cfRule type="duplicateValues" dxfId="798" priority="14" stopIfTrue="1"/>
  </conditionalFormatting>
  <conditionalFormatting sqref="C261:C265 C212:C226 C208:C210 C206 C198:C200 C196 C202:C204 C194 C185:C186">
    <cfRule type="duplicateValues" dxfId="797" priority="12" stopIfTrue="1"/>
    <cfRule type="duplicateValues" dxfId="796" priority="13" stopIfTrue="1"/>
  </conditionalFormatting>
  <conditionalFormatting sqref="C261:C265 C212:C226 C208:C210 C206 C198:C200 C196 C202:C204 C194 C185:C186">
    <cfRule type="duplicateValues" dxfId="795" priority="11" stopIfTrue="1"/>
  </conditionalFormatting>
  <conditionalFormatting sqref="C186">
    <cfRule type="duplicateValues" dxfId="794" priority="9" stopIfTrue="1"/>
    <cfRule type="duplicateValues" dxfId="793" priority="10" stopIfTrue="1"/>
  </conditionalFormatting>
  <conditionalFormatting sqref="C194 C240:C245 C229:C230 C236:C238 C186">
    <cfRule type="duplicateValues" dxfId="792" priority="7" stopIfTrue="1"/>
    <cfRule type="duplicateValues" dxfId="791" priority="8" stopIfTrue="1"/>
  </conditionalFormatting>
  <conditionalFormatting sqref="C194 C240:C245 C229:C230 C236:C238 C186">
    <cfRule type="duplicateValues" dxfId="790" priority="6" stopIfTrue="1"/>
  </conditionalFormatting>
  <conditionalFormatting sqref="C194 C240:C245 C360:C1048576 C247:C249 C198:C200 C1:C2 C4:C5 C211:C224 C261:C265 C255:C259 C206:C209 C226 C236:C238 C229:C233 C186">
    <cfRule type="duplicateValues" dxfId="789" priority="5"/>
  </conditionalFormatting>
  <conditionalFormatting sqref="C194 C261:C265 C360:C1048576 C1:C5 C255:C259 C198:C200 C206:C209 C229:C233 C236:C238 C211:C224 C240:C249 C226 C186">
    <cfRule type="duplicateValues" dxfId="788" priority="4"/>
  </conditionalFormatting>
  <conditionalFormatting sqref="C174:C175 C177:C183 C168:C172">
    <cfRule type="duplicateValues" dxfId="787" priority="2" stopIfTrue="1"/>
    <cfRule type="duplicateValues" dxfId="786" priority="3" stopIfTrue="1"/>
  </conditionalFormatting>
  <conditionalFormatting sqref="C174:C175 C177:C183 C168:C172">
    <cfRule type="duplicateValues" dxfId="785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C00000"/>
  </sheetPr>
  <dimension ref="A3:O265"/>
  <sheetViews>
    <sheetView topLeftCell="A117" workbookViewId="0">
      <selection activeCell="H136" sqref="H136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951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96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277">
        <v>7479.78</v>
      </c>
      <c r="I6" s="159">
        <v>9</v>
      </c>
      <c r="J6" s="97">
        <f t="shared" ref="J6:J37" si="0">G6-I6</f>
        <v>41</v>
      </c>
      <c r="K6" s="91">
        <f t="shared" ref="K6:K13" si="1">I6*H6</f>
        <v>67318.02</v>
      </c>
      <c r="L6" s="94">
        <f t="shared" ref="L6:L37" si="2">F6-K6</f>
        <v>306670.98</v>
      </c>
      <c r="M6" s="11"/>
      <c r="N6" s="180" t="e">
        <f>#REF!-H6</f>
        <v>#REF!</v>
      </c>
    </row>
    <row r="7" spans="1:14" s="114" customFormat="1">
      <c r="A7" s="96">
        <v>2</v>
      </c>
      <c r="B7" s="11" t="s">
        <v>895</v>
      </c>
      <c r="C7" s="123" t="s">
        <v>918</v>
      </c>
      <c r="D7" s="19">
        <v>450000</v>
      </c>
      <c r="E7" s="19">
        <v>59985</v>
      </c>
      <c r="F7" s="19">
        <v>509985</v>
      </c>
      <c r="G7" s="159">
        <v>50</v>
      </c>
      <c r="H7" s="279">
        <v>10199.700000000001</v>
      </c>
      <c r="I7" s="159">
        <v>4</v>
      </c>
      <c r="J7" s="159">
        <f t="shared" si="0"/>
        <v>46</v>
      </c>
      <c r="K7" s="16">
        <f t="shared" si="1"/>
        <v>40798.800000000003</v>
      </c>
      <c r="L7" s="94">
        <f t="shared" si="2"/>
        <v>469186.2</v>
      </c>
      <c r="M7" s="11" t="s">
        <v>251</v>
      </c>
    </row>
    <row r="8" spans="1:14" s="114" customFormat="1">
      <c r="A8" s="96">
        <v>3</v>
      </c>
      <c r="B8" s="11" t="s">
        <v>653</v>
      </c>
      <c r="C8" s="11" t="s">
        <v>654</v>
      </c>
      <c r="D8" s="19">
        <v>330000</v>
      </c>
      <c r="E8" s="19">
        <v>43989</v>
      </c>
      <c r="F8" s="19">
        <f>SUM(D8:E8)</f>
        <v>373989</v>
      </c>
      <c r="G8" s="159">
        <v>50</v>
      </c>
      <c r="H8" s="279">
        <v>7479.78</v>
      </c>
      <c r="I8" s="96">
        <v>27</v>
      </c>
      <c r="J8" s="97">
        <f t="shared" si="0"/>
        <v>23</v>
      </c>
      <c r="K8" s="91">
        <f t="shared" si="1"/>
        <v>201954.06</v>
      </c>
      <c r="L8" s="94">
        <f t="shared" si="2"/>
        <v>172034.94</v>
      </c>
      <c r="M8" s="11"/>
      <c r="N8" s="180" t="e">
        <f>#REF!-H8</f>
        <v>#REF!</v>
      </c>
    </row>
    <row r="9" spans="1:14" s="114" customFormat="1">
      <c r="A9" s="96">
        <v>4</v>
      </c>
      <c r="B9" s="96" t="s">
        <v>528</v>
      </c>
      <c r="C9" s="11" t="s">
        <v>529</v>
      </c>
      <c r="D9" s="12">
        <v>500000</v>
      </c>
      <c r="E9" s="12">
        <v>66650</v>
      </c>
      <c r="F9" s="15">
        <f>SUM(D9:E9)</f>
        <v>566650</v>
      </c>
      <c r="G9" s="14">
        <v>50</v>
      </c>
      <c r="H9" s="278">
        <v>11333</v>
      </c>
      <c r="I9" s="14">
        <v>40</v>
      </c>
      <c r="J9" s="97">
        <f t="shared" si="0"/>
        <v>10</v>
      </c>
      <c r="K9" s="91">
        <f t="shared" si="1"/>
        <v>453320</v>
      </c>
      <c r="L9" s="15">
        <f t="shared" si="2"/>
        <v>113330</v>
      </c>
      <c r="M9" s="8"/>
      <c r="N9" s="180" t="e">
        <f>#REF!-H9</f>
        <v>#REF!</v>
      </c>
    </row>
    <row r="10" spans="1:14" s="114" customFormat="1">
      <c r="A10" s="96">
        <v>5</v>
      </c>
      <c r="B10" s="96" t="s">
        <v>692</v>
      </c>
      <c r="C10" s="11" t="s">
        <v>693</v>
      </c>
      <c r="D10" s="16">
        <v>330000</v>
      </c>
      <c r="E10" s="16">
        <v>43989</v>
      </c>
      <c r="F10" s="41">
        <f>SUM(D10:E10)</f>
        <v>373989</v>
      </c>
      <c r="G10" s="159">
        <v>50</v>
      </c>
      <c r="H10" s="278">
        <v>7478.78</v>
      </c>
      <c r="I10" s="159">
        <v>44</v>
      </c>
      <c r="J10" s="96">
        <f t="shared" si="0"/>
        <v>6</v>
      </c>
      <c r="K10" s="16">
        <f t="shared" si="1"/>
        <v>329066.32</v>
      </c>
      <c r="L10" s="41">
        <f t="shared" si="2"/>
        <v>44922.679999999993</v>
      </c>
      <c r="M10" s="11"/>
      <c r="N10" s="180" t="e">
        <f>#REF!-H10</f>
        <v>#REF!</v>
      </c>
    </row>
    <row r="11" spans="1:14" s="114" customFormat="1">
      <c r="A11" s="96">
        <v>6</v>
      </c>
      <c r="B11" s="96" t="s">
        <v>640</v>
      </c>
      <c r="C11" s="11" t="s">
        <v>641</v>
      </c>
      <c r="D11" s="16">
        <v>500000</v>
      </c>
      <c r="E11" s="16">
        <v>66650</v>
      </c>
      <c r="F11" s="41">
        <f>SUM(D11:E11)</f>
        <v>566650</v>
      </c>
      <c r="G11" s="159">
        <v>50</v>
      </c>
      <c r="H11" s="278">
        <v>11333</v>
      </c>
      <c r="I11" s="96">
        <v>35</v>
      </c>
      <c r="J11" s="96">
        <f t="shared" si="0"/>
        <v>15</v>
      </c>
      <c r="K11" s="16">
        <f t="shared" si="1"/>
        <v>396655</v>
      </c>
      <c r="L11" s="41">
        <f t="shared" si="2"/>
        <v>169995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709</v>
      </c>
      <c r="C12" s="11" t="s">
        <v>710</v>
      </c>
      <c r="D12" s="19">
        <v>500000</v>
      </c>
      <c r="E12" s="19">
        <v>66650</v>
      </c>
      <c r="F12" s="19">
        <v>566650</v>
      </c>
      <c r="G12" s="159">
        <v>50</v>
      </c>
      <c r="H12" s="278">
        <v>11333</v>
      </c>
      <c r="I12" s="96">
        <v>21</v>
      </c>
      <c r="J12" s="96">
        <f t="shared" si="0"/>
        <v>29</v>
      </c>
      <c r="K12" s="16">
        <f t="shared" si="1"/>
        <v>237993</v>
      </c>
      <c r="L12" s="16">
        <f t="shared" si="2"/>
        <v>328657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696</v>
      </c>
      <c r="C13" s="11" t="s">
        <v>697</v>
      </c>
      <c r="D13" s="16">
        <v>500000</v>
      </c>
      <c r="E13" s="16">
        <v>66650</v>
      </c>
      <c r="F13" s="41">
        <f>SUM(D13:E13)</f>
        <v>566650</v>
      </c>
      <c r="G13" s="159">
        <v>50</v>
      </c>
      <c r="H13" s="278">
        <v>11333</v>
      </c>
      <c r="I13" s="96">
        <v>56</v>
      </c>
      <c r="J13" s="96">
        <f t="shared" si="0"/>
        <v>-6</v>
      </c>
      <c r="K13" s="16">
        <f t="shared" si="1"/>
        <v>634648</v>
      </c>
      <c r="L13" s="41">
        <f t="shared" si="2"/>
        <v>-67998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574</v>
      </c>
      <c r="C14" s="11" t="s">
        <v>575</v>
      </c>
      <c r="D14" s="16">
        <v>330000</v>
      </c>
      <c r="E14" s="16">
        <v>43989</v>
      </c>
      <c r="F14" s="41">
        <f>SUM(D14:E14)</f>
        <v>373989</v>
      </c>
      <c r="G14" s="159">
        <v>50</v>
      </c>
      <c r="H14" s="277">
        <v>7479.78</v>
      </c>
      <c r="I14" s="159">
        <v>44</v>
      </c>
      <c r="J14" s="97">
        <f t="shared" si="0"/>
        <v>6</v>
      </c>
      <c r="K14" s="91">
        <f>(32*7479.78)</f>
        <v>239352.95999999999</v>
      </c>
      <c r="L14" s="94">
        <f t="shared" si="2"/>
        <v>134636.04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721</v>
      </c>
      <c r="C15" s="11" t="s">
        <v>722</v>
      </c>
      <c r="D15" s="16">
        <v>500000</v>
      </c>
      <c r="E15" s="16">
        <v>66650</v>
      </c>
      <c r="F15" s="41">
        <f>SUM(D15:E15)</f>
        <v>566650</v>
      </c>
      <c r="G15" s="159">
        <v>50</v>
      </c>
      <c r="H15" s="278">
        <v>11333</v>
      </c>
      <c r="I15" s="97">
        <v>56</v>
      </c>
      <c r="J15" s="97">
        <f t="shared" si="0"/>
        <v>-6</v>
      </c>
      <c r="K15" s="91">
        <f t="shared" ref="K15:K20" si="3">I15*H15</f>
        <v>634648</v>
      </c>
      <c r="L15" s="94">
        <f t="shared" si="2"/>
        <v>-67998</v>
      </c>
      <c r="M15" s="11"/>
      <c r="N15" s="180" t="e">
        <f>#REF!-H15</f>
        <v>#REF!</v>
      </c>
    </row>
    <row r="16" spans="1:14" s="114" customFormat="1">
      <c r="A16" s="96">
        <v>11</v>
      </c>
      <c r="B16" s="11" t="s">
        <v>945</v>
      </c>
      <c r="C16" s="123" t="s">
        <v>946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79">
        <v>11333</v>
      </c>
      <c r="I16" s="159">
        <v>4</v>
      </c>
      <c r="J16" s="159">
        <f t="shared" si="0"/>
        <v>46</v>
      </c>
      <c r="K16" s="16">
        <f t="shared" si="3"/>
        <v>45332</v>
      </c>
      <c r="L16" s="94">
        <f t="shared" si="2"/>
        <v>521318</v>
      </c>
      <c r="M16" s="11" t="s">
        <v>251</v>
      </c>
      <c r="N16" s="180" t="e">
        <f>#REF!-H16</f>
        <v>#REF!</v>
      </c>
    </row>
    <row r="17" spans="1:14" s="114" customFormat="1">
      <c r="A17" s="96">
        <v>12</v>
      </c>
      <c r="B17" s="126" t="s">
        <v>884</v>
      </c>
      <c r="C17" s="8" t="s">
        <v>906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286">
        <v>11333</v>
      </c>
      <c r="I17" s="159">
        <v>4</v>
      </c>
      <c r="J17" s="159">
        <f t="shared" si="0"/>
        <v>46</v>
      </c>
      <c r="K17" s="16">
        <f t="shared" si="3"/>
        <v>45332</v>
      </c>
      <c r="L17" s="94">
        <f t="shared" si="2"/>
        <v>521318</v>
      </c>
      <c r="M17" s="11"/>
      <c r="N17" s="180" t="e">
        <f>#REF!-H17</f>
        <v>#REF!</v>
      </c>
    </row>
    <row r="18" spans="1:14" s="114" customFormat="1">
      <c r="A18" s="96">
        <v>13</v>
      </c>
      <c r="B18" s="96" t="s">
        <v>649</v>
      </c>
      <c r="C18" s="11" t="s">
        <v>650</v>
      </c>
      <c r="D18" s="16">
        <v>450000</v>
      </c>
      <c r="E18" s="16">
        <v>59985</v>
      </c>
      <c r="F18" s="16">
        <v>509985</v>
      </c>
      <c r="G18" s="159">
        <v>50</v>
      </c>
      <c r="H18" s="278">
        <v>10199.700000000001</v>
      </c>
      <c r="I18" s="97">
        <v>20</v>
      </c>
      <c r="J18" s="97">
        <f t="shared" si="0"/>
        <v>30</v>
      </c>
      <c r="K18" s="91">
        <f t="shared" si="3"/>
        <v>203994</v>
      </c>
      <c r="L18" s="91">
        <f t="shared" si="2"/>
        <v>305991</v>
      </c>
      <c r="M18" s="11"/>
      <c r="N18" s="180" t="e">
        <f>#REF!-H18</f>
        <v>#REF!</v>
      </c>
    </row>
    <row r="19" spans="1:14" s="114" customFormat="1">
      <c r="A19" s="96">
        <v>14</v>
      </c>
      <c r="B19" s="96" t="s">
        <v>617</v>
      </c>
      <c r="C19" s="11" t="s">
        <v>618</v>
      </c>
      <c r="D19" s="16">
        <v>450000</v>
      </c>
      <c r="E19" s="16">
        <v>59985</v>
      </c>
      <c r="F19" s="16">
        <v>509985</v>
      </c>
      <c r="G19" s="159">
        <v>50</v>
      </c>
      <c r="H19" s="278">
        <v>10199.700000000001</v>
      </c>
      <c r="I19" s="97">
        <v>35</v>
      </c>
      <c r="J19" s="97">
        <f t="shared" si="0"/>
        <v>15</v>
      </c>
      <c r="K19" s="91">
        <f t="shared" si="3"/>
        <v>356989.5</v>
      </c>
      <c r="L19" s="94">
        <f t="shared" si="2"/>
        <v>152995.5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505</v>
      </c>
      <c r="C20" s="11" t="s">
        <v>506</v>
      </c>
      <c r="D20" s="16">
        <v>500000</v>
      </c>
      <c r="E20" s="16">
        <v>66650</v>
      </c>
      <c r="F20" s="41">
        <f>SUM(D20:E20)</f>
        <v>566650</v>
      </c>
      <c r="G20" s="159">
        <v>50</v>
      </c>
      <c r="H20" s="278">
        <v>11333</v>
      </c>
      <c r="I20" s="97">
        <v>35</v>
      </c>
      <c r="J20" s="97">
        <f t="shared" si="0"/>
        <v>15</v>
      </c>
      <c r="K20" s="91">
        <f t="shared" si="3"/>
        <v>396655</v>
      </c>
      <c r="L20" s="94">
        <f t="shared" si="2"/>
        <v>169995</v>
      </c>
      <c r="M20" s="11"/>
    </row>
    <row r="21" spans="1:14" s="114" customFormat="1">
      <c r="A21" s="96">
        <v>16</v>
      </c>
      <c r="B21" s="96" t="s">
        <v>565</v>
      </c>
      <c r="C21" s="11" t="s">
        <v>566</v>
      </c>
      <c r="D21" s="16">
        <v>60000</v>
      </c>
      <c r="E21" s="16">
        <v>7998</v>
      </c>
      <c r="F21" s="41">
        <f>SUM(D21:E21)</f>
        <v>67998</v>
      </c>
      <c r="G21" s="159">
        <v>40</v>
      </c>
      <c r="H21" s="278">
        <v>1699.95</v>
      </c>
      <c r="I21" s="97">
        <v>10</v>
      </c>
      <c r="J21" s="97">
        <f t="shared" si="0"/>
        <v>30</v>
      </c>
      <c r="K21" s="91"/>
      <c r="L21" s="94">
        <f t="shared" si="2"/>
        <v>67998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659</v>
      </c>
      <c r="C22" s="11" t="s">
        <v>660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78">
        <v>11333</v>
      </c>
      <c r="I22" s="97">
        <v>45</v>
      </c>
      <c r="J22" s="97">
        <f t="shared" si="0"/>
        <v>5</v>
      </c>
      <c r="K22" s="91">
        <f t="shared" ref="K22:K29" si="4">I22*H22</f>
        <v>509985</v>
      </c>
      <c r="L22" s="94">
        <f t="shared" si="2"/>
        <v>56665</v>
      </c>
      <c r="M22" s="11" t="s">
        <v>276</v>
      </c>
      <c r="N22" s="180" t="e">
        <f>#REF!-H22</f>
        <v>#REF!</v>
      </c>
    </row>
    <row r="23" spans="1:14" s="114" customFormat="1">
      <c r="A23" s="96">
        <v>18</v>
      </c>
      <c r="B23" s="96" t="s">
        <v>559</v>
      </c>
      <c r="C23" s="11" t="s">
        <v>560</v>
      </c>
      <c r="D23" s="16">
        <v>500000</v>
      </c>
      <c r="E23" s="16">
        <v>66650</v>
      </c>
      <c r="F23" s="16">
        <v>566650</v>
      </c>
      <c r="G23" s="159">
        <v>50</v>
      </c>
      <c r="H23" s="280">
        <v>11333</v>
      </c>
      <c r="I23" s="96">
        <v>9</v>
      </c>
      <c r="J23" s="97">
        <f t="shared" si="0"/>
        <v>41</v>
      </c>
      <c r="K23" s="91">
        <f t="shared" si="4"/>
        <v>101997</v>
      </c>
      <c r="L23" s="94">
        <f t="shared" si="2"/>
        <v>464653</v>
      </c>
      <c r="M23" s="123"/>
      <c r="N23" s="180" t="e">
        <f>#REF!-H23</f>
        <v>#REF!</v>
      </c>
    </row>
    <row r="24" spans="1:14" s="114" customFormat="1">
      <c r="A24" s="96">
        <v>19</v>
      </c>
      <c r="B24" s="96" t="s">
        <v>690</v>
      </c>
      <c r="C24" s="11" t="s">
        <v>691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78">
        <v>11333</v>
      </c>
      <c r="I24" s="159">
        <v>7</v>
      </c>
      <c r="J24" s="97">
        <f t="shared" si="0"/>
        <v>43</v>
      </c>
      <c r="K24" s="91">
        <f t="shared" si="4"/>
        <v>79331</v>
      </c>
      <c r="L24" s="94">
        <f t="shared" si="2"/>
        <v>487319</v>
      </c>
      <c r="M24" s="11"/>
      <c r="N24" s="180" t="e">
        <f>#REF!-H24</f>
        <v>#REF!</v>
      </c>
    </row>
    <row r="25" spans="1:14" s="114" customFormat="1">
      <c r="A25" s="96">
        <v>20</v>
      </c>
      <c r="B25" s="96" t="s">
        <v>581</v>
      </c>
      <c r="C25" s="11" t="s">
        <v>582</v>
      </c>
      <c r="D25" s="16">
        <v>330000</v>
      </c>
      <c r="E25" s="16">
        <v>43989</v>
      </c>
      <c r="F25" s="41">
        <f>SUM(D25:E25)</f>
        <v>373989</v>
      </c>
      <c r="G25" s="159">
        <v>50</v>
      </c>
      <c r="H25" s="278">
        <v>7479.78</v>
      </c>
      <c r="I25" s="97">
        <v>56</v>
      </c>
      <c r="J25" s="97">
        <f t="shared" si="0"/>
        <v>-6</v>
      </c>
      <c r="K25" s="91">
        <f t="shared" si="4"/>
        <v>418867.68</v>
      </c>
      <c r="L25" s="94">
        <f t="shared" si="2"/>
        <v>-44878.679999999993</v>
      </c>
      <c r="M25" s="11"/>
      <c r="N25" s="180" t="e">
        <f>#REF!-H25</f>
        <v>#REF!</v>
      </c>
    </row>
    <row r="26" spans="1:14" s="114" customFormat="1">
      <c r="A26" s="96">
        <v>21</v>
      </c>
      <c r="B26" s="96" t="s">
        <v>567</v>
      </c>
      <c r="C26" s="11" t="s">
        <v>568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278">
        <v>7479.78</v>
      </c>
      <c r="I26" s="97">
        <v>56</v>
      </c>
      <c r="J26" s="97">
        <f t="shared" si="0"/>
        <v>-6</v>
      </c>
      <c r="K26" s="91">
        <f t="shared" si="4"/>
        <v>418867.68</v>
      </c>
      <c r="L26" s="94">
        <f t="shared" si="2"/>
        <v>-44878.679999999993</v>
      </c>
      <c r="M26" s="11"/>
      <c r="N26" s="180" t="e">
        <f>#REF!-H26</f>
        <v>#REF!</v>
      </c>
    </row>
    <row r="27" spans="1:14" s="114" customFormat="1">
      <c r="A27" s="96">
        <v>22</v>
      </c>
      <c r="B27" s="126" t="s">
        <v>939</v>
      </c>
      <c r="C27" s="8" t="s">
        <v>940</v>
      </c>
      <c r="D27" s="19">
        <v>330000</v>
      </c>
      <c r="E27" s="19">
        <v>43989</v>
      </c>
      <c r="F27" s="19">
        <f>SUM(D27:E27)</f>
        <v>373989</v>
      </c>
      <c r="G27" s="159">
        <v>50</v>
      </c>
      <c r="H27" s="286">
        <v>7479.78</v>
      </c>
      <c r="I27" s="159">
        <v>1</v>
      </c>
      <c r="J27" s="159">
        <f t="shared" si="0"/>
        <v>49</v>
      </c>
      <c r="K27" s="16">
        <f t="shared" si="4"/>
        <v>7479.78</v>
      </c>
      <c r="L27" s="94">
        <f t="shared" si="2"/>
        <v>366509.22</v>
      </c>
      <c r="M27" s="11"/>
      <c r="N27" s="180" t="e">
        <f>#REF!-H27</f>
        <v>#REF!</v>
      </c>
    </row>
    <row r="28" spans="1:14" s="114" customFormat="1">
      <c r="A28" s="96">
        <v>23</v>
      </c>
      <c r="B28" s="96" t="s">
        <v>726</v>
      </c>
      <c r="C28" s="11" t="s">
        <v>727</v>
      </c>
      <c r="D28" s="19">
        <v>500000</v>
      </c>
      <c r="E28" s="19">
        <v>66650</v>
      </c>
      <c r="F28" s="19">
        <v>566650</v>
      </c>
      <c r="G28" s="159">
        <v>50</v>
      </c>
      <c r="H28" s="278">
        <v>11333</v>
      </c>
      <c r="I28" s="97">
        <v>21</v>
      </c>
      <c r="J28" s="97">
        <f t="shared" si="0"/>
        <v>29</v>
      </c>
      <c r="K28" s="91">
        <f t="shared" si="4"/>
        <v>237993</v>
      </c>
      <c r="L28" s="91">
        <f t="shared" si="2"/>
        <v>328657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680</v>
      </c>
      <c r="C29" s="11" t="s">
        <v>681</v>
      </c>
      <c r="D29" s="19">
        <v>500000</v>
      </c>
      <c r="E29" s="19">
        <v>66650</v>
      </c>
      <c r="F29" s="19">
        <v>566650</v>
      </c>
      <c r="G29" s="159">
        <v>50</v>
      </c>
      <c r="H29" s="278">
        <v>11333</v>
      </c>
      <c r="I29" s="97">
        <v>21</v>
      </c>
      <c r="J29" s="97">
        <f t="shared" si="0"/>
        <v>29</v>
      </c>
      <c r="K29" s="91">
        <f t="shared" si="4"/>
        <v>237993</v>
      </c>
      <c r="L29" s="91">
        <f t="shared" si="2"/>
        <v>328657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576</v>
      </c>
      <c r="C30" s="11" t="s">
        <v>927</v>
      </c>
      <c r="D30" s="16">
        <v>60000</v>
      </c>
      <c r="E30" s="16">
        <v>7998</v>
      </c>
      <c r="F30" s="41">
        <f t="shared" ref="F30:F35" si="5">SUM(D30:E30)</f>
        <v>67998</v>
      </c>
      <c r="G30" s="159">
        <v>40</v>
      </c>
      <c r="H30" s="278">
        <v>1699.95</v>
      </c>
      <c r="I30" s="97">
        <v>10</v>
      </c>
      <c r="J30" s="97">
        <f t="shared" si="0"/>
        <v>30</v>
      </c>
      <c r="K30" s="91"/>
      <c r="L30" s="94">
        <f t="shared" si="2"/>
        <v>67998</v>
      </c>
      <c r="M30" s="11"/>
      <c r="N30" s="180" t="e">
        <f>#REF!-H30</f>
        <v>#REF!</v>
      </c>
    </row>
    <row r="31" spans="1:14" s="114" customFormat="1">
      <c r="A31" s="96">
        <v>26</v>
      </c>
      <c r="B31" s="96" t="s">
        <v>949</v>
      </c>
      <c r="C31" s="11" t="s">
        <v>950</v>
      </c>
      <c r="D31" s="16">
        <v>500000</v>
      </c>
      <c r="E31" s="16">
        <v>66650</v>
      </c>
      <c r="F31" s="41">
        <f t="shared" si="5"/>
        <v>566650</v>
      </c>
      <c r="G31" s="159">
        <v>50</v>
      </c>
      <c r="H31" s="278">
        <v>11333</v>
      </c>
      <c r="I31" s="97">
        <v>34</v>
      </c>
      <c r="J31" s="97">
        <f t="shared" si="0"/>
        <v>16</v>
      </c>
      <c r="K31" s="91">
        <f>I31*H31</f>
        <v>385322</v>
      </c>
      <c r="L31" s="94">
        <f t="shared" si="2"/>
        <v>181328</v>
      </c>
      <c r="M31" s="11"/>
    </row>
    <row r="32" spans="1:14" s="114" customFormat="1">
      <c r="A32" s="96">
        <v>27</v>
      </c>
      <c r="B32" s="96" t="s">
        <v>588</v>
      </c>
      <c r="C32" s="11" t="s">
        <v>589</v>
      </c>
      <c r="D32" s="16">
        <v>500000</v>
      </c>
      <c r="E32" s="16">
        <v>66650</v>
      </c>
      <c r="F32" s="41">
        <f t="shared" si="5"/>
        <v>566650</v>
      </c>
      <c r="G32" s="159">
        <v>50</v>
      </c>
      <c r="H32" s="278">
        <v>11333</v>
      </c>
      <c r="I32" s="97">
        <v>44</v>
      </c>
      <c r="J32" s="97">
        <f t="shared" si="0"/>
        <v>6</v>
      </c>
      <c r="K32" s="91">
        <f>I32*H32</f>
        <v>498652</v>
      </c>
      <c r="L32" s="94">
        <f t="shared" si="2"/>
        <v>67998</v>
      </c>
      <c r="M32" s="11"/>
    </row>
    <row r="33" spans="1:14" s="114" customFormat="1">
      <c r="A33" s="96">
        <v>28</v>
      </c>
      <c r="B33" s="96" t="s">
        <v>532</v>
      </c>
      <c r="C33" s="11" t="s">
        <v>533</v>
      </c>
      <c r="D33" s="16">
        <v>500000</v>
      </c>
      <c r="E33" s="16">
        <v>66650</v>
      </c>
      <c r="F33" s="41">
        <f t="shared" si="5"/>
        <v>566650</v>
      </c>
      <c r="G33" s="159">
        <v>50</v>
      </c>
      <c r="H33" s="278">
        <v>11333</v>
      </c>
      <c r="I33" s="97">
        <v>44</v>
      </c>
      <c r="J33" s="97">
        <f t="shared" si="0"/>
        <v>6</v>
      </c>
      <c r="K33" s="91">
        <f>I33*H33</f>
        <v>498652</v>
      </c>
      <c r="L33" s="94">
        <f t="shared" si="2"/>
        <v>67998</v>
      </c>
      <c r="M33" s="11"/>
      <c r="N33" s="180" t="e">
        <f>#REF!-H33</f>
        <v>#REF!</v>
      </c>
    </row>
    <row r="34" spans="1:14" s="114" customFormat="1">
      <c r="A34" s="96">
        <v>29</v>
      </c>
      <c r="B34" s="96" t="s">
        <v>633</v>
      </c>
      <c r="C34" s="11" t="s">
        <v>634</v>
      </c>
      <c r="D34" s="19">
        <v>150000</v>
      </c>
      <c r="E34" s="19">
        <v>19995</v>
      </c>
      <c r="F34" s="19">
        <f t="shared" si="5"/>
        <v>169995</v>
      </c>
      <c r="G34" s="159">
        <v>50</v>
      </c>
      <c r="H34" s="281">
        <v>3399.9</v>
      </c>
      <c r="I34" s="101">
        <v>9</v>
      </c>
      <c r="J34" s="97">
        <f t="shared" si="0"/>
        <v>41</v>
      </c>
      <c r="K34" s="91">
        <f>I34*H34</f>
        <v>30599.100000000002</v>
      </c>
      <c r="L34" s="94">
        <f t="shared" si="2"/>
        <v>139395.9</v>
      </c>
      <c r="M34" s="8"/>
      <c r="N34" s="180" t="e">
        <f>#REF!-H34</f>
        <v>#REF!</v>
      </c>
    </row>
    <row r="35" spans="1:14" s="114" customFormat="1">
      <c r="A35" s="96">
        <v>30</v>
      </c>
      <c r="B35" s="126" t="s">
        <v>947</v>
      </c>
      <c r="C35" s="8" t="s">
        <v>948</v>
      </c>
      <c r="D35" s="16">
        <v>500000</v>
      </c>
      <c r="E35" s="16">
        <v>66650</v>
      </c>
      <c r="F35" s="41">
        <f t="shared" si="5"/>
        <v>566650</v>
      </c>
      <c r="G35" s="159">
        <v>50</v>
      </c>
      <c r="H35" s="286">
        <v>11333</v>
      </c>
      <c r="I35" s="159">
        <v>1</v>
      </c>
      <c r="J35" s="159">
        <f t="shared" si="0"/>
        <v>49</v>
      </c>
      <c r="K35" s="16">
        <f>I35*H35</f>
        <v>11333</v>
      </c>
      <c r="L35" s="94">
        <f t="shared" si="2"/>
        <v>555317</v>
      </c>
      <c r="M35" s="11"/>
      <c r="N35" s="180" t="e">
        <f>#REF!-H35</f>
        <v>#REF!</v>
      </c>
    </row>
    <row r="36" spans="1:14" s="114" customFormat="1">
      <c r="A36" s="96">
        <v>31</v>
      </c>
      <c r="B36" s="96" t="s">
        <v>534</v>
      </c>
      <c r="C36" s="11" t="s">
        <v>535</v>
      </c>
      <c r="D36" s="16">
        <v>450000</v>
      </c>
      <c r="E36" s="16">
        <v>59985</v>
      </c>
      <c r="F36" s="16">
        <v>509985</v>
      </c>
      <c r="G36" s="159">
        <v>50</v>
      </c>
      <c r="H36" s="278">
        <v>10199.700000000001</v>
      </c>
      <c r="I36" s="97">
        <v>13</v>
      </c>
      <c r="J36" s="97">
        <f t="shared" si="0"/>
        <v>37</v>
      </c>
      <c r="K36" s="91">
        <f>(1*10199.7)</f>
        <v>10199.700000000001</v>
      </c>
      <c r="L36" s="94">
        <f t="shared" si="2"/>
        <v>499785.3</v>
      </c>
      <c r="M36" s="11"/>
      <c r="N36" s="180" t="e">
        <f>#REF!-H36</f>
        <v>#REF!</v>
      </c>
    </row>
    <row r="37" spans="1:14" s="114" customFormat="1">
      <c r="A37" s="96">
        <v>32</v>
      </c>
      <c r="B37" s="96" t="s">
        <v>713</v>
      </c>
      <c r="C37" s="11" t="s">
        <v>714</v>
      </c>
      <c r="D37" s="16">
        <v>450000</v>
      </c>
      <c r="E37" s="16">
        <v>59985</v>
      </c>
      <c r="F37" s="41">
        <f t="shared" ref="F37:F48" si="6">SUM(D37:E37)</f>
        <v>509985</v>
      </c>
      <c r="G37" s="159">
        <v>50</v>
      </c>
      <c r="H37" s="278">
        <v>11333</v>
      </c>
      <c r="I37" s="97">
        <v>24</v>
      </c>
      <c r="J37" s="97">
        <f t="shared" si="0"/>
        <v>26</v>
      </c>
      <c r="K37" s="91">
        <f t="shared" ref="K37:K68" si="7">I37*H37</f>
        <v>271992</v>
      </c>
      <c r="L37" s="94">
        <f t="shared" si="2"/>
        <v>237993</v>
      </c>
      <c r="M37" s="11"/>
      <c r="N37" s="180" t="e">
        <f>#REF!-H37</f>
        <v>#REF!</v>
      </c>
    </row>
    <row r="38" spans="1:14" s="114" customFormat="1">
      <c r="A38" s="96">
        <v>33</v>
      </c>
      <c r="B38" s="96" t="s">
        <v>499</v>
      </c>
      <c r="C38" s="11" t="s">
        <v>500</v>
      </c>
      <c r="D38" s="16">
        <v>500000</v>
      </c>
      <c r="E38" s="16">
        <v>66650</v>
      </c>
      <c r="F38" s="41">
        <f t="shared" si="6"/>
        <v>566650</v>
      </c>
      <c r="G38" s="159">
        <v>50</v>
      </c>
      <c r="H38" s="277">
        <v>11333</v>
      </c>
      <c r="I38" s="159">
        <v>7</v>
      </c>
      <c r="J38" s="97">
        <f t="shared" ref="J38:J69" si="8">G38-I38</f>
        <v>43</v>
      </c>
      <c r="K38" s="91">
        <f t="shared" si="7"/>
        <v>79331</v>
      </c>
      <c r="L38" s="94">
        <f t="shared" ref="L38:L69" si="9">F38-K38</f>
        <v>487319</v>
      </c>
      <c r="M38" s="11"/>
      <c r="N38" s="180" t="e">
        <f>#REF!-H38</f>
        <v>#REF!</v>
      </c>
    </row>
    <row r="39" spans="1:14" s="114" customFormat="1">
      <c r="A39" s="96">
        <v>34</v>
      </c>
      <c r="B39" s="96" t="s">
        <v>572</v>
      </c>
      <c r="C39" s="11" t="s">
        <v>573</v>
      </c>
      <c r="D39" s="12">
        <v>150000</v>
      </c>
      <c r="E39" s="12">
        <v>19995</v>
      </c>
      <c r="F39" s="15">
        <f t="shared" si="6"/>
        <v>169995</v>
      </c>
      <c r="G39" s="14">
        <v>50</v>
      </c>
      <c r="H39" s="278">
        <v>3399.9</v>
      </c>
      <c r="I39" s="14">
        <v>40</v>
      </c>
      <c r="J39" s="97">
        <f t="shared" si="8"/>
        <v>10</v>
      </c>
      <c r="K39" s="91">
        <f t="shared" si="7"/>
        <v>135996</v>
      </c>
      <c r="L39" s="15">
        <f t="shared" si="9"/>
        <v>33999</v>
      </c>
      <c r="M39" s="8"/>
      <c r="N39" s="180" t="e">
        <f>#REF!-H39</f>
        <v>#REF!</v>
      </c>
    </row>
    <row r="40" spans="1:14" s="114" customFormat="1">
      <c r="A40" s="96">
        <v>35</v>
      </c>
      <c r="B40" s="96" t="s">
        <v>626</v>
      </c>
      <c r="C40" s="11" t="s">
        <v>627</v>
      </c>
      <c r="D40" s="16">
        <v>330000</v>
      </c>
      <c r="E40" s="16">
        <v>43989</v>
      </c>
      <c r="F40" s="41">
        <f t="shared" si="6"/>
        <v>373989</v>
      </c>
      <c r="G40" s="159">
        <v>50</v>
      </c>
      <c r="H40" s="278">
        <v>7479.78</v>
      </c>
      <c r="I40" s="97">
        <v>35</v>
      </c>
      <c r="J40" s="97">
        <f t="shared" si="8"/>
        <v>15</v>
      </c>
      <c r="K40" s="91">
        <f t="shared" si="7"/>
        <v>261792.3</v>
      </c>
      <c r="L40" s="94">
        <f t="shared" si="9"/>
        <v>112196.70000000001</v>
      </c>
      <c r="M40" s="11"/>
      <c r="N40" s="180" t="e">
        <f>#REF!-H40</f>
        <v>#REF!</v>
      </c>
    </row>
    <row r="41" spans="1:14" s="114" customFormat="1">
      <c r="A41" s="96">
        <v>36</v>
      </c>
      <c r="B41" s="96" t="s">
        <v>730</v>
      </c>
      <c r="C41" s="11" t="s">
        <v>731</v>
      </c>
      <c r="D41" s="16">
        <v>500000</v>
      </c>
      <c r="E41" s="16">
        <v>66650</v>
      </c>
      <c r="F41" s="41">
        <f t="shared" si="6"/>
        <v>566650</v>
      </c>
      <c r="G41" s="159">
        <v>50</v>
      </c>
      <c r="H41" s="278">
        <v>11333</v>
      </c>
      <c r="I41" s="159">
        <v>11</v>
      </c>
      <c r="J41" s="159">
        <f t="shared" si="8"/>
        <v>39</v>
      </c>
      <c r="K41" s="91">
        <f t="shared" si="7"/>
        <v>124663</v>
      </c>
      <c r="L41" s="94">
        <f t="shared" si="9"/>
        <v>441987</v>
      </c>
      <c r="M41" s="11"/>
      <c r="N41" s="180" t="e">
        <f>#REF!-H41</f>
        <v>#REF!</v>
      </c>
    </row>
    <row r="42" spans="1:14" s="114" customFormat="1">
      <c r="A42" s="96">
        <v>37</v>
      </c>
      <c r="B42" s="96" t="s">
        <v>526</v>
      </c>
      <c r="C42" s="11" t="s">
        <v>527</v>
      </c>
      <c r="D42" s="16">
        <v>330000</v>
      </c>
      <c r="E42" s="16">
        <v>43989</v>
      </c>
      <c r="F42" s="41">
        <f t="shared" si="6"/>
        <v>373989</v>
      </c>
      <c r="G42" s="159">
        <v>50</v>
      </c>
      <c r="H42" s="277">
        <v>7479.78</v>
      </c>
      <c r="I42" s="97">
        <v>35</v>
      </c>
      <c r="J42" s="97">
        <f t="shared" si="8"/>
        <v>15</v>
      </c>
      <c r="K42" s="91">
        <f t="shared" si="7"/>
        <v>261792.3</v>
      </c>
      <c r="L42" s="94">
        <f t="shared" si="9"/>
        <v>112196.70000000001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609</v>
      </c>
      <c r="C43" s="11" t="s">
        <v>610</v>
      </c>
      <c r="D43" s="16">
        <v>500000</v>
      </c>
      <c r="E43" s="16">
        <v>66650</v>
      </c>
      <c r="F43" s="41">
        <f t="shared" si="6"/>
        <v>566650</v>
      </c>
      <c r="G43" s="159">
        <v>50</v>
      </c>
      <c r="H43" s="278">
        <v>11333</v>
      </c>
      <c r="I43" s="97">
        <v>34</v>
      </c>
      <c r="J43" s="97">
        <f t="shared" si="8"/>
        <v>16</v>
      </c>
      <c r="K43" s="91">
        <f t="shared" si="7"/>
        <v>385322</v>
      </c>
      <c r="L43" s="94">
        <f t="shared" si="9"/>
        <v>181328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682</v>
      </c>
      <c r="C44" s="11" t="s">
        <v>683</v>
      </c>
      <c r="D44" s="16">
        <v>500000</v>
      </c>
      <c r="E44" s="16">
        <v>66650</v>
      </c>
      <c r="F44" s="41">
        <f t="shared" si="6"/>
        <v>566650</v>
      </c>
      <c r="G44" s="159">
        <v>50</v>
      </c>
      <c r="H44" s="278">
        <v>11333</v>
      </c>
      <c r="I44" s="97">
        <v>35</v>
      </c>
      <c r="J44" s="97">
        <f t="shared" si="8"/>
        <v>15</v>
      </c>
      <c r="K44" s="91">
        <f t="shared" si="7"/>
        <v>396655</v>
      </c>
      <c r="L44" s="94">
        <f t="shared" si="9"/>
        <v>169995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542</v>
      </c>
      <c r="C45" s="11" t="s">
        <v>543</v>
      </c>
      <c r="D45" s="16">
        <v>500000</v>
      </c>
      <c r="E45" s="16">
        <v>66650</v>
      </c>
      <c r="F45" s="41">
        <f t="shared" si="6"/>
        <v>566650</v>
      </c>
      <c r="G45" s="159">
        <v>50</v>
      </c>
      <c r="H45" s="278">
        <v>11333</v>
      </c>
      <c r="I45" s="97">
        <v>34</v>
      </c>
      <c r="J45" s="97">
        <f t="shared" si="8"/>
        <v>16</v>
      </c>
      <c r="K45" s="91">
        <f t="shared" si="7"/>
        <v>385322</v>
      </c>
      <c r="L45" s="94">
        <f t="shared" si="9"/>
        <v>181328</v>
      </c>
      <c r="M45" s="11"/>
      <c r="N45" s="180" t="e">
        <f>#REF!-H45</f>
        <v>#REF!</v>
      </c>
    </row>
    <row r="46" spans="1:14" s="114" customFormat="1">
      <c r="A46" s="96">
        <v>41</v>
      </c>
      <c r="B46" s="96" t="s">
        <v>657</v>
      </c>
      <c r="C46" s="11" t="s">
        <v>658</v>
      </c>
      <c r="D46" s="12">
        <v>500000</v>
      </c>
      <c r="E46" s="12">
        <v>66650</v>
      </c>
      <c r="F46" s="15">
        <f t="shared" si="6"/>
        <v>566650</v>
      </c>
      <c r="G46" s="14">
        <v>50</v>
      </c>
      <c r="H46" s="277">
        <v>11333</v>
      </c>
      <c r="I46" s="14">
        <v>40</v>
      </c>
      <c r="J46" s="97">
        <f t="shared" si="8"/>
        <v>10</v>
      </c>
      <c r="K46" s="91">
        <f t="shared" si="7"/>
        <v>453320</v>
      </c>
      <c r="L46" s="15">
        <f t="shared" si="9"/>
        <v>113330</v>
      </c>
      <c r="M46" s="8"/>
      <c r="N46" s="180" t="e">
        <f>#REF!-H46</f>
        <v>#REF!</v>
      </c>
    </row>
    <row r="47" spans="1:14" s="114" customFormat="1">
      <c r="A47" s="96">
        <v>42</v>
      </c>
      <c r="B47" s="11" t="s">
        <v>900</v>
      </c>
      <c r="C47" s="123" t="s">
        <v>923</v>
      </c>
      <c r="D47" s="19">
        <v>330000</v>
      </c>
      <c r="E47" s="19">
        <v>43989</v>
      </c>
      <c r="F47" s="19">
        <f t="shared" si="6"/>
        <v>373989</v>
      </c>
      <c r="G47" s="159">
        <v>50</v>
      </c>
      <c r="H47" s="279">
        <v>7479.78</v>
      </c>
      <c r="I47" s="159">
        <v>4</v>
      </c>
      <c r="J47" s="159">
        <f t="shared" si="8"/>
        <v>46</v>
      </c>
      <c r="K47" s="16">
        <f t="shared" si="7"/>
        <v>29919.119999999999</v>
      </c>
      <c r="L47" s="94">
        <f t="shared" si="9"/>
        <v>344069.88</v>
      </c>
      <c r="M47" s="11" t="s">
        <v>251</v>
      </c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11" t="s">
        <v>695</v>
      </c>
      <c r="D48" s="16">
        <v>330000</v>
      </c>
      <c r="E48" s="16">
        <v>43989</v>
      </c>
      <c r="F48" s="41">
        <f t="shared" si="6"/>
        <v>373989</v>
      </c>
      <c r="G48" s="159">
        <v>50</v>
      </c>
      <c r="H48" s="278">
        <v>7479.78</v>
      </c>
      <c r="I48" s="97">
        <v>56</v>
      </c>
      <c r="J48" s="97">
        <f t="shared" si="8"/>
        <v>-6</v>
      </c>
      <c r="K48" s="91">
        <f t="shared" si="7"/>
        <v>418867.68</v>
      </c>
      <c r="L48" s="94">
        <f t="shared" si="9"/>
        <v>-44878.679999999993</v>
      </c>
      <c r="M48" s="11"/>
    </row>
    <row r="49" spans="1:14" s="114" customFormat="1">
      <c r="A49" s="96">
        <v>44</v>
      </c>
      <c r="B49" s="11" t="s">
        <v>893</v>
      </c>
      <c r="C49" s="123" t="s">
        <v>915</v>
      </c>
      <c r="D49" s="19">
        <v>450000</v>
      </c>
      <c r="E49" s="19">
        <v>59985</v>
      </c>
      <c r="F49" s="19">
        <v>509985</v>
      </c>
      <c r="G49" s="159">
        <v>50</v>
      </c>
      <c r="H49" s="279">
        <v>10199.700000000001</v>
      </c>
      <c r="I49" s="159">
        <v>4</v>
      </c>
      <c r="J49" s="159">
        <f t="shared" si="8"/>
        <v>46</v>
      </c>
      <c r="K49" s="16">
        <f t="shared" si="7"/>
        <v>40798.800000000003</v>
      </c>
      <c r="L49" s="94">
        <f t="shared" si="9"/>
        <v>469186.2</v>
      </c>
      <c r="M49" s="11" t="s">
        <v>251</v>
      </c>
      <c r="N49" s="180" t="e">
        <f>#REF!-H49</f>
        <v>#REF!</v>
      </c>
    </row>
    <row r="50" spans="1:14" s="114" customFormat="1">
      <c r="A50" s="96">
        <v>45</v>
      </c>
      <c r="B50" s="96" t="s">
        <v>520</v>
      </c>
      <c r="C50" s="11" t="s">
        <v>521</v>
      </c>
      <c r="D50" s="19">
        <v>450000</v>
      </c>
      <c r="E50" s="19">
        <v>59985</v>
      </c>
      <c r="F50" s="19">
        <v>509985</v>
      </c>
      <c r="G50" s="159">
        <v>50</v>
      </c>
      <c r="H50" s="282">
        <v>10199.700000000001</v>
      </c>
      <c r="I50" s="97">
        <v>46</v>
      </c>
      <c r="J50" s="97">
        <f t="shared" si="8"/>
        <v>4</v>
      </c>
      <c r="K50" s="91">
        <f t="shared" si="7"/>
        <v>469186.2</v>
      </c>
      <c r="L50" s="94">
        <f t="shared" si="9"/>
        <v>40798.799999999988</v>
      </c>
      <c r="M50" s="11"/>
      <c r="N50" s="180" t="e">
        <f>#REF!-H50</f>
        <v>#REF!</v>
      </c>
    </row>
    <row r="51" spans="1:14" s="114" customFormat="1">
      <c r="A51" s="96">
        <v>46</v>
      </c>
      <c r="B51" s="96" t="s">
        <v>715</v>
      </c>
      <c r="C51" s="11" t="s">
        <v>716</v>
      </c>
      <c r="D51" s="19">
        <v>450000</v>
      </c>
      <c r="E51" s="19">
        <v>59985</v>
      </c>
      <c r="F51" s="19">
        <v>509985</v>
      </c>
      <c r="G51" s="159">
        <v>50</v>
      </c>
      <c r="H51" s="278">
        <v>10199.700000000001</v>
      </c>
      <c r="I51" s="101">
        <v>9</v>
      </c>
      <c r="J51" s="97">
        <f t="shared" si="8"/>
        <v>41</v>
      </c>
      <c r="K51" s="91">
        <f t="shared" si="7"/>
        <v>91797.3</v>
      </c>
      <c r="L51" s="94">
        <f t="shared" si="9"/>
        <v>418187.7</v>
      </c>
      <c r="M51" s="8"/>
      <c r="N51" s="180" t="e">
        <f>#REF!-H51</f>
        <v>#REF!</v>
      </c>
    </row>
    <row r="52" spans="1:14" s="114" customFormat="1">
      <c r="A52" s="96">
        <v>47</v>
      </c>
      <c r="B52" s="96" t="s">
        <v>700</v>
      </c>
      <c r="C52" s="11" t="s">
        <v>701</v>
      </c>
      <c r="D52" s="16">
        <v>500000</v>
      </c>
      <c r="E52" s="16">
        <v>66650</v>
      </c>
      <c r="F52" s="41">
        <f>SUM(D52:E52)</f>
        <v>566650</v>
      </c>
      <c r="G52" s="159">
        <v>50</v>
      </c>
      <c r="H52" s="278">
        <v>11333</v>
      </c>
      <c r="I52" s="97">
        <v>56</v>
      </c>
      <c r="J52" s="97">
        <f t="shared" si="8"/>
        <v>-6</v>
      </c>
      <c r="K52" s="91">
        <f t="shared" si="7"/>
        <v>634648</v>
      </c>
      <c r="L52" s="94">
        <f t="shared" si="9"/>
        <v>-67998</v>
      </c>
      <c r="M52" s="11"/>
      <c r="N52" s="180" t="e">
        <f>#REF!-H52</f>
        <v>#REF!</v>
      </c>
    </row>
    <row r="53" spans="1:14" s="114" customFormat="1">
      <c r="A53" s="96">
        <v>48</v>
      </c>
      <c r="B53" s="96" t="s">
        <v>724</v>
      </c>
      <c r="C53" s="11" t="s">
        <v>725</v>
      </c>
      <c r="D53" s="19">
        <v>500000</v>
      </c>
      <c r="E53" s="19">
        <v>66650</v>
      </c>
      <c r="F53" s="19">
        <v>566650</v>
      </c>
      <c r="G53" s="159">
        <v>50</v>
      </c>
      <c r="H53" s="278">
        <v>11333</v>
      </c>
      <c r="I53" s="97">
        <v>20</v>
      </c>
      <c r="J53" s="97">
        <f t="shared" si="8"/>
        <v>30</v>
      </c>
      <c r="K53" s="91">
        <f t="shared" si="7"/>
        <v>226660</v>
      </c>
      <c r="L53" s="91">
        <f t="shared" si="9"/>
        <v>339990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624</v>
      </c>
      <c r="C54" s="11" t="s">
        <v>625</v>
      </c>
      <c r="D54" s="16">
        <v>150000</v>
      </c>
      <c r="E54" s="16">
        <v>19995</v>
      </c>
      <c r="F54" s="41">
        <f>SUM(D54:E54)</f>
        <v>169995</v>
      </c>
      <c r="G54" s="159">
        <v>50</v>
      </c>
      <c r="H54" s="278">
        <v>3399.9</v>
      </c>
      <c r="I54" s="97">
        <v>44</v>
      </c>
      <c r="J54" s="97">
        <f t="shared" si="8"/>
        <v>6</v>
      </c>
      <c r="K54" s="91">
        <f t="shared" si="7"/>
        <v>149595.6</v>
      </c>
      <c r="L54" s="94">
        <f t="shared" si="9"/>
        <v>20399.399999999994</v>
      </c>
      <c r="M54" s="11"/>
      <c r="N54" s="180" t="e">
        <f>#REF!-H54</f>
        <v>#REF!</v>
      </c>
    </row>
    <row r="55" spans="1:14" s="114" customFormat="1">
      <c r="A55" s="96">
        <v>50</v>
      </c>
      <c r="B55" s="11" t="s">
        <v>887</v>
      </c>
      <c r="C55" s="123" t="s">
        <v>909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279">
        <v>11333</v>
      </c>
      <c r="I55" s="159">
        <v>4</v>
      </c>
      <c r="J55" s="159">
        <f t="shared" si="8"/>
        <v>46</v>
      </c>
      <c r="K55" s="16">
        <f t="shared" si="7"/>
        <v>45332</v>
      </c>
      <c r="L55" s="94">
        <f t="shared" si="9"/>
        <v>521318</v>
      </c>
      <c r="M55" s="11" t="s">
        <v>251</v>
      </c>
      <c r="N55" s="180" t="e">
        <f>#REF!-H55</f>
        <v>#REF!</v>
      </c>
    </row>
    <row r="56" spans="1:14" s="114" customFormat="1">
      <c r="A56" s="96">
        <v>51</v>
      </c>
      <c r="B56" s="11" t="s">
        <v>894</v>
      </c>
      <c r="C56" s="123" t="s">
        <v>916</v>
      </c>
      <c r="D56" s="19">
        <v>450000</v>
      </c>
      <c r="E56" s="19">
        <v>59985</v>
      </c>
      <c r="F56" s="19">
        <v>509985</v>
      </c>
      <c r="G56" s="159">
        <v>50</v>
      </c>
      <c r="H56" s="279">
        <v>10199.700000000001</v>
      </c>
      <c r="I56" s="159">
        <v>4</v>
      </c>
      <c r="J56" s="159">
        <f t="shared" si="8"/>
        <v>46</v>
      </c>
      <c r="K56" s="16">
        <f t="shared" si="7"/>
        <v>40798.800000000003</v>
      </c>
      <c r="L56" s="94">
        <f t="shared" si="9"/>
        <v>469186.2</v>
      </c>
      <c r="M56" s="11" t="s">
        <v>251</v>
      </c>
      <c r="N56" s="180" t="e">
        <f>#REF!-H56</f>
        <v>#REF!</v>
      </c>
    </row>
    <row r="57" spans="1:14" s="114" customFormat="1">
      <c r="A57" s="96">
        <v>52</v>
      </c>
      <c r="B57" s="96" t="s">
        <v>619</v>
      </c>
      <c r="C57" s="11" t="s">
        <v>620</v>
      </c>
      <c r="D57" s="16">
        <v>500000</v>
      </c>
      <c r="E57" s="16">
        <v>66650</v>
      </c>
      <c r="F57" s="16">
        <v>566650</v>
      </c>
      <c r="G57" s="159">
        <v>50</v>
      </c>
      <c r="H57" s="278">
        <v>11333</v>
      </c>
      <c r="I57" s="97">
        <v>35</v>
      </c>
      <c r="J57" s="97">
        <f t="shared" si="8"/>
        <v>15</v>
      </c>
      <c r="K57" s="91">
        <f t="shared" si="7"/>
        <v>396655</v>
      </c>
      <c r="L57" s="94">
        <f t="shared" si="9"/>
        <v>169995</v>
      </c>
      <c r="M57" s="11"/>
      <c r="N57" s="180" t="e">
        <f>#REF!-H57</f>
        <v>#REF!</v>
      </c>
    </row>
    <row r="58" spans="1:14" s="114" customFormat="1">
      <c r="A58" s="96">
        <v>53</v>
      </c>
      <c r="B58" s="96" t="s">
        <v>664</v>
      </c>
      <c r="C58" s="11" t="s">
        <v>665</v>
      </c>
      <c r="D58" s="19">
        <v>330000</v>
      </c>
      <c r="E58" s="19">
        <v>43989</v>
      </c>
      <c r="F58" s="19">
        <f>SUM(D58:E58)</f>
        <v>373989</v>
      </c>
      <c r="G58" s="159">
        <v>50</v>
      </c>
      <c r="H58" s="283">
        <v>7479.78</v>
      </c>
      <c r="I58" s="101">
        <v>9</v>
      </c>
      <c r="J58" s="97">
        <f t="shared" si="8"/>
        <v>41</v>
      </c>
      <c r="K58" s="91">
        <f t="shared" si="7"/>
        <v>67318.02</v>
      </c>
      <c r="L58" s="94">
        <f t="shared" si="9"/>
        <v>306670.98</v>
      </c>
      <c r="M58" s="8"/>
      <c r="N58" s="180" t="e">
        <f>#REF!-H58</f>
        <v>#REF!</v>
      </c>
    </row>
    <row r="59" spans="1:14" s="114" customFormat="1">
      <c r="A59" s="96">
        <v>54</v>
      </c>
      <c r="B59" s="11" t="s">
        <v>896</v>
      </c>
      <c r="C59" s="123" t="s">
        <v>919</v>
      </c>
      <c r="D59" s="19">
        <v>450000</v>
      </c>
      <c r="E59" s="19">
        <v>59985</v>
      </c>
      <c r="F59" s="19">
        <v>509985</v>
      </c>
      <c r="G59" s="159">
        <v>50</v>
      </c>
      <c r="H59" s="279">
        <v>10199.700000000001</v>
      </c>
      <c r="I59" s="159">
        <v>4</v>
      </c>
      <c r="J59" s="159">
        <f t="shared" si="8"/>
        <v>46</v>
      </c>
      <c r="K59" s="16">
        <f t="shared" si="7"/>
        <v>40798.800000000003</v>
      </c>
      <c r="L59" s="94">
        <f t="shared" si="9"/>
        <v>469186.2</v>
      </c>
      <c r="M59" s="11" t="s">
        <v>251</v>
      </c>
      <c r="N59" s="180" t="e">
        <f>#REF!-H59</f>
        <v>#REF!</v>
      </c>
    </row>
    <row r="60" spans="1:14" s="114" customFormat="1">
      <c r="A60" s="96">
        <v>55</v>
      </c>
      <c r="B60" s="96" t="s">
        <v>516</v>
      </c>
      <c r="C60" s="11" t="s">
        <v>517</v>
      </c>
      <c r="D60" s="16">
        <v>500000</v>
      </c>
      <c r="E60" s="16">
        <v>66650</v>
      </c>
      <c r="F60" s="41">
        <f>SUM(D60:E60)</f>
        <v>566650</v>
      </c>
      <c r="G60" s="159">
        <v>50</v>
      </c>
      <c r="H60" s="284">
        <v>11333</v>
      </c>
      <c r="I60" s="97">
        <v>35</v>
      </c>
      <c r="J60" s="97">
        <f t="shared" si="8"/>
        <v>15</v>
      </c>
      <c r="K60" s="91">
        <f t="shared" si="7"/>
        <v>396655</v>
      </c>
      <c r="L60" s="94">
        <f t="shared" si="9"/>
        <v>169995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688</v>
      </c>
      <c r="C61" s="11" t="s">
        <v>689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278">
        <v>11333</v>
      </c>
      <c r="I61" s="97">
        <v>40</v>
      </c>
      <c r="J61" s="97">
        <f t="shared" si="8"/>
        <v>10</v>
      </c>
      <c r="K61" s="91">
        <f t="shared" si="7"/>
        <v>453320</v>
      </c>
      <c r="L61" s="94">
        <f t="shared" si="9"/>
        <v>113330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635</v>
      </c>
      <c r="C62" s="11" t="s">
        <v>636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278">
        <v>11333</v>
      </c>
      <c r="I62" s="97">
        <v>56</v>
      </c>
      <c r="J62" s="97">
        <f t="shared" si="8"/>
        <v>-6</v>
      </c>
      <c r="K62" s="91">
        <f t="shared" si="7"/>
        <v>634648</v>
      </c>
      <c r="L62" s="94">
        <f t="shared" si="9"/>
        <v>-67998</v>
      </c>
      <c r="M62" s="11"/>
      <c r="N62" s="180" t="e">
        <f>#REF!-H62</f>
        <v>#REF!</v>
      </c>
    </row>
    <row r="63" spans="1:14" s="114" customFormat="1">
      <c r="A63" s="96">
        <v>58</v>
      </c>
      <c r="B63" s="126" t="s">
        <v>937</v>
      </c>
      <c r="C63" s="8" t="s">
        <v>938</v>
      </c>
      <c r="D63" s="19">
        <v>150000</v>
      </c>
      <c r="E63" s="19">
        <v>19995</v>
      </c>
      <c r="F63" s="19">
        <f>SUM(D63:E63)</f>
        <v>169995</v>
      </c>
      <c r="G63" s="159">
        <v>50</v>
      </c>
      <c r="H63" s="286">
        <v>3399.9</v>
      </c>
      <c r="I63" s="159">
        <v>1</v>
      </c>
      <c r="J63" s="159">
        <f t="shared" si="8"/>
        <v>49</v>
      </c>
      <c r="K63" s="16">
        <f t="shared" si="7"/>
        <v>3399.9</v>
      </c>
      <c r="L63" s="94">
        <f t="shared" si="9"/>
        <v>166595.1</v>
      </c>
      <c r="M63" s="8"/>
      <c r="N63" s="180" t="e">
        <f>#REF!-H63</f>
        <v>#REF!</v>
      </c>
    </row>
    <row r="64" spans="1:14" s="114" customFormat="1">
      <c r="A64" s="96">
        <v>59</v>
      </c>
      <c r="B64" s="96" t="s">
        <v>717</v>
      </c>
      <c r="C64" s="11" t="s">
        <v>718</v>
      </c>
      <c r="D64" s="16">
        <v>450000</v>
      </c>
      <c r="E64" s="16">
        <v>59985</v>
      </c>
      <c r="F64" s="16">
        <v>509985</v>
      </c>
      <c r="G64" s="159">
        <v>50</v>
      </c>
      <c r="H64" s="278">
        <v>10199.700000000001</v>
      </c>
      <c r="I64" s="97">
        <v>23</v>
      </c>
      <c r="J64" s="97">
        <f t="shared" si="8"/>
        <v>27</v>
      </c>
      <c r="K64" s="91">
        <f t="shared" si="7"/>
        <v>234593.1</v>
      </c>
      <c r="L64" s="94">
        <f t="shared" si="9"/>
        <v>275391.90000000002</v>
      </c>
      <c r="M64" s="11"/>
      <c r="N64" s="180" t="e">
        <f>#REF!-H64</f>
        <v>#REF!</v>
      </c>
    </row>
    <row r="65" spans="1:14" s="114" customFormat="1">
      <c r="A65" s="96">
        <v>60</v>
      </c>
      <c r="B65" s="96" t="s">
        <v>579</v>
      </c>
      <c r="C65" s="11" t="s">
        <v>580</v>
      </c>
      <c r="D65" s="16">
        <v>500000</v>
      </c>
      <c r="E65" s="16">
        <v>33325</v>
      </c>
      <c r="F65" s="41">
        <f>SUM(D65:E65)</f>
        <v>533325</v>
      </c>
      <c r="G65" s="159">
        <v>25</v>
      </c>
      <c r="H65" s="278">
        <v>21333</v>
      </c>
      <c r="I65" s="97">
        <v>25</v>
      </c>
      <c r="J65" s="97">
        <f t="shared" si="8"/>
        <v>0</v>
      </c>
      <c r="K65" s="91">
        <f t="shared" si="7"/>
        <v>533325</v>
      </c>
      <c r="L65" s="94">
        <f t="shared" si="9"/>
        <v>0</v>
      </c>
      <c r="M65" s="11"/>
      <c r="N65" s="180" t="e">
        <f>#REF!-H65</f>
        <v>#REF!</v>
      </c>
    </row>
    <row r="66" spans="1:14" s="114" customFormat="1">
      <c r="A66" s="96">
        <v>61</v>
      </c>
      <c r="B66" s="96" t="s">
        <v>698</v>
      </c>
      <c r="C66" s="11" t="s">
        <v>699</v>
      </c>
      <c r="D66" s="19">
        <v>500000</v>
      </c>
      <c r="E66" s="19">
        <v>66650</v>
      </c>
      <c r="F66" s="19">
        <v>566650</v>
      </c>
      <c r="G66" s="159">
        <v>50</v>
      </c>
      <c r="H66" s="278">
        <v>11333</v>
      </c>
      <c r="I66" s="97">
        <v>21</v>
      </c>
      <c r="J66" s="97">
        <f t="shared" si="8"/>
        <v>29</v>
      </c>
      <c r="K66" s="91">
        <f t="shared" si="7"/>
        <v>237993</v>
      </c>
      <c r="L66" s="91">
        <f t="shared" si="9"/>
        <v>328657</v>
      </c>
      <c r="M66" s="11"/>
      <c r="N66" s="180" t="e">
        <f>#REF!-H66</f>
        <v>#REF!</v>
      </c>
    </row>
    <row r="67" spans="1:14" s="114" customFormat="1">
      <c r="A67" s="96">
        <v>62</v>
      </c>
      <c r="B67" s="96" t="s">
        <v>702</v>
      </c>
      <c r="C67" s="11" t="s">
        <v>703</v>
      </c>
      <c r="D67" s="16">
        <v>450000</v>
      </c>
      <c r="E67" s="16">
        <v>59985</v>
      </c>
      <c r="F67" s="16">
        <v>509985</v>
      </c>
      <c r="G67" s="159">
        <v>50</v>
      </c>
      <c r="H67" s="278">
        <v>10199.700000000001</v>
      </c>
      <c r="I67" s="97">
        <v>20</v>
      </c>
      <c r="J67" s="97">
        <f t="shared" si="8"/>
        <v>30</v>
      </c>
      <c r="K67" s="91">
        <f t="shared" si="7"/>
        <v>203994</v>
      </c>
      <c r="L67" s="91">
        <f t="shared" si="9"/>
        <v>305991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676</v>
      </c>
      <c r="C68" s="11" t="s">
        <v>677</v>
      </c>
      <c r="D68" s="19">
        <v>150000</v>
      </c>
      <c r="E68" s="19">
        <v>19995</v>
      </c>
      <c r="F68" s="19">
        <f>SUM(D68:E68)</f>
        <v>169995</v>
      </c>
      <c r="G68" s="159">
        <v>50</v>
      </c>
      <c r="H68" s="278">
        <v>3399.9</v>
      </c>
      <c r="I68" s="97">
        <v>21</v>
      </c>
      <c r="J68" s="97">
        <f t="shared" si="8"/>
        <v>29</v>
      </c>
      <c r="K68" s="91">
        <f t="shared" si="7"/>
        <v>71397.900000000009</v>
      </c>
      <c r="L68" s="91">
        <f t="shared" si="9"/>
        <v>98597.099999999991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621</v>
      </c>
      <c r="C69" s="11" t="s">
        <v>622</v>
      </c>
      <c r="D69" s="16">
        <v>500000</v>
      </c>
      <c r="E69" s="16">
        <v>66650</v>
      </c>
      <c r="F69" s="41">
        <f>SUM(D69:E69)</f>
        <v>566650</v>
      </c>
      <c r="G69" s="159">
        <v>50</v>
      </c>
      <c r="H69" s="278">
        <v>11333</v>
      </c>
      <c r="I69" s="97">
        <v>44</v>
      </c>
      <c r="J69" s="97">
        <f t="shared" si="8"/>
        <v>6</v>
      </c>
      <c r="K69" s="91">
        <f t="shared" ref="K69:K99" si="10">I69*H69</f>
        <v>498652</v>
      </c>
      <c r="L69" s="94">
        <f t="shared" si="9"/>
        <v>67998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604</v>
      </c>
      <c r="C70" s="11" t="s">
        <v>605</v>
      </c>
      <c r="D70" s="16">
        <v>500000</v>
      </c>
      <c r="E70" s="16">
        <v>66650</v>
      </c>
      <c r="F70" s="41">
        <f>SUM(D70:E70)</f>
        <v>566650</v>
      </c>
      <c r="G70" s="159">
        <v>50</v>
      </c>
      <c r="H70" s="278">
        <v>11333</v>
      </c>
      <c r="I70" s="97">
        <v>56</v>
      </c>
      <c r="J70" s="97">
        <f t="shared" ref="J70:J101" si="11">G70-I70</f>
        <v>-6</v>
      </c>
      <c r="K70" s="91">
        <f t="shared" si="10"/>
        <v>634648</v>
      </c>
      <c r="L70" s="94">
        <f t="shared" ref="L70:L101" si="12">F70-K70</f>
        <v>-67998</v>
      </c>
      <c r="M70" s="11"/>
      <c r="N70" s="180" t="e">
        <f>#REF!-H70</f>
        <v>#REF!</v>
      </c>
    </row>
    <row r="71" spans="1:14" s="114" customFormat="1">
      <c r="A71" s="96">
        <v>66</v>
      </c>
      <c r="B71" s="96" t="s">
        <v>503</v>
      </c>
      <c r="C71" s="11" t="s">
        <v>504</v>
      </c>
      <c r="D71" s="16">
        <v>150000</v>
      </c>
      <c r="E71" s="16">
        <v>19995</v>
      </c>
      <c r="F71" s="41">
        <f>SUM(D71:E71)</f>
        <v>169995</v>
      </c>
      <c r="G71" s="159">
        <v>50</v>
      </c>
      <c r="H71" s="278">
        <v>3399.9</v>
      </c>
      <c r="I71" s="97">
        <v>44</v>
      </c>
      <c r="J71" s="97">
        <f t="shared" si="11"/>
        <v>6</v>
      </c>
      <c r="K71" s="91">
        <f t="shared" si="10"/>
        <v>149595.6</v>
      </c>
      <c r="L71" s="94">
        <f t="shared" si="12"/>
        <v>20399.399999999994</v>
      </c>
      <c r="M71" s="11"/>
      <c r="N71" s="180" t="e">
        <f>#REF!-H71</f>
        <v>#REF!</v>
      </c>
    </row>
    <row r="72" spans="1:14" s="114" customFormat="1">
      <c r="A72" s="96">
        <v>67</v>
      </c>
      <c r="B72" s="96" t="s">
        <v>522</v>
      </c>
      <c r="C72" s="11" t="s">
        <v>523</v>
      </c>
      <c r="D72" s="19">
        <v>500000</v>
      </c>
      <c r="E72" s="19">
        <v>66650</v>
      </c>
      <c r="F72" s="19">
        <v>566650</v>
      </c>
      <c r="G72" s="159">
        <v>50</v>
      </c>
      <c r="H72" s="278">
        <v>11333</v>
      </c>
      <c r="I72" s="97">
        <v>21</v>
      </c>
      <c r="J72" s="97">
        <f t="shared" si="11"/>
        <v>29</v>
      </c>
      <c r="K72" s="91">
        <f t="shared" si="10"/>
        <v>237993</v>
      </c>
      <c r="L72" s="91">
        <f t="shared" si="12"/>
        <v>328657</v>
      </c>
      <c r="M72" s="11"/>
      <c r="N72" s="180" t="e">
        <f>#REF!-H72</f>
        <v>#REF!</v>
      </c>
    </row>
    <row r="73" spans="1:14" s="114" customFormat="1">
      <c r="A73" s="96">
        <v>68</v>
      </c>
      <c r="B73" s="96" t="s">
        <v>666</v>
      </c>
      <c r="C73" s="11" t="s">
        <v>667</v>
      </c>
      <c r="D73" s="19">
        <v>150000</v>
      </c>
      <c r="E73" s="19">
        <v>19995</v>
      </c>
      <c r="F73" s="19">
        <f>SUM(D73:E73)</f>
        <v>169995</v>
      </c>
      <c r="G73" s="159">
        <v>50</v>
      </c>
      <c r="H73" s="278">
        <v>3339.9</v>
      </c>
      <c r="I73" s="159">
        <v>7</v>
      </c>
      <c r="J73" s="97">
        <f t="shared" si="11"/>
        <v>43</v>
      </c>
      <c r="K73" s="91">
        <f t="shared" si="10"/>
        <v>23379.3</v>
      </c>
      <c r="L73" s="94">
        <f t="shared" si="12"/>
        <v>146615.70000000001</v>
      </c>
      <c r="M73" s="11"/>
      <c r="N73" s="180" t="e">
        <f>#REF!-H73</f>
        <v>#REF!</v>
      </c>
    </row>
    <row r="74" spans="1:14" s="114" customFormat="1">
      <c r="A74" s="96">
        <v>69</v>
      </c>
      <c r="B74" s="11" t="s">
        <v>902</v>
      </c>
      <c r="C74" s="123" t="s">
        <v>926</v>
      </c>
      <c r="D74" s="19">
        <v>150000</v>
      </c>
      <c r="E74" s="19">
        <v>19995</v>
      </c>
      <c r="F74" s="19">
        <f>SUM(D74:E74)</f>
        <v>169995</v>
      </c>
      <c r="G74" s="159">
        <v>50</v>
      </c>
      <c r="H74" s="279">
        <v>3399.9</v>
      </c>
      <c r="I74" s="159">
        <v>4</v>
      </c>
      <c r="J74" s="159">
        <f t="shared" si="11"/>
        <v>46</v>
      </c>
      <c r="K74" s="16">
        <f t="shared" si="10"/>
        <v>13599.6</v>
      </c>
      <c r="L74" s="94">
        <f t="shared" si="12"/>
        <v>156395.4</v>
      </c>
      <c r="M74" s="11"/>
      <c r="N74" s="180" t="e">
        <f>#REF!-H74</f>
        <v>#REF!</v>
      </c>
    </row>
    <row r="75" spans="1:14" s="114" customFormat="1">
      <c r="A75" s="96">
        <v>70</v>
      </c>
      <c r="B75" s="96" t="s">
        <v>686</v>
      </c>
      <c r="C75" s="11" t="s">
        <v>687</v>
      </c>
      <c r="D75" s="16">
        <v>500000</v>
      </c>
      <c r="E75" s="16">
        <v>66650</v>
      </c>
      <c r="F75" s="41">
        <f>SUM(D75:E75)</f>
        <v>566650</v>
      </c>
      <c r="G75" s="159">
        <v>50</v>
      </c>
      <c r="H75" s="278">
        <v>11333</v>
      </c>
      <c r="I75" s="97">
        <v>34</v>
      </c>
      <c r="J75" s="97">
        <f t="shared" si="11"/>
        <v>16</v>
      </c>
      <c r="K75" s="91">
        <f t="shared" si="10"/>
        <v>385322</v>
      </c>
      <c r="L75" s="94">
        <f t="shared" si="12"/>
        <v>181328</v>
      </c>
      <c r="M75" s="11"/>
      <c r="N75" s="180" t="e">
        <f>#REF!-H75</f>
        <v>#REF!</v>
      </c>
    </row>
    <row r="76" spans="1:14" s="114" customFormat="1">
      <c r="A76" s="96">
        <v>71</v>
      </c>
      <c r="B76" s="11" t="s">
        <v>890</v>
      </c>
      <c r="C76" s="123" t="s">
        <v>912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79">
        <v>11333</v>
      </c>
      <c r="I76" s="159">
        <v>4</v>
      </c>
      <c r="J76" s="159">
        <f t="shared" si="11"/>
        <v>46</v>
      </c>
      <c r="K76" s="16">
        <f t="shared" si="10"/>
        <v>45332</v>
      </c>
      <c r="L76" s="94">
        <f t="shared" si="12"/>
        <v>521318</v>
      </c>
      <c r="M76" s="11"/>
    </row>
    <row r="77" spans="1:14" s="114" customFormat="1">
      <c r="A77" s="96">
        <v>72</v>
      </c>
      <c r="B77" s="96" t="s">
        <v>530</v>
      </c>
      <c r="C77" s="11" t="s">
        <v>531</v>
      </c>
      <c r="D77" s="16">
        <v>500000</v>
      </c>
      <c r="E77" s="16">
        <v>66650</v>
      </c>
      <c r="F77" s="16">
        <v>566650</v>
      </c>
      <c r="G77" s="159">
        <v>50</v>
      </c>
      <c r="H77" s="278">
        <v>11333</v>
      </c>
      <c r="I77" s="97">
        <v>34</v>
      </c>
      <c r="J77" s="97">
        <f t="shared" si="11"/>
        <v>16</v>
      </c>
      <c r="K77" s="91">
        <f t="shared" si="10"/>
        <v>385322</v>
      </c>
      <c r="L77" s="94">
        <f t="shared" si="12"/>
        <v>181328</v>
      </c>
      <c r="M77" s="11"/>
      <c r="N77" s="180" t="e">
        <f>#REF!-H77</f>
        <v>#REF!</v>
      </c>
    </row>
    <row r="78" spans="1:14" s="114" customFormat="1">
      <c r="A78" s="96">
        <v>73</v>
      </c>
      <c r="B78" s="96" t="s">
        <v>544</v>
      </c>
      <c r="C78" s="11" t="s">
        <v>545</v>
      </c>
      <c r="D78" s="16">
        <v>450000</v>
      </c>
      <c r="E78" s="16">
        <v>59985</v>
      </c>
      <c r="F78" s="16">
        <v>509985</v>
      </c>
      <c r="G78" s="159">
        <v>50</v>
      </c>
      <c r="H78" s="278">
        <v>10199.700000000001</v>
      </c>
      <c r="I78" s="97">
        <v>28</v>
      </c>
      <c r="J78" s="97">
        <f t="shared" si="11"/>
        <v>22</v>
      </c>
      <c r="K78" s="91">
        <f t="shared" si="10"/>
        <v>285591.60000000003</v>
      </c>
      <c r="L78" s="94">
        <f t="shared" si="12"/>
        <v>224393.39999999997</v>
      </c>
      <c r="M78" s="11"/>
      <c r="N78" s="180" t="e">
        <f>#REF!-H78</f>
        <v>#REF!</v>
      </c>
    </row>
    <row r="79" spans="1:14" s="114" customFormat="1">
      <c r="A79" s="96">
        <v>74</v>
      </c>
      <c r="B79" s="96" t="s">
        <v>886</v>
      </c>
      <c r="C79" s="11" t="s">
        <v>908</v>
      </c>
      <c r="D79" s="16">
        <v>500000</v>
      </c>
      <c r="E79" s="16">
        <v>66650</v>
      </c>
      <c r="F79" s="41">
        <f>SUM(D79:E79)</f>
        <v>566650</v>
      </c>
      <c r="G79" s="159">
        <v>50</v>
      </c>
      <c r="H79" s="278">
        <v>11333</v>
      </c>
      <c r="I79" s="97">
        <v>35</v>
      </c>
      <c r="J79" s="97">
        <f t="shared" si="11"/>
        <v>15</v>
      </c>
      <c r="K79" s="91">
        <f t="shared" si="10"/>
        <v>396655</v>
      </c>
      <c r="L79" s="94">
        <f t="shared" si="12"/>
        <v>169995</v>
      </c>
      <c r="M79" s="11"/>
    </row>
    <row r="80" spans="1:14" s="114" customFormat="1">
      <c r="A80" s="96">
        <v>75</v>
      </c>
      <c r="B80" s="11" t="s">
        <v>707</v>
      </c>
      <c r="C80" s="11" t="s">
        <v>708</v>
      </c>
      <c r="D80" s="16">
        <v>500000</v>
      </c>
      <c r="E80" s="16">
        <v>66650</v>
      </c>
      <c r="F80" s="16">
        <v>566650</v>
      </c>
      <c r="G80" s="159">
        <v>50</v>
      </c>
      <c r="H80" s="279">
        <v>11330</v>
      </c>
      <c r="I80" s="96">
        <v>34</v>
      </c>
      <c r="J80" s="97">
        <f t="shared" si="11"/>
        <v>16</v>
      </c>
      <c r="K80" s="91">
        <f t="shared" si="10"/>
        <v>385220</v>
      </c>
      <c r="L80" s="94">
        <f t="shared" si="12"/>
        <v>181430</v>
      </c>
      <c r="M80" s="11"/>
      <c r="N80" s="180" t="e">
        <f>#REF!-H80</f>
        <v>#REF!</v>
      </c>
    </row>
    <row r="81" spans="1:14" s="114" customFormat="1">
      <c r="A81" s="96">
        <v>76</v>
      </c>
      <c r="B81" s="96" t="s">
        <v>598</v>
      </c>
      <c r="C81" s="11" t="s">
        <v>599</v>
      </c>
      <c r="D81" s="16">
        <v>500000</v>
      </c>
      <c r="E81" s="16">
        <v>66650</v>
      </c>
      <c r="F81" s="41">
        <f>SUM(D81:E81)</f>
        <v>566650</v>
      </c>
      <c r="G81" s="159">
        <v>50</v>
      </c>
      <c r="H81" s="278">
        <v>11333</v>
      </c>
      <c r="I81" s="97">
        <v>56</v>
      </c>
      <c r="J81" s="97">
        <f t="shared" si="11"/>
        <v>-6</v>
      </c>
      <c r="K81" s="91">
        <f t="shared" si="10"/>
        <v>634648</v>
      </c>
      <c r="L81" s="94">
        <f t="shared" si="12"/>
        <v>-67998</v>
      </c>
      <c r="M81" s="11"/>
      <c r="N81" s="180" t="e">
        <f>#REF!-H81</f>
        <v>#REF!</v>
      </c>
    </row>
    <row r="82" spans="1:14" s="114" customFormat="1">
      <c r="A82" s="96">
        <v>77</v>
      </c>
      <c r="B82" s="96" t="s">
        <v>551</v>
      </c>
      <c r="C82" s="11" t="s">
        <v>552</v>
      </c>
      <c r="D82" s="19">
        <v>500000</v>
      </c>
      <c r="E82" s="19">
        <v>66650</v>
      </c>
      <c r="F82" s="19">
        <v>566650</v>
      </c>
      <c r="G82" s="159">
        <v>50</v>
      </c>
      <c r="H82" s="278">
        <v>11333</v>
      </c>
      <c r="I82" s="97">
        <v>21</v>
      </c>
      <c r="J82" s="97">
        <f t="shared" si="11"/>
        <v>29</v>
      </c>
      <c r="K82" s="91">
        <f t="shared" si="10"/>
        <v>237993</v>
      </c>
      <c r="L82" s="91">
        <f t="shared" si="12"/>
        <v>328657</v>
      </c>
      <c r="M82" s="11"/>
      <c r="N82" s="180" t="e">
        <f>#REF!-H82</f>
        <v>#REF!</v>
      </c>
    </row>
    <row r="83" spans="1:14" s="114" customFormat="1">
      <c r="A83" s="96">
        <v>78</v>
      </c>
      <c r="B83" s="96" t="s">
        <v>569</v>
      </c>
      <c r="C83" s="11" t="s">
        <v>570</v>
      </c>
      <c r="D83" s="16">
        <v>500000</v>
      </c>
      <c r="E83" s="16">
        <v>66650</v>
      </c>
      <c r="F83" s="41">
        <f>SUM(D83:E83)</f>
        <v>566650</v>
      </c>
      <c r="G83" s="159">
        <v>50</v>
      </c>
      <c r="H83" s="278">
        <v>11333</v>
      </c>
      <c r="I83" s="97">
        <v>35</v>
      </c>
      <c r="J83" s="97">
        <f t="shared" si="11"/>
        <v>15</v>
      </c>
      <c r="K83" s="91">
        <f t="shared" si="10"/>
        <v>396655</v>
      </c>
      <c r="L83" s="94">
        <f t="shared" si="12"/>
        <v>169995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518</v>
      </c>
      <c r="C84" s="11" t="s">
        <v>519</v>
      </c>
      <c r="D84" s="19">
        <v>500000</v>
      </c>
      <c r="E84" s="19">
        <v>66650</v>
      </c>
      <c r="F84" s="19">
        <v>566650</v>
      </c>
      <c r="G84" s="159">
        <v>50</v>
      </c>
      <c r="H84" s="278">
        <v>11333</v>
      </c>
      <c r="I84" s="97">
        <v>21</v>
      </c>
      <c r="J84" s="97">
        <f t="shared" si="11"/>
        <v>29</v>
      </c>
      <c r="K84" s="91">
        <f t="shared" si="10"/>
        <v>237993</v>
      </c>
      <c r="L84" s="91">
        <f t="shared" si="12"/>
        <v>328657</v>
      </c>
      <c r="M84" s="11"/>
      <c r="N84" s="180" t="e">
        <f>#REF!-H84</f>
        <v>#REF!</v>
      </c>
    </row>
    <row r="85" spans="1:14" s="114" customFormat="1">
      <c r="A85" s="96">
        <v>81</v>
      </c>
      <c r="B85" s="96" t="s">
        <v>655</v>
      </c>
      <c r="C85" s="11" t="s">
        <v>656</v>
      </c>
      <c r="D85" s="16">
        <v>450000</v>
      </c>
      <c r="E85" s="16">
        <v>59985</v>
      </c>
      <c r="F85" s="41">
        <f>SUM(D85:E85)</f>
        <v>509985</v>
      </c>
      <c r="G85" s="159">
        <v>50</v>
      </c>
      <c r="H85" s="278">
        <v>10199.700000000001</v>
      </c>
      <c r="I85" s="97">
        <v>35</v>
      </c>
      <c r="J85" s="97">
        <f t="shared" si="11"/>
        <v>15</v>
      </c>
      <c r="K85" s="91">
        <f t="shared" si="10"/>
        <v>356989.5</v>
      </c>
      <c r="L85" s="94">
        <f t="shared" si="12"/>
        <v>152995.5</v>
      </c>
      <c r="M85" s="11"/>
      <c r="N85" s="180" t="e">
        <f>#REF!-H85</f>
        <v>#REF!</v>
      </c>
    </row>
    <row r="86" spans="1:14" s="114" customFormat="1">
      <c r="A86" s="96">
        <v>82</v>
      </c>
      <c r="B86" s="96" t="s">
        <v>553</v>
      </c>
      <c r="C86" s="11" t="s">
        <v>554</v>
      </c>
      <c r="D86" s="16">
        <v>500000</v>
      </c>
      <c r="E86" s="16">
        <v>66650</v>
      </c>
      <c r="F86" s="41">
        <f>SUM(D86:E86)</f>
        <v>566650</v>
      </c>
      <c r="G86" s="159">
        <v>50</v>
      </c>
      <c r="H86" s="278">
        <v>11333</v>
      </c>
      <c r="I86" s="97">
        <v>56</v>
      </c>
      <c r="J86" s="97">
        <f t="shared" si="11"/>
        <v>-6</v>
      </c>
      <c r="K86" s="91">
        <f t="shared" si="10"/>
        <v>634648</v>
      </c>
      <c r="L86" s="94">
        <f t="shared" si="12"/>
        <v>-67998</v>
      </c>
      <c r="M86" s="11"/>
      <c r="N86" s="180" t="e">
        <f>#REF!-H86</f>
        <v>#REF!</v>
      </c>
    </row>
    <row r="87" spans="1:14" s="114" customFormat="1">
      <c r="A87" s="96">
        <v>83</v>
      </c>
      <c r="B87" s="96" t="s">
        <v>536</v>
      </c>
      <c r="C87" s="11" t="s">
        <v>537</v>
      </c>
      <c r="D87" s="12">
        <v>500000</v>
      </c>
      <c r="E87" s="12">
        <v>66650</v>
      </c>
      <c r="F87" s="15">
        <f>SUM(D87:E87)</f>
        <v>566650</v>
      </c>
      <c r="G87" s="14">
        <v>50</v>
      </c>
      <c r="H87" s="285">
        <v>11333</v>
      </c>
      <c r="I87" s="14">
        <v>40</v>
      </c>
      <c r="J87" s="97">
        <f t="shared" si="11"/>
        <v>10</v>
      </c>
      <c r="K87" s="91">
        <f t="shared" si="10"/>
        <v>453320</v>
      </c>
      <c r="L87" s="15">
        <f t="shared" si="12"/>
        <v>113330</v>
      </c>
      <c r="M87" s="8"/>
      <c r="N87" s="180" t="e">
        <f>#REF!-H87</f>
        <v>#REF!</v>
      </c>
    </row>
    <row r="88" spans="1:14" s="114" customFormat="1">
      <c r="A88" s="96">
        <v>84</v>
      </c>
      <c r="B88" s="96" t="s">
        <v>883</v>
      </c>
      <c r="C88" s="11" t="s">
        <v>905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278">
        <v>11333</v>
      </c>
      <c r="I88" s="97">
        <v>43</v>
      </c>
      <c r="J88" s="97">
        <f t="shared" si="11"/>
        <v>7</v>
      </c>
      <c r="K88" s="91">
        <f t="shared" si="10"/>
        <v>487319</v>
      </c>
      <c r="L88" s="94">
        <f t="shared" si="12"/>
        <v>79331</v>
      </c>
      <c r="M88" s="11"/>
      <c r="N88" s="180" t="e">
        <f>#REF!-H88</f>
        <v>#REF!</v>
      </c>
    </row>
    <row r="89" spans="1:14" s="114" customFormat="1">
      <c r="A89" s="96">
        <v>85</v>
      </c>
      <c r="B89" s="96" t="s">
        <v>596</v>
      </c>
      <c r="C89" s="11" t="s">
        <v>597</v>
      </c>
      <c r="D89" s="19">
        <v>500000</v>
      </c>
      <c r="E89" s="19">
        <v>66650</v>
      </c>
      <c r="F89" s="19">
        <v>566650</v>
      </c>
      <c r="G89" s="159">
        <v>50</v>
      </c>
      <c r="H89" s="278">
        <v>11333</v>
      </c>
      <c r="I89" s="97">
        <v>21</v>
      </c>
      <c r="J89" s="97">
        <f t="shared" si="11"/>
        <v>29</v>
      </c>
      <c r="K89" s="91">
        <f t="shared" si="10"/>
        <v>237993</v>
      </c>
      <c r="L89" s="91">
        <f t="shared" si="12"/>
        <v>328657</v>
      </c>
      <c r="M89" s="11"/>
      <c r="N89" s="180" t="e">
        <f>#REF!-H89</f>
        <v>#REF!</v>
      </c>
    </row>
    <row r="90" spans="1:14" s="114" customFormat="1">
      <c r="A90" s="96">
        <v>86</v>
      </c>
      <c r="B90" s="11" t="s">
        <v>885</v>
      </c>
      <c r="C90" s="123" t="s">
        <v>907</v>
      </c>
      <c r="D90" s="16">
        <v>500000</v>
      </c>
      <c r="E90" s="16">
        <v>66650</v>
      </c>
      <c r="F90" s="41">
        <f>SUM(D90:E90)</f>
        <v>566650</v>
      </c>
      <c r="G90" s="159">
        <v>50</v>
      </c>
      <c r="H90" s="279">
        <v>11333</v>
      </c>
      <c r="I90" s="159">
        <v>4</v>
      </c>
      <c r="J90" s="159">
        <f t="shared" si="11"/>
        <v>46</v>
      </c>
      <c r="K90" s="16">
        <f t="shared" si="10"/>
        <v>45332</v>
      </c>
      <c r="L90" s="94">
        <f t="shared" si="12"/>
        <v>521318</v>
      </c>
      <c r="M90" s="11"/>
      <c r="N90" s="180" t="e">
        <f>#REF!-H90</f>
        <v>#REF!</v>
      </c>
    </row>
    <row r="91" spans="1:14" s="114" customFormat="1">
      <c r="A91" s="96">
        <v>87</v>
      </c>
      <c r="B91" s="96" t="s">
        <v>607</v>
      </c>
      <c r="C91" s="11" t="s">
        <v>608</v>
      </c>
      <c r="D91" s="16">
        <v>450000</v>
      </c>
      <c r="E91" s="16">
        <v>59985</v>
      </c>
      <c r="F91" s="41">
        <f>SUM(D91:E91)</f>
        <v>509985</v>
      </c>
      <c r="G91" s="159">
        <v>50</v>
      </c>
      <c r="H91" s="278">
        <v>10199.700000000001</v>
      </c>
      <c r="I91" s="159">
        <v>44</v>
      </c>
      <c r="J91" s="97">
        <f t="shared" si="11"/>
        <v>6</v>
      </c>
      <c r="K91" s="91">
        <f t="shared" si="10"/>
        <v>448786.80000000005</v>
      </c>
      <c r="L91" s="94">
        <f t="shared" si="12"/>
        <v>61198.199999999953</v>
      </c>
      <c r="M91" s="11"/>
      <c r="N91" s="180" t="e">
        <f>#REF!-H91</f>
        <v>#REF!</v>
      </c>
    </row>
    <row r="92" spans="1:14" s="114" customFormat="1">
      <c r="A92" s="96">
        <v>88</v>
      </c>
      <c r="B92" s="8" t="s">
        <v>868</v>
      </c>
      <c r="C92" s="11" t="s">
        <v>925</v>
      </c>
      <c r="D92" s="19">
        <v>150000</v>
      </c>
      <c r="E92" s="19">
        <v>19995</v>
      </c>
      <c r="F92" s="19">
        <f>SUM(D92:E92)</f>
        <v>169995</v>
      </c>
      <c r="G92" s="159">
        <v>50</v>
      </c>
      <c r="H92" s="279">
        <v>3399.9</v>
      </c>
      <c r="I92" s="159">
        <v>5</v>
      </c>
      <c r="J92" s="97">
        <f t="shared" si="11"/>
        <v>45</v>
      </c>
      <c r="K92" s="91">
        <f t="shared" si="10"/>
        <v>16999.5</v>
      </c>
      <c r="L92" s="94">
        <f t="shared" si="12"/>
        <v>152995.5</v>
      </c>
      <c r="M92" s="11"/>
      <c r="N92" s="180" t="e">
        <f>#REF!-H92</f>
        <v>#REF!</v>
      </c>
    </row>
    <row r="93" spans="1:14" s="114" customFormat="1">
      <c r="A93" s="96">
        <v>89</v>
      </c>
      <c r="B93" s="96" t="s">
        <v>642</v>
      </c>
      <c r="C93" s="11" t="s">
        <v>643</v>
      </c>
      <c r="D93" s="16">
        <v>500000</v>
      </c>
      <c r="E93" s="16">
        <v>66650</v>
      </c>
      <c r="F93" s="16">
        <v>566650</v>
      </c>
      <c r="G93" s="159">
        <v>50</v>
      </c>
      <c r="H93" s="283">
        <v>11333</v>
      </c>
      <c r="I93" s="101">
        <v>9</v>
      </c>
      <c r="J93" s="97">
        <f t="shared" si="11"/>
        <v>41</v>
      </c>
      <c r="K93" s="91">
        <f t="shared" si="10"/>
        <v>101997</v>
      </c>
      <c r="L93" s="94">
        <f t="shared" si="12"/>
        <v>464653</v>
      </c>
      <c r="M93" s="8"/>
      <c r="N93" s="180" t="e">
        <f>#REF!-H93</f>
        <v>#REF!</v>
      </c>
    </row>
    <row r="94" spans="1:14" s="114" customFormat="1">
      <c r="A94" s="96">
        <v>90</v>
      </c>
      <c r="B94" s="96" t="s">
        <v>661</v>
      </c>
      <c r="C94" s="11" t="s">
        <v>662</v>
      </c>
      <c r="D94" s="19">
        <v>500000</v>
      </c>
      <c r="E94" s="19">
        <v>66650</v>
      </c>
      <c r="F94" s="19">
        <v>566650</v>
      </c>
      <c r="G94" s="159">
        <v>50</v>
      </c>
      <c r="H94" s="278">
        <v>11333</v>
      </c>
      <c r="I94" s="97">
        <v>20</v>
      </c>
      <c r="J94" s="97">
        <f t="shared" si="11"/>
        <v>30</v>
      </c>
      <c r="K94" s="91">
        <f t="shared" si="10"/>
        <v>226660</v>
      </c>
      <c r="L94" s="91">
        <f t="shared" si="12"/>
        <v>339990</v>
      </c>
      <c r="M94" s="11"/>
      <c r="N94" s="180" t="e">
        <f>#REF!-H94</f>
        <v>#REF!</v>
      </c>
    </row>
    <row r="95" spans="1:14" s="114" customFormat="1">
      <c r="A95" s="96">
        <v>91</v>
      </c>
      <c r="B95" s="96" t="s">
        <v>719</v>
      </c>
      <c r="C95" s="11" t="s">
        <v>720</v>
      </c>
      <c r="D95" s="16">
        <v>500000</v>
      </c>
      <c r="E95" s="16">
        <v>66650</v>
      </c>
      <c r="F95" s="16">
        <v>566650</v>
      </c>
      <c r="G95" s="159">
        <v>50</v>
      </c>
      <c r="H95" s="278">
        <v>11333</v>
      </c>
      <c r="I95" s="101">
        <v>9</v>
      </c>
      <c r="J95" s="97">
        <f t="shared" si="11"/>
        <v>41</v>
      </c>
      <c r="K95" s="91">
        <f t="shared" si="10"/>
        <v>101997</v>
      </c>
      <c r="L95" s="94">
        <f t="shared" si="12"/>
        <v>464653</v>
      </c>
      <c r="M95" s="8"/>
    </row>
    <row r="96" spans="1:14" s="114" customFormat="1">
      <c r="A96" s="96">
        <v>92</v>
      </c>
      <c r="B96" s="96" t="s">
        <v>668</v>
      </c>
      <c r="C96" s="11" t="s">
        <v>669</v>
      </c>
      <c r="D96" s="16">
        <v>450000</v>
      </c>
      <c r="E96" s="16">
        <v>59985</v>
      </c>
      <c r="F96" s="16">
        <v>509985</v>
      </c>
      <c r="G96" s="159">
        <v>50</v>
      </c>
      <c r="H96" s="278">
        <v>10199.700000000001</v>
      </c>
      <c r="I96" s="97">
        <v>20</v>
      </c>
      <c r="J96" s="97">
        <f t="shared" si="11"/>
        <v>30</v>
      </c>
      <c r="K96" s="91">
        <f t="shared" si="10"/>
        <v>203994</v>
      </c>
      <c r="L96" s="91">
        <f t="shared" si="12"/>
        <v>305991</v>
      </c>
      <c r="M96" s="11"/>
    </row>
    <row r="97" spans="1:14" s="114" customFormat="1">
      <c r="A97" s="96">
        <v>93</v>
      </c>
      <c r="B97" s="96" t="s">
        <v>594</v>
      </c>
      <c r="C97" s="11" t="s">
        <v>595</v>
      </c>
      <c r="D97" s="16">
        <v>500000</v>
      </c>
      <c r="E97" s="16">
        <v>66650</v>
      </c>
      <c r="F97" s="41">
        <f t="shared" ref="F97:F110" si="13">SUM(D97:E97)</f>
        <v>566650</v>
      </c>
      <c r="G97" s="159">
        <v>50</v>
      </c>
      <c r="H97" s="278">
        <v>11333</v>
      </c>
      <c r="I97" s="97">
        <v>35</v>
      </c>
      <c r="J97" s="97">
        <f t="shared" si="11"/>
        <v>15</v>
      </c>
      <c r="K97" s="91">
        <f t="shared" si="10"/>
        <v>396655</v>
      </c>
      <c r="L97" s="94">
        <f t="shared" si="12"/>
        <v>169995</v>
      </c>
      <c r="M97" s="11"/>
    </row>
    <row r="98" spans="1:14" s="114" customFormat="1">
      <c r="A98" s="96">
        <v>94</v>
      </c>
      <c r="B98" s="96" t="s">
        <v>585</v>
      </c>
      <c r="C98" s="11" t="s">
        <v>586</v>
      </c>
      <c r="D98" s="161">
        <v>500000</v>
      </c>
      <c r="E98" s="161">
        <v>66650</v>
      </c>
      <c r="F98" s="162">
        <f t="shared" si="13"/>
        <v>566650</v>
      </c>
      <c r="G98" s="96">
        <v>50</v>
      </c>
      <c r="H98" s="278">
        <v>11333</v>
      </c>
      <c r="I98" s="97">
        <v>35</v>
      </c>
      <c r="J98" s="97">
        <f t="shared" si="11"/>
        <v>15</v>
      </c>
      <c r="K98" s="146">
        <f t="shared" si="10"/>
        <v>396655</v>
      </c>
      <c r="L98" s="164">
        <f t="shared" si="12"/>
        <v>169995</v>
      </c>
      <c r="M98" s="123"/>
    </row>
    <row r="99" spans="1:14" s="114" customFormat="1">
      <c r="A99" s="96">
        <v>95</v>
      </c>
      <c r="B99" s="11" t="s">
        <v>899</v>
      </c>
      <c r="C99" s="123" t="s">
        <v>922</v>
      </c>
      <c r="D99" s="19">
        <v>330000</v>
      </c>
      <c r="E99" s="19">
        <v>43989</v>
      </c>
      <c r="F99" s="19">
        <f t="shared" si="13"/>
        <v>373989</v>
      </c>
      <c r="G99" s="159">
        <v>50</v>
      </c>
      <c r="H99" s="279">
        <v>7479.78</v>
      </c>
      <c r="I99" s="159">
        <v>4</v>
      </c>
      <c r="J99" s="159">
        <f t="shared" si="11"/>
        <v>46</v>
      </c>
      <c r="K99" s="16">
        <f t="shared" si="10"/>
        <v>29919.119999999999</v>
      </c>
      <c r="L99" s="94">
        <f t="shared" si="12"/>
        <v>344069.88</v>
      </c>
      <c r="M99" s="11"/>
    </row>
    <row r="100" spans="1:14" s="114" customFormat="1">
      <c r="A100" s="96">
        <v>96</v>
      </c>
      <c r="B100" s="96" t="s">
        <v>647</v>
      </c>
      <c r="C100" s="11" t="s">
        <v>648</v>
      </c>
      <c r="D100" s="16">
        <v>500000</v>
      </c>
      <c r="E100" s="16">
        <v>66650</v>
      </c>
      <c r="F100" s="41">
        <f t="shared" si="13"/>
        <v>566650</v>
      </c>
      <c r="G100" s="159">
        <v>50</v>
      </c>
      <c r="H100" s="278">
        <v>11333</v>
      </c>
      <c r="I100" s="97">
        <v>13</v>
      </c>
      <c r="J100" s="97">
        <f t="shared" si="11"/>
        <v>37</v>
      </c>
      <c r="K100" s="91">
        <f>(1*11333)</f>
        <v>11333</v>
      </c>
      <c r="L100" s="91">
        <f t="shared" si="12"/>
        <v>555317</v>
      </c>
      <c r="M100" s="11"/>
      <c r="N100" s="120"/>
    </row>
    <row r="101" spans="1:14" s="114" customFormat="1">
      <c r="A101" s="96">
        <v>97</v>
      </c>
      <c r="B101" s="11" t="s">
        <v>929</v>
      </c>
      <c r="C101" s="11" t="s">
        <v>932</v>
      </c>
      <c r="D101" s="16">
        <v>500000</v>
      </c>
      <c r="E101" s="16">
        <v>66650</v>
      </c>
      <c r="F101" s="41">
        <f t="shared" si="13"/>
        <v>566650</v>
      </c>
      <c r="G101" s="159">
        <v>50</v>
      </c>
      <c r="H101" s="279">
        <v>11333</v>
      </c>
      <c r="I101" s="159">
        <v>34</v>
      </c>
      <c r="J101" s="159">
        <f t="shared" si="11"/>
        <v>16</v>
      </c>
      <c r="K101" s="16">
        <f>I101*H101</f>
        <v>385322</v>
      </c>
      <c r="L101" s="94">
        <f t="shared" si="12"/>
        <v>181328</v>
      </c>
      <c r="M101" s="11" t="s">
        <v>934</v>
      </c>
      <c r="N101"/>
    </row>
    <row r="102" spans="1:14" s="114" customFormat="1">
      <c r="A102" s="96">
        <v>98</v>
      </c>
      <c r="B102" s="126" t="s">
        <v>941</v>
      </c>
      <c r="C102" s="8" t="s">
        <v>942</v>
      </c>
      <c r="D102" s="19">
        <v>330000</v>
      </c>
      <c r="E102" s="19">
        <v>43989</v>
      </c>
      <c r="F102" s="19">
        <f t="shared" si="13"/>
        <v>373989</v>
      </c>
      <c r="G102" s="159">
        <v>50</v>
      </c>
      <c r="H102" s="286">
        <v>7479.78</v>
      </c>
      <c r="I102" s="159">
        <v>1</v>
      </c>
      <c r="J102" s="159">
        <f>G102-I102</f>
        <v>49</v>
      </c>
      <c r="K102" s="16">
        <f>I102*H102</f>
        <v>7479.78</v>
      </c>
      <c r="L102" s="94">
        <f t="shared" ref="L102:L132" si="14">F102-K102</f>
        <v>366509.22</v>
      </c>
      <c r="M102" s="8"/>
      <c r="N102"/>
    </row>
    <row r="103" spans="1:14" s="114" customFormat="1">
      <c r="A103" s="96">
        <v>99</v>
      </c>
      <c r="B103" s="96" t="s">
        <v>600</v>
      </c>
      <c r="C103" s="11" t="s">
        <v>601</v>
      </c>
      <c r="D103" s="16">
        <v>450000</v>
      </c>
      <c r="E103" s="16">
        <v>59985</v>
      </c>
      <c r="F103" s="41">
        <f t="shared" si="13"/>
        <v>509985</v>
      </c>
      <c r="G103" s="159">
        <v>50</v>
      </c>
      <c r="H103" s="278">
        <v>10199.700000000001</v>
      </c>
      <c r="I103" s="97">
        <v>34</v>
      </c>
      <c r="J103" s="97">
        <f>G103-I103</f>
        <v>16</v>
      </c>
      <c r="K103" s="91">
        <f>I103*H103</f>
        <v>346789.80000000005</v>
      </c>
      <c r="L103" s="94">
        <f t="shared" si="14"/>
        <v>163195.19999999995</v>
      </c>
      <c r="M103" s="11"/>
      <c r="N103"/>
    </row>
    <row r="104" spans="1:14" s="114" customFormat="1">
      <c r="A104" s="96">
        <v>100</v>
      </c>
      <c r="B104" s="126" t="s">
        <v>930</v>
      </c>
      <c r="C104" s="8" t="s">
        <v>933</v>
      </c>
      <c r="D104" s="19">
        <v>330000</v>
      </c>
      <c r="E104" s="19">
        <v>31672.200000000012</v>
      </c>
      <c r="F104" s="19">
        <f t="shared" si="13"/>
        <v>361672.2</v>
      </c>
      <c r="G104" s="159">
        <v>36</v>
      </c>
      <c r="H104" s="286">
        <v>10046.450000000001</v>
      </c>
      <c r="I104" s="159"/>
      <c r="J104" s="34"/>
      <c r="K104" s="16">
        <f>I104*H104</f>
        <v>0</v>
      </c>
      <c r="L104" s="94">
        <f t="shared" si="14"/>
        <v>361672.2</v>
      </c>
      <c r="M104" s="8"/>
      <c r="N104"/>
    </row>
    <row r="105" spans="1:14" s="114" customFormat="1">
      <c r="A105" s="96">
        <v>101</v>
      </c>
      <c r="B105" s="96" t="s">
        <v>546</v>
      </c>
      <c r="C105" s="11" t="s">
        <v>547</v>
      </c>
      <c r="D105" s="19">
        <v>330000</v>
      </c>
      <c r="E105" s="19">
        <v>43989</v>
      </c>
      <c r="F105" s="19">
        <f t="shared" si="13"/>
        <v>373989</v>
      </c>
      <c r="G105" s="159">
        <v>40</v>
      </c>
      <c r="H105" s="278">
        <v>9129.7800000000007</v>
      </c>
      <c r="I105" s="159">
        <v>9</v>
      </c>
      <c r="J105" s="97">
        <f t="shared" ref="J105:J132" si="15">G105-I105</f>
        <v>31</v>
      </c>
      <c r="K105" s="91">
        <f>I105*H105</f>
        <v>82168.02</v>
      </c>
      <c r="L105" s="94">
        <f t="shared" si="14"/>
        <v>291820.98</v>
      </c>
      <c r="M105" s="11"/>
      <c r="N105"/>
    </row>
    <row r="106" spans="1:14" s="114" customFormat="1">
      <c r="A106" s="96">
        <v>102</v>
      </c>
      <c r="B106" s="96" t="s">
        <v>638</v>
      </c>
      <c r="C106" s="11" t="s">
        <v>639</v>
      </c>
      <c r="D106" s="16">
        <v>500000</v>
      </c>
      <c r="E106" s="16">
        <v>66650</v>
      </c>
      <c r="F106" s="41">
        <f t="shared" si="13"/>
        <v>566650</v>
      </c>
      <c r="G106" s="159">
        <v>50</v>
      </c>
      <c r="H106" s="278">
        <v>11333</v>
      </c>
      <c r="I106" s="97">
        <v>13</v>
      </c>
      <c r="J106" s="97">
        <f t="shared" si="15"/>
        <v>37</v>
      </c>
      <c r="K106" s="91">
        <f>(1*11333)</f>
        <v>11333</v>
      </c>
      <c r="L106" s="91">
        <f t="shared" si="14"/>
        <v>555317</v>
      </c>
      <c r="M106" s="11"/>
      <c r="N106"/>
    </row>
    <row r="107" spans="1:14" s="114" customFormat="1">
      <c r="A107" s="96">
        <v>103</v>
      </c>
      <c r="B107" s="96" t="s">
        <v>629</v>
      </c>
      <c r="C107" s="11" t="s">
        <v>630</v>
      </c>
      <c r="D107" s="12">
        <v>330000</v>
      </c>
      <c r="E107" s="12">
        <v>43989</v>
      </c>
      <c r="F107" s="15">
        <f t="shared" si="13"/>
        <v>373989</v>
      </c>
      <c r="G107" s="14">
        <v>50</v>
      </c>
      <c r="H107" s="280">
        <v>7479.78</v>
      </c>
      <c r="I107" s="14">
        <v>40</v>
      </c>
      <c r="J107" s="97">
        <f t="shared" si="15"/>
        <v>10</v>
      </c>
      <c r="K107" s="91">
        <f t="shared" ref="K107:K132" si="16">I107*H107</f>
        <v>299191.2</v>
      </c>
      <c r="L107" s="15">
        <f t="shared" si="14"/>
        <v>74797.799999999988</v>
      </c>
      <c r="M107" s="8"/>
    </row>
    <row r="108" spans="1:14" s="114" customFormat="1">
      <c r="A108" s="96">
        <v>104</v>
      </c>
      <c r="B108" s="96" t="s">
        <v>645</v>
      </c>
      <c r="C108" s="11" t="s">
        <v>646</v>
      </c>
      <c r="D108" s="16">
        <v>500000</v>
      </c>
      <c r="E108" s="16">
        <v>66650</v>
      </c>
      <c r="F108" s="41">
        <f t="shared" si="13"/>
        <v>566650</v>
      </c>
      <c r="G108" s="159">
        <v>50</v>
      </c>
      <c r="H108" s="278">
        <v>11333</v>
      </c>
      <c r="I108" s="97">
        <v>34</v>
      </c>
      <c r="J108" s="97">
        <f t="shared" si="15"/>
        <v>16</v>
      </c>
      <c r="K108" s="91">
        <f t="shared" si="16"/>
        <v>385322</v>
      </c>
      <c r="L108" s="94">
        <f t="shared" si="14"/>
        <v>181328</v>
      </c>
      <c r="M108" s="11"/>
    </row>
    <row r="109" spans="1:14" s="114" customFormat="1">
      <c r="A109" s="96">
        <v>105</v>
      </c>
      <c r="B109" s="96" t="s">
        <v>548</v>
      </c>
      <c r="C109" s="11" t="s">
        <v>549</v>
      </c>
      <c r="D109" s="12">
        <v>330000</v>
      </c>
      <c r="E109" s="12">
        <v>43989</v>
      </c>
      <c r="F109" s="15">
        <f t="shared" si="13"/>
        <v>373989</v>
      </c>
      <c r="G109" s="14">
        <v>50</v>
      </c>
      <c r="H109" s="280">
        <v>7479.78</v>
      </c>
      <c r="I109" s="14">
        <v>40</v>
      </c>
      <c r="J109" s="97">
        <f t="shared" si="15"/>
        <v>10</v>
      </c>
      <c r="K109" s="91">
        <f t="shared" si="16"/>
        <v>299191.2</v>
      </c>
      <c r="L109" s="15">
        <f t="shared" si="14"/>
        <v>74797.799999999988</v>
      </c>
      <c r="M109" s="8"/>
    </row>
    <row r="110" spans="1:14" s="114" customFormat="1">
      <c r="A110" s="96">
        <v>106</v>
      </c>
      <c r="B110" s="11" t="s">
        <v>678</v>
      </c>
      <c r="C110" s="123" t="s">
        <v>679</v>
      </c>
      <c r="D110" s="16">
        <v>500000</v>
      </c>
      <c r="E110" s="16">
        <v>66650</v>
      </c>
      <c r="F110" s="41">
        <f t="shared" si="13"/>
        <v>566650</v>
      </c>
      <c r="G110" s="159">
        <v>50</v>
      </c>
      <c r="H110" s="279">
        <v>15222</v>
      </c>
      <c r="I110" s="159">
        <v>4</v>
      </c>
      <c r="J110" s="159">
        <f t="shared" si="15"/>
        <v>46</v>
      </c>
      <c r="K110" s="16">
        <f t="shared" si="16"/>
        <v>60888</v>
      </c>
      <c r="L110" s="94">
        <f t="shared" si="14"/>
        <v>505762</v>
      </c>
      <c r="M110" s="11" t="s">
        <v>251</v>
      </c>
    </row>
    <row r="111" spans="1:14" s="114" customFormat="1">
      <c r="A111" s="96">
        <v>107</v>
      </c>
      <c r="B111" s="96" t="s">
        <v>501</v>
      </c>
      <c r="C111" s="11" t="s">
        <v>502</v>
      </c>
      <c r="D111" s="16">
        <v>500000</v>
      </c>
      <c r="E111" s="16">
        <v>66650</v>
      </c>
      <c r="F111" s="16">
        <v>566650</v>
      </c>
      <c r="G111" s="159">
        <v>50</v>
      </c>
      <c r="H111" s="277">
        <v>11333</v>
      </c>
      <c r="I111" s="159">
        <v>9</v>
      </c>
      <c r="J111" s="97">
        <f t="shared" si="15"/>
        <v>41</v>
      </c>
      <c r="K111" s="91">
        <f t="shared" si="16"/>
        <v>101997</v>
      </c>
      <c r="L111" s="94">
        <f t="shared" si="14"/>
        <v>464653</v>
      </c>
      <c r="M111" s="11"/>
    </row>
    <row r="112" spans="1:14" s="114" customFormat="1">
      <c r="A112" s="96">
        <v>108</v>
      </c>
      <c r="B112" s="96" t="s">
        <v>514</v>
      </c>
      <c r="C112" s="11" t="s">
        <v>515</v>
      </c>
      <c r="D112" s="16">
        <v>500000</v>
      </c>
      <c r="E112" s="16">
        <v>66650</v>
      </c>
      <c r="F112" s="41">
        <f>SUM(D112:E112)</f>
        <v>566650</v>
      </c>
      <c r="G112" s="159">
        <v>50</v>
      </c>
      <c r="H112" s="278">
        <v>11333</v>
      </c>
      <c r="I112" s="97">
        <v>56</v>
      </c>
      <c r="J112" s="97">
        <f t="shared" si="15"/>
        <v>-6</v>
      </c>
      <c r="K112" s="91">
        <f t="shared" si="16"/>
        <v>634648</v>
      </c>
      <c r="L112" s="94">
        <f t="shared" si="14"/>
        <v>-67998</v>
      </c>
      <c r="M112" s="11"/>
    </row>
    <row r="113" spans="1:15" s="114" customFormat="1">
      <c r="A113" s="96">
        <v>109</v>
      </c>
      <c r="B113" s="96" t="s">
        <v>557</v>
      </c>
      <c r="C113" s="11" t="s">
        <v>558</v>
      </c>
      <c r="D113" s="16">
        <v>450000</v>
      </c>
      <c r="E113" s="16">
        <v>59985</v>
      </c>
      <c r="F113" s="41">
        <f>SUM(D113:E113)</f>
        <v>509985</v>
      </c>
      <c r="G113" s="159">
        <v>50</v>
      </c>
      <c r="H113" s="278">
        <v>10199.700000000001</v>
      </c>
      <c r="I113" s="97">
        <v>35</v>
      </c>
      <c r="J113" s="97">
        <f t="shared" si="15"/>
        <v>15</v>
      </c>
      <c r="K113" s="91">
        <f t="shared" si="16"/>
        <v>356989.5</v>
      </c>
      <c r="L113" s="94">
        <f t="shared" si="14"/>
        <v>152995.5</v>
      </c>
      <c r="M113" s="11"/>
    </row>
    <row r="114" spans="1:15" s="114" customFormat="1">
      <c r="A114" s="96">
        <v>110</v>
      </c>
      <c r="B114" s="96" t="s">
        <v>583</v>
      </c>
      <c r="C114" s="11" t="s">
        <v>584</v>
      </c>
      <c r="D114" s="16">
        <v>500000</v>
      </c>
      <c r="E114" s="16">
        <v>66650</v>
      </c>
      <c r="F114" s="41">
        <f>SUM(D114:E114)</f>
        <v>566650</v>
      </c>
      <c r="G114" s="159">
        <v>50</v>
      </c>
      <c r="H114" s="278">
        <v>11333</v>
      </c>
      <c r="I114" s="97">
        <v>35</v>
      </c>
      <c r="J114" s="97">
        <f t="shared" si="15"/>
        <v>15</v>
      </c>
      <c r="K114" s="91">
        <f t="shared" si="16"/>
        <v>396655</v>
      </c>
      <c r="L114" s="94">
        <f t="shared" si="14"/>
        <v>169995</v>
      </c>
      <c r="M114" s="11"/>
    </row>
    <row r="115" spans="1:15" s="114" customFormat="1">
      <c r="A115" s="96">
        <v>111</v>
      </c>
      <c r="B115" s="96" t="s">
        <v>561</v>
      </c>
      <c r="C115" s="11" t="s">
        <v>562</v>
      </c>
      <c r="D115" s="16">
        <v>450000</v>
      </c>
      <c r="E115" s="16">
        <v>59985</v>
      </c>
      <c r="F115" s="41">
        <f>SUM(D115:E115)</f>
        <v>509985</v>
      </c>
      <c r="G115" s="159">
        <v>50</v>
      </c>
      <c r="H115" s="278">
        <v>10199.700000000001</v>
      </c>
      <c r="I115" s="97">
        <v>35</v>
      </c>
      <c r="J115" s="97">
        <f t="shared" si="15"/>
        <v>15</v>
      </c>
      <c r="K115" s="91">
        <f t="shared" si="16"/>
        <v>356989.5</v>
      </c>
      <c r="L115" s="94">
        <f t="shared" si="14"/>
        <v>152995.5</v>
      </c>
      <c r="M115" s="11"/>
    </row>
    <row r="116" spans="1:15" s="114" customFormat="1">
      <c r="A116" s="96">
        <v>112</v>
      </c>
      <c r="B116" s="96" t="s">
        <v>684</v>
      </c>
      <c r="C116" s="11" t="s">
        <v>685</v>
      </c>
      <c r="D116" s="19">
        <v>500000</v>
      </c>
      <c r="E116" s="19">
        <v>66650</v>
      </c>
      <c r="F116" s="19">
        <v>566650</v>
      </c>
      <c r="G116" s="159">
        <v>50</v>
      </c>
      <c r="H116" s="278">
        <v>11333</v>
      </c>
      <c r="I116" s="97">
        <v>21</v>
      </c>
      <c r="J116" s="97">
        <f t="shared" si="15"/>
        <v>29</v>
      </c>
      <c r="K116" s="91">
        <f t="shared" si="16"/>
        <v>237993</v>
      </c>
      <c r="L116" s="91">
        <f t="shared" si="14"/>
        <v>328657</v>
      </c>
      <c r="M116" s="11"/>
    </row>
    <row r="117" spans="1:15" s="114" customFormat="1">
      <c r="A117" s="96">
        <v>113</v>
      </c>
      <c r="B117" s="96" t="s">
        <v>611</v>
      </c>
      <c r="C117" s="11" t="s">
        <v>612</v>
      </c>
      <c r="D117" s="12">
        <v>500000</v>
      </c>
      <c r="E117" s="12">
        <v>66650</v>
      </c>
      <c r="F117" s="15">
        <f>SUM(D117:E117)</f>
        <v>566650</v>
      </c>
      <c r="G117" s="14">
        <v>50</v>
      </c>
      <c r="H117" s="277">
        <v>11333</v>
      </c>
      <c r="I117" s="14">
        <v>40</v>
      </c>
      <c r="J117" s="97">
        <f t="shared" si="15"/>
        <v>10</v>
      </c>
      <c r="K117" s="91">
        <f t="shared" si="16"/>
        <v>453320</v>
      </c>
      <c r="L117" s="15">
        <f t="shared" si="14"/>
        <v>113330</v>
      </c>
      <c r="M117" s="8"/>
    </row>
    <row r="118" spans="1:15" s="114" customFormat="1">
      <c r="A118" s="96">
        <v>114</v>
      </c>
      <c r="B118" s="96" t="s">
        <v>670</v>
      </c>
      <c r="C118" s="11" t="s">
        <v>671</v>
      </c>
      <c r="D118" s="16">
        <v>330000</v>
      </c>
      <c r="E118" s="16">
        <v>43989</v>
      </c>
      <c r="F118" s="41">
        <f>SUM(D118:E118)</f>
        <v>373989</v>
      </c>
      <c r="G118" s="159">
        <v>50</v>
      </c>
      <c r="H118" s="278">
        <v>7479.78</v>
      </c>
      <c r="I118" s="159">
        <v>43</v>
      </c>
      <c r="J118" s="97">
        <f t="shared" si="15"/>
        <v>7</v>
      </c>
      <c r="K118" s="91">
        <f t="shared" si="16"/>
        <v>321630.53999999998</v>
      </c>
      <c r="L118" s="94">
        <f t="shared" si="14"/>
        <v>52358.460000000021</v>
      </c>
      <c r="M118" s="11"/>
    </row>
    <row r="119" spans="1:15" s="114" customFormat="1">
      <c r="A119" s="96">
        <v>115</v>
      </c>
      <c r="B119" s="11" t="s">
        <v>901</v>
      </c>
      <c r="C119" s="123" t="s">
        <v>924</v>
      </c>
      <c r="D119" s="19">
        <v>330000</v>
      </c>
      <c r="E119" s="19">
        <v>43989</v>
      </c>
      <c r="F119" s="19">
        <f>SUM(D119:E119)</f>
        <v>373989</v>
      </c>
      <c r="G119" s="159">
        <v>50</v>
      </c>
      <c r="H119" s="279">
        <v>7479.78</v>
      </c>
      <c r="I119" s="159">
        <v>4</v>
      </c>
      <c r="J119" s="159">
        <f t="shared" si="15"/>
        <v>46</v>
      </c>
      <c r="K119" s="16">
        <f t="shared" si="16"/>
        <v>29919.119999999999</v>
      </c>
      <c r="L119" s="94">
        <f t="shared" si="14"/>
        <v>344069.88</v>
      </c>
      <c r="M119" s="11" t="s">
        <v>251</v>
      </c>
    </row>
    <row r="120" spans="1:15" s="114" customFormat="1">
      <c r="A120" s="96">
        <v>116</v>
      </c>
      <c r="B120" s="96" t="s">
        <v>563</v>
      </c>
      <c r="C120" s="11" t="s">
        <v>564</v>
      </c>
      <c r="D120" s="19">
        <v>330000</v>
      </c>
      <c r="E120" s="19">
        <v>43989</v>
      </c>
      <c r="F120" s="19">
        <f>SUM(D120:E120)</f>
        <v>373989</v>
      </c>
      <c r="G120" s="159">
        <v>50</v>
      </c>
      <c r="H120" s="277">
        <v>7479.78</v>
      </c>
      <c r="I120" s="97">
        <v>21</v>
      </c>
      <c r="J120" s="97">
        <f t="shared" si="15"/>
        <v>29</v>
      </c>
      <c r="K120" s="91">
        <f t="shared" si="16"/>
        <v>157075.38</v>
      </c>
      <c r="L120" s="91">
        <f t="shared" si="14"/>
        <v>216913.62</v>
      </c>
      <c r="M120" s="11"/>
    </row>
    <row r="121" spans="1:15" s="114" customFormat="1">
      <c r="A121" s="96">
        <v>117</v>
      </c>
      <c r="B121" s="96" t="s">
        <v>509</v>
      </c>
      <c r="C121" s="11" t="s">
        <v>510</v>
      </c>
      <c r="D121" s="19">
        <v>450000</v>
      </c>
      <c r="E121" s="19">
        <v>59985</v>
      </c>
      <c r="F121" s="19">
        <v>509985</v>
      </c>
      <c r="G121" s="159">
        <v>50</v>
      </c>
      <c r="H121" s="278">
        <v>10199.700000000001</v>
      </c>
      <c r="I121" s="97">
        <v>21</v>
      </c>
      <c r="J121" s="97">
        <f t="shared" si="15"/>
        <v>29</v>
      </c>
      <c r="K121" s="91">
        <f t="shared" si="16"/>
        <v>214193.7</v>
      </c>
      <c r="L121" s="91">
        <f t="shared" si="14"/>
        <v>295791.3</v>
      </c>
      <c r="M121" s="11"/>
    </row>
    <row r="122" spans="1:15" s="114" customFormat="1">
      <c r="A122" s="96">
        <v>118</v>
      </c>
      <c r="B122" s="126" t="s">
        <v>928</v>
      </c>
      <c r="C122" s="8" t="s">
        <v>931</v>
      </c>
      <c r="D122" s="16">
        <v>500000</v>
      </c>
      <c r="E122" s="16">
        <v>47988.040000000037</v>
      </c>
      <c r="F122" s="41">
        <f>SUM(D122:E122)</f>
        <v>547988.04</v>
      </c>
      <c r="G122" s="159">
        <v>36</v>
      </c>
      <c r="H122" s="286">
        <v>15221.89</v>
      </c>
      <c r="I122" s="159">
        <v>19</v>
      </c>
      <c r="J122" s="159">
        <f t="shared" si="15"/>
        <v>17</v>
      </c>
      <c r="K122" s="16">
        <f t="shared" si="16"/>
        <v>289215.90999999997</v>
      </c>
      <c r="L122" s="94">
        <f t="shared" si="14"/>
        <v>258772.13000000006</v>
      </c>
      <c r="M122" s="8" t="s">
        <v>935</v>
      </c>
    </row>
    <row r="123" spans="1:15" s="114" customFormat="1">
      <c r="A123" s="96">
        <v>119</v>
      </c>
      <c r="B123" s="96" t="s">
        <v>613</v>
      </c>
      <c r="C123" s="11" t="s">
        <v>614</v>
      </c>
      <c r="D123" s="16">
        <v>500000</v>
      </c>
      <c r="E123" s="16">
        <v>66650</v>
      </c>
      <c r="F123" s="41">
        <f>SUM(D123:E123)</f>
        <v>566650</v>
      </c>
      <c r="G123" s="159">
        <v>50</v>
      </c>
      <c r="H123" s="278">
        <v>11333</v>
      </c>
      <c r="I123" s="97">
        <v>55</v>
      </c>
      <c r="J123" s="97">
        <f t="shared" si="15"/>
        <v>-5</v>
      </c>
      <c r="K123" s="91">
        <f t="shared" si="16"/>
        <v>623315</v>
      </c>
      <c r="L123" s="94">
        <f t="shared" si="14"/>
        <v>-56665</v>
      </c>
      <c r="M123" s="11"/>
      <c r="N123" s="120"/>
    </row>
    <row r="124" spans="1:15" s="114" customFormat="1">
      <c r="A124" s="96">
        <v>120</v>
      </c>
      <c r="B124" s="96" t="s">
        <v>711</v>
      </c>
      <c r="C124" s="11" t="s">
        <v>712</v>
      </c>
      <c r="D124" s="16">
        <v>500000</v>
      </c>
      <c r="E124" s="16">
        <v>66650</v>
      </c>
      <c r="F124" s="41">
        <f>SUM(D124:E124)</f>
        <v>566650</v>
      </c>
      <c r="G124" s="159">
        <v>50</v>
      </c>
      <c r="H124" s="278">
        <v>11333</v>
      </c>
      <c r="I124" s="97">
        <v>34</v>
      </c>
      <c r="J124" s="97">
        <f t="shared" si="15"/>
        <v>16</v>
      </c>
      <c r="K124" s="91">
        <f t="shared" si="16"/>
        <v>385322</v>
      </c>
      <c r="L124" s="94">
        <f t="shared" si="14"/>
        <v>181328</v>
      </c>
      <c r="M124" s="11"/>
      <c r="O124" s="120"/>
    </row>
    <row r="125" spans="1:15" s="114" customFormat="1">
      <c r="A125" s="96">
        <v>121</v>
      </c>
      <c r="B125" s="96" t="s">
        <v>538</v>
      </c>
      <c r="C125" s="11" t="s">
        <v>539</v>
      </c>
      <c r="D125" s="12">
        <v>500000</v>
      </c>
      <c r="E125" s="12">
        <v>66650</v>
      </c>
      <c r="F125" s="15">
        <f>SUM(D125:E125)</f>
        <v>566650</v>
      </c>
      <c r="G125" s="14">
        <v>50</v>
      </c>
      <c r="H125" s="277">
        <v>11333</v>
      </c>
      <c r="I125" s="14">
        <v>40</v>
      </c>
      <c r="J125" s="97">
        <f t="shared" si="15"/>
        <v>10</v>
      </c>
      <c r="K125" s="91">
        <f t="shared" si="16"/>
        <v>453320</v>
      </c>
      <c r="L125" s="15">
        <f t="shared" si="14"/>
        <v>113330</v>
      </c>
      <c r="M125" s="8"/>
    </row>
    <row r="126" spans="1:15" s="114" customFormat="1">
      <c r="A126" s="96">
        <v>122</v>
      </c>
      <c r="B126" s="96" t="s">
        <v>507</v>
      </c>
      <c r="C126" s="11" t="s">
        <v>508</v>
      </c>
      <c r="D126" s="16">
        <v>500000</v>
      </c>
      <c r="E126" s="16">
        <v>66650</v>
      </c>
      <c r="F126" s="16">
        <v>566650</v>
      </c>
      <c r="G126" s="159">
        <v>50</v>
      </c>
      <c r="H126" s="278">
        <v>11333</v>
      </c>
      <c r="I126" s="97">
        <v>21</v>
      </c>
      <c r="J126" s="97">
        <f t="shared" si="15"/>
        <v>29</v>
      </c>
      <c r="K126" s="91">
        <f t="shared" si="16"/>
        <v>237993</v>
      </c>
      <c r="L126" s="91">
        <f t="shared" si="14"/>
        <v>328657</v>
      </c>
      <c r="M126" s="11"/>
    </row>
    <row r="127" spans="1:15" s="114" customFormat="1">
      <c r="A127" s="96">
        <v>123</v>
      </c>
      <c r="B127" s="96" t="s">
        <v>728</v>
      </c>
      <c r="C127" s="11" t="s">
        <v>729</v>
      </c>
      <c r="D127" s="16">
        <v>500000</v>
      </c>
      <c r="E127" s="16">
        <v>47992</v>
      </c>
      <c r="F127" s="41">
        <f t="shared" ref="F127:F132" si="17">SUM(D127:E127)</f>
        <v>547992</v>
      </c>
      <c r="G127" s="159">
        <v>36</v>
      </c>
      <c r="H127" s="277">
        <v>15222</v>
      </c>
      <c r="I127" s="97">
        <v>34</v>
      </c>
      <c r="J127" s="97">
        <f t="shared" si="15"/>
        <v>2</v>
      </c>
      <c r="K127" s="91">
        <f t="shared" si="16"/>
        <v>517548</v>
      </c>
      <c r="L127" s="94">
        <f t="shared" si="14"/>
        <v>30444</v>
      </c>
      <c r="M127" s="11"/>
    </row>
    <row r="128" spans="1:15" s="114" customFormat="1">
      <c r="A128" s="96">
        <v>124</v>
      </c>
      <c r="B128" s="11" t="s">
        <v>889</v>
      </c>
      <c r="C128" s="123" t="s">
        <v>911</v>
      </c>
      <c r="D128" s="16">
        <v>500000</v>
      </c>
      <c r="E128" s="16">
        <v>66650</v>
      </c>
      <c r="F128" s="41">
        <f t="shared" si="17"/>
        <v>566650</v>
      </c>
      <c r="G128" s="159">
        <v>50</v>
      </c>
      <c r="H128" s="279">
        <v>11333</v>
      </c>
      <c r="I128" s="159">
        <v>4</v>
      </c>
      <c r="J128" s="159">
        <f t="shared" si="15"/>
        <v>46</v>
      </c>
      <c r="K128" s="16">
        <f t="shared" si="16"/>
        <v>45332</v>
      </c>
      <c r="L128" s="94">
        <f t="shared" si="14"/>
        <v>521318</v>
      </c>
      <c r="M128" s="11" t="s">
        <v>251</v>
      </c>
    </row>
    <row r="129" spans="1:15" s="114" customFormat="1">
      <c r="A129" s="96">
        <v>125</v>
      </c>
      <c r="B129" s="96" t="s">
        <v>590</v>
      </c>
      <c r="C129" s="11" t="s">
        <v>591</v>
      </c>
      <c r="D129" s="19">
        <v>150000</v>
      </c>
      <c r="E129" s="19">
        <v>19995</v>
      </c>
      <c r="F129" s="19">
        <f t="shared" si="17"/>
        <v>169995</v>
      </c>
      <c r="G129" s="159">
        <v>50</v>
      </c>
      <c r="H129" s="277">
        <v>3399.9</v>
      </c>
      <c r="I129" s="97">
        <v>34</v>
      </c>
      <c r="J129" s="97">
        <f t="shared" si="15"/>
        <v>16</v>
      </c>
      <c r="K129" s="91">
        <f t="shared" si="16"/>
        <v>115596.6</v>
      </c>
      <c r="L129" s="94">
        <f t="shared" si="14"/>
        <v>54398.399999999994</v>
      </c>
      <c r="M129" s="11"/>
    </row>
    <row r="130" spans="1:15" s="114" customFormat="1">
      <c r="A130" s="96">
        <v>126</v>
      </c>
      <c r="B130" s="96" t="s">
        <v>631</v>
      </c>
      <c r="C130" s="11" t="s">
        <v>632</v>
      </c>
      <c r="D130" s="16">
        <v>500000</v>
      </c>
      <c r="E130" s="16">
        <v>66650</v>
      </c>
      <c r="F130" s="41">
        <f t="shared" si="17"/>
        <v>566650</v>
      </c>
      <c r="G130" s="159">
        <v>50</v>
      </c>
      <c r="H130" s="278">
        <v>11333</v>
      </c>
      <c r="I130" s="159">
        <v>56</v>
      </c>
      <c r="J130" s="97">
        <f t="shared" si="15"/>
        <v>-6</v>
      </c>
      <c r="K130" s="91">
        <f t="shared" si="16"/>
        <v>634648</v>
      </c>
      <c r="L130" s="94">
        <f t="shared" si="14"/>
        <v>-67998</v>
      </c>
      <c r="M130" s="11"/>
    </row>
    <row r="131" spans="1:15" s="114" customFormat="1">
      <c r="A131" s="96">
        <v>127</v>
      </c>
      <c r="B131" s="11" t="s">
        <v>898</v>
      </c>
      <c r="C131" s="123" t="s">
        <v>921</v>
      </c>
      <c r="D131" s="19">
        <v>330000</v>
      </c>
      <c r="E131" s="19">
        <v>43989</v>
      </c>
      <c r="F131" s="19">
        <f t="shared" si="17"/>
        <v>373989</v>
      </c>
      <c r="G131" s="159">
        <v>50</v>
      </c>
      <c r="H131" s="279">
        <v>7479.78</v>
      </c>
      <c r="I131" s="159">
        <v>4</v>
      </c>
      <c r="J131" s="159">
        <f t="shared" si="15"/>
        <v>46</v>
      </c>
      <c r="K131" s="16">
        <f t="shared" si="16"/>
        <v>29919.119999999999</v>
      </c>
      <c r="L131" s="94">
        <f t="shared" si="14"/>
        <v>344069.88</v>
      </c>
      <c r="M131" s="11" t="s">
        <v>251</v>
      </c>
    </row>
    <row r="132" spans="1:15" s="114" customFormat="1">
      <c r="A132" s="96">
        <v>128</v>
      </c>
      <c r="B132" s="11" t="s">
        <v>888</v>
      </c>
      <c r="C132" s="123" t="s">
        <v>910</v>
      </c>
      <c r="D132" s="16">
        <v>500000</v>
      </c>
      <c r="E132" s="16">
        <v>66650</v>
      </c>
      <c r="F132" s="41">
        <f t="shared" si="17"/>
        <v>566650</v>
      </c>
      <c r="G132" s="159">
        <v>50</v>
      </c>
      <c r="H132" s="279">
        <v>11333</v>
      </c>
      <c r="I132" s="159">
        <v>4</v>
      </c>
      <c r="J132" s="159">
        <f t="shared" si="15"/>
        <v>46</v>
      </c>
      <c r="K132" s="16">
        <f t="shared" si="16"/>
        <v>45332</v>
      </c>
      <c r="L132" s="94">
        <f t="shared" si="14"/>
        <v>521318</v>
      </c>
      <c r="M132" s="11"/>
    </row>
    <row r="133" spans="1:15" s="120" customFormat="1">
      <c r="A133" s="126"/>
      <c r="B133" s="126"/>
      <c r="C133" s="8"/>
      <c r="D133" s="34">
        <f>SUM(D6:D132)</f>
        <v>54380000</v>
      </c>
      <c r="E133" s="34">
        <f>SUM(E6:E132)</f>
        <v>7165892.2400000002</v>
      </c>
      <c r="F133" s="34">
        <f>SUM(F6:F132)</f>
        <v>61545892.240000002</v>
      </c>
      <c r="G133" s="34"/>
      <c r="H133" s="34">
        <f>SUM(H6:H132)</f>
        <v>1260209.92</v>
      </c>
      <c r="I133" s="34"/>
      <c r="J133" s="34"/>
      <c r="K133" s="34">
        <f>SUM(K6:K132)</f>
        <v>33525049.81000001</v>
      </c>
      <c r="L133" s="34">
        <f>SUM(L6:L132)</f>
        <v>28020842.429999996</v>
      </c>
      <c r="M133" s="8"/>
      <c r="N133" s="114"/>
      <c r="O133" s="114"/>
    </row>
    <row r="134" spans="1:15" s="114" customFormat="1">
      <c r="A134" s="270"/>
      <c r="B134" s="270"/>
      <c r="C134" s="69"/>
      <c r="D134" s="67"/>
      <c r="E134" s="67"/>
      <c r="F134" s="67"/>
      <c r="G134" s="67"/>
      <c r="H134" s="276"/>
      <c r="I134" s="67"/>
      <c r="J134" s="67"/>
      <c r="K134" s="67"/>
      <c r="L134" s="67"/>
      <c r="M134" s="69"/>
    </row>
    <row r="135" spans="1:15" s="114" customFormat="1">
      <c r="A135" s="270"/>
      <c r="B135" s="270"/>
      <c r="C135" s="69"/>
      <c r="D135" s="67"/>
      <c r="E135" s="67"/>
      <c r="F135" s="67"/>
      <c r="G135" s="67"/>
      <c r="H135" s="67"/>
      <c r="I135" s="67"/>
      <c r="J135" s="67"/>
      <c r="K135" s="67"/>
      <c r="L135" s="67"/>
      <c r="M135" s="69"/>
    </row>
    <row r="136" spans="1:15" s="114" customFormat="1">
      <c r="A136" s="44"/>
      <c r="B136" s="44"/>
      <c r="C136" s="184"/>
      <c r="D136"/>
      <c r="E136"/>
      <c r="F136"/>
      <c r="G136" s="43"/>
      <c r="H136" s="39"/>
      <c r="I136" s="99"/>
      <c r="J136" s="99"/>
      <c r="K136"/>
      <c r="L136"/>
      <c r="M136"/>
    </row>
    <row r="137" spans="1:15" s="114" customFormat="1">
      <c r="A137" s="96">
        <v>4</v>
      </c>
      <c r="B137" s="268" t="s">
        <v>606</v>
      </c>
      <c r="C137" s="269" t="s">
        <v>853</v>
      </c>
      <c r="D137" s="19">
        <v>150000</v>
      </c>
      <c r="E137" s="19">
        <v>19995</v>
      </c>
      <c r="F137" s="19">
        <f>SUM(D137:E137)</f>
        <v>169995</v>
      </c>
      <c r="G137" s="240">
        <v>50</v>
      </c>
      <c r="H137" s="254">
        <v>3399.9</v>
      </c>
      <c r="I137" s="247">
        <v>2</v>
      </c>
      <c r="J137" s="97">
        <f t="shared" ref="J137:J156" si="18">G137-I137</f>
        <v>48</v>
      </c>
      <c r="K137" s="91">
        <f t="shared" ref="K137:K156" si="19">I137*H137</f>
        <v>6799.8</v>
      </c>
      <c r="L137" s="94">
        <f t="shared" ref="L137:L156" si="20">F137-K137</f>
        <v>163195.20000000001</v>
      </c>
      <c r="M137" s="11"/>
    </row>
    <row r="138" spans="1:15" s="114" customFormat="1">
      <c r="A138" s="96">
        <v>40</v>
      </c>
      <c r="B138" s="8" t="s">
        <v>623</v>
      </c>
      <c r="C138" s="132" t="s">
        <v>857</v>
      </c>
      <c r="D138" s="19">
        <v>450000</v>
      </c>
      <c r="E138" s="19">
        <v>59985</v>
      </c>
      <c r="F138" s="19">
        <v>509985</v>
      </c>
      <c r="G138" s="159">
        <v>50</v>
      </c>
      <c r="H138" s="254">
        <v>10199.700000000001</v>
      </c>
      <c r="I138" s="159">
        <v>2</v>
      </c>
      <c r="J138" s="97">
        <f t="shared" si="18"/>
        <v>48</v>
      </c>
      <c r="K138" s="91">
        <f t="shared" si="19"/>
        <v>20399.400000000001</v>
      </c>
      <c r="L138" s="94">
        <f t="shared" si="20"/>
        <v>489585.6</v>
      </c>
      <c r="M138" s="11"/>
      <c r="N138" s="180"/>
    </row>
    <row r="139" spans="1:15" s="114" customFormat="1">
      <c r="A139" s="96">
        <v>59</v>
      </c>
      <c r="B139" s="8" t="s">
        <v>663</v>
      </c>
      <c r="C139" s="132" t="s">
        <v>854</v>
      </c>
      <c r="D139" s="19">
        <v>330000</v>
      </c>
      <c r="E139" s="19">
        <v>43989</v>
      </c>
      <c r="F139" s="19">
        <f t="shared" ref="F139:F145" si="21">SUM(D139:E139)</f>
        <v>373989</v>
      </c>
      <c r="G139" s="159">
        <v>50</v>
      </c>
      <c r="H139" s="254">
        <v>7479.78</v>
      </c>
      <c r="I139" s="159">
        <v>2</v>
      </c>
      <c r="J139" s="97">
        <f t="shared" si="18"/>
        <v>48</v>
      </c>
      <c r="K139" s="91">
        <f t="shared" si="19"/>
        <v>14959.56</v>
      </c>
      <c r="L139" s="94">
        <f t="shared" si="20"/>
        <v>359029.44</v>
      </c>
      <c r="M139" s="11"/>
      <c r="N139" s="180"/>
    </row>
    <row r="140" spans="1:15" s="114" customFormat="1">
      <c r="A140" s="96">
        <v>99</v>
      </c>
      <c r="B140" s="8" t="s">
        <v>723</v>
      </c>
      <c r="C140" s="132" t="s">
        <v>861</v>
      </c>
      <c r="D140" s="16">
        <v>500000</v>
      </c>
      <c r="E140" s="16">
        <v>66650</v>
      </c>
      <c r="F140" s="41">
        <f t="shared" si="21"/>
        <v>566650</v>
      </c>
      <c r="G140" s="159">
        <v>50</v>
      </c>
      <c r="H140" s="254">
        <v>11333</v>
      </c>
      <c r="I140" s="159">
        <v>2</v>
      </c>
      <c r="J140" s="97">
        <f t="shared" si="18"/>
        <v>48</v>
      </c>
      <c r="K140" s="91">
        <f t="shared" si="19"/>
        <v>22666</v>
      </c>
      <c r="L140" s="94">
        <f t="shared" si="20"/>
        <v>543984</v>
      </c>
      <c r="M140" s="11"/>
      <c r="N140" s="180" t="e">
        <f>#REF!-H139</f>
        <v>#REF!</v>
      </c>
    </row>
    <row r="141" spans="1:15" s="114" customFormat="1">
      <c r="A141" s="96">
        <v>7</v>
      </c>
      <c r="B141" s="241" t="s">
        <v>674</v>
      </c>
      <c r="C141" s="11" t="s">
        <v>675</v>
      </c>
      <c r="D141" s="16">
        <v>500000</v>
      </c>
      <c r="E141" s="16">
        <v>53320</v>
      </c>
      <c r="F141" s="41">
        <f t="shared" si="21"/>
        <v>553320</v>
      </c>
      <c r="G141" s="240">
        <v>40</v>
      </c>
      <c r="H141" s="209">
        <v>13833</v>
      </c>
      <c r="I141" s="243">
        <v>53</v>
      </c>
      <c r="J141" s="96">
        <f t="shared" si="18"/>
        <v>-13</v>
      </c>
      <c r="K141" s="16">
        <f t="shared" si="19"/>
        <v>733149</v>
      </c>
      <c r="L141" s="41">
        <f t="shared" si="20"/>
        <v>-179829</v>
      </c>
      <c r="M141" s="11"/>
    </row>
    <row r="142" spans="1:15" s="114" customFormat="1">
      <c r="A142" s="96">
        <v>9</v>
      </c>
      <c r="B142" s="96" t="s">
        <v>602</v>
      </c>
      <c r="C142" s="11" t="s">
        <v>603</v>
      </c>
      <c r="D142" s="16">
        <v>330000</v>
      </c>
      <c r="E142" s="16">
        <v>43989</v>
      </c>
      <c r="F142" s="41">
        <f t="shared" si="21"/>
        <v>373989</v>
      </c>
      <c r="G142" s="159">
        <v>50</v>
      </c>
      <c r="H142" s="203">
        <v>7479.78</v>
      </c>
      <c r="I142" s="96">
        <v>41</v>
      </c>
      <c r="J142" s="96">
        <f t="shared" si="18"/>
        <v>9</v>
      </c>
      <c r="K142" s="16">
        <f t="shared" si="19"/>
        <v>306670.98</v>
      </c>
      <c r="L142" s="41">
        <f t="shared" si="20"/>
        <v>67318.020000000019</v>
      </c>
      <c r="M142" s="11"/>
      <c r="N142" s="180" t="e">
        <f>#REF!-H141</f>
        <v>#REF!</v>
      </c>
    </row>
    <row r="143" spans="1:15" s="114" customFormat="1">
      <c r="A143" s="96">
        <v>18</v>
      </c>
      <c r="B143" s="96" t="s">
        <v>672</v>
      </c>
      <c r="C143" s="11" t="s">
        <v>673</v>
      </c>
      <c r="D143" s="16">
        <v>500000</v>
      </c>
      <c r="E143" s="16">
        <v>53320</v>
      </c>
      <c r="F143" s="41">
        <f t="shared" si="21"/>
        <v>553320</v>
      </c>
      <c r="G143" s="159">
        <v>40</v>
      </c>
      <c r="H143" s="209">
        <v>13833</v>
      </c>
      <c r="I143" s="97">
        <v>53</v>
      </c>
      <c r="J143" s="97">
        <f t="shared" si="18"/>
        <v>-13</v>
      </c>
      <c r="K143" s="91">
        <f t="shared" si="19"/>
        <v>733149</v>
      </c>
      <c r="L143" s="94">
        <f t="shared" si="20"/>
        <v>-179829</v>
      </c>
      <c r="M143" s="11"/>
      <c r="N143" s="180" t="e">
        <f>#REF!-H142</f>
        <v>#REF!</v>
      </c>
    </row>
    <row r="144" spans="1:15" s="114" customFormat="1">
      <c r="A144" s="96">
        <v>56</v>
      </c>
      <c r="B144" s="96" t="s">
        <v>592</v>
      </c>
      <c r="C144" s="11" t="s">
        <v>593</v>
      </c>
      <c r="D144" s="16">
        <v>500000</v>
      </c>
      <c r="E144" s="16">
        <v>53320</v>
      </c>
      <c r="F144" s="41">
        <f t="shared" si="21"/>
        <v>553320</v>
      </c>
      <c r="G144" s="159">
        <v>40</v>
      </c>
      <c r="H144" s="209">
        <v>13833</v>
      </c>
      <c r="I144" s="97">
        <v>53</v>
      </c>
      <c r="J144" s="97">
        <f t="shared" si="18"/>
        <v>-13</v>
      </c>
      <c r="K144" s="91">
        <f t="shared" si="19"/>
        <v>733149</v>
      </c>
      <c r="L144" s="94">
        <f t="shared" si="20"/>
        <v>-179829</v>
      </c>
      <c r="M144" s="11"/>
      <c r="N144" s="180" t="e">
        <f>#REF!-H143</f>
        <v>#REF!</v>
      </c>
    </row>
    <row r="145" spans="1:14" s="114" customFormat="1">
      <c r="A145" s="96">
        <v>82</v>
      </c>
      <c r="B145" s="96" t="s">
        <v>555</v>
      </c>
      <c r="C145" s="11" t="s">
        <v>556</v>
      </c>
      <c r="D145" s="16">
        <v>500000</v>
      </c>
      <c r="E145" s="16">
        <v>66650</v>
      </c>
      <c r="F145" s="41">
        <f t="shared" si="21"/>
        <v>566650</v>
      </c>
      <c r="G145" s="159">
        <v>50</v>
      </c>
      <c r="H145" s="209">
        <v>11333</v>
      </c>
      <c r="I145" s="97">
        <v>32</v>
      </c>
      <c r="J145" s="97">
        <f t="shared" si="18"/>
        <v>18</v>
      </c>
      <c r="K145" s="91">
        <f t="shared" si="19"/>
        <v>362656</v>
      </c>
      <c r="L145" s="94">
        <f t="shared" si="20"/>
        <v>203994</v>
      </c>
      <c r="M145" s="11"/>
      <c r="N145" s="180" t="e">
        <f>#REF!-H144</f>
        <v>#REF!</v>
      </c>
    </row>
    <row r="146" spans="1:14" s="114" customFormat="1">
      <c r="A146" s="96">
        <v>129</v>
      </c>
      <c r="B146" s="96" t="s">
        <v>705</v>
      </c>
      <c r="C146" s="11" t="s">
        <v>706</v>
      </c>
      <c r="D146" s="19">
        <v>450000</v>
      </c>
      <c r="E146" s="19">
        <v>59985</v>
      </c>
      <c r="F146" s="19">
        <v>509985</v>
      </c>
      <c r="G146" s="159">
        <v>50</v>
      </c>
      <c r="H146" s="209">
        <v>10199.700000000001</v>
      </c>
      <c r="I146" s="159">
        <v>7</v>
      </c>
      <c r="J146" s="97">
        <f t="shared" si="18"/>
        <v>43</v>
      </c>
      <c r="K146" s="91">
        <f t="shared" si="19"/>
        <v>71397.900000000009</v>
      </c>
      <c r="L146" s="94">
        <f t="shared" si="20"/>
        <v>438587.1</v>
      </c>
      <c r="M146" s="11"/>
      <c r="N146" s="180" t="e">
        <f>#REF!-H145</f>
        <v>#REF!</v>
      </c>
    </row>
    <row r="147" spans="1:14" s="114" customFormat="1">
      <c r="A147" s="96">
        <v>103</v>
      </c>
      <c r="B147" s="96" t="s">
        <v>540</v>
      </c>
      <c r="C147" s="11" t="s">
        <v>541</v>
      </c>
      <c r="D147" s="16">
        <v>500000</v>
      </c>
      <c r="E147" s="16">
        <v>66650</v>
      </c>
      <c r="F147" s="41">
        <f>SUM(D147:E147)</f>
        <v>566650</v>
      </c>
      <c r="G147" s="159">
        <v>50</v>
      </c>
      <c r="H147" s="209">
        <v>11333</v>
      </c>
      <c r="I147" s="97">
        <v>37</v>
      </c>
      <c r="J147" s="97">
        <f t="shared" si="18"/>
        <v>13</v>
      </c>
      <c r="K147" s="91">
        <f t="shared" si="19"/>
        <v>419321</v>
      </c>
      <c r="L147" s="94">
        <f t="shared" si="20"/>
        <v>147329</v>
      </c>
      <c r="M147" s="11"/>
      <c r="N147"/>
    </row>
    <row r="148" spans="1:14" s="114" customFormat="1">
      <c r="A148" s="96">
        <v>33</v>
      </c>
      <c r="B148" s="122" t="s">
        <v>897</v>
      </c>
      <c r="C148" s="123" t="s">
        <v>920</v>
      </c>
      <c r="D148" s="19">
        <v>450000</v>
      </c>
      <c r="E148" s="19">
        <v>59985</v>
      </c>
      <c r="F148" s="19">
        <v>509985</v>
      </c>
      <c r="G148" s="159">
        <v>50</v>
      </c>
      <c r="H148" s="254">
        <v>10199.700000000001</v>
      </c>
      <c r="I148" s="188">
        <v>2</v>
      </c>
      <c r="J148" s="188">
        <f t="shared" si="18"/>
        <v>48</v>
      </c>
      <c r="K148" s="257">
        <f t="shared" si="19"/>
        <v>20399.400000000001</v>
      </c>
      <c r="L148" s="94">
        <f t="shared" si="20"/>
        <v>489585.6</v>
      </c>
      <c r="M148" s="122" t="s">
        <v>251</v>
      </c>
    </row>
    <row r="149" spans="1:14" s="114" customFormat="1">
      <c r="A149" s="96">
        <v>41</v>
      </c>
      <c r="B149" s="122" t="s">
        <v>881</v>
      </c>
      <c r="C149" s="123" t="s">
        <v>903</v>
      </c>
      <c r="D149" s="16">
        <v>500000</v>
      </c>
      <c r="E149" s="16">
        <v>66650</v>
      </c>
      <c r="F149" s="41">
        <f>SUM(D149:E149)</f>
        <v>566650</v>
      </c>
      <c r="G149" s="159">
        <v>50</v>
      </c>
      <c r="H149" s="254">
        <v>13833</v>
      </c>
      <c r="I149" s="188">
        <v>2</v>
      </c>
      <c r="J149" s="188">
        <f t="shared" si="18"/>
        <v>48</v>
      </c>
      <c r="K149" s="257">
        <f t="shared" si="19"/>
        <v>27666</v>
      </c>
      <c r="L149" s="94">
        <f t="shared" si="20"/>
        <v>538984</v>
      </c>
      <c r="M149" s="122" t="s">
        <v>251</v>
      </c>
      <c r="N149" s="180" t="e">
        <f>#REF!-H149</f>
        <v>#REF!</v>
      </c>
    </row>
    <row r="150" spans="1:14" s="114" customFormat="1">
      <c r="A150" s="96">
        <v>63</v>
      </c>
      <c r="B150" s="96" t="s">
        <v>891</v>
      </c>
      <c r="C150" s="11" t="s">
        <v>913</v>
      </c>
      <c r="D150" s="12">
        <v>450000</v>
      </c>
      <c r="E150" s="12">
        <v>59985</v>
      </c>
      <c r="F150" s="15">
        <f>SUM(D150:E150)</f>
        <v>509985</v>
      </c>
      <c r="G150" s="14">
        <v>50</v>
      </c>
      <c r="H150" s="203">
        <v>10199.9</v>
      </c>
      <c r="I150" s="14">
        <v>39</v>
      </c>
      <c r="J150" s="97">
        <f t="shared" si="18"/>
        <v>11</v>
      </c>
      <c r="K150" s="91">
        <f t="shared" si="19"/>
        <v>397796.1</v>
      </c>
      <c r="L150" s="15">
        <f t="shared" si="20"/>
        <v>112188.90000000002</v>
      </c>
      <c r="M150" s="8"/>
      <c r="N150" s="180" t="e">
        <f>#REF!-H150</f>
        <v>#REF!</v>
      </c>
    </row>
    <row r="151" spans="1:14" s="114" customFormat="1">
      <c r="A151" s="96">
        <v>94</v>
      </c>
      <c r="B151" s="122" t="s">
        <v>892</v>
      </c>
      <c r="C151" s="123" t="s">
        <v>914</v>
      </c>
      <c r="D151" s="19">
        <v>450000</v>
      </c>
      <c r="E151" s="19">
        <v>59985</v>
      </c>
      <c r="F151" s="19">
        <v>509985</v>
      </c>
      <c r="G151" s="159">
        <v>50</v>
      </c>
      <c r="H151" s="254">
        <v>10199.700000000001</v>
      </c>
      <c r="I151" s="188">
        <v>2</v>
      </c>
      <c r="J151" s="188">
        <f t="shared" si="18"/>
        <v>48</v>
      </c>
      <c r="K151" s="257">
        <f t="shared" si="19"/>
        <v>20399.400000000001</v>
      </c>
      <c r="L151" s="94">
        <f t="shared" si="20"/>
        <v>489585.6</v>
      </c>
      <c r="M151" s="122" t="s">
        <v>251</v>
      </c>
      <c r="N151" s="180" t="e">
        <f>#REF!-H151</f>
        <v>#REF!</v>
      </c>
    </row>
    <row r="152" spans="1:14" s="114" customFormat="1">
      <c r="A152" s="96">
        <v>106</v>
      </c>
      <c r="B152" s="8" t="s">
        <v>628</v>
      </c>
      <c r="C152" s="11" t="s">
        <v>917</v>
      </c>
      <c r="D152" s="19">
        <v>450000</v>
      </c>
      <c r="E152" s="19">
        <v>59985</v>
      </c>
      <c r="F152" s="19">
        <v>509985</v>
      </c>
      <c r="G152" s="159">
        <v>50</v>
      </c>
      <c r="H152" s="254">
        <v>10199.700000000001</v>
      </c>
      <c r="I152" s="159">
        <v>3</v>
      </c>
      <c r="J152" s="97">
        <f t="shared" si="18"/>
        <v>47</v>
      </c>
      <c r="K152" s="91">
        <f t="shared" si="19"/>
        <v>30599.100000000002</v>
      </c>
      <c r="L152" s="94">
        <f t="shared" si="20"/>
        <v>479385.9</v>
      </c>
      <c r="M152" s="11"/>
      <c r="N152"/>
    </row>
    <row r="153" spans="1:14" s="114" customFormat="1">
      <c r="A153" s="96">
        <v>115</v>
      </c>
      <c r="B153" s="122" t="s">
        <v>882</v>
      </c>
      <c r="C153" s="123" t="s">
        <v>904</v>
      </c>
      <c r="D153" s="19">
        <v>450000</v>
      </c>
      <c r="E153" s="19">
        <v>59985</v>
      </c>
      <c r="F153" s="19">
        <v>509985</v>
      </c>
      <c r="G153" s="159">
        <v>50</v>
      </c>
      <c r="H153" s="254">
        <v>13699.7</v>
      </c>
      <c r="I153" s="188">
        <v>2</v>
      </c>
      <c r="J153" s="188">
        <f t="shared" si="18"/>
        <v>48</v>
      </c>
      <c r="K153" s="257">
        <f t="shared" si="19"/>
        <v>27399.4</v>
      </c>
      <c r="L153" s="94">
        <f t="shared" si="20"/>
        <v>482585.59999999998</v>
      </c>
      <c r="M153" s="122" t="s">
        <v>251</v>
      </c>
    </row>
    <row r="154" spans="1:14" s="114" customFormat="1">
      <c r="A154" s="96">
        <v>120</v>
      </c>
      <c r="B154" s="96" t="s">
        <v>577</v>
      </c>
      <c r="C154" s="11" t="s">
        <v>578</v>
      </c>
      <c r="D154" s="19">
        <v>330000</v>
      </c>
      <c r="E154" s="19">
        <v>43989</v>
      </c>
      <c r="F154" s="19">
        <f>SUM(D154:E154)</f>
        <v>373989</v>
      </c>
      <c r="G154" s="159">
        <v>50</v>
      </c>
      <c r="H154" s="209">
        <v>7479.78</v>
      </c>
      <c r="I154" s="159">
        <v>7</v>
      </c>
      <c r="J154" s="97">
        <f t="shared" si="18"/>
        <v>43</v>
      </c>
      <c r="K154" s="91">
        <f t="shared" si="19"/>
        <v>52358.46</v>
      </c>
      <c r="L154" s="94">
        <f t="shared" si="20"/>
        <v>321630.53999999998</v>
      </c>
      <c r="M154" s="214"/>
    </row>
    <row r="155" spans="1:14" s="114" customFormat="1">
      <c r="A155" s="96">
        <v>2</v>
      </c>
      <c r="B155" s="241" t="s">
        <v>615</v>
      </c>
      <c r="C155" s="11" t="s">
        <v>616</v>
      </c>
      <c r="D155" s="16">
        <v>132000</v>
      </c>
      <c r="E155" s="16">
        <v>17595.599999999999</v>
      </c>
      <c r="F155" s="41">
        <f>SUM(D155:E155)</f>
        <v>149595.6</v>
      </c>
      <c r="G155" s="240">
        <v>40</v>
      </c>
      <c r="H155" s="278">
        <v>3739.89</v>
      </c>
      <c r="I155" s="243">
        <v>40</v>
      </c>
      <c r="J155" s="96">
        <f t="shared" si="18"/>
        <v>0</v>
      </c>
      <c r="K155" s="16">
        <f t="shared" si="19"/>
        <v>149595.6</v>
      </c>
      <c r="L155" s="41">
        <f t="shared" si="20"/>
        <v>0</v>
      </c>
      <c r="M155" s="11"/>
      <c r="N155" s="180" t="e">
        <f>#REF!-H155</f>
        <v>#REF!</v>
      </c>
    </row>
    <row r="156" spans="1:14" s="114" customFormat="1">
      <c r="A156" s="96">
        <v>74</v>
      </c>
      <c r="B156" s="96" t="s">
        <v>651</v>
      </c>
      <c r="C156" s="11" t="s">
        <v>652</v>
      </c>
      <c r="D156" s="16">
        <v>450000</v>
      </c>
      <c r="E156" s="16">
        <v>59985</v>
      </c>
      <c r="F156" s="41">
        <f>SUM(D156:E156)</f>
        <v>509985</v>
      </c>
      <c r="G156" s="159">
        <v>50</v>
      </c>
      <c r="H156" s="278">
        <v>10199.700000000001</v>
      </c>
      <c r="I156" s="97">
        <v>39</v>
      </c>
      <c r="J156" s="97">
        <f t="shared" si="18"/>
        <v>11</v>
      </c>
      <c r="K156" s="91">
        <f t="shared" si="19"/>
        <v>397788.30000000005</v>
      </c>
      <c r="L156" s="94">
        <f t="shared" si="20"/>
        <v>112196.69999999995</v>
      </c>
      <c r="M156" s="11"/>
      <c r="N156" s="180" t="e">
        <f>#REF!-H156</f>
        <v>#REF!</v>
      </c>
    </row>
    <row r="157" spans="1:14" s="114" customFormat="1">
      <c r="A157" s="96">
        <v>80</v>
      </c>
      <c r="B157" s="126" t="s">
        <v>943</v>
      </c>
      <c r="C157" s="8" t="s">
        <v>944</v>
      </c>
      <c r="D157" s="16">
        <v>450000</v>
      </c>
      <c r="E157" s="16">
        <v>59985</v>
      </c>
      <c r="F157" s="41">
        <f>SUM(D157:E157)</f>
        <v>509985</v>
      </c>
      <c r="G157" s="159">
        <v>50</v>
      </c>
      <c r="H157" s="286">
        <v>10199.700000000001</v>
      </c>
      <c r="I157" s="159">
        <v>35</v>
      </c>
      <c r="J157" s="159">
        <f>G157-I157</f>
        <v>15</v>
      </c>
      <c r="K157" s="16">
        <f>I157*H157</f>
        <v>356989.5</v>
      </c>
      <c r="L157" s="94">
        <f>F157-K157</f>
        <v>152995.5</v>
      </c>
      <c r="M157" s="11"/>
      <c r="N157" s="180" t="e">
        <f>#REF!-H157</f>
        <v>#REF!</v>
      </c>
    </row>
    <row r="158" spans="1:14" s="114" customFormat="1">
      <c r="A158" s="44"/>
      <c r="B158" s="44"/>
      <c r="C158" s="184"/>
      <c r="D158"/>
      <c r="E158"/>
      <c r="F158"/>
      <c r="G158" s="43"/>
      <c r="H158" s="39"/>
      <c r="I158" s="99"/>
      <c r="J158" s="99"/>
      <c r="K158"/>
      <c r="L158"/>
      <c r="M158"/>
    </row>
    <row r="159" spans="1:14" s="114" customFormat="1" ht="18" customHeight="1">
      <c r="A159" s="44"/>
      <c r="B159" s="44"/>
      <c r="C159" s="184"/>
      <c r="D159"/>
      <c r="E159"/>
      <c r="F159"/>
      <c r="G159" s="43"/>
      <c r="H159" s="39">
        <f>H136-H133</f>
        <v>-1260209.92</v>
      </c>
      <c r="I159" s="99"/>
      <c r="J159" s="99"/>
      <c r="K159"/>
      <c r="L159"/>
      <c r="M159"/>
    </row>
    <row r="160" spans="1:14" s="114" customFormat="1" ht="18" customHeigh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4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44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44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44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44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44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 ht="18" customHeight="1">
      <c r="A167" s="44"/>
      <c r="B167" s="44"/>
      <c r="C167" s="184"/>
      <c r="D167"/>
      <c r="E167"/>
      <c r="F167"/>
      <c r="G167" s="43"/>
      <c r="H167" s="39"/>
      <c r="I167" s="99"/>
      <c r="J167" s="99"/>
      <c r="K167"/>
      <c r="L167"/>
      <c r="M167"/>
    </row>
    <row r="168" spans="1:14" s="114" customFormat="1">
      <c r="A168" s="96">
        <v>9</v>
      </c>
      <c r="B168" s="96" t="s">
        <v>704</v>
      </c>
      <c r="C168" s="2" t="s">
        <v>794</v>
      </c>
      <c r="D168" s="16">
        <v>500000</v>
      </c>
      <c r="E168" s="16">
        <v>66650</v>
      </c>
      <c r="F168" s="41">
        <f>SUM(D168:E168)</f>
        <v>566650</v>
      </c>
      <c r="G168" s="159">
        <v>50</v>
      </c>
      <c r="H168" s="209">
        <v>11333</v>
      </c>
      <c r="I168" s="96">
        <v>40</v>
      </c>
      <c r="J168" s="96">
        <f>G168-I168</f>
        <v>10</v>
      </c>
      <c r="K168" s="16">
        <f>I168*H168</f>
        <v>453320</v>
      </c>
      <c r="L168" s="41">
        <f>F168-K168</f>
        <v>113330</v>
      </c>
      <c r="M168" s="11"/>
      <c r="N168" s="180" t="e">
        <f>#REF!-H168</f>
        <v>#REF!</v>
      </c>
    </row>
    <row r="169" spans="1:14" s="114" customFormat="1">
      <c r="A169" s="96">
        <v>38</v>
      </c>
      <c r="B169" s="96" t="s">
        <v>511</v>
      </c>
      <c r="C169" s="173" t="s">
        <v>837</v>
      </c>
      <c r="D169" s="41">
        <v>200000</v>
      </c>
      <c r="E169" s="41">
        <v>26660</v>
      </c>
      <c r="F169" s="41">
        <f>SUM(D169:E169)</f>
        <v>226660</v>
      </c>
      <c r="G169" s="159">
        <v>40</v>
      </c>
      <c r="H169" s="203">
        <v>7479</v>
      </c>
      <c r="I169" s="97">
        <v>17</v>
      </c>
      <c r="J169" s="97">
        <f>G169-I169</f>
        <v>23</v>
      </c>
      <c r="K169" s="91">
        <f>I169*H169</f>
        <v>127143</v>
      </c>
      <c r="L169" s="94">
        <f>F169-K169</f>
        <v>99517</v>
      </c>
      <c r="M169" s="11"/>
      <c r="N169" s="180" t="e">
        <f>#REF!-H169</f>
        <v>#REF!</v>
      </c>
    </row>
    <row r="170" spans="1:14" s="114" customFormat="1">
      <c r="A170" s="96">
        <v>56</v>
      </c>
      <c r="B170" s="96" t="s">
        <v>637</v>
      </c>
      <c r="C170" s="23" t="s">
        <v>776</v>
      </c>
      <c r="D170" s="16">
        <v>500000</v>
      </c>
      <c r="E170" s="16">
        <v>66650</v>
      </c>
      <c r="F170" s="41">
        <f>SUM(D170:E170)</f>
        <v>566650</v>
      </c>
      <c r="G170" s="159">
        <v>50</v>
      </c>
      <c r="H170" s="209">
        <v>11333</v>
      </c>
      <c r="I170" s="97">
        <v>39</v>
      </c>
      <c r="J170" s="97">
        <f>G170-I170</f>
        <v>11</v>
      </c>
      <c r="K170" s="91">
        <f>I170*H170</f>
        <v>441987</v>
      </c>
      <c r="L170" s="94">
        <f>F170-K170</f>
        <v>124663</v>
      </c>
      <c r="M170" s="11"/>
      <c r="N170" s="180" t="e">
        <f>#REF!-H170</f>
        <v>#REF!</v>
      </c>
    </row>
    <row r="171" spans="1:14" s="114" customFormat="1">
      <c r="A171" s="96">
        <v>91</v>
      </c>
      <c r="B171" s="96" t="s">
        <v>587</v>
      </c>
      <c r="C171" s="2" t="s">
        <v>763</v>
      </c>
      <c r="D171" s="12">
        <v>500000</v>
      </c>
      <c r="E171" s="12">
        <v>66650</v>
      </c>
      <c r="F171" s="15">
        <f>SUM(D171:E171)</f>
        <v>566650</v>
      </c>
      <c r="G171" s="14">
        <v>50</v>
      </c>
      <c r="H171" s="143">
        <v>11333</v>
      </c>
      <c r="I171" s="14">
        <v>34</v>
      </c>
      <c r="J171" s="97">
        <f>G171-I171</f>
        <v>16</v>
      </c>
      <c r="K171" s="91">
        <f>I171*H171</f>
        <v>385322</v>
      </c>
      <c r="L171" s="15">
        <f>F171-K171</f>
        <v>181328</v>
      </c>
      <c r="M171" s="8"/>
      <c r="N171" s="180" t="e">
        <f>#REF!-H171</f>
        <v>#REF!</v>
      </c>
    </row>
    <row r="172" spans="1:14" s="114" customFormat="1">
      <c r="A172" s="96">
        <v>105</v>
      </c>
      <c r="B172" s="96" t="s">
        <v>678</v>
      </c>
      <c r="C172" s="23" t="s">
        <v>733</v>
      </c>
      <c r="D172" s="16">
        <v>500000</v>
      </c>
      <c r="E172" s="16">
        <v>47992</v>
      </c>
      <c r="F172" s="41">
        <f>SUM(D172:E172)</f>
        <v>547992</v>
      </c>
      <c r="G172" s="159">
        <v>36</v>
      </c>
      <c r="H172" s="203">
        <v>15222</v>
      </c>
      <c r="I172" s="97">
        <v>30</v>
      </c>
      <c r="J172" s="97">
        <f>G172-I172</f>
        <v>6</v>
      </c>
      <c r="K172" s="91">
        <f>I172*H172</f>
        <v>456660</v>
      </c>
      <c r="L172" s="94">
        <f>F172-K172</f>
        <v>91332</v>
      </c>
      <c r="M172" s="11"/>
      <c r="N172" s="180" t="e">
        <f>#REF!-H172</f>
        <v>#REF!</v>
      </c>
    </row>
    <row r="173" spans="1:14" s="114" customFormat="1"/>
    <row r="174" spans="1:14" s="114" customFormat="1">
      <c r="A174" s="96">
        <v>1</v>
      </c>
      <c r="B174" s="241"/>
      <c r="C174" s="4" t="s">
        <v>383</v>
      </c>
      <c r="D174" s="41">
        <v>200000</v>
      </c>
      <c r="E174" s="41">
        <v>26660</v>
      </c>
      <c r="F174" s="41">
        <f t="shared" ref="F174:F179" si="22">SUM(D174:E174)</f>
        <v>226660</v>
      </c>
      <c r="G174" s="159">
        <v>40</v>
      </c>
      <c r="H174" s="208">
        <v>5666.5</v>
      </c>
      <c r="I174" s="96">
        <v>42</v>
      </c>
      <c r="J174" s="96">
        <f t="shared" ref="J174:J183" si="23">G174-I174</f>
        <v>-2</v>
      </c>
      <c r="K174" s="16">
        <f t="shared" ref="K174:K183" si="24">I174*H174</f>
        <v>237993</v>
      </c>
      <c r="L174" s="41">
        <f t="shared" ref="L174:L183" si="25">F174-K174</f>
        <v>-11333</v>
      </c>
      <c r="M174" s="11"/>
      <c r="N174" s="180" t="e">
        <f>#REF!-H174</f>
        <v>#REF!</v>
      </c>
    </row>
    <row r="175" spans="1:14" s="114" customFormat="1">
      <c r="A175" s="96">
        <v>5</v>
      </c>
      <c r="B175" s="241"/>
      <c r="C175" s="4" t="s">
        <v>413</v>
      </c>
      <c r="D175" s="12">
        <v>180000</v>
      </c>
      <c r="E175" s="12">
        <v>23994</v>
      </c>
      <c r="F175" s="15">
        <f t="shared" si="22"/>
        <v>203994</v>
      </c>
      <c r="G175" s="14">
        <v>40</v>
      </c>
      <c r="H175" s="208">
        <v>5099.8500000000004</v>
      </c>
      <c r="I175" s="159">
        <v>38</v>
      </c>
      <c r="J175" s="97">
        <f t="shared" si="23"/>
        <v>2</v>
      </c>
      <c r="K175" s="91">
        <f t="shared" si="24"/>
        <v>193794.30000000002</v>
      </c>
      <c r="L175" s="15">
        <f t="shared" si="25"/>
        <v>10199.699999999983</v>
      </c>
      <c r="M175" s="8"/>
      <c r="N175" s="180" t="e">
        <f>#REF!-H175</f>
        <v>#REF!</v>
      </c>
    </row>
    <row r="176" spans="1:14" s="114" customFormat="1">
      <c r="A176" s="96">
        <v>12</v>
      </c>
      <c r="B176" s="96"/>
      <c r="C176" s="2" t="s">
        <v>389</v>
      </c>
      <c r="D176" s="41">
        <v>200000</v>
      </c>
      <c r="E176" s="41">
        <v>26660</v>
      </c>
      <c r="F176" s="41">
        <f t="shared" si="22"/>
        <v>226660</v>
      </c>
      <c r="G176" s="220">
        <v>40</v>
      </c>
      <c r="H176" s="208">
        <v>5666.5</v>
      </c>
      <c r="I176" s="96">
        <v>53</v>
      </c>
      <c r="J176" s="96">
        <f t="shared" si="23"/>
        <v>-13</v>
      </c>
      <c r="K176" s="16">
        <f t="shared" si="24"/>
        <v>300324.5</v>
      </c>
      <c r="L176" s="41">
        <f t="shared" si="25"/>
        <v>-73664.5</v>
      </c>
      <c r="M176" s="152"/>
      <c r="N176" s="180" t="e">
        <f>#REF!-H176</f>
        <v>#REF!</v>
      </c>
    </row>
    <row r="177" spans="1:15" s="114" customFormat="1">
      <c r="A177" s="96">
        <v>29</v>
      </c>
      <c r="B177" s="241"/>
      <c r="C177" s="4" t="s">
        <v>414</v>
      </c>
      <c r="D177" s="16">
        <v>180000</v>
      </c>
      <c r="E177" s="16">
        <v>23994</v>
      </c>
      <c r="F177" s="41">
        <f t="shared" si="22"/>
        <v>203994</v>
      </c>
      <c r="G177" s="159">
        <v>40</v>
      </c>
      <c r="H177" s="208">
        <v>5099.8500000000004</v>
      </c>
      <c r="I177" s="97">
        <v>40</v>
      </c>
      <c r="J177" s="97">
        <f t="shared" si="23"/>
        <v>0</v>
      </c>
      <c r="K177" s="91">
        <f t="shared" si="24"/>
        <v>203994</v>
      </c>
      <c r="L177" s="94">
        <f t="shared" si="25"/>
        <v>0</v>
      </c>
      <c r="M177" s="11"/>
      <c r="N177" s="180" t="e">
        <f>#REF!-H177</f>
        <v>#REF!</v>
      </c>
    </row>
    <row r="178" spans="1:15" s="114" customFormat="1">
      <c r="A178" s="96">
        <v>64</v>
      </c>
      <c r="B178" s="241"/>
      <c r="C178" s="4" t="s">
        <v>403</v>
      </c>
      <c r="D178" s="41">
        <v>200000</v>
      </c>
      <c r="E178" s="41">
        <v>26660</v>
      </c>
      <c r="F178" s="41">
        <f t="shared" si="22"/>
        <v>226660</v>
      </c>
      <c r="G178" s="159">
        <v>40</v>
      </c>
      <c r="H178" s="208">
        <v>5666.5</v>
      </c>
      <c r="I178" s="97">
        <v>42</v>
      </c>
      <c r="J178" s="97">
        <f t="shared" si="23"/>
        <v>-2</v>
      </c>
      <c r="K178" s="91">
        <f t="shared" si="24"/>
        <v>237993</v>
      </c>
      <c r="L178" s="94">
        <f t="shared" si="25"/>
        <v>-11333</v>
      </c>
      <c r="M178" s="11"/>
      <c r="N178" s="180" t="e">
        <f>#REF!-H178</f>
        <v>#REF!</v>
      </c>
    </row>
    <row r="179" spans="1:15" s="114" customFormat="1">
      <c r="A179" s="96">
        <v>68</v>
      </c>
      <c r="B179" s="241"/>
      <c r="C179" s="4" t="s">
        <v>422</v>
      </c>
      <c r="D179" s="16">
        <v>132000</v>
      </c>
      <c r="E179" s="16">
        <v>17595.599999999999</v>
      </c>
      <c r="F179" s="41">
        <f t="shared" si="22"/>
        <v>149595.6</v>
      </c>
      <c r="G179" s="159">
        <v>40</v>
      </c>
      <c r="H179" s="208">
        <v>3739.89</v>
      </c>
      <c r="I179" s="97">
        <v>42</v>
      </c>
      <c r="J179" s="97">
        <f t="shared" si="23"/>
        <v>-2</v>
      </c>
      <c r="K179" s="91">
        <f t="shared" si="24"/>
        <v>157075.38</v>
      </c>
      <c r="L179" s="94">
        <f t="shared" si="25"/>
        <v>-7479.7799999999988</v>
      </c>
      <c r="M179" s="11"/>
      <c r="N179" s="180" t="e">
        <f>#REF!-H179</f>
        <v>#REF!</v>
      </c>
    </row>
    <row r="180" spans="1:15" s="114" customFormat="1">
      <c r="A180" s="96">
        <v>86</v>
      </c>
      <c r="B180" s="241"/>
      <c r="C180" s="4" t="s">
        <v>407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3"/>
        <v>-2</v>
      </c>
      <c r="K180" s="91">
        <f t="shared" si="24"/>
        <v>237993</v>
      </c>
      <c r="L180" s="94">
        <f t="shared" si="25"/>
        <v>-11333</v>
      </c>
      <c r="M180" s="11"/>
      <c r="N180" s="180" t="e">
        <f>#REF!-H180</f>
        <v>#REF!</v>
      </c>
    </row>
    <row r="181" spans="1:15" s="114" customFormat="1">
      <c r="A181" s="96">
        <v>94</v>
      </c>
      <c r="B181" s="241"/>
      <c r="C181" s="4" t="s">
        <v>408</v>
      </c>
      <c r="D181" s="41">
        <v>200000</v>
      </c>
      <c r="E181" s="41">
        <v>26660</v>
      </c>
      <c r="F181" s="41">
        <v>226660</v>
      </c>
      <c r="G181" s="159">
        <v>40</v>
      </c>
      <c r="H181" s="208">
        <v>5666.5</v>
      </c>
      <c r="I181" s="97">
        <v>42</v>
      </c>
      <c r="J181" s="97">
        <f t="shared" si="23"/>
        <v>-2</v>
      </c>
      <c r="K181" s="91">
        <f t="shared" si="24"/>
        <v>237993</v>
      </c>
      <c r="L181" s="94">
        <f t="shared" si="25"/>
        <v>-11333</v>
      </c>
      <c r="M181" s="11"/>
      <c r="N181" s="180" t="e">
        <f>#REF!-H181</f>
        <v>#REF!</v>
      </c>
    </row>
    <row r="182" spans="1:15" s="114" customFormat="1">
      <c r="A182" s="96">
        <v>99</v>
      </c>
      <c r="B182" s="241"/>
      <c r="C182" s="4" t="s">
        <v>409</v>
      </c>
      <c r="D182" s="41">
        <v>200000</v>
      </c>
      <c r="E182" s="41">
        <v>26660</v>
      </c>
      <c r="F182" s="41">
        <f>SUM(D182:E182)</f>
        <v>226660</v>
      </c>
      <c r="G182" s="159">
        <v>40</v>
      </c>
      <c r="H182" s="208">
        <v>5666.5</v>
      </c>
      <c r="I182" s="97">
        <v>42</v>
      </c>
      <c r="J182" s="97">
        <f t="shared" si="23"/>
        <v>-2</v>
      </c>
      <c r="K182" s="91">
        <f t="shared" si="24"/>
        <v>237993</v>
      </c>
      <c r="L182" s="94">
        <f t="shared" si="25"/>
        <v>-11333</v>
      </c>
      <c r="M182" s="11"/>
      <c r="N182" s="180" t="e">
        <f>#REF!-H182</f>
        <v>#REF!</v>
      </c>
      <c r="O182"/>
    </row>
    <row r="183" spans="1:15" s="114" customFormat="1">
      <c r="A183" s="96">
        <v>107</v>
      </c>
      <c r="B183" s="241"/>
      <c r="C183" s="4" t="s">
        <v>35</v>
      </c>
      <c r="D183" s="155">
        <v>150000</v>
      </c>
      <c r="E183" s="155">
        <v>19995</v>
      </c>
      <c r="F183" s="155">
        <f>SUM(D183:E183)</f>
        <v>169995</v>
      </c>
      <c r="G183" s="159">
        <v>50</v>
      </c>
      <c r="H183" s="208">
        <v>3399.9</v>
      </c>
      <c r="I183" s="97">
        <v>14</v>
      </c>
      <c r="J183" s="97">
        <f t="shared" si="23"/>
        <v>36</v>
      </c>
      <c r="K183" s="91">
        <f t="shared" si="24"/>
        <v>47598.6</v>
      </c>
      <c r="L183" s="91">
        <f t="shared" si="25"/>
        <v>122396.4</v>
      </c>
      <c r="M183" s="122"/>
      <c r="N183" s="180" t="e">
        <f>#REF!-H183</f>
        <v>#REF!</v>
      </c>
      <c r="O183"/>
    </row>
    <row r="184" spans="1:15" s="114" customFormat="1">
      <c r="O184"/>
    </row>
    <row r="185" spans="1:15" s="114" customFormat="1">
      <c r="A185" s="96">
        <v>30</v>
      </c>
      <c r="B185" s="96"/>
      <c r="C185" s="25" t="s">
        <v>362</v>
      </c>
      <c r="D185" s="12">
        <v>450000</v>
      </c>
      <c r="E185" s="12">
        <v>59985</v>
      </c>
      <c r="F185" s="15">
        <f>SUM(D185:E185)</f>
        <v>509985</v>
      </c>
      <c r="G185" s="14">
        <v>50</v>
      </c>
      <c r="H185" s="212">
        <v>10199.700000000001</v>
      </c>
      <c r="I185" s="14">
        <v>30</v>
      </c>
      <c r="J185" s="97">
        <f t="shared" ref="J185:J192" si="26">G185-I185</f>
        <v>20</v>
      </c>
      <c r="K185" s="91">
        <f>I185*H185</f>
        <v>305991</v>
      </c>
      <c r="L185" s="15">
        <f t="shared" ref="L185:L192" si="27">F185-K185</f>
        <v>203994</v>
      </c>
      <c r="M185" s="8"/>
      <c r="N185" s="180" t="e">
        <f>#REF!-H185</f>
        <v>#REF!</v>
      </c>
      <c r="O185"/>
    </row>
    <row r="186" spans="1:15" s="114" customFormat="1" ht="14.25" customHeight="1">
      <c r="A186" s="96">
        <v>102</v>
      </c>
      <c r="B186" s="241"/>
      <c r="C186" s="46" t="s">
        <v>289</v>
      </c>
      <c r="D186" s="16">
        <v>180000</v>
      </c>
      <c r="E186" s="16">
        <v>23994</v>
      </c>
      <c r="F186" s="16">
        <v>203994</v>
      </c>
      <c r="G186" s="221">
        <v>40</v>
      </c>
      <c r="H186" s="167">
        <v>5099.8500000000004</v>
      </c>
      <c r="I186" s="97">
        <v>40</v>
      </c>
      <c r="J186" s="97">
        <f t="shared" si="26"/>
        <v>0</v>
      </c>
      <c r="K186" s="156">
        <f>(36*5099.85)</f>
        <v>183594.6</v>
      </c>
      <c r="L186" s="91">
        <f t="shared" si="27"/>
        <v>20399.399999999994</v>
      </c>
      <c r="M186" s="122"/>
      <c r="N186" s="180" t="e">
        <f>#REF!-H186</f>
        <v>#REF!</v>
      </c>
      <c r="O186"/>
    </row>
    <row r="187" spans="1:15" s="114" customFormat="1" ht="14.25" customHeight="1">
      <c r="A187" s="96">
        <v>90</v>
      </c>
      <c r="B187" s="241"/>
      <c r="C187" s="4" t="s">
        <v>416</v>
      </c>
      <c r="D187" s="12">
        <v>180000</v>
      </c>
      <c r="E187" s="12">
        <v>23994</v>
      </c>
      <c r="F187" s="15">
        <f>SUM(D187:E187)</f>
        <v>203994</v>
      </c>
      <c r="G187" s="21">
        <v>40</v>
      </c>
      <c r="H187" s="167">
        <v>5099.8500000000004</v>
      </c>
      <c r="I187" s="14">
        <v>47</v>
      </c>
      <c r="J187" s="97">
        <f t="shared" si="26"/>
        <v>-7</v>
      </c>
      <c r="K187" s="91">
        <f t="shared" ref="K187:K192" si="28">I187*H187</f>
        <v>239692.95</v>
      </c>
      <c r="L187" s="15">
        <f t="shared" si="27"/>
        <v>-35698.950000000012</v>
      </c>
      <c r="M187" s="10"/>
      <c r="N187" s="180" t="e">
        <f>#REF!-H187</f>
        <v>#REF!</v>
      </c>
      <c r="O187"/>
    </row>
    <row r="188" spans="1:15" ht="14.25" customHeight="1">
      <c r="A188" s="96">
        <v>4</v>
      </c>
      <c r="B188" s="241"/>
      <c r="C188" s="4" t="s">
        <v>384</v>
      </c>
      <c r="D188" s="41">
        <v>200000</v>
      </c>
      <c r="E188" s="41">
        <v>26660</v>
      </c>
      <c r="F188" s="41">
        <f>SUM(D188:E188)</f>
        <v>226660</v>
      </c>
      <c r="G188" s="159">
        <v>40</v>
      </c>
      <c r="H188" s="167">
        <v>5666.5</v>
      </c>
      <c r="I188" s="96">
        <v>32</v>
      </c>
      <c r="J188" s="96">
        <f t="shared" si="26"/>
        <v>8</v>
      </c>
      <c r="K188" s="16">
        <f t="shared" si="28"/>
        <v>181328</v>
      </c>
      <c r="L188" s="41">
        <f t="shared" si="27"/>
        <v>45332</v>
      </c>
      <c r="M188" s="11"/>
      <c r="N188" s="180" t="e">
        <f>#REF!-H188</f>
        <v>#REF!</v>
      </c>
    </row>
    <row r="189" spans="1:15" ht="14.25" customHeight="1">
      <c r="A189" s="96">
        <v>10</v>
      </c>
      <c r="B189" s="241"/>
      <c r="C189" s="4" t="s">
        <v>388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24">
        <v>5666.5</v>
      </c>
      <c r="I189" s="14">
        <v>38</v>
      </c>
      <c r="J189" s="97">
        <f t="shared" si="26"/>
        <v>2</v>
      </c>
      <c r="K189" s="91">
        <f t="shared" si="28"/>
        <v>215327</v>
      </c>
      <c r="L189" s="15">
        <f t="shared" si="27"/>
        <v>11333</v>
      </c>
      <c r="M189" s="8"/>
      <c r="N189" s="180" t="e">
        <f>#REF!-H189</f>
        <v>#REF!</v>
      </c>
    </row>
    <row r="190" spans="1:15" ht="14.25" customHeight="1">
      <c r="A190" s="96">
        <v>25</v>
      </c>
      <c r="B190" s="241"/>
      <c r="C190" s="4" t="s">
        <v>140</v>
      </c>
      <c r="D190" s="15">
        <v>200000</v>
      </c>
      <c r="E190" s="15">
        <v>26660</v>
      </c>
      <c r="F190" s="15">
        <f>SUM(D190:E190)</f>
        <v>226660</v>
      </c>
      <c r="G190" s="14">
        <v>40</v>
      </c>
      <c r="H190" s="167">
        <v>5666.5</v>
      </c>
      <c r="I190" s="14">
        <v>34</v>
      </c>
      <c r="J190" s="97">
        <f t="shared" si="26"/>
        <v>6</v>
      </c>
      <c r="K190" s="91">
        <f t="shared" si="28"/>
        <v>192661</v>
      </c>
      <c r="L190" s="15">
        <f t="shared" si="27"/>
        <v>33999</v>
      </c>
      <c r="M190" s="8"/>
      <c r="N190" s="180" t="e">
        <f>#REF!-H190</f>
        <v>#REF!</v>
      </c>
    </row>
    <row r="191" spans="1:15" ht="14.25" customHeight="1">
      <c r="A191" s="96">
        <v>31</v>
      </c>
      <c r="B191" s="96"/>
      <c r="C191" s="2" t="s">
        <v>284</v>
      </c>
      <c r="D191" s="19">
        <v>500000</v>
      </c>
      <c r="E191" s="19">
        <v>66650</v>
      </c>
      <c r="F191" s="19">
        <v>566650</v>
      </c>
      <c r="G191" s="159">
        <v>50</v>
      </c>
      <c r="H191" s="167">
        <v>11333</v>
      </c>
      <c r="I191" s="97">
        <v>34</v>
      </c>
      <c r="J191" s="97">
        <f t="shared" si="26"/>
        <v>16</v>
      </c>
      <c r="K191" s="91">
        <f t="shared" si="28"/>
        <v>385322</v>
      </c>
      <c r="L191" s="91">
        <f t="shared" si="27"/>
        <v>181328</v>
      </c>
      <c r="M191" s="122"/>
      <c r="N191" s="180" t="e">
        <f>#REF!-H191</f>
        <v>#REF!</v>
      </c>
    </row>
    <row r="192" spans="1:15" ht="14.25" customHeight="1">
      <c r="A192" s="96">
        <v>122</v>
      </c>
      <c r="B192" s="241"/>
      <c r="C192" s="168" t="s">
        <v>382</v>
      </c>
      <c r="D192" s="12">
        <v>330000</v>
      </c>
      <c r="E192" s="12">
        <v>43989</v>
      </c>
      <c r="F192" s="15">
        <f>SUM(D192:E192)</f>
        <v>373989</v>
      </c>
      <c r="G192" s="14">
        <v>50</v>
      </c>
      <c r="H192" s="222">
        <v>7479.78</v>
      </c>
      <c r="I192" s="14">
        <v>32</v>
      </c>
      <c r="J192" s="97">
        <f t="shared" si="26"/>
        <v>18</v>
      </c>
      <c r="K192" s="91">
        <f t="shared" si="28"/>
        <v>239352.95999999999</v>
      </c>
      <c r="L192" s="15">
        <f t="shared" si="27"/>
        <v>134636.04</v>
      </c>
      <c r="M192" s="8"/>
    </row>
    <row r="193" spans="1:15" ht="14.25" customHeight="1">
      <c r="A193" s="114"/>
      <c r="B193" s="114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</row>
    <row r="194" spans="1:15" ht="14.25" customHeight="1">
      <c r="A194" s="96">
        <v>96</v>
      </c>
      <c r="B194" s="241"/>
      <c r="C194" s="4" t="s">
        <v>482</v>
      </c>
      <c r="D194" s="12">
        <v>60000</v>
      </c>
      <c r="E194" s="12">
        <v>7998</v>
      </c>
      <c r="F194" s="15">
        <f>SUM(D194:E194)</f>
        <v>67998</v>
      </c>
      <c r="G194" s="14">
        <v>40</v>
      </c>
      <c r="H194" s="172">
        <v>1699.95</v>
      </c>
      <c r="I194" s="97">
        <v>41</v>
      </c>
      <c r="J194" s="97">
        <f>G194-I194</f>
        <v>-1</v>
      </c>
      <c r="K194" s="91">
        <f>I194*H194</f>
        <v>69697.95</v>
      </c>
      <c r="L194" s="94">
        <f>F194-K194</f>
        <v>-1699.9499999999971</v>
      </c>
      <c r="M194" s="122"/>
      <c r="N194" s="114"/>
    </row>
    <row r="195" spans="1:15" ht="14.25" customHeight="1">
      <c r="A195" s="114"/>
      <c r="B195" s="114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21"/>
    </row>
    <row r="196" spans="1:15" ht="14.25" customHeight="1">
      <c r="A196" s="96">
        <v>121</v>
      </c>
      <c r="B196" s="241"/>
      <c r="C196" s="4" t="s">
        <v>429</v>
      </c>
      <c r="D196" s="16">
        <v>60000</v>
      </c>
      <c r="E196" s="16">
        <v>7998</v>
      </c>
      <c r="F196" s="41">
        <f>SUM(D196:E196)</f>
        <v>67998</v>
      </c>
      <c r="G196" s="159">
        <v>40</v>
      </c>
      <c r="H196" s="167">
        <v>1699.95</v>
      </c>
      <c r="I196" s="97">
        <v>40</v>
      </c>
      <c r="J196" s="97">
        <f>G196-I196</f>
        <v>0</v>
      </c>
      <c r="K196" s="91">
        <f>I196*H196</f>
        <v>67998</v>
      </c>
      <c r="L196" s="94">
        <f>F196-K196</f>
        <v>0</v>
      </c>
      <c r="M196" s="11"/>
      <c r="N196" s="180" t="e">
        <f>#REF!-H196</f>
        <v>#REF!</v>
      </c>
    </row>
    <row r="198" spans="1:15">
      <c r="A198" s="96">
        <v>12</v>
      </c>
      <c r="B198" s="96"/>
      <c r="C198" s="2" t="s">
        <v>373</v>
      </c>
      <c r="D198" s="16">
        <v>330000</v>
      </c>
      <c r="E198" s="16">
        <v>43989</v>
      </c>
      <c r="F198" s="41">
        <f>SUM(D198:E198)</f>
        <v>373989</v>
      </c>
      <c r="G198" s="33">
        <v>50</v>
      </c>
      <c r="H198" s="16">
        <v>7479.78</v>
      </c>
      <c r="I198" s="96">
        <v>26</v>
      </c>
      <c r="J198" s="96">
        <f>G198-I198</f>
        <v>24</v>
      </c>
      <c r="K198" s="16">
        <f>I198*H198</f>
        <v>194474.28</v>
      </c>
      <c r="L198" s="41">
        <f>F198-K198</f>
        <v>179514.72</v>
      </c>
      <c r="M198" s="11"/>
      <c r="N198" s="180" t="e">
        <f>#REF!-H198</f>
        <v>#REF!</v>
      </c>
    </row>
    <row r="199" spans="1:15">
      <c r="A199" s="96">
        <v>87</v>
      </c>
      <c r="B199" s="96"/>
      <c r="C199" s="2" t="s">
        <v>421</v>
      </c>
      <c r="D199" s="16">
        <v>132000</v>
      </c>
      <c r="E199" s="16">
        <v>17595.599999999999</v>
      </c>
      <c r="F199" s="16">
        <v>149595.6</v>
      </c>
      <c r="G199" s="45">
        <v>40</v>
      </c>
      <c r="H199" s="19">
        <v>3739.89</v>
      </c>
      <c r="I199" s="97">
        <v>46</v>
      </c>
      <c r="J199" s="97">
        <f>G199-I199</f>
        <v>-6</v>
      </c>
      <c r="K199" s="91">
        <f>I199*H199</f>
        <v>172034.94</v>
      </c>
      <c r="L199" s="94">
        <f>F199-K199</f>
        <v>-22439.339999999997</v>
      </c>
      <c r="M199" s="11"/>
      <c r="N199" s="180" t="e">
        <f>#REF!-H199</f>
        <v>#REF!</v>
      </c>
    </row>
    <row r="200" spans="1:15" s="121" customFormat="1">
      <c r="A200" s="96">
        <v>116</v>
      </c>
      <c r="B200" s="96"/>
      <c r="C200" s="2" t="s">
        <v>377</v>
      </c>
      <c r="D200" s="155">
        <v>330000</v>
      </c>
      <c r="E200" s="155">
        <v>43989</v>
      </c>
      <c r="F200" s="155">
        <f>SUM(D200:E200)</f>
        <v>373989</v>
      </c>
      <c r="G200" s="33">
        <v>50</v>
      </c>
      <c r="H200" s="154">
        <v>7479.78</v>
      </c>
      <c r="I200" s="97">
        <v>12</v>
      </c>
      <c r="J200" s="97">
        <f>G200-I200</f>
        <v>38</v>
      </c>
      <c r="K200" s="91">
        <f>I200*H200</f>
        <v>89757.36</v>
      </c>
      <c r="L200" s="91">
        <f>F200-K200</f>
        <v>284231.64</v>
      </c>
      <c r="M200" s="122"/>
      <c r="N200" s="180" t="e">
        <f>#REF!-H200</f>
        <v>#REF!</v>
      </c>
      <c r="O200"/>
    </row>
    <row r="202" spans="1:15">
      <c r="A202" s="96">
        <v>144</v>
      </c>
      <c r="B202" s="96"/>
      <c r="C202" s="2" t="s">
        <v>410</v>
      </c>
      <c r="D202" s="41">
        <v>200000</v>
      </c>
      <c r="E202" s="41">
        <v>26660</v>
      </c>
      <c r="F202" s="41">
        <f>SUM(D202:E202)</f>
        <v>226660</v>
      </c>
      <c r="G202" s="33">
        <v>40</v>
      </c>
      <c r="H202" s="41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147</v>
      </c>
      <c r="B203" s="96"/>
      <c r="C203" s="2" t="s">
        <v>411</v>
      </c>
      <c r="D203" s="41">
        <v>200000</v>
      </c>
      <c r="E203" s="41">
        <v>26660</v>
      </c>
      <c r="F203" s="41">
        <v>226660</v>
      </c>
      <c r="G203" s="33">
        <v>40</v>
      </c>
      <c r="H203" s="19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4" spans="1:15">
      <c r="A204" s="96">
        <v>148</v>
      </c>
      <c r="B204" s="96"/>
      <c r="C204" s="2" t="s">
        <v>412</v>
      </c>
      <c r="D204" s="41">
        <v>200000</v>
      </c>
      <c r="E204" s="41">
        <v>26660</v>
      </c>
      <c r="F204" s="41">
        <f>SUM(D204:E204)</f>
        <v>226660</v>
      </c>
      <c r="G204" s="33">
        <v>40</v>
      </c>
      <c r="H204" s="41">
        <v>5666.5</v>
      </c>
      <c r="I204" s="97">
        <v>40</v>
      </c>
      <c r="J204" s="97">
        <f>G204-I204</f>
        <v>0</v>
      </c>
      <c r="K204" s="91">
        <f>I204*H204</f>
        <v>226660</v>
      </c>
      <c r="L204" s="94">
        <f>F204-K204</f>
        <v>0</v>
      </c>
      <c r="M204" s="11"/>
      <c r="N204" s="180" t="e">
        <f>#REF!-H204</f>
        <v>#REF!</v>
      </c>
    </row>
    <row r="206" spans="1:15">
      <c r="A206" s="96">
        <v>6</v>
      </c>
      <c r="B206" s="96"/>
      <c r="C206" s="2" t="s">
        <v>418</v>
      </c>
      <c r="D206" s="16">
        <v>132000</v>
      </c>
      <c r="E206" s="16">
        <v>17595.599999999999</v>
      </c>
      <c r="F206" s="41">
        <f t="shared" ref="F206:F218" si="29">SUM(D206:E206)</f>
        <v>149595.6</v>
      </c>
      <c r="G206" s="33">
        <v>40</v>
      </c>
      <c r="H206" s="16">
        <v>3739.89</v>
      </c>
      <c r="I206" s="96">
        <v>40</v>
      </c>
      <c r="J206" s="96">
        <f t="shared" ref="J206:J226" si="30">G206-I206</f>
        <v>0</v>
      </c>
      <c r="K206" s="16">
        <f t="shared" ref="K206:K226" si="31">I206*H206</f>
        <v>149595.6</v>
      </c>
      <c r="L206" s="41">
        <f t="shared" ref="L206:L226" si="32">F206-K206</f>
        <v>0</v>
      </c>
      <c r="M206" s="11"/>
      <c r="N206" s="180" t="e">
        <f>#REF!-H206</f>
        <v>#REF!</v>
      </c>
    </row>
    <row r="207" spans="1:15">
      <c r="A207" s="96">
        <v>11</v>
      </c>
      <c r="B207" s="96"/>
      <c r="C207" s="2" t="s">
        <v>386</v>
      </c>
      <c r="D207" s="41">
        <v>200000</v>
      </c>
      <c r="E207" s="41">
        <v>26660</v>
      </c>
      <c r="F207" s="41">
        <f t="shared" si="29"/>
        <v>226660</v>
      </c>
      <c r="G207" s="33">
        <v>40</v>
      </c>
      <c r="H207" s="41">
        <v>5666.5</v>
      </c>
      <c r="I207" s="96">
        <v>40</v>
      </c>
      <c r="J207" s="96">
        <f t="shared" si="30"/>
        <v>0</v>
      </c>
      <c r="K207" s="16">
        <f t="shared" si="31"/>
        <v>226660</v>
      </c>
      <c r="L207" s="41">
        <f t="shared" si="32"/>
        <v>0</v>
      </c>
      <c r="M207" s="11"/>
      <c r="N207" s="180" t="e">
        <f>#REF!-H207</f>
        <v>#REF!</v>
      </c>
    </row>
    <row r="208" spans="1:15">
      <c r="A208" s="96">
        <v>13</v>
      </c>
      <c r="B208" s="96"/>
      <c r="C208" s="2" t="s">
        <v>387</v>
      </c>
      <c r="D208" s="41">
        <v>200000</v>
      </c>
      <c r="E208" s="41">
        <v>26660</v>
      </c>
      <c r="F208" s="41">
        <f t="shared" si="29"/>
        <v>226660</v>
      </c>
      <c r="G208" s="33">
        <v>40</v>
      </c>
      <c r="H208" s="41">
        <v>5666.5</v>
      </c>
      <c r="I208" s="96">
        <v>40</v>
      </c>
      <c r="J208" s="96">
        <f t="shared" si="30"/>
        <v>0</v>
      </c>
      <c r="K208" s="16">
        <f t="shared" si="31"/>
        <v>226660</v>
      </c>
      <c r="L208" s="41">
        <f t="shared" si="32"/>
        <v>0</v>
      </c>
      <c r="M208" s="11"/>
      <c r="N208" s="180" t="e">
        <f>#REF!-H208</f>
        <v>#REF!</v>
      </c>
    </row>
    <row r="209" spans="1:15">
      <c r="A209" s="96">
        <v>20</v>
      </c>
      <c r="B209" s="96"/>
      <c r="C209" s="2" t="s">
        <v>390</v>
      </c>
      <c r="D209" s="41">
        <v>200000</v>
      </c>
      <c r="E209" s="41">
        <v>26660</v>
      </c>
      <c r="F209" s="41">
        <f t="shared" si="29"/>
        <v>226660</v>
      </c>
      <c r="G209" s="33">
        <v>40</v>
      </c>
      <c r="H209" s="41">
        <v>5666.5</v>
      </c>
      <c r="I209" s="96">
        <v>40</v>
      </c>
      <c r="J209" s="96">
        <f t="shared" si="30"/>
        <v>0</v>
      </c>
      <c r="K209" s="16">
        <f t="shared" si="31"/>
        <v>226660</v>
      </c>
      <c r="L209" s="41">
        <f t="shared" si="32"/>
        <v>0</v>
      </c>
      <c r="M209" s="11"/>
      <c r="N209" s="180" t="e">
        <f>#REF!-H209</f>
        <v>#REF!</v>
      </c>
    </row>
    <row r="210" spans="1:15">
      <c r="A210" s="96">
        <v>29</v>
      </c>
      <c r="B210" s="96"/>
      <c r="C210" s="2" t="s">
        <v>391</v>
      </c>
      <c r="D210" s="41">
        <v>200000</v>
      </c>
      <c r="E210" s="41">
        <v>26660</v>
      </c>
      <c r="F210" s="41">
        <f t="shared" si="29"/>
        <v>226660</v>
      </c>
      <c r="G210" s="33">
        <v>40</v>
      </c>
      <c r="H210" s="41">
        <v>5666.5</v>
      </c>
      <c r="I210" s="97">
        <v>40</v>
      </c>
      <c r="J210" s="97">
        <f t="shared" si="30"/>
        <v>0</v>
      </c>
      <c r="K210" s="91">
        <f t="shared" si="31"/>
        <v>226660</v>
      </c>
      <c r="L210" s="94">
        <f t="shared" si="32"/>
        <v>0</v>
      </c>
      <c r="M210" s="11"/>
      <c r="N210" s="180" t="e">
        <f>#REF!-H210</f>
        <v>#REF!</v>
      </c>
    </row>
    <row r="211" spans="1:15">
      <c r="A211" s="96">
        <v>31</v>
      </c>
      <c r="B211" s="96"/>
      <c r="C211" s="2" t="s">
        <v>392</v>
      </c>
      <c r="D211" s="41">
        <v>200000</v>
      </c>
      <c r="E211" s="41">
        <v>26660</v>
      </c>
      <c r="F211" s="41">
        <f t="shared" si="29"/>
        <v>226660</v>
      </c>
      <c r="G211" s="33">
        <v>40</v>
      </c>
      <c r="H211" s="41">
        <v>5666.5</v>
      </c>
      <c r="I211" s="97">
        <v>40</v>
      </c>
      <c r="J211" s="97">
        <f t="shared" si="30"/>
        <v>0</v>
      </c>
      <c r="K211" s="91">
        <f t="shared" si="31"/>
        <v>226660</v>
      </c>
      <c r="L211" s="94">
        <f t="shared" si="32"/>
        <v>0</v>
      </c>
      <c r="M211" s="11"/>
      <c r="N211" s="180" t="e">
        <f>#REF!-H211</f>
        <v>#REF!</v>
      </c>
    </row>
    <row r="212" spans="1:15">
      <c r="A212" s="96">
        <v>34</v>
      </c>
      <c r="B212" s="96"/>
      <c r="C212" s="2" t="s">
        <v>393</v>
      </c>
      <c r="D212" s="41">
        <v>200000</v>
      </c>
      <c r="E212" s="41">
        <v>26660</v>
      </c>
      <c r="F212" s="41">
        <f t="shared" si="29"/>
        <v>226660</v>
      </c>
      <c r="G212" s="33">
        <v>40</v>
      </c>
      <c r="H212" s="41">
        <v>5666.5</v>
      </c>
      <c r="I212" s="97">
        <v>40</v>
      </c>
      <c r="J212" s="97">
        <f t="shared" si="30"/>
        <v>0</v>
      </c>
      <c r="K212" s="91">
        <f t="shared" si="31"/>
        <v>226660</v>
      </c>
      <c r="L212" s="94">
        <f t="shared" si="32"/>
        <v>0</v>
      </c>
      <c r="M212" s="11"/>
      <c r="N212" s="180" t="e">
        <f>#REF!-H212</f>
        <v>#REF!</v>
      </c>
    </row>
    <row r="213" spans="1:15">
      <c r="A213" s="96">
        <v>41</v>
      </c>
      <c r="B213" s="96"/>
      <c r="C213" s="2" t="s">
        <v>415</v>
      </c>
      <c r="D213" s="16">
        <v>180000</v>
      </c>
      <c r="E213" s="16">
        <v>23994</v>
      </c>
      <c r="F213" s="41">
        <f t="shared" si="29"/>
        <v>203994</v>
      </c>
      <c r="G213" s="33">
        <v>40</v>
      </c>
      <c r="H213" s="16">
        <v>5099.8500000000004</v>
      </c>
      <c r="I213" s="97">
        <v>40</v>
      </c>
      <c r="J213" s="97">
        <f t="shared" si="30"/>
        <v>0</v>
      </c>
      <c r="K213" s="91">
        <f t="shared" si="31"/>
        <v>203994</v>
      </c>
      <c r="L213" s="94">
        <f t="shared" si="32"/>
        <v>0</v>
      </c>
      <c r="M213" s="11"/>
      <c r="N213" s="180" t="e">
        <f>#REF!-H213</f>
        <v>#REF!</v>
      </c>
    </row>
    <row r="214" spans="1:15">
      <c r="A214" s="96">
        <v>45</v>
      </c>
      <c r="B214" s="96"/>
      <c r="C214" s="2" t="s">
        <v>394</v>
      </c>
      <c r="D214" s="41">
        <v>200000</v>
      </c>
      <c r="E214" s="41">
        <v>26660</v>
      </c>
      <c r="F214" s="41">
        <f t="shared" si="29"/>
        <v>226660</v>
      </c>
      <c r="G214" s="33">
        <v>40</v>
      </c>
      <c r="H214" s="41">
        <v>5666.5</v>
      </c>
      <c r="I214" s="97">
        <v>40</v>
      </c>
      <c r="J214" s="97">
        <f t="shared" si="30"/>
        <v>0</v>
      </c>
      <c r="K214" s="91">
        <f t="shared" si="31"/>
        <v>226660</v>
      </c>
      <c r="L214" s="94">
        <f t="shared" si="32"/>
        <v>0</v>
      </c>
      <c r="M214" s="11"/>
      <c r="N214" s="180" t="e">
        <f>#REF!-H214</f>
        <v>#REF!</v>
      </c>
    </row>
    <row r="215" spans="1:15">
      <c r="A215" s="96">
        <v>51</v>
      </c>
      <c r="B215" s="96"/>
      <c r="C215" s="2" t="s">
        <v>395</v>
      </c>
      <c r="D215" s="15">
        <v>200000</v>
      </c>
      <c r="E215" s="15">
        <v>26660</v>
      </c>
      <c r="F215" s="15">
        <f t="shared" si="29"/>
        <v>226660</v>
      </c>
      <c r="G215" s="31">
        <v>40</v>
      </c>
      <c r="H215" s="15">
        <v>5666.5</v>
      </c>
      <c r="I215" s="14">
        <v>38</v>
      </c>
      <c r="J215" s="97">
        <f t="shared" si="30"/>
        <v>2</v>
      </c>
      <c r="K215" s="91">
        <f t="shared" si="31"/>
        <v>215327</v>
      </c>
      <c r="L215" s="15">
        <f t="shared" si="32"/>
        <v>11333</v>
      </c>
      <c r="M215" s="8"/>
      <c r="N215" s="180" t="e">
        <f>#REF!-H215</f>
        <v>#REF!</v>
      </c>
    </row>
    <row r="216" spans="1:15">
      <c r="A216" s="96">
        <v>59</v>
      </c>
      <c r="B216" s="96"/>
      <c r="C216" s="2" t="s">
        <v>419</v>
      </c>
      <c r="D216" s="16">
        <v>132000</v>
      </c>
      <c r="E216" s="16">
        <v>17595.599999999999</v>
      </c>
      <c r="F216" s="41">
        <f t="shared" si="29"/>
        <v>149595.6</v>
      </c>
      <c r="G216" s="33">
        <v>40</v>
      </c>
      <c r="H216" s="16">
        <v>3739.89</v>
      </c>
      <c r="I216" s="97">
        <v>40</v>
      </c>
      <c r="J216" s="97">
        <f t="shared" si="30"/>
        <v>0</v>
      </c>
      <c r="K216" s="91">
        <f t="shared" si="31"/>
        <v>149595.6</v>
      </c>
      <c r="L216" s="94">
        <f t="shared" si="32"/>
        <v>0</v>
      </c>
      <c r="M216" s="11"/>
      <c r="N216" s="180" t="e">
        <f>#REF!-H216</f>
        <v>#REF!</v>
      </c>
    </row>
    <row r="217" spans="1:15">
      <c r="A217" s="96">
        <v>60</v>
      </c>
      <c r="B217" s="96"/>
      <c r="C217" s="2" t="s">
        <v>396</v>
      </c>
      <c r="D217" s="41">
        <v>200000</v>
      </c>
      <c r="E217" s="41">
        <v>26660</v>
      </c>
      <c r="F217" s="41">
        <f t="shared" si="29"/>
        <v>226660</v>
      </c>
      <c r="G217" s="33">
        <v>40</v>
      </c>
      <c r="H217" s="41">
        <v>5666.5</v>
      </c>
      <c r="I217" s="97">
        <v>40</v>
      </c>
      <c r="J217" s="97">
        <f t="shared" si="30"/>
        <v>0</v>
      </c>
      <c r="K217" s="91">
        <f t="shared" si="31"/>
        <v>226660</v>
      </c>
      <c r="L217" s="94">
        <f t="shared" si="32"/>
        <v>0</v>
      </c>
      <c r="M217" s="11"/>
      <c r="N217" s="180" t="e">
        <f>#REF!-H217</f>
        <v>#REF!</v>
      </c>
    </row>
    <row r="218" spans="1:15">
      <c r="A218" s="96">
        <v>65</v>
      </c>
      <c r="B218" s="96"/>
      <c r="C218" s="2" t="s">
        <v>420</v>
      </c>
      <c r="D218" s="16">
        <v>132000</v>
      </c>
      <c r="E218" s="16">
        <v>17595.599999999999</v>
      </c>
      <c r="F218" s="41">
        <f t="shared" si="29"/>
        <v>149595.6</v>
      </c>
      <c r="G218" s="33">
        <v>40</v>
      </c>
      <c r="H218" s="16">
        <v>3739.89</v>
      </c>
      <c r="I218" s="97">
        <v>40</v>
      </c>
      <c r="J218" s="97">
        <f t="shared" si="30"/>
        <v>0</v>
      </c>
      <c r="K218" s="91">
        <f t="shared" si="31"/>
        <v>149595.6</v>
      </c>
      <c r="L218" s="94">
        <f t="shared" si="32"/>
        <v>0</v>
      </c>
      <c r="M218" s="11"/>
      <c r="N218" s="180" t="e">
        <f>#REF!-H218</f>
        <v>#REF!</v>
      </c>
    </row>
    <row r="219" spans="1:15">
      <c r="A219" s="96">
        <v>67</v>
      </c>
      <c r="B219" s="96"/>
      <c r="C219" s="2" t="s">
        <v>397</v>
      </c>
      <c r="D219" s="41">
        <v>200000</v>
      </c>
      <c r="E219" s="41">
        <v>26660</v>
      </c>
      <c r="F219" s="41">
        <v>226660</v>
      </c>
      <c r="G219" s="33">
        <v>40</v>
      </c>
      <c r="H219" s="19">
        <v>5666.5</v>
      </c>
      <c r="I219" s="97">
        <v>40</v>
      </c>
      <c r="J219" s="97">
        <f t="shared" si="30"/>
        <v>0</v>
      </c>
      <c r="K219" s="91">
        <f t="shared" si="31"/>
        <v>226660</v>
      </c>
      <c r="L219" s="94">
        <f t="shared" si="32"/>
        <v>0</v>
      </c>
      <c r="M219" s="11"/>
      <c r="N219" s="180" t="e">
        <f>#REF!-H219</f>
        <v>#REF!</v>
      </c>
    </row>
    <row r="220" spans="1:15">
      <c r="A220" s="96">
        <v>69</v>
      </c>
      <c r="B220" s="96"/>
      <c r="C220" s="2" t="s">
        <v>398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30"/>
        <v>0</v>
      </c>
      <c r="K220" s="91">
        <f t="shared" si="31"/>
        <v>226660</v>
      </c>
      <c r="L220" s="94">
        <f t="shared" si="32"/>
        <v>0</v>
      </c>
      <c r="M220" s="11"/>
      <c r="N220" s="180" t="e">
        <f>#REF!-H220</f>
        <v>#REF!</v>
      </c>
    </row>
    <row r="221" spans="1:15">
      <c r="A221" s="96">
        <v>72</v>
      </c>
      <c r="B221" s="96"/>
      <c r="C221" s="2" t="s">
        <v>399</v>
      </c>
      <c r="D221" s="41">
        <v>200000</v>
      </c>
      <c r="E221" s="41">
        <v>26660</v>
      </c>
      <c r="F221" s="41">
        <f>SUM(D221:E221)</f>
        <v>226660</v>
      </c>
      <c r="G221" s="33">
        <v>40</v>
      </c>
      <c r="H221" s="41">
        <v>5666.5</v>
      </c>
      <c r="I221" s="97">
        <v>40</v>
      </c>
      <c r="J221" s="97">
        <f t="shared" si="30"/>
        <v>0</v>
      </c>
      <c r="K221" s="91">
        <f t="shared" si="31"/>
        <v>226660</v>
      </c>
      <c r="L221" s="94">
        <f t="shared" si="32"/>
        <v>0</v>
      </c>
      <c r="M221" s="11"/>
      <c r="N221" s="180" t="e">
        <f>#REF!-H221</f>
        <v>#REF!</v>
      </c>
    </row>
    <row r="222" spans="1:15">
      <c r="A222" s="96">
        <v>73</v>
      </c>
      <c r="B222" s="96"/>
      <c r="C222" s="2" t="s">
        <v>428</v>
      </c>
      <c r="D222" s="16">
        <v>60000</v>
      </c>
      <c r="E222" s="16">
        <v>7998</v>
      </c>
      <c r="F222" s="41">
        <f>SUM(D222:E222)</f>
        <v>67998</v>
      </c>
      <c r="G222" s="33">
        <v>40</v>
      </c>
      <c r="H222" s="16">
        <v>1699.95</v>
      </c>
      <c r="I222" s="97">
        <v>40</v>
      </c>
      <c r="J222" s="97">
        <f t="shared" si="30"/>
        <v>0</v>
      </c>
      <c r="K222" s="91">
        <f t="shared" si="31"/>
        <v>67998</v>
      </c>
      <c r="L222" s="94">
        <f t="shared" si="32"/>
        <v>0</v>
      </c>
      <c r="M222" s="11"/>
      <c r="N222" s="180" t="e">
        <f>#REF!-H222</f>
        <v>#REF!</v>
      </c>
      <c r="O222" s="114"/>
    </row>
    <row r="223" spans="1:15">
      <c r="A223" s="96">
        <v>77</v>
      </c>
      <c r="B223" s="96"/>
      <c r="C223" s="2" t="s">
        <v>401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30"/>
        <v>0</v>
      </c>
      <c r="K223" s="91">
        <f t="shared" si="31"/>
        <v>226660</v>
      </c>
      <c r="L223" s="94">
        <f t="shared" si="32"/>
        <v>0</v>
      </c>
      <c r="M223" s="11"/>
      <c r="N223" s="180" t="e">
        <f>#REF!-H223</f>
        <v>#REF!</v>
      </c>
      <c r="O223" s="114"/>
    </row>
    <row r="224" spans="1:15">
      <c r="A224" s="96">
        <v>79</v>
      </c>
      <c r="B224" s="96"/>
      <c r="C224" s="2" t="s">
        <v>402</v>
      </c>
      <c r="D224" s="41">
        <v>200000</v>
      </c>
      <c r="E224" s="41">
        <v>26660</v>
      </c>
      <c r="F224" s="41">
        <f>SUM(D224:E224)</f>
        <v>226660</v>
      </c>
      <c r="G224" s="33">
        <v>40</v>
      </c>
      <c r="H224" s="41">
        <v>5666.5</v>
      </c>
      <c r="I224" s="97">
        <v>40</v>
      </c>
      <c r="J224" s="97">
        <f t="shared" si="30"/>
        <v>0</v>
      </c>
      <c r="K224" s="91">
        <f t="shared" si="31"/>
        <v>226660</v>
      </c>
      <c r="L224" s="94">
        <f t="shared" si="32"/>
        <v>0</v>
      </c>
      <c r="M224" s="11"/>
      <c r="N224" s="180" t="e">
        <f>#REF!-H224</f>
        <v>#REF!</v>
      </c>
      <c r="O224" s="114"/>
    </row>
    <row r="225" spans="1:15">
      <c r="A225" s="96">
        <v>82</v>
      </c>
      <c r="B225" s="96"/>
      <c r="C225" s="2" t="s">
        <v>404</v>
      </c>
      <c r="D225" s="41">
        <v>200000</v>
      </c>
      <c r="E225" s="41">
        <v>26660</v>
      </c>
      <c r="F225" s="41">
        <v>226660</v>
      </c>
      <c r="G225" s="33">
        <v>40</v>
      </c>
      <c r="H225" s="19">
        <v>5666.5</v>
      </c>
      <c r="I225" s="97">
        <v>40</v>
      </c>
      <c r="J225" s="97">
        <f t="shared" si="30"/>
        <v>0</v>
      </c>
      <c r="K225" s="91">
        <f t="shared" si="31"/>
        <v>226660</v>
      </c>
      <c r="L225" s="94">
        <f t="shared" si="32"/>
        <v>0</v>
      </c>
      <c r="M225" s="11"/>
      <c r="N225" s="180" t="e">
        <f>#REF!-H225</f>
        <v>#REF!</v>
      </c>
    </row>
    <row r="226" spans="1:15">
      <c r="A226" s="96">
        <v>84</v>
      </c>
      <c r="B226" s="96"/>
      <c r="C226" s="2" t="s">
        <v>405</v>
      </c>
      <c r="D226" s="41">
        <v>200000</v>
      </c>
      <c r="E226" s="41">
        <v>26660</v>
      </c>
      <c r="F226" s="41">
        <f>SUM(D226:E226)</f>
        <v>226660</v>
      </c>
      <c r="G226" s="33">
        <v>40</v>
      </c>
      <c r="H226" s="41">
        <v>5666.5</v>
      </c>
      <c r="I226" s="97">
        <v>40</v>
      </c>
      <c r="J226" s="97">
        <f t="shared" si="30"/>
        <v>0</v>
      </c>
      <c r="K226" s="91">
        <f t="shared" si="31"/>
        <v>226660</v>
      </c>
      <c r="L226" s="94">
        <f t="shared" si="32"/>
        <v>0</v>
      </c>
      <c r="M226" s="11"/>
      <c r="N226" s="180" t="e">
        <f>#REF!-H226</f>
        <v>#REF!</v>
      </c>
      <c r="O226" s="114"/>
    </row>
    <row r="227" spans="1:15">
      <c r="O227" s="114"/>
    </row>
    <row r="228" spans="1:15">
      <c r="O228" s="114"/>
    </row>
    <row r="229" spans="1:15">
      <c r="C229" s="127" t="s">
        <v>226</v>
      </c>
      <c r="D229" s="129">
        <v>200000</v>
      </c>
      <c r="E229" s="129">
        <v>26660</v>
      </c>
      <c r="F229" s="129">
        <v>226660</v>
      </c>
      <c r="G229" s="130">
        <v>40</v>
      </c>
      <c r="H229" s="137">
        <v>5666.5</v>
      </c>
      <c r="I229" s="134">
        <v>40</v>
      </c>
      <c r="J229" s="134">
        <f t="shared" ref="J229:J249" si="33">G229-I229</f>
        <v>0</v>
      </c>
      <c r="K229" s="135">
        <f t="shared" ref="K229:K249" si="34">I229*H229</f>
        <v>226660</v>
      </c>
      <c r="L229" s="136">
        <f t="shared" ref="L229:L249" si="35">F229-K229</f>
        <v>0</v>
      </c>
      <c r="M229" s="132"/>
      <c r="N229" s="121"/>
    </row>
    <row r="230" spans="1:15">
      <c r="C230" s="127" t="s">
        <v>181</v>
      </c>
      <c r="D230" s="129">
        <v>200000</v>
      </c>
      <c r="E230" s="129">
        <v>26660</v>
      </c>
      <c r="F230" s="129">
        <f t="shared" ref="F230:F236" si="36">SUM(D230:E230)</f>
        <v>226660</v>
      </c>
      <c r="G230" s="130">
        <v>40</v>
      </c>
      <c r="H230" s="129">
        <v>5666.5</v>
      </c>
      <c r="I230" s="134">
        <v>40</v>
      </c>
      <c r="J230" s="134">
        <f t="shared" si="33"/>
        <v>0</v>
      </c>
      <c r="K230" s="135">
        <f t="shared" si="34"/>
        <v>226660</v>
      </c>
      <c r="L230" s="136">
        <f t="shared" si="35"/>
        <v>0</v>
      </c>
      <c r="M230" s="132"/>
    </row>
    <row r="231" spans="1:15">
      <c r="C231" s="127" t="s">
        <v>249</v>
      </c>
      <c r="D231" s="128">
        <v>180000</v>
      </c>
      <c r="E231" s="128">
        <v>23994</v>
      </c>
      <c r="F231" s="129">
        <f t="shared" si="36"/>
        <v>203994</v>
      </c>
      <c r="G231" s="130">
        <v>40</v>
      </c>
      <c r="H231" s="128">
        <v>5099.8500000000004</v>
      </c>
      <c r="I231" s="134">
        <v>45</v>
      </c>
      <c r="J231" s="134">
        <f t="shared" si="33"/>
        <v>-5</v>
      </c>
      <c r="K231" s="135">
        <f t="shared" si="34"/>
        <v>229493.25000000003</v>
      </c>
      <c r="L231" s="136">
        <f t="shared" si="35"/>
        <v>-25499.250000000029</v>
      </c>
      <c r="M231" s="132"/>
    </row>
    <row r="232" spans="1:15">
      <c r="C232" s="127" t="s">
        <v>188</v>
      </c>
      <c r="D232" s="128">
        <v>180000</v>
      </c>
      <c r="E232" s="128">
        <v>23994</v>
      </c>
      <c r="F232" s="129">
        <f t="shared" si="36"/>
        <v>203994</v>
      </c>
      <c r="G232" s="130">
        <v>40</v>
      </c>
      <c r="H232" s="128">
        <v>5099.8500000000004</v>
      </c>
      <c r="I232" s="131">
        <v>37</v>
      </c>
      <c r="J232" s="131">
        <f t="shared" si="33"/>
        <v>3</v>
      </c>
      <c r="K232" s="128">
        <f t="shared" si="34"/>
        <v>188694.45</v>
      </c>
      <c r="L232" s="129">
        <f t="shared" si="35"/>
        <v>15299.549999999988</v>
      </c>
      <c r="M232" s="132"/>
    </row>
    <row r="233" spans="1:15">
      <c r="C233" s="127" t="s">
        <v>124</v>
      </c>
      <c r="D233" s="129">
        <v>200000</v>
      </c>
      <c r="E233" s="129">
        <v>26660</v>
      </c>
      <c r="F233" s="129">
        <f t="shared" si="36"/>
        <v>226660</v>
      </c>
      <c r="G233" s="130">
        <v>40</v>
      </c>
      <c r="H233" s="129">
        <v>5666.5</v>
      </c>
      <c r="I233" s="131">
        <v>40</v>
      </c>
      <c r="J233" s="131">
        <f t="shared" si="33"/>
        <v>0</v>
      </c>
      <c r="K233" s="128">
        <f t="shared" si="34"/>
        <v>226660</v>
      </c>
      <c r="L233" s="129">
        <f t="shared" si="35"/>
        <v>0</v>
      </c>
      <c r="M233" s="132"/>
    </row>
    <row r="234" spans="1:15">
      <c r="C234" s="127" t="s">
        <v>129</v>
      </c>
      <c r="D234" s="129">
        <v>200000</v>
      </c>
      <c r="E234" s="129">
        <v>26660</v>
      </c>
      <c r="F234" s="129">
        <f t="shared" si="36"/>
        <v>226660</v>
      </c>
      <c r="G234" s="130">
        <v>40</v>
      </c>
      <c r="H234" s="129">
        <v>5666.5</v>
      </c>
      <c r="I234" s="131">
        <v>38</v>
      </c>
      <c r="J234" s="131">
        <f t="shared" si="33"/>
        <v>2</v>
      </c>
      <c r="K234" s="128">
        <f t="shared" si="34"/>
        <v>215327</v>
      </c>
      <c r="L234" s="129">
        <f t="shared" si="35"/>
        <v>11333</v>
      </c>
      <c r="M234" s="132"/>
    </row>
    <row r="235" spans="1:15">
      <c r="C235" s="127" t="s">
        <v>202</v>
      </c>
      <c r="D235" s="128">
        <v>132000</v>
      </c>
      <c r="E235" s="128">
        <v>17595.599999999999</v>
      </c>
      <c r="F235" s="129">
        <f t="shared" si="36"/>
        <v>149595.6</v>
      </c>
      <c r="G235" s="130">
        <v>40</v>
      </c>
      <c r="H235" s="128">
        <v>3739.89</v>
      </c>
      <c r="I235" s="131">
        <v>34</v>
      </c>
      <c r="J235" s="131">
        <f t="shared" si="33"/>
        <v>6</v>
      </c>
      <c r="K235" s="128">
        <f t="shared" si="34"/>
        <v>127156.26</v>
      </c>
      <c r="L235" s="129">
        <f t="shared" si="35"/>
        <v>22439.340000000011</v>
      </c>
      <c r="M235" s="132"/>
    </row>
    <row r="236" spans="1:15">
      <c r="A236" s="101">
        <v>135</v>
      </c>
      <c r="B236" s="244"/>
      <c r="C236" s="125" t="s">
        <v>138</v>
      </c>
      <c r="D236" s="129">
        <v>200000</v>
      </c>
      <c r="E236" s="129">
        <v>26660</v>
      </c>
      <c r="F236" s="129">
        <f t="shared" si="36"/>
        <v>226660</v>
      </c>
      <c r="G236" s="130">
        <v>40</v>
      </c>
      <c r="H236" s="129">
        <v>5666.5</v>
      </c>
      <c r="I236" s="134">
        <v>37</v>
      </c>
      <c r="J236" s="134">
        <f t="shared" si="33"/>
        <v>3</v>
      </c>
      <c r="K236" s="135">
        <f t="shared" si="34"/>
        <v>209660.5</v>
      </c>
      <c r="L236" s="136">
        <f t="shared" si="35"/>
        <v>16999.5</v>
      </c>
      <c r="M236" s="132"/>
    </row>
    <row r="237" spans="1:15">
      <c r="A237" s="101">
        <v>167.333333333333</v>
      </c>
      <c r="B237" s="101"/>
      <c r="C237" s="127" t="s">
        <v>236</v>
      </c>
      <c r="D237" s="128">
        <v>180000</v>
      </c>
      <c r="E237" s="128">
        <v>23994</v>
      </c>
      <c r="F237" s="128">
        <v>203994</v>
      </c>
      <c r="G237" s="139">
        <v>40</v>
      </c>
      <c r="H237" s="137">
        <v>5099.8500000000004</v>
      </c>
      <c r="I237" s="134">
        <v>46</v>
      </c>
      <c r="J237" s="134">
        <f t="shared" si="33"/>
        <v>-6</v>
      </c>
      <c r="K237" s="135">
        <f t="shared" si="34"/>
        <v>234593.1</v>
      </c>
      <c r="L237" s="136">
        <f t="shared" si="35"/>
        <v>-30599.100000000006</v>
      </c>
      <c r="M237" s="140"/>
    </row>
    <row r="238" spans="1:15">
      <c r="A238" s="101">
        <v>144.833333333333</v>
      </c>
      <c r="B238" s="101"/>
      <c r="C238" s="127" t="s">
        <v>234</v>
      </c>
      <c r="D238" s="129">
        <v>200000</v>
      </c>
      <c r="E238" s="129">
        <v>26660</v>
      </c>
      <c r="F238" s="129">
        <v>226660</v>
      </c>
      <c r="G238" s="130">
        <v>40</v>
      </c>
      <c r="H238" s="137">
        <v>5666.5</v>
      </c>
      <c r="I238" s="134">
        <v>40</v>
      </c>
      <c r="J238" s="134">
        <f t="shared" si="33"/>
        <v>0</v>
      </c>
      <c r="K238" s="135">
        <f t="shared" si="34"/>
        <v>226660</v>
      </c>
      <c r="L238" s="136">
        <f t="shared" si="35"/>
        <v>0</v>
      </c>
      <c r="M238" s="132"/>
    </row>
    <row r="239" spans="1:15">
      <c r="A239" s="101">
        <v>146.333333333333</v>
      </c>
      <c r="B239" s="245"/>
      <c r="C239" s="141" t="s">
        <v>187</v>
      </c>
      <c r="D239" s="129">
        <v>150000</v>
      </c>
      <c r="E239" s="129">
        <v>11997</v>
      </c>
      <c r="F239" s="129">
        <f t="shared" ref="F239:F246" si="37">SUM(D239:E239)</f>
        <v>161997</v>
      </c>
      <c r="G239" s="130">
        <v>30</v>
      </c>
      <c r="H239" s="129">
        <v>5399.9</v>
      </c>
      <c r="I239" s="134">
        <v>31</v>
      </c>
      <c r="J239" s="134">
        <f t="shared" si="33"/>
        <v>-1</v>
      </c>
      <c r="K239" s="135">
        <f t="shared" si="34"/>
        <v>167396.9</v>
      </c>
      <c r="L239" s="136">
        <f t="shared" si="35"/>
        <v>-5399.8999999999942</v>
      </c>
      <c r="M239" s="132"/>
    </row>
    <row r="240" spans="1:15">
      <c r="A240" s="101">
        <v>147.833333333333</v>
      </c>
      <c r="B240" s="101"/>
      <c r="C240" s="127" t="s">
        <v>150</v>
      </c>
      <c r="D240" s="129">
        <v>200000</v>
      </c>
      <c r="E240" s="129">
        <v>26660</v>
      </c>
      <c r="F240" s="129">
        <f t="shared" si="37"/>
        <v>226660</v>
      </c>
      <c r="G240" s="130">
        <v>40</v>
      </c>
      <c r="H240" s="129">
        <v>5666.5</v>
      </c>
      <c r="I240" s="134">
        <v>40</v>
      </c>
      <c r="J240" s="134">
        <f t="shared" si="33"/>
        <v>0</v>
      </c>
      <c r="K240" s="135">
        <f t="shared" si="34"/>
        <v>226660</v>
      </c>
      <c r="L240" s="136">
        <f t="shared" si="35"/>
        <v>0</v>
      </c>
      <c r="M240" s="132"/>
    </row>
    <row r="241" spans="1:14">
      <c r="A241" s="101">
        <v>149.333333333333</v>
      </c>
      <c r="B241" s="244"/>
      <c r="C241" s="125" t="s">
        <v>151</v>
      </c>
      <c r="D241" s="129">
        <v>200000</v>
      </c>
      <c r="E241" s="129">
        <v>26660</v>
      </c>
      <c r="F241" s="129">
        <f t="shared" si="37"/>
        <v>226660</v>
      </c>
      <c r="G241" s="130">
        <v>40</v>
      </c>
      <c r="H241" s="129">
        <v>5666.5</v>
      </c>
      <c r="I241" s="134">
        <v>38</v>
      </c>
      <c r="J241" s="134">
        <f t="shared" si="33"/>
        <v>2</v>
      </c>
      <c r="K241" s="135">
        <f t="shared" si="34"/>
        <v>215327</v>
      </c>
      <c r="L241" s="136">
        <f t="shared" si="35"/>
        <v>11333</v>
      </c>
      <c r="M241" s="132"/>
    </row>
    <row r="242" spans="1:14">
      <c r="A242" s="101">
        <v>150.833333333333</v>
      </c>
      <c r="B242" s="244"/>
      <c r="C242" s="186" t="s">
        <v>266</v>
      </c>
      <c r="D242" s="128">
        <v>330000</v>
      </c>
      <c r="E242" s="128">
        <v>43989</v>
      </c>
      <c r="F242" s="129">
        <f t="shared" si="37"/>
        <v>373989</v>
      </c>
      <c r="G242" s="130">
        <v>50</v>
      </c>
      <c r="H242" s="138">
        <v>7479</v>
      </c>
      <c r="I242" s="134">
        <v>8</v>
      </c>
      <c r="J242" s="134">
        <f t="shared" si="33"/>
        <v>42</v>
      </c>
      <c r="K242" s="135">
        <f t="shared" si="34"/>
        <v>59832</v>
      </c>
      <c r="L242" s="136">
        <f t="shared" si="35"/>
        <v>314157</v>
      </c>
      <c r="M242" s="124"/>
    </row>
    <row r="243" spans="1:14">
      <c r="A243" s="101">
        <v>152.333333333333</v>
      </c>
      <c r="B243" s="244"/>
      <c r="C243" s="125" t="s">
        <v>156</v>
      </c>
      <c r="D243" s="129">
        <v>200000</v>
      </c>
      <c r="E243" s="129">
        <v>26660</v>
      </c>
      <c r="F243" s="129">
        <f t="shared" si="37"/>
        <v>226660</v>
      </c>
      <c r="G243" s="130">
        <v>40</v>
      </c>
      <c r="H243" s="133">
        <v>3739.89</v>
      </c>
      <c r="I243" s="134">
        <v>40</v>
      </c>
      <c r="J243" s="134">
        <f t="shared" si="33"/>
        <v>0</v>
      </c>
      <c r="K243" s="135">
        <f t="shared" si="34"/>
        <v>149595.6</v>
      </c>
      <c r="L243" s="136">
        <f t="shared" si="35"/>
        <v>77064.399999999994</v>
      </c>
      <c r="M243" s="132"/>
    </row>
    <row r="244" spans="1:14">
      <c r="A244" s="101">
        <v>153.833333333333</v>
      </c>
      <c r="B244" s="244"/>
      <c r="C244" s="125" t="s">
        <v>157</v>
      </c>
      <c r="D244" s="129">
        <v>200000</v>
      </c>
      <c r="E244" s="129">
        <v>26660</v>
      </c>
      <c r="F244" s="129">
        <f t="shared" si="37"/>
        <v>226660</v>
      </c>
      <c r="G244" s="130">
        <v>40</v>
      </c>
      <c r="H244" s="129">
        <v>5666.5</v>
      </c>
      <c r="I244" s="134">
        <v>40</v>
      </c>
      <c r="J244" s="134">
        <f t="shared" si="33"/>
        <v>0</v>
      </c>
      <c r="K244" s="135">
        <f t="shared" si="34"/>
        <v>226660</v>
      </c>
      <c r="L244" s="136">
        <f t="shared" si="35"/>
        <v>0</v>
      </c>
      <c r="M244" s="132"/>
    </row>
    <row r="245" spans="1:14">
      <c r="A245" s="101">
        <v>155.333333333333</v>
      </c>
      <c r="B245" s="244"/>
      <c r="C245" s="125" t="s">
        <v>158</v>
      </c>
      <c r="D245" s="129">
        <v>200000</v>
      </c>
      <c r="E245" s="129">
        <v>26660</v>
      </c>
      <c r="F245" s="129">
        <f t="shared" si="37"/>
        <v>226660</v>
      </c>
      <c r="G245" s="130">
        <v>40</v>
      </c>
      <c r="H245" s="129">
        <v>5666.5</v>
      </c>
      <c r="I245" s="134">
        <v>40</v>
      </c>
      <c r="J245" s="134">
        <f t="shared" si="33"/>
        <v>0</v>
      </c>
      <c r="K245" s="135">
        <f t="shared" si="34"/>
        <v>226660</v>
      </c>
      <c r="L245" s="136">
        <f t="shared" si="35"/>
        <v>0</v>
      </c>
      <c r="M245" s="132"/>
    </row>
    <row r="246" spans="1:14">
      <c r="A246" s="101">
        <v>156.833333333333</v>
      </c>
      <c r="B246" s="244"/>
      <c r="C246" s="125" t="s">
        <v>159</v>
      </c>
      <c r="D246" s="129">
        <v>200000</v>
      </c>
      <c r="E246" s="129">
        <v>26660</v>
      </c>
      <c r="F246" s="129">
        <f t="shared" si="37"/>
        <v>226660</v>
      </c>
      <c r="G246" s="130">
        <v>40</v>
      </c>
      <c r="H246" s="129">
        <v>5666.5</v>
      </c>
      <c r="I246" s="134">
        <v>31</v>
      </c>
      <c r="J246" s="134">
        <f t="shared" si="33"/>
        <v>9</v>
      </c>
      <c r="K246" s="135">
        <f t="shared" si="34"/>
        <v>175661.5</v>
      </c>
      <c r="L246" s="136">
        <f t="shared" si="35"/>
        <v>50998.5</v>
      </c>
      <c r="M246" s="132"/>
    </row>
    <row r="247" spans="1:14">
      <c r="A247" s="101">
        <v>158.333333333333</v>
      </c>
      <c r="B247" s="101"/>
      <c r="C247" s="127" t="s">
        <v>233</v>
      </c>
      <c r="D247" s="129">
        <v>200000</v>
      </c>
      <c r="E247" s="129">
        <v>26660</v>
      </c>
      <c r="F247" s="129">
        <v>226660</v>
      </c>
      <c r="G247" s="130">
        <v>40</v>
      </c>
      <c r="H247" s="137">
        <v>5666.5</v>
      </c>
      <c r="I247" s="134">
        <v>40</v>
      </c>
      <c r="J247" s="134">
        <f t="shared" si="33"/>
        <v>0</v>
      </c>
      <c r="K247" s="135">
        <f t="shared" si="34"/>
        <v>226660</v>
      </c>
      <c r="L247" s="136">
        <f t="shared" si="35"/>
        <v>0</v>
      </c>
      <c r="M247" s="132"/>
    </row>
    <row r="248" spans="1:14">
      <c r="A248" s="101">
        <v>159.833333333333</v>
      </c>
      <c r="B248" s="101"/>
      <c r="C248" s="127" t="s">
        <v>160</v>
      </c>
      <c r="D248" s="129">
        <v>200000</v>
      </c>
      <c r="E248" s="129">
        <v>26660</v>
      </c>
      <c r="F248" s="129">
        <f>SUM(D248:E248)</f>
        <v>226660</v>
      </c>
      <c r="G248" s="130">
        <v>40</v>
      </c>
      <c r="H248" s="129">
        <v>5666.5</v>
      </c>
      <c r="I248" s="134">
        <v>40</v>
      </c>
      <c r="J248" s="134">
        <f t="shared" si="33"/>
        <v>0</v>
      </c>
      <c r="K248" s="135">
        <f t="shared" si="34"/>
        <v>226660</v>
      </c>
      <c r="L248" s="136">
        <f t="shared" si="35"/>
        <v>0</v>
      </c>
      <c r="M248" s="132"/>
    </row>
    <row r="249" spans="1:14">
      <c r="A249" s="101">
        <v>161.333333333333</v>
      </c>
      <c r="B249" s="101"/>
      <c r="C249" s="127" t="s">
        <v>205</v>
      </c>
      <c r="D249" s="128">
        <v>132000</v>
      </c>
      <c r="E249" s="128">
        <v>17595.599999999999</v>
      </c>
      <c r="F249" s="129">
        <f>SUM(D249:E249)</f>
        <v>149595.6</v>
      </c>
      <c r="G249" s="130">
        <v>40</v>
      </c>
      <c r="H249" s="128">
        <v>3739.89</v>
      </c>
      <c r="I249" s="134">
        <v>40</v>
      </c>
      <c r="J249" s="134">
        <f t="shared" si="33"/>
        <v>0</v>
      </c>
      <c r="K249" s="135">
        <f t="shared" si="34"/>
        <v>149595.6</v>
      </c>
      <c r="L249" s="136">
        <f t="shared" si="35"/>
        <v>0</v>
      </c>
      <c r="M249" s="132"/>
    </row>
    <row r="251" spans="1:14">
      <c r="A251" s="101">
        <v>173.333333333333</v>
      </c>
      <c r="B251" s="245"/>
    </row>
    <row r="252" spans="1:14">
      <c r="A252" s="101">
        <v>174.833333333333</v>
      </c>
      <c r="B252" s="245"/>
    </row>
    <row r="255" spans="1:14">
      <c r="A255" s="160">
        <v>47</v>
      </c>
      <c r="B255" s="160"/>
      <c r="C255" s="181" t="s">
        <v>432</v>
      </c>
      <c r="D255" s="16">
        <v>500000</v>
      </c>
      <c r="E255" s="16">
        <v>66650</v>
      </c>
      <c r="F255" s="41">
        <f>SUM(D255:E255)</f>
        <v>566650</v>
      </c>
      <c r="G255" s="33">
        <v>50</v>
      </c>
      <c r="H255" s="24">
        <v>5666.5</v>
      </c>
      <c r="I255" s="97">
        <v>33</v>
      </c>
      <c r="J255" s="97">
        <f>G255-I255</f>
        <v>17</v>
      </c>
      <c r="K255" s="91">
        <f>I255*H255</f>
        <v>186994.5</v>
      </c>
      <c r="L255" s="94">
        <f>F255-K255</f>
        <v>379655.5</v>
      </c>
      <c r="M255" s="11"/>
      <c r="N255" s="180" t="e">
        <f>#REF!-H255</f>
        <v>#REF!</v>
      </c>
    </row>
    <row r="256" spans="1:14">
      <c r="A256" s="160">
        <v>70</v>
      </c>
      <c r="B256" s="160"/>
      <c r="C256" s="181" t="s">
        <v>433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40</v>
      </c>
      <c r="J256" s="97">
        <f>G256-I256</f>
        <v>0</v>
      </c>
      <c r="K256" s="91">
        <f>I256*H256</f>
        <v>226660</v>
      </c>
      <c r="L256" s="94">
        <f>F256-K256</f>
        <v>0</v>
      </c>
      <c r="M256" s="11"/>
      <c r="N256" s="180" t="e">
        <f>#REF!-H256</f>
        <v>#REF!</v>
      </c>
    </row>
    <row r="257" spans="1:14">
      <c r="A257" s="160">
        <v>93</v>
      </c>
      <c r="B257" s="160"/>
      <c r="C257" s="181" t="s">
        <v>434</v>
      </c>
      <c r="D257" s="41">
        <v>200000</v>
      </c>
      <c r="E257" s="41">
        <v>26660</v>
      </c>
      <c r="F257" s="41">
        <f>SUM(D257:E257)</f>
        <v>226660</v>
      </c>
      <c r="G257" s="33">
        <v>40</v>
      </c>
      <c r="H257" s="41">
        <v>5666.5</v>
      </c>
      <c r="I257" s="97">
        <v>41</v>
      </c>
      <c r="J257" s="97">
        <f>G257-I257</f>
        <v>-1</v>
      </c>
      <c r="K257" s="91">
        <f>I257*H257</f>
        <v>232326.5</v>
      </c>
      <c r="L257" s="94">
        <f>F257-K257</f>
        <v>-5666.5</v>
      </c>
      <c r="M257" s="11"/>
      <c r="N257" s="180" t="e">
        <f>#REF!-H257</f>
        <v>#REF!</v>
      </c>
    </row>
    <row r="258" spans="1:14">
      <c r="A258" s="160">
        <v>10</v>
      </c>
      <c r="B258" s="160"/>
      <c r="C258" s="181" t="s">
        <v>431</v>
      </c>
      <c r="D258" s="16">
        <v>450000</v>
      </c>
      <c r="E258" s="16">
        <v>28792.799999999999</v>
      </c>
      <c r="F258" s="41">
        <f>SUM(D258:E258)</f>
        <v>478792.8</v>
      </c>
      <c r="G258" s="33">
        <v>24</v>
      </c>
      <c r="H258" s="16">
        <v>19949.7</v>
      </c>
      <c r="I258" s="96">
        <v>24</v>
      </c>
      <c r="J258" s="96">
        <f>G258-I258</f>
        <v>0</v>
      </c>
      <c r="K258" s="16">
        <f>I258*H258</f>
        <v>478792.80000000005</v>
      </c>
      <c r="L258" s="41">
        <f>F258-K258</f>
        <v>0</v>
      </c>
      <c r="M258" s="11"/>
      <c r="N258" s="180" t="e">
        <f>#REF!-H258</f>
        <v>#REF!</v>
      </c>
    </row>
    <row r="259" spans="1:14">
      <c r="A259" s="160">
        <v>6</v>
      </c>
      <c r="B259" s="160"/>
      <c r="C259" s="181" t="s">
        <v>430</v>
      </c>
      <c r="D259" s="16">
        <v>330000</v>
      </c>
      <c r="E259" s="16">
        <v>21114.720000000001</v>
      </c>
      <c r="F259" s="41">
        <f>SUM(D259:E259)</f>
        <v>351114.72</v>
      </c>
      <c r="G259" s="33">
        <v>24</v>
      </c>
      <c r="H259" s="24">
        <v>6649.9</v>
      </c>
      <c r="I259" s="96">
        <v>24</v>
      </c>
      <c r="J259" s="96">
        <f>G259-I259</f>
        <v>0</v>
      </c>
      <c r="K259" s="16">
        <f>I259*H259</f>
        <v>159597.59999999998</v>
      </c>
      <c r="L259" s="41">
        <f>F259-K259</f>
        <v>191517.12</v>
      </c>
      <c r="M259" s="11"/>
      <c r="N259" s="180" t="e">
        <f>#REF!-H259</f>
        <v>#REF!</v>
      </c>
    </row>
    <row r="261" spans="1:14">
      <c r="A261" s="96">
        <v>77</v>
      </c>
      <c r="B261" s="96"/>
      <c r="C261" s="170" t="s">
        <v>400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36</v>
      </c>
      <c r="J261" s="97">
        <f>G261-I261</f>
        <v>4</v>
      </c>
      <c r="K261" s="91">
        <f>I261*H261</f>
        <v>203994</v>
      </c>
      <c r="L261" s="94">
        <f>F261-K261</f>
        <v>22666</v>
      </c>
      <c r="M261" s="11"/>
      <c r="N261" s="180" t="e">
        <f>#REF!-H261</f>
        <v>#REF!</v>
      </c>
    </row>
    <row r="262" spans="1:14">
      <c r="A262" s="96">
        <v>109</v>
      </c>
      <c r="B262" s="96"/>
      <c r="C262" s="142" t="s">
        <v>406</v>
      </c>
      <c r="D262" s="41">
        <v>200000</v>
      </c>
      <c r="E262" s="41">
        <v>26660</v>
      </c>
      <c r="F262" s="41">
        <f>SUM(D262:E262)</f>
        <v>226660</v>
      </c>
      <c r="G262" s="33">
        <v>40</v>
      </c>
      <c r="H262" s="41">
        <v>5666.5</v>
      </c>
      <c r="I262" s="97">
        <v>39</v>
      </c>
      <c r="J262" s="97">
        <f>G262-I262</f>
        <v>1</v>
      </c>
      <c r="K262" s="91">
        <f>I262*H262</f>
        <v>220993.5</v>
      </c>
      <c r="L262" s="94">
        <f>F262-K262</f>
        <v>5666.5</v>
      </c>
      <c r="M262" s="11"/>
      <c r="N262" s="180" t="e">
        <f>#REF!-H262</f>
        <v>#REF!</v>
      </c>
    </row>
    <row r="263" spans="1:14">
      <c r="A263" s="96">
        <v>127</v>
      </c>
      <c r="B263" s="96"/>
      <c r="C263" s="142" t="s">
        <v>423</v>
      </c>
      <c r="D263" s="16">
        <v>132000</v>
      </c>
      <c r="E263" s="16">
        <v>17595.599999999999</v>
      </c>
      <c r="F263" s="41">
        <f>SUM(D263:E263)</f>
        <v>149595.6</v>
      </c>
      <c r="G263" s="33">
        <v>40</v>
      </c>
      <c r="H263" s="16">
        <v>3739.89</v>
      </c>
      <c r="I263" s="97">
        <v>40</v>
      </c>
      <c r="J263" s="97">
        <f>G263-I263</f>
        <v>0</v>
      </c>
      <c r="K263" s="91">
        <f>I263*H263</f>
        <v>149595.6</v>
      </c>
      <c r="L263" s="94">
        <f>F263-K263</f>
        <v>0</v>
      </c>
      <c r="M263" s="11"/>
      <c r="N263" s="180" t="e">
        <f>#REF!-H263</f>
        <v>#REF!</v>
      </c>
    </row>
    <row r="264" spans="1:14">
      <c r="A264" s="96">
        <v>125</v>
      </c>
      <c r="B264" s="96"/>
      <c r="C264" s="142" t="s">
        <v>427</v>
      </c>
      <c r="D264" s="155">
        <v>150000</v>
      </c>
      <c r="E264" s="155">
        <v>19995</v>
      </c>
      <c r="F264" s="155">
        <f>SUM(D264:E264)</f>
        <v>169995</v>
      </c>
      <c r="G264" s="33">
        <v>50</v>
      </c>
      <c r="H264" s="154">
        <v>3399.9</v>
      </c>
      <c r="I264" s="97">
        <v>9</v>
      </c>
      <c r="J264" s="97">
        <f>G264-I264</f>
        <v>41</v>
      </c>
      <c r="K264" s="91">
        <f>I264*H264</f>
        <v>30599.100000000002</v>
      </c>
      <c r="L264" s="91">
        <f>F264-K264</f>
        <v>139395.9</v>
      </c>
      <c r="M264" s="122"/>
      <c r="N264" s="180" t="e">
        <f>#REF!-H264</f>
        <v>#REF!</v>
      </c>
    </row>
    <row r="265" spans="1:14">
      <c r="A265" s="96">
        <v>5</v>
      </c>
      <c r="B265" s="96"/>
      <c r="C265" s="2" t="s">
        <v>385</v>
      </c>
      <c r="D265" s="41">
        <v>200000</v>
      </c>
      <c r="E265" s="41">
        <v>26660</v>
      </c>
      <c r="F265" s="41">
        <f>SUM(D265:E265)</f>
        <v>226660</v>
      </c>
      <c r="G265" s="33">
        <v>40</v>
      </c>
      <c r="H265" s="41">
        <v>5666.5</v>
      </c>
      <c r="I265" s="96">
        <v>40</v>
      </c>
      <c r="J265" s="96">
        <f>G265-I265</f>
        <v>0</v>
      </c>
      <c r="K265" s="16">
        <f>I265*H265</f>
        <v>226660</v>
      </c>
      <c r="L265" s="41">
        <f>F265-K265</f>
        <v>0</v>
      </c>
      <c r="M265" s="11"/>
      <c r="N265" s="180" t="e">
        <f>#REF!-H265</f>
        <v>#REF!</v>
      </c>
    </row>
  </sheetData>
  <sortState ref="B6:M133">
    <sortCondition ref="C6:C133"/>
  </sortState>
  <mergeCells count="2">
    <mergeCell ref="A3:M3"/>
    <mergeCell ref="A4:M4"/>
  </mergeCells>
  <conditionalFormatting sqref="C259">
    <cfRule type="duplicateValues" dxfId="784" priority="134" stopIfTrue="1"/>
    <cfRule type="duplicateValues" dxfId="783" priority="135" stopIfTrue="1"/>
  </conditionalFormatting>
  <conditionalFormatting sqref="C259">
    <cfRule type="duplicateValues" dxfId="782" priority="133" stopIfTrue="1"/>
  </conditionalFormatting>
  <conditionalFormatting sqref="C206">
    <cfRule type="duplicateValues" dxfId="781" priority="131" stopIfTrue="1"/>
    <cfRule type="duplicateValues" dxfId="780" priority="132" stopIfTrue="1"/>
  </conditionalFormatting>
  <conditionalFormatting sqref="C206">
    <cfRule type="duplicateValues" dxfId="779" priority="130" stopIfTrue="1"/>
  </conditionalFormatting>
  <conditionalFormatting sqref="C258">
    <cfRule type="duplicateValues" dxfId="778" priority="128" stopIfTrue="1"/>
    <cfRule type="duplicateValues" dxfId="777" priority="129" stopIfTrue="1"/>
  </conditionalFormatting>
  <conditionalFormatting sqref="C258">
    <cfRule type="duplicateValues" dxfId="776" priority="127" stopIfTrue="1"/>
  </conditionalFormatting>
  <conditionalFormatting sqref="C208">
    <cfRule type="duplicateValues" dxfId="775" priority="125" stopIfTrue="1"/>
    <cfRule type="duplicateValues" dxfId="774" priority="126" stopIfTrue="1"/>
  </conditionalFormatting>
  <conditionalFormatting sqref="C208">
    <cfRule type="duplicateValues" dxfId="773" priority="124" stopIfTrue="1"/>
  </conditionalFormatting>
  <conditionalFormatting sqref="C209">
    <cfRule type="duplicateValues" dxfId="772" priority="122" stopIfTrue="1"/>
    <cfRule type="duplicateValues" dxfId="771" priority="123" stopIfTrue="1"/>
  </conditionalFormatting>
  <conditionalFormatting sqref="C209">
    <cfRule type="duplicateValues" dxfId="770" priority="121" stopIfTrue="1"/>
  </conditionalFormatting>
  <conditionalFormatting sqref="C211">
    <cfRule type="duplicateValues" dxfId="769" priority="119" stopIfTrue="1"/>
    <cfRule type="duplicateValues" dxfId="768" priority="120" stopIfTrue="1"/>
  </conditionalFormatting>
  <conditionalFormatting sqref="C211">
    <cfRule type="duplicateValues" dxfId="767" priority="118" stopIfTrue="1"/>
  </conditionalFormatting>
  <conditionalFormatting sqref="C212">
    <cfRule type="duplicateValues" dxfId="766" priority="116" stopIfTrue="1"/>
    <cfRule type="duplicateValues" dxfId="765" priority="117" stopIfTrue="1"/>
  </conditionalFormatting>
  <conditionalFormatting sqref="C212">
    <cfRule type="duplicateValues" dxfId="764" priority="115" stopIfTrue="1"/>
  </conditionalFormatting>
  <conditionalFormatting sqref="C255">
    <cfRule type="duplicateValues" dxfId="763" priority="113" stopIfTrue="1"/>
    <cfRule type="duplicateValues" dxfId="762" priority="114" stopIfTrue="1"/>
  </conditionalFormatting>
  <conditionalFormatting sqref="C255">
    <cfRule type="duplicateValues" dxfId="761" priority="112" stopIfTrue="1"/>
  </conditionalFormatting>
  <conditionalFormatting sqref="C214">
    <cfRule type="duplicateValues" dxfId="760" priority="110" stopIfTrue="1"/>
    <cfRule type="duplicateValues" dxfId="759" priority="111" stopIfTrue="1"/>
  </conditionalFormatting>
  <conditionalFormatting sqref="C214">
    <cfRule type="duplicateValues" dxfId="758" priority="109" stopIfTrue="1"/>
  </conditionalFormatting>
  <conditionalFormatting sqref="C215">
    <cfRule type="duplicateValues" dxfId="757" priority="107" stopIfTrue="1"/>
    <cfRule type="duplicateValues" dxfId="756" priority="108" stopIfTrue="1"/>
  </conditionalFormatting>
  <conditionalFormatting sqref="C215">
    <cfRule type="duplicateValues" dxfId="755" priority="106" stopIfTrue="1"/>
  </conditionalFormatting>
  <conditionalFormatting sqref="C216">
    <cfRule type="duplicateValues" dxfId="754" priority="104" stopIfTrue="1"/>
    <cfRule type="duplicateValues" dxfId="753" priority="105" stopIfTrue="1"/>
  </conditionalFormatting>
  <conditionalFormatting sqref="C216">
    <cfRule type="duplicateValues" dxfId="752" priority="103" stopIfTrue="1"/>
  </conditionalFormatting>
  <conditionalFormatting sqref="C231">
    <cfRule type="duplicateValues" dxfId="751" priority="101" stopIfTrue="1"/>
    <cfRule type="duplicateValues" dxfId="750" priority="102" stopIfTrue="1"/>
  </conditionalFormatting>
  <conditionalFormatting sqref="C231">
    <cfRule type="duplicateValues" dxfId="749" priority="100" stopIfTrue="1"/>
  </conditionalFormatting>
  <conditionalFormatting sqref="C218">
    <cfRule type="duplicateValues" dxfId="748" priority="98" stopIfTrue="1"/>
    <cfRule type="duplicateValues" dxfId="747" priority="99" stopIfTrue="1"/>
  </conditionalFormatting>
  <conditionalFormatting sqref="C218">
    <cfRule type="duplicateValues" dxfId="746" priority="97" stopIfTrue="1"/>
  </conditionalFormatting>
  <conditionalFormatting sqref="C256">
    <cfRule type="duplicateValues" dxfId="745" priority="95" stopIfTrue="1"/>
    <cfRule type="duplicateValues" dxfId="744" priority="96" stopIfTrue="1"/>
  </conditionalFormatting>
  <conditionalFormatting sqref="C256">
    <cfRule type="duplicateValues" dxfId="743" priority="94" stopIfTrue="1"/>
  </conditionalFormatting>
  <conditionalFormatting sqref="C219">
    <cfRule type="duplicateValues" dxfId="742" priority="92" stopIfTrue="1"/>
    <cfRule type="duplicateValues" dxfId="741" priority="93" stopIfTrue="1"/>
  </conditionalFormatting>
  <conditionalFormatting sqref="C219">
    <cfRule type="duplicateValues" dxfId="740" priority="91" stopIfTrue="1"/>
  </conditionalFormatting>
  <conditionalFormatting sqref="C220">
    <cfRule type="duplicateValues" dxfId="739" priority="89" stopIfTrue="1"/>
    <cfRule type="duplicateValues" dxfId="738" priority="90" stopIfTrue="1"/>
  </conditionalFormatting>
  <conditionalFormatting sqref="C220">
    <cfRule type="duplicateValues" dxfId="737" priority="88" stopIfTrue="1"/>
  </conditionalFormatting>
  <conditionalFormatting sqref="C261">
    <cfRule type="duplicateValues" dxfId="736" priority="86" stopIfTrue="1"/>
    <cfRule type="duplicateValues" dxfId="735" priority="87" stopIfTrue="1"/>
  </conditionalFormatting>
  <conditionalFormatting sqref="C261">
    <cfRule type="duplicateValues" dxfId="734" priority="85" stopIfTrue="1"/>
  </conditionalFormatting>
  <conditionalFormatting sqref="C223">
    <cfRule type="duplicateValues" dxfId="733" priority="83" stopIfTrue="1"/>
    <cfRule type="duplicateValues" dxfId="732" priority="84" stopIfTrue="1"/>
  </conditionalFormatting>
  <conditionalFormatting sqref="C223">
    <cfRule type="duplicateValues" dxfId="731" priority="82" stopIfTrue="1"/>
  </conditionalFormatting>
  <conditionalFormatting sqref="C226">
    <cfRule type="duplicateValues" dxfId="730" priority="80" stopIfTrue="1"/>
    <cfRule type="duplicateValues" dxfId="729" priority="81" stopIfTrue="1"/>
  </conditionalFormatting>
  <conditionalFormatting sqref="C226">
    <cfRule type="duplicateValues" dxfId="728" priority="79" stopIfTrue="1"/>
  </conditionalFormatting>
  <conditionalFormatting sqref="C199">
    <cfRule type="duplicateValues" dxfId="727" priority="77" stopIfTrue="1"/>
    <cfRule type="duplicateValues" dxfId="726" priority="78" stopIfTrue="1"/>
  </conditionalFormatting>
  <conditionalFormatting sqref="C199">
    <cfRule type="duplicateValues" dxfId="725" priority="76" stopIfTrue="1"/>
  </conditionalFormatting>
  <conditionalFormatting sqref="C257">
    <cfRule type="duplicateValues" dxfId="724" priority="74" stopIfTrue="1"/>
    <cfRule type="duplicateValues" dxfId="723" priority="75" stopIfTrue="1"/>
  </conditionalFormatting>
  <conditionalFormatting sqref="C257">
    <cfRule type="duplicateValues" dxfId="722" priority="73" stopIfTrue="1"/>
  </conditionalFormatting>
  <conditionalFormatting sqref="C249">
    <cfRule type="duplicateValues" dxfId="721" priority="71" stopIfTrue="1"/>
    <cfRule type="duplicateValues" dxfId="720" priority="72" stopIfTrue="1"/>
  </conditionalFormatting>
  <conditionalFormatting sqref="C249">
    <cfRule type="duplicateValues" dxfId="719" priority="70" stopIfTrue="1"/>
  </conditionalFormatting>
  <conditionalFormatting sqref="C221">
    <cfRule type="duplicateValues" dxfId="718" priority="68" stopIfTrue="1"/>
    <cfRule type="duplicateValues" dxfId="717" priority="69" stopIfTrue="1"/>
  </conditionalFormatting>
  <conditionalFormatting sqref="C221">
    <cfRule type="duplicateValues" dxfId="716" priority="67" stopIfTrue="1"/>
  </conditionalFormatting>
  <conditionalFormatting sqref="C236">
    <cfRule type="duplicateValues" dxfId="715" priority="65" stopIfTrue="1"/>
    <cfRule type="duplicateValues" dxfId="714" priority="66" stopIfTrue="1"/>
  </conditionalFormatting>
  <conditionalFormatting sqref="C236">
    <cfRule type="duplicateValues" dxfId="713" priority="64" stopIfTrue="1"/>
  </conditionalFormatting>
  <conditionalFormatting sqref="C238">
    <cfRule type="duplicateValues" dxfId="712" priority="62" stopIfTrue="1"/>
    <cfRule type="duplicateValues" dxfId="711" priority="63" stopIfTrue="1"/>
  </conditionalFormatting>
  <conditionalFormatting sqref="C238">
    <cfRule type="duplicateValues" dxfId="710" priority="61" stopIfTrue="1"/>
  </conditionalFormatting>
  <conditionalFormatting sqref="C240">
    <cfRule type="duplicateValues" dxfId="709" priority="59" stopIfTrue="1"/>
    <cfRule type="duplicateValues" dxfId="708" priority="60" stopIfTrue="1"/>
  </conditionalFormatting>
  <conditionalFormatting sqref="C240">
    <cfRule type="duplicateValues" dxfId="707" priority="58" stopIfTrue="1"/>
  </conditionalFormatting>
  <conditionalFormatting sqref="C241">
    <cfRule type="duplicateValues" dxfId="706" priority="56" stopIfTrue="1"/>
    <cfRule type="duplicateValues" dxfId="705" priority="57" stopIfTrue="1"/>
  </conditionalFormatting>
  <conditionalFormatting sqref="C241">
    <cfRule type="duplicateValues" dxfId="704" priority="55" stopIfTrue="1"/>
  </conditionalFormatting>
  <conditionalFormatting sqref="C242">
    <cfRule type="duplicateValues" dxfId="703" priority="53" stopIfTrue="1"/>
    <cfRule type="duplicateValues" dxfId="702" priority="54" stopIfTrue="1"/>
  </conditionalFormatting>
  <conditionalFormatting sqref="C242">
    <cfRule type="duplicateValues" dxfId="701" priority="52" stopIfTrue="1"/>
  </conditionalFormatting>
  <conditionalFormatting sqref="C243">
    <cfRule type="duplicateValues" dxfId="700" priority="50" stopIfTrue="1"/>
    <cfRule type="duplicateValues" dxfId="699" priority="51" stopIfTrue="1"/>
  </conditionalFormatting>
  <conditionalFormatting sqref="C243">
    <cfRule type="duplicateValues" dxfId="698" priority="49" stopIfTrue="1"/>
  </conditionalFormatting>
  <conditionalFormatting sqref="C244">
    <cfRule type="duplicateValues" dxfId="697" priority="47" stopIfTrue="1"/>
    <cfRule type="duplicateValues" dxfId="696" priority="48" stopIfTrue="1"/>
  </conditionalFormatting>
  <conditionalFormatting sqref="C244">
    <cfRule type="duplicateValues" dxfId="695" priority="46" stopIfTrue="1"/>
  </conditionalFormatting>
  <conditionalFormatting sqref="C245">
    <cfRule type="duplicateValues" dxfId="694" priority="44" stopIfTrue="1"/>
    <cfRule type="duplicateValues" dxfId="693" priority="45" stopIfTrue="1"/>
  </conditionalFormatting>
  <conditionalFormatting sqref="C245">
    <cfRule type="duplicateValues" dxfId="692" priority="43" stopIfTrue="1"/>
  </conditionalFormatting>
  <conditionalFormatting sqref="C3">
    <cfRule type="duplicateValues" dxfId="691" priority="42"/>
  </conditionalFormatting>
  <conditionalFormatting sqref="C246">
    <cfRule type="duplicateValues" dxfId="690" priority="40" stopIfTrue="1"/>
    <cfRule type="duplicateValues" dxfId="689" priority="41" stopIfTrue="1"/>
  </conditionalFormatting>
  <conditionalFormatting sqref="C246">
    <cfRule type="duplicateValues" dxfId="688" priority="39" stopIfTrue="1"/>
  </conditionalFormatting>
  <conditionalFormatting sqref="C198">
    <cfRule type="duplicateValues" dxfId="687" priority="37" stopIfTrue="1"/>
    <cfRule type="duplicateValues" dxfId="686" priority="38" stopIfTrue="1"/>
  </conditionalFormatting>
  <conditionalFormatting sqref="C198">
    <cfRule type="duplicateValues" dxfId="685" priority="36" stopIfTrue="1"/>
  </conditionalFormatting>
  <conditionalFormatting sqref="C210">
    <cfRule type="duplicateValues" dxfId="684" priority="35"/>
  </conditionalFormatting>
  <conditionalFormatting sqref="C186">
    <cfRule type="duplicateValues" dxfId="683" priority="34"/>
  </conditionalFormatting>
  <conditionalFormatting sqref="C251 C360:C1048576 C229:C249 C1:C5 C198:C200 C194 C202 C206:C226 C261:C265 C255:C259 C185:C186">
    <cfRule type="duplicateValues" dxfId="682" priority="33"/>
  </conditionalFormatting>
  <conditionalFormatting sqref="C255:C259 C261:C265 C198:C200 C194 C202 C206:C226 C185:C186">
    <cfRule type="duplicateValues" dxfId="681" priority="32"/>
  </conditionalFormatting>
  <conditionalFormatting sqref="C232:C233 C200 C262:C264">
    <cfRule type="duplicateValues" dxfId="680" priority="30" stopIfTrue="1"/>
    <cfRule type="duplicateValues" dxfId="679" priority="31" stopIfTrue="1"/>
  </conditionalFormatting>
  <conditionalFormatting sqref="C232:C233 C200 C262:C264">
    <cfRule type="duplicateValues" dxfId="678" priority="29" stopIfTrue="1"/>
  </conditionalFormatting>
  <conditionalFormatting sqref="C232:C233 C262:C264 C200">
    <cfRule type="duplicateValues" dxfId="677" priority="27" stopIfTrue="1"/>
    <cfRule type="duplicateValues" dxfId="676" priority="28" stopIfTrue="1"/>
  </conditionalFormatting>
  <conditionalFormatting sqref="C232:C233 C262:C264 C200">
    <cfRule type="duplicateValues" dxfId="675" priority="26" stopIfTrue="1"/>
  </conditionalFormatting>
  <conditionalFormatting sqref="C185">
    <cfRule type="duplicateValues" dxfId="674" priority="24" stopIfTrue="1"/>
    <cfRule type="duplicateValues" dxfId="673" priority="25" stopIfTrue="1"/>
  </conditionalFormatting>
  <conditionalFormatting sqref="C185">
    <cfRule type="duplicateValues" dxfId="672" priority="23" stopIfTrue="1"/>
  </conditionalFormatting>
  <conditionalFormatting sqref="C265 C196 C208:C210 C206 C198:C200 C212:C226 C202:C204 C194 C186">
    <cfRule type="duplicateValues" dxfId="671" priority="21" stopIfTrue="1"/>
    <cfRule type="duplicateValues" dxfId="670" priority="22" stopIfTrue="1"/>
  </conditionalFormatting>
  <conditionalFormatting sqref="C265 C196 C208:C210 C206 C198:C200 C212:C226 C202:C204 C194 C186">
    <cfRule type="duplicateValues" dxfId="669" priority="20" stopIfTrue="1"/>
  </conditionalFormatting>
  <conditionalFormatting sqref="C196 C194 C185:C186">
    <cfRule type="duplicateValues" dxfId="668" priority="18" stopIfTrue="1"/>
    <cfRule type="duplicateValues" dxfId="667" priority="19" stopIfTrue="1"/>
  </conditionalFormatting>
  <conditionalFormatting sqref="C196 C194 C185:C186">
    <cfRule type="duplicateValues" dxfId="666" priority="17" stopIfTrue="1"/>
  </conditionalFormatting>
  <conditionalFormatting sqref="C196 C194 C186">
    <cfRule type="duplicateValues" dxfId="665" priority="15" stopIfTrue="1"/>
    <cfRule type="duplicateValues" dxfId="664" priority="16" stopIfTrue="1"/>
  </conditionalFormatting>
  <conditionalFormatting sqref="C196 C194 C186">
    <cfRule type="duplicateValues" dxfId="663" priority="14" stopIfTrue="1"/>
  </conditionalFormatting>
  <conditionalFormatting sqref="C261:C265 C212:C226 C208:C210 C206 C198:C200 C196 C202:C204 C194 C185:C186">
    <cfRule type="duplicateValues" dxfId="662" priority="12" stopIfTrue="1"/>
    <cfRule type="duplicateValues" dxfId="661" priority="13" stopIfTrue="1"/>
  </conditionalFormatting>
  <conditionalFormatting sqref="C261:C265 C212:C226 C208:C210 C206 C198:C200 C196 C202:C204 C194 C185:C186">
    <cfRule type="duplicateValues" dxfId="660" priority="11" stopIfTrue="1"/>
  </conditionalFormatting>
  <conditionalFormatting sqref="C186">
    <cfRule type="duplicateValues" dxfId="659" priority="9" stopIfTrue="1"/>
    <cfRule type="duplicateValues" dxfId="658" priority="10" stopIfTrue="1"/>
  </conditionalFormatting>
  <conditionalFormatting sqref="C194 C240:C245 C229:C230 C236:C238 C186">
    <cfRule type="duplicateValues" dxfId="657" priority="7" stopIfTrue="1"/>
    <cfRule type="duplicateValues" dxfId="656" priority="8" stopIfTrue="1"/>
  </conditionalFormatting>
  <conditionalFormatting sqref="C194 C240:C245 C229:C230 C236:C238 C186">
    <cfRule type="duplicateValues" dxfId="655" priority="6" stopIfTrue="1"/>
  </conditionalFormatting>
  <conditionalFormatting sqref="C194 C240:C245 C360:C1048576 C247:C249 C198:C200 C1:C2 C4:C5 C211:C224 C261:C265 C255:C259 C206:C209 C226 C236:C238 C229:C233 C186">
    <cfRule type="duplicateValues" dxfId="654" priority="5"/>
  </conditionalFormatting>
  <conditionalFormatting sqref="C194 C261:C265 C360:C1048576 C1:C5 C255:C259 C198:C200 C206:C209 C229:C233 C236:C238 C211:C224 C240:C249 C226 C186">
    <cfRule type="duplicateValues" dxfId="653" priority="4"/>
  </conditionalFormatting>
  <conditionalFormatting sqref="C174:C175 C177:C183 C168:C172">
    <cfRule type="duplicateValues" dxfId="652" priority="2" stopIfTrue="1"/>
    <cfRule type="duplicateValues" dxfId="651" priority="3" stopIfTrue="1"/>
  </conditionalFormatting>
  <conditionalFormatting sqref="C174:C175 C177:C183 C168:C172">
    <cfRule type="duplicateValues" dxfId="650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3:O264"/>
  <sheetViews>
    <sheetView topLeftCell="A12" workbookViewId="0">
      <selection activeCell="C12" sqref="C12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956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96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277">
        <v>7479.78</v>
      </c>
      <c r="I6" s="159">
        <v>10</v>
      </c>
      <c r="J6" s="97">
        <f t="shared" ref="J6:J17" si="0">G6-I6</f>
        <v>40</v>
      </c>
      <c r="K6" s="91">
        <f t="shared" ref="K6:K14" si="1">I6*H6</f>
        <v>74797.8</v>
      </c>
      <c r="L6" s="94">
        <f t="shared" ref="L6:L37" si="2">F6-K6</f>
        <v>299191.2</v>
      </c>
      <c r="M6" s="11"/>
      <c r="N6" s="180" t="e">
        <f>#REF!-H6</f>
        <v>#REF!</v>
      </c>
    </row>
    <row r="7" spans="1:14" s="114" customFormat="1">
      <c r="A7" s="96">
        <v>2</v>
      </c>
      <c r="B7" s="11" t="s">
        <v>895</v>
      </c>
      <c r="C7" s="123" t="s">
        <v>918</v>
      </c>
      <c r="D7" s="19">
        <v>450000</v>
      </c>
      <c r="E7" s="19">
        <v>59985</v>
      </c>
      <c r="F7" s="19">
        <v>509985</v>
      </c>
      <c r="G7" s="159">
        <v>50</v>
      </c>
      <c r="H7" s="279">
        <v>10199.700000000001</v>
      </c>
      <c r="I7" s="159">
        <v>5</v>
      </c>
      <c r="J7" s="159">
        <f t="shared" si="0"/>
        <v>45</v>
      </c>
      <c r="K7" s="16">
        <f t="shared" si="1"/>
        <v>50998.5</v>
      </c>
      <c r="L7" s="94">
        <f t="shared" si="2"/>
        <v>458986.5</v>
      </c>
      <c r="M7" s="11"/>
    </row>
    <row r="8" spans="1:14" s="114" customFormat="1">
      <c r="A8" s="96">
        <v>3</v>
      </c>
      <c r="B8" s="8" t="s">
        <v>606</v>
      </c>
      <c r="C8" s="123" t="s">
        <v>952</v>
      </c>
      <c r="D8" s="19">
        <v>150000</v>
      </c>
      <c r="E8" s="19">
        <v>19995</v>
      </c>
      <c r="F8" s="19">
        <f>SUM(D8:E8)</f>
        <v>169995</v>
      </c>
      <c r="G8" s="159">
        <v>50</v>
      </c>
      <c r="H8" s="279">
        <v>3399.9</v>
      </c>
      <c r="I8" s="159">
        <v>3</v>
      </c>
      <c r="J8" s="97">
        <f t="shared" si="0"/>
        <v>47</v>
      </c>
      <c r="K8" s="91">
        <f t="shared" si="1"/>
        <v>10199.700000000001</v>
      </c>
      <c r="L8" s="94">
        <f t="shared" si="2"/>
        <v>159795.29999999999</v>
      </c>
      <c r="M8" s="11"/>
    </row>
    <row r="9" spans="1:14" s="114" customFormat="1">
      <c r="A9" s="96">
        <v>4</v>
      </c>
      <c r="B9" s="11" t="s">
        <v>653</v>
      </c>
      <c r="C9" s="11" t="s">
        <v>654</v>
      </c>
      <c r="D9" s="19">
        <v>330000</v>
      </c>
      <c r="E9" s="19">
        <v>43989</v>
      </c>
      <c r="F9" s="19">
        <f>SUM(D9:E9)</f>
        <v>373989</v>
      </c>
      <c r="G9" s="159">
        <v>50</v>
      </c>
      <c r="H9" s="279">
        <v>7479.78</v>
      </c>
      <c r="I9" s="96">
        <v>28</v>
      </c>
      <c r="J9" s="97">
        <f t="shared" si="0"/>
        <v>22</v>
      </c>
      <c r="K9" s="91">
        <f t="shared" si="1"/>
        <v>209433.84</v>
      </c>
      <c r="L9" s="94">
        <f t="shared" si="2"/>
        <v>164555.16</v>
      </c>
      <c r="M9" s="11"/>
      <c r="N9" s="180" t="e">
        <f>#REF!-H9</f>
        <v>#REF!</v>
      </c>
    </row>
    <row r="10" spans="1:14" s="114" customFormat="1">
      <c r="A10" s="96">
        <v>5</v>
      </c>
      <c r="B10" s="96" t="s">
        <v>528</v>
      </c>
      <c r="C10" s="11" t="s">
        <v>529</v>
      </c>
      <c r="D10" s="12">
        <v>500000</v>
      </c>
      <c r="E10" s="12">
        <v>66650</v>
      </c>
      <c r="F10" s="15">
        <f>SUM(D10:E10)</f>
        <v>566650</v>
      </c>
      <c r="G10" s="14">
        <v>50</v>
      </c>
      <c r="H10" s="278">
        <v>11333</v>
      </c>
      <c r="I10" s="14">
        <v>41</v>
      </c>
      <c r="J10" s="97">
        <f t="shared" si="0"/>
        <v>9</v>
      </c>
      <c r="K10" s="91">
        <f t="shared" si="1"/>
        <v>464653</v>
      </c>
      <c r="L10" s="15">
        <f t="shared" si="2"/>
        <v>101997</v>
      </c>
      <c r="M10" s="8"/>
      <c r="N10" s="180" t="e">
        <f>#REF!-H10</f>
        <v>#REF!</v>
      </c>
    </row>
    <row r="11" spans="1:14" s="114" customFormat="1">
      <c r="A11" s="96">
        <v>6</v>
      </c>
      <c r="B11" s="96" t="s">
        <v>692</v>
      </c>
      <c r="C11" s="11" t="s">
        <v>693</v>
      </c>
      <c r="D11" s="16">
        <v>330000</v>
      </c>
      <c r="E11" s="16">
        <v>43989</v>
      </c>
      <c r="F11" s="41">
        <f>SUM(D11:E11)</f>
        <v>373989</v>
      </c>
      <c r="G11" s="159">
        <v>50</v>
      </c>
      <c r="H11" s="278">
        <v>7478.78</v>
      </c>
      <c r="I11" s="159">
        <v>45</v>
      </c>
      <c r="J11" s="96">
        <f t="shared" si="0"/>
        <v>5</v>
      </c>
      <c r="K11" s="16">
        <f t="shared" si="1"/>
        <v>336545.1</v>
      </c>
      <c r="L11" s="41">
        <f t="shared" si="2"/>
        <v>37443.900000000023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640</v>
      </c>
      <c r="C12" s="11" t="s">
        <v>641</v>
      </c>
      <c r="D12" s="16">
        <v>500000</v>
      </c>
      <c r="E12" s="16">
        <v>66650</v>
      </c>
      <c r="F12" s="41">
        <f>SUM(D12:E12)</f>
        <v>566650</v>
      </c>
      <c r="G12" s="159">
        <v>50</v>
      </c>
      <c r="H12" s="278">
        <v>11333</v>
      </c>
      <c r="I12" s="96">
        <v>36</v>
      </c>
      <c r="J12" s="96">
        <f t="shared" si="0"/>
        <v>14</v>
      </c>
      <c r="K12" s="16">
        <f t="shared" si="1"/>
        <v>407988</v>
      </c>
      <c r="L12" s="41">
        <f t="shared" si="2"/>
        <v>158662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709</v>
      </c>
      <c r="C13" s="11" t="s">
        <v>710</v>
      </c>
      <c r="D13" s="19">
        <v>500000</v>
      </c>
      <c r="E13" s="19">
        <v>66650</v>
      </c>
      <c r="F13" s="19">
        <v>566650</v>
      </c>
      <c r="G13" s="159">
        <v>50</v>
      </c>
      <c r="H13" s="278">
        <v>11333</v>
      </c>
      <c r="I13" s="96">
        <v>22</v>
      </c>
      <c r="J13" s="96">
        <f t="shared" si="0"/>
        <v>28</v>
      </c>
      <c r="K13" s="16">
        <f t="shared" si="1"/>
        <v>249326</v>
      </c>
      <c r="L13" s="16">
        <f t="shared" si="2"/>
        <v>317324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696</v>
      </c>
      <c r="C14" s="11" t="s">
        <v>697</v>
      </c>
      <c r="D14" s="16">
        <v>500000</v>
      </c>
      <c r="E14" s="16">
        <v>66650</v>
      </c>
      <c r="F14" s="41">
        <f>SUM(D14:E14)</f>
        <v>566650</v>
      </c>
      <c r="G14" s="159">
        <v>50</v>
      </c>
      <c r="H14" s="278">
        <v>11333</v>
      </c>
      <c r="I14" s="96">
        <v>57</v>
      </c>
      <c r="J14" s="96">
        <f t="shared" si="0"/>
        <v>-7</v>
      </c>
      <c r="K14" s="16">
        <f t="shared" si="1"/>
        <v>645981</v>
      </c>
      <c r="L14" s="41">
        <f t="shared" si="2"/>
        <v>-79331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574</v>
      </c>
      <c r="C15" s="11" t="s">
        <v>575</v>
      </c>
      <c r="D15" s="16">
        <v>330000</v>
      </c>
      <c r="E15" s="16">
        <v>43989</v>
      </c>
      <c r="F15" s="41">
        <f>SUM(D15:E15)</f>
        <v>373989</v>
      </c>
      <c r="G15" s="159">
        <v>50</v>
      </c>
      <c r="H15" s="277">
        <v>7479.78</v>
      </c>
      <c r="I15" s="159">
        <v>45</v>
      </c>
      <c r="J15" s="97">
        <f t="shared" si="0"/>
        <v>5</v>
      </c>
      <c r="K15" s="91">
        <f>(32*7479.78)</f>
        <v>239352.95999999999</v>
      </c>
      <c r="L15" s="94">
        <f t="shared" si="2"/>
        <v>134636.04</v>
      </c>
      <c r="M15" s="11"/>
      <c r="N15" s="180" t="e">
        <f>#REF!-H15</f>
        <v>#REF!</v>
      </c>
    </row>
    <row r="16" spans="1:14" s="114" customFormat="1">
      <c r="A16" s="96">
        <v>11</v>
      </c>
      <c r="B16" s="96" t="s">
        <v>721</v>
      </c>
      <c r="C16" s="11" t="s">
        <v>722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78">
        <v>11333</v>
      </c>
      <c r="I16" s="97">
        <v>57</v>
      </c>
      <c r="J16" s="97">
        <f t="shared" si="0"/>
        <v>-7</v>
      </c>
      <c r="K16" s="91">
        <f t="shared" ref="K16:K29" si="3">I16*H16</f>
        <v>645981</v>
      </c>
      <c r="L16" s="94">
        <f t="shared" si="2"/>
        <v>-79331</v>
      </c>
      <c r="M16" s="11"/>
      <c r="N16" s="180" t="e">
        <f>#REF!-H16</f>
        <v>#REF!</v>
      </c>
    </row>
    <row r="17" spans="1:14" s="114" customFormat="1">
      <c r="A17" s="96">
        <v>12</v>
      </c>
      <c r="B17" s="11" t="s">
        <v>945</v>
      </c>
      <c r="C17" s="123" t="s">
        <v>946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279">
        <v>11333</v>
      </c>
      <c r="I17" s="159">
        <v>5</v>
      </c>
      <c r="J17" s="159">
        <f t="shared" si="0"/>
        <v>45</v>
      </c>
      <c r="K17" s="16">
        <f t="shared" si="3"/>
        <v>56665</v>
      </c>
      <c r="L17" s="94">
        <f t="shared" si="2"/>
        <v>509985</v>
      </c>
      <c r="M17" s="11"/>
      <c r="N17" s="180" t="e">
        <f>#REF!-H17</f>
        <v>#REF!</v>
      </c>
    </row>
    <row r="18" spans="1:14" s="114" customFormat="1">
      <c r="A18" s="96">
        <v>13</v>
      </c>
      <c r="B18" s="126" t="s">
        <v>884</v>
      </c>
      <c r="C18" s="8" t="s">
        <v>906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286">
        <v>11333</v>
      </c>
      <c r="I18" s="159">
        <v>5</v>
      </c>
      <c r="J18" s="97">
        <f t="shared" ref="J18:J27" si="4">G18-I18</f>
        <v>45</v>
      </c>
      <c r="K18" s="16">
        <f t="shared" si="3"/>
        <v>56665</v>
      </c>
      <c r="L18" s="94">
        <f t="shared" si="2"/>
        <v>509985</v>
      </c>
      <c r="M18" s="8"/>
    </row>
    <row r="19" spans="1:14" s="114" customFormat="1">
      <c r="A19" s="96">
        <v>14</v>
      </c>
      <c r="B19" s="96" t="s">
        <v>649</v>
      </c>
      <c r="C19" s="11" t="s">
        <v>650</v>
      </c>
      <c r="D19" s="16">
        <v>450000</v>
      </c>
      <c r="E19" s="16">
        <v>59985</v>
      </c>
      <c r="F19" s="16">
        <v>509985</v>
      </c>
      <c r="G19" s="159">
        <v>50</v>
      </c>
      <c r="H19" s="278">
        <v>10199.700000000001</v>
      </c>
      <c r="I19" s="97">
        <v>21</v>
      </c>
      <c r="J19" s="97">
        <f t="shared" si="4"/>
        <v>29</v>
      </c>
      <c r="K19" s="91">
        <f t="shared" si="3"/>
        <v>214193.7</v>
      </c>
      <c r="L19" s="91">
        <f t="shared" si="2"/>
        <v>295791.3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617</v>
      </c>
      <c r="C20" s="11" t="s">
        <v>618</v>
      </c>
      <c r="D20" s="16">
        <v>450000</v>
      </c>
      <c r="E20" s="16">
        <v>59985</v>
      </c>
      <c r="F20" s="16">
        <v>509985</v>
      </c>
      <c r="G20" s="159">
        <v>50</v>
      </c>
      <c r="H20" s="278">
        <v>10199.700000000001</v>
      </c>
      <c r="I20" s="97">
        <v>36</v>
      </c>
      <c r="J20" s="97">
        <f t="shared" si="4"/>
        <v>14</v>
      </c>
      <c r="K20" s="91">
        <f t="shared" si="3"/>
        <v>367189.2</v>
      </c>
      <c r="L20" s="94">
        <f t="shared" si="2"/>
        <v>142795.79999999999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505</v>
      </c>
      <c r="C21" s="11" t="s">
        <v>506</v>
      </c>
      <c r="D21" s="16">
        <v>500000</v>
      </c>
      <c r="E21" s="16">
        <v>66650</v>
      </c>
      <c r="F21" s="41">
        <f>SUM(D21:E21)</f>
        <v>566650</v>
      </c>
      <c r="G21" s="159">
        <v>50</v>
      </c>
      <c r="H21" s="278">
        <v>11333</v>
      </c>
      <c r="I21" s="97">
        <v>36</v>
      </c>
      <c r="J21" s="97">
        <f t="shared" si="4"/>
        <v>14</v>
      </c>
      <c r="K21" s="91">
        <f t="shared" si="3"/>
        <v>407988</v>
      </c>
      <c r="L21" s="94">
        <f t="shared" si="2"/>
        <v>158662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659</v>
      </c>
      <c r="C22" s="11" t="s">
        <v>660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78">
        <v>11333</v>
      </c>
      <c r="I22" s="97">
        <v>46</v>
      </c>
      <c r="J22" s="97">
        <f t="shared" si="4"/>
        <v>4</v>
      </c>
      <c r="K22" s="91">
        <f t="shared" si="3"/>
        <v>521318</v>
      </c>
      <c r="L22" s="94">
        <f t="shared" si="2"/>
        <v>45332</v>
      </c>
      <c r="M22" s="11" t="s">
        <v>276</v>
      </c>
      <c r="N22" s="180" t="e">
        <f>#REF!-H22</f>
        <v>#REF!</v>
      </c>
    </row>
    <row r="23" spans="1:14" s="114" customFormat="1">
      <c r="A23" s="96">
        <v>18</v>
      </c>
      <c r="B23" s="96" t="s">
        <v>559</v>
      </c>
      <c r="C23" s="11" t="s">
        <v>560</v>
      </c>
      <c r="D23" s="16">
        <v>500000</v>
      </c>
      <c r="E23" s="16">
        <v>66650</v>
      </c>
      <c r="F23" s="16">
        <v>566650</v>
      </c>
      <c r="G23" s="159">
        <v>50</v>
      </c>
      <c r="H23" s="280">
        <v>11333</v>
      </c>
      <c r="I23" s="96">
        <v>10</v>
      </c>
      <c r="J23" s="97">
        <f t="shared" si="4"/>
        <v>40</v>
      </c>
      <c r="K23" s="91">
        <f t="shared" si="3"/>
        <v>113330</v>
      </c>
      <c r="L23" s="94">
        <f t="shared" si="2"/>
        <v>453320</v>
      </c>
      <c r="M23" s="123"/>
      <c r="N23" s="180" t="e">
        <f>#REF!-H23</f>
        <v>#REF!</v>
      </c>
    </row>
    <row r="24" spans="1:14" s="114" customFormat="1">
      <c r="A24" s="96">
        <v>19</v>
      </c>
      <c r="B24" s="96" t="s">
        <v>690</v>
      </c>
      <c r="C24" s="11" t="s">
        <v>691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78">
        <v>11333</v>
      </c>
      <c r="I24" s="159">
        <v>8</v>
      </c>
      <c r="J24" s="97">
        <f t="shared" si="4"/>
        <v>42</v>
      </c>
      <c r="K24" s="91">
        <f t="shared" si="3"/>
        <v>90664</v>
      </c>
      <c r="L24" s="94">
        <f t="shared" si="2"/>
        <v>475986</v>
      </c>
      <c r="M24" s="11"/>
      <c r="N24" s="180" t="e">
        <f>#REF!-H24</f>
        <v>#REF!</v>
      </c>
    </row>
    <row r="25" spans="1:14" s="114" customFormat="1">
      <c r="A25" s="96">
        <v>20</v>
      </c>
      <c r="B25" s="96" t="s">
        <v>581</v>
      </c>
      <c r="C25" s="11" t="s">
        <v>582</v>
      </c>
      <c r="D25" s="16">
        <v>330000</v>
      </c>
      <c r="E25" s="16">
        <v>43989</v>
      </c>
      <c r="F25" s="41">
        <f>SUM(D25:E25)</f>
        <v>373989</v>
      </c>
      <c r="G25" s="159">
        <v>50</v>
      </c>
      <c r="H25" s="278">
        <v>7479.78</v>
      </c>
      <c r="I25" s="97">
        <v>57</v>
      </c>
      <c r="J25" s="97">
        <f t="shared" si="4"/>
        <v>-7</v>
      </c>
      <c r="K25" s="91">
        <f t="shared" si="3"/>
        <v>426347.45999999996</v>
      </c>
      <c r="L25" s="94">
        <f t="shared" si="2"/>
        <v>-52358.459999999963</v>
      </c>
      <c r="M25" s="11"/>
      <c r="N25" s="180" t="e">
        <f>#REF!-H25</f>
        <v>#REF!</v>
      </c>
    </row>
    <row r="26" spans="1:14" s="114" customFormat="1">
      <c r="A26" s="96">
        <v>21</v>
      </c>
      <c r="B26" s="96" t="s">
        <v>567</v>
      </c>
      <c r="C26" s="11" t="s">
        <v>568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278">
        <v>7479.78</v>
      </c>
      <c r="I26" s="97">
        <v>57</v>
      </c>
      <c r="J26" s="97">
        <f t="shared" si="4"/>
        <v>-7</v>
      </c>
      <c r="K26" s="91">
        <f t="shared" si="3"/>
        <v>426347.45999999996</v>
      </c>
      <c r="L26" s="94">
        <f t="shared" si="2"/>
        <v>-52358.459999999963</v>
      </c>
      <c r="M26" s="11"/>
      <c r="N26" s="180" t="e">
        <f>#REF!-H26</f>
        <v>#REF!</v>
      </c>
    </row>
    <row r="27" spans="1:14" s="114" customFormat="1">
      <c r="A27" s="96">
        <v>22</v>
      </c>
      <c r="B27" s="126" t="s">
        <v>939</v>
      </c>
      <c r="C27" s="8" t="s">
        <v>940</v>
      </c>
      <c r="D27" s="19">
        <v>330000</v>
      </c>
      <c r="E27" s="19">
        <v>43989</v>
      </c>
      <c r="F27" s="19">
        <f>SUM(D27:E27)</f>
        <v>373989</v>
      </c>
      <c r="G27" s="159">
        <v>50</v>
      </c>
      <c r="H27" s="286">
        <v>7479.78</v>
      </c>
      <c r="I27" s="159">
        <v>2</v>
      </c>
      <c r="J27" s="159">
        <f t="shared" si="4"/>
        <v>48</v>
      </c>
      <c r="K27" s="16">
        <f t="shared" si="3"/>
        <v>14959.56</v>
      </c>
      <c r="L27" s="94">
        <f t="shared" si="2"/>
        <v>359029.44</v>
      </c>
      <c r="M27" s="8"/>
    </row>
    <row r="28" spans="1:14" s="114" customFormat="1">
      <c r="A28" s="96">
        <v>23</v>
      </c>
      <c r="B28" s="96" t="s">
        <v>726</v>
      </c>
      <c r="C28" s="11" t="s">
        <v>727</v>
      </c>
      <c r="D28" s="19">
        <v>500000</v>
      </c>
      <c r="E28" s="19">
        <v>66650</v>
      </c>
      <c r="F28" s="19">
        <v>566650</v>
      </c>
      <c r="G28" s="159">
        <v>50</v>
      </c>
      <c r="H28" s="278">
        <v>11333</v>
      </c>
      <c r="I28" s="97">
        <v>22</v>
      </c>
      <c r="J28" s="97">
        <f t="shared" ref="J28:J35" si="5">G28-I28</f>
        <v>28</v>
      </c>
      <c r="K28" s="91">
        <f t="shared" si="3"/>
        <v>249326</v>
      </c>
      <c r="L28" s="91">
        <f t="shared" si="2"/>
        <v>317324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680</v>
      </c>
      <c r="C29" s="11" t="s">
        <v>681</v>
      </c>
      <c r="D29" s="19">
        <v>500000</v>
      </c>
      <c r="E29" s="19">
        <v>66650</v>
      </c>
      <c r="F29" s="19">
        <v>566650</v>
      </c>
      <c r="G29" s="159">
        <v>50</v>
      </c>
      <c r="H29" s="278">
        <v>11333</v>
      </c>
      <c r="I29" s="97">
        <v>22</v>
      </c>
      <c r="J29" s="97">
        <f t="shared" si="5"/>
        <v>28</v>
      </c>
      <c r="K29" s="91">
        <f t="shared" si="3"/>
        <v>249326</v>
      </c>
      <c r="L29" s="91">
        <f t="shared" si="2"/>
        <v>317324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576</v>
      </c>
      <c r="C30" s="11" t="s">
        <v>927</v>
      </c>
      <c r="D30" s="16">
        <v>60000</v>
      </c>
      <c r="E30" s="16">
        <v>7998</v>
      </c>
      <c r="F30" s="41">
        <f t="shared" ref="F30:F35" si="6">SUM(D30:E30)</f>
        <v>67998</v>
      </c>
      <c r="G30" s="159">
        <v>40</v>
      </c>
      <c r="H30" s="278">
        <v>1699.95</v>
      </c>
      <c r="I30" s="97">
        <v>11</v>
      </c>
      <c r="J30" s="97">
        <f t="shared" si="5"/>
        <v>29</v>
      </c>
      <c r="K30" s="91"/>
      <c r="L30" s="94">
        <f t="shared" si="2"/>
        <v>67998</v>
      </c>
      <c r="M30" s="11"/>
      <c r="N30" s="180" t="e">
        <f>#REF!-H30</f>
        <v>#REF!</v>
      </c>
    </row>
    <row r="31" spans="1:14" s="114" customFormat="1">
      <c r="A31" s="96">
        <v>26</v>
      </c>
      <c r="B31" s="96" t="s">
        <v>949</v>
      </c>
      <c r="C31" s="11" t="s">
        <v>950</v>
      </c>
      <c r="D31" s="16">
        <v>500000</v>
      </c>
      <c r="E31" s="16">
        <v>66650</v>
      </c>
      <c r="F31" s="41">
        <f t="shared" si="6"/>
        <v>566650</v>
      </c>
      <c r="G31" s="159">
        <v>50</v>
      </c>
      <c r="H31" s="278">
        <v>11333</v>
      </c>
      <c r="I31" s="97">
        <v>35</v>
      </c>
      <c r="J31" s="97">
        <f t="shared" si="5"/>
        <v>15</v>
      </c>
      <c r="K31" s="91">
        <f>I31*H31</f>
        <v>396655</v>
      </c>
      <c r="L31" s="94">
        <f t="shared" si="2"/>
        <v>169995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588</v>
      </c>
      <c r="C32" s="11" t="s">
        <v>589</v>
      </c>
      <c r="D32" s="16">
        <v>500000</v>
      </c>
      <c r="E32" s="16">
        <v>66650</v>
      </c>
      <c r="F32" s="41">
        <f t="shared" si="6"/>
        <v>566650</v>
      </c>
      <c r="G32" s="159">
        <v>50</v>
      </c>
      <c r="H32" s="278">
        <v>11333</v>
      </c>
      <c r="I32" s="97">
        <v>45</v>
      </c>
      <c r="J32" s="97">
        <f t="shared" si="5"/>
        <v>5</v>
      </c>
      <c r="K32" s="91">
        <f>I32*H32</f>
        <v>509985</v>
      </c>
      <c r="L32" s="94">
        <f t="shared" si="2"/>
        <v>56665</v>
      </c>
      <c r="M32" s="11"/>
      <c r="N32" s="180" t="e">
        <f>#REF!-H32</f>
        <v>#REF!</v>
      </c>
    </row>
    <row r="33" spans="1:14" s="114" customFormat="1">
      <c r="A33" s="96">
        <v>28</v>
      </c>
      <c r="B33" s="96" t="s">
        <v>532</v>
      </c>
      <c r="C33" s="11" t="s">
        <v>533</v>
      </c>
      <c r="D33" s="16">
        <v>500000</v>
      </c>
      <c r="E33" s="16">
        <v>66650</v>
      </c>
      <c r="F33" s="41">
        <f t="shared" si="6"/>
        <v>566650</v>
      </c>
      <c r="G33" s="159">
        <v>50</v>
      </c>
      <c r="H33" s="278">
        <v>11333</v>
      </c>
      <c r="I33" s="97">
        <v>45</v>
      </c>
      <c r="J33" s="97">
        <f t="shared" si="5"/>
        <v>5</v>
      </c>
      <c r="K33" s="91">
        <f>I33*H33</f>
        <v>509985</v>
      </c>
      <c r="L33" s="94">
        <f t="shared" si="2"/>
        <v>56665</v>
      </c>
      <c r="M33" s="11"/>
    </row>
    <row r="34" spans="1:14" s="114" customFormat="1">
      <c r="A34" s="96">
        <v>29</v>
      </c>
      <c r="B34" s="96" t="s">
        <v>633</v>
      </c>
      <c r="C34" s="11" t="s">
        <v>634</v>
      </c>
      <c r="D34" s="19">
        <v>150000</v>
      </c>
      <c r="E34" s="19">
        <v>19995</v>
      </c>
      <c r="F34" s="19">
        <f t="shared" si="6"/>
        <v>169995</v>
      </c>
      <c r="G34" s="159">
        <v>50</v>
      </c>
      <c r="H34" s="281">
        <v>3399.9</v>
      </c>
      <c r="I34" s="101">
        <v>10</v>
      </c>
      <c r="J34" s="97">
        <f t="shared" si="5"/>
        <v>40</v>
      </c>
      <c r="K34" s="91">
        <f>I34*H34</f>
        <v>33999</v>
      </c>
      <c r="L34" s="94">
        <f t="shared" si="2"/>
        <v>135996</v>
      </c>
      <c r="M34" s="8"/>
    </row>
    <row r="35" spans="1:14" s="114" customFormat="1">
      <c r="A35" s="96">
        <v>30</v>
      </c>
      <c r="B35" s="126" t="s">
        <v>947</v>
      </c>
      <c r="C35" s="8" t="s">
        <v>948</v>
      </c>
      <c r="D35" s="16">
        <v>500000</v>
      </c>
      <c r="E35" s="16">
        <v>66650</v>
      </c>
      <c r="F35" s="41">
        <f t="shared" si="6"/>
        <v>566650</v>
      </c>
      <c r="G35" s="159">
        <v>50</v>
      </c>
      <c r="H35" s="286">
        <v>11333</v>
      </c>
      <c r="I35" s="159">
        <v>2</v>
      </c>
      <c r="J35" s="159">
        <f t="shared" si="5"/>
        <v>48</v>
      </c>
      <c r="K35" s="16">
        <f>I35*H35</f>
        <v>22666</v>
      </c>
      <c r="L35" s="94">
        <f t="shared" si="2"/>
        <v>543984</v>
      </c>
      <c r="M35" s="8"/>
    </row>
    <row r="36" spans="1:14" s="114" customFormat="1">
      <c r="A36" s="96">
        <v>31</v>
      </c>
      <c r="B36" s="96" t="s">
        <v>534</v>
      </c>
      <c r="C36" s="11" t="s">
        <v>535</v>
      </c>
      <c r="D36" s="16">
        <v>450000</v>
      </c>
      <c r="E36" s="16">
        <v>59985</v>
      </c>
      <c r="F36" s="16">
        <v>509985</v>
      </c>
      <c r="G36" s="159">
        <v>50</v>
      </c>
      <c r="H36" s="278">
        <v>10199.700000000001</v>
      </c>
      <c r="I36" s="97">
        <v>14</v>
      </c>
      <c r="J36" s="97">
        <f t="shared" ref="J36:J67" si="7">G36-I36</f>
        <v>36</v>
      </c>
      <c r="K36" s="91">
        <f>(1*10199.7)</f>
        <v>10199.700000000001</v>
      </c>
      <c r="L36" s="94">
        <f t="shared" si="2"/>
        <v>499785.3</v>
      </c>
      <c r="M36" s="11"/>
      <c r="N36" s="180" t="e">
        <f>#REF!-H36</f>
        <v>#REF!</v>
      </c>
    </row>
    <row r="37" spans="1:14" s="114" customFormat="1">
      <c r="A37" s="96">
        <v>32</v>
      </c>
      <c r="B37" s="96" t="s">
        <v>499</v>
      </c>
      <c r="C37" s="11" t="s">
        <v>500</v>
      </c>
      <c r="D37" s="16">
        <v>450000</v>
      </c>
      <c r="E37" s="16">
        <v>59985</v>
      </c>
      <c r="F37" s="41">
        <f>SUM(D37:E37)</f>
        <v>509985</v>
      </c>
      <c r="G37" s="159">
        <v>50</v>
      </c>
      <c r="H37" s="278">
        <v>11333</v>
      </c>
      <c r="I37" s="97">
        <v>25</v>
      </c>
      <c r="J37" s="97">
        <f t="shared" si="7"/>
        <v>25</v>
      </c>
      <c r="K37" s="91">
        <f t="shared" ref="K37:K68" si="8">I37*H37</f>
        <v>283325</v>
      </c>
      <c r="L37" s="94">
        <f t="shared" si="2"/>
        <v>226660</v>
      </c>
      <c r="M37" s="11"/>
      <c r="N37" s="180" t="e">
        <f>#REF!-H37</f>
        <v>#REF!</v>
      </c>
    </row>
    <row r="38" spans="1:14" s="114" customFormat="1">
      <c r="A38" s="96">
        <v>33</v>
      </c>
      <c r="B38" s="96" t="s">
        <v>572</v>
      </c>
      <c r="C38" s="11" t="s">
        <v>573</v>
      </c>
      <c r="D38" s="12">
        <v>150000</v>
      </c>
      <c r="E38" s="12">
        <v>19995</v>
      </c>
      <c r="F38" s="15">
        <f>SUM(D38:E38)</f>
        <v>169995</v>
      </c>
      <c r="G38" s="14">
        <v>50</v>
      </c>
      <c r="H38" s="278">
        <v>3399.9</v>
      </c>
      <c r="I38" s="14">
        <v>41</v>
      </c>
      <c r="J38" s="97">
        <f t="shared" si="7"/>
        <v>9</v>
      </c>
      <c r="K38" s="91">
        <f t="shared" si="8"/>
        <v>139395.9</v>
      </c>
      <c r="L38" s="15">
        <f t="shared" ref="L38:L69" si="9">F38-K38</f>
        <v>30599.100000000006</v>
      </c>
      <c r="M38" s="8"/>
      <c r="N38" s="180" t="e">
        <f>#REF!-H38</f>
        <v>#REF!</v>
      </c>
    </row>
    <row r="39" spans="1:14" s="114" customFormat="1">
      <c r="A39" s="96">
        <v>34</v>
      </c>
      <c r="B39" s="96" t="s">
        <v>626</v>
      </c>
      <c r="C39" s="11" t="s">
        <v>627</v>
      </c>
      <c r="D39" s="16">
        <v>330000</v>
      </c>
      <c r="E39" s="16">
        <v>43989</v>
      </c>
      <c r="F39" s="41">
        <f>SUM(D39:E39)</f>
        <v>373989</v>
      </c>
      <c r="G39" s="159">
        <v>50</v>
      </c>
      <c r="H39" s="278">
        <v>7479.78</v>
      </c>
      <c r="I39" s="97">
        <v>36</v>
      </c>
      <c r="J39" s="97">
        <f t="shared" si="7"/>
        <v>14</v>
      </c>
      <c r="K39" s="91">
        <f t="shared" si="8"/>
        <v>269272.08</v>
      </c>
      <c r="L39" s="94">
        <f t="shared" si="9"/>
        <v>104716.91999999998</v>
      </c>
      <c r="M39" s="11"/>
      <c r="N39" s="180" t="e">
        <f>#REF!-H39</f>
        <v>#REF!</v>
      </c>
    </row>
    <row r="40" spans="1:14" s="114" customFormat="1">
      <c r="A40" s="96">
        <v>35</v>
      </c>
      <c r="B40" s="96" t="s">
        <v>730</v>
      </c>
      <c r="C40" s="11" t="s">
        <v>731</v>
      </c>
      <c r="D40" s="16">
        <v>500000</v>
      </c>
      <c r="E40" s="16">
        <v>66650</v>
      </c>
      <c r="F40" s="41">
        <f>SUM(D40:E40)</f>
        <v>566650</v>
      </c>
      <c r="G40" s="159">
        <v>50</v>
      </c>
      <c r="H40" s="278">
        <v>11333</v>
      </c>
      <c r="I40" s="159">
        <v>12</v>
      </c>
      <c r="J40" s="159">
        <f t="shared" si="7"/>
        <v>38</v>
      </c>
      <c r="K40" s="91">
        <f t="shared" si="8"/>
        <v>135996</v>
      </c>
      <c r="L40" s="94">
        <f t="shared" si="9"/>
        <v>430654</v>
      </c>
      <c r="M40" s="11"/>
      <c r="N40" s="180" t="e">
        <f>#REF!-H40</f>
        <v>#REF!</v>
      </c>
    </row>
    <row r="41" spans="1:14" s="114" customFormat="1">
      <c r="A41" s="96">
        <v>36</v>
      </c>
      <c r="B41" s="123" t="s">
        <v>623</v>
      </c>
      <c r="C41" s="123" t="s">
        <v>954</v>
      </c>
      <c r="D41" s="19">
        <v>450000</v>
      </c>
      <c r="E41" s="19">
        <v>59985</v>
      </c>
      <c r="F41" s="19">
        <v>509985</v>
      </c>
      <c r="G41" s="159">
        <v>50</v>
      </c>
      <c r="H41" s="254">
        <v>10199.700000000001</v>
      </c>
      <c r="I41" s="159">
        <v>2</v>
      </c>
      <c r="J41" s="97">
        <f t="shared" si="7"/>
        <v>48</v>
      </c>
      <c r="K41" s="91">
        <f t="shared" si="8"/>
        <v>20399.400000000001</v>
      </c>
      <c r="L41" s="94">
        <f t="shared" si="9"/>
        <v>489585.6</v>
      </c>
      <c r="M41" s="11"/>
    </row>
    <row r="42" spans="1:14" s="114" customFormat="1">
      <c r="A42" s="96">
        <v>37</v>
      </c>
      <c r="B42" s="96" t="s">
        <v>526</v>
      </c>
      <c r="C42" s="11" t="s">
        <v>527</v>
      </c>
      <c r="D42" s="16">
        <v>330000</v>
      </c>
      <c r="E42" s="16">
        <v>43989</v>
      </c>
      <c r="F42" s="41">
        <f t="shared" ref="F42:F48" si="10">SUM(D42:E42)</f>
        <v>373989</v>
      </c>
      <c r="G42" s="159">
        <v>50</v>
      </c>
      <c r="H42" s="277">
        <v>7479.78</v>
      </c>
      <c r="I42" s="97">
        <v>36</v>
      </c>
      <c r="J42" s="97">
        <f t="shared" si="7"/>
        <v>14</v>
      </c>
      <c r="K42" s="91">
        <f t="shared" si="8"/>
        <v>269272.08</v>
      </c>
      <c r="L42" s="94">
        <f t="shared" si="9"/>
        <v>104716.91999999998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609</v>
      </c>
      <c r="C43" s="11" t="s">
        <v>610</v>
      </c>
      <c r="D43" s="16">
        <v>500000</v>
      </c>
      <c r="E43" s="16">
        <v>66650</v>
      </c>
      <c r="F43" s="41">
        <f t="shared" si="10"/>
        <v>566650</v>
      </c>
      <c r="G43" s="159">
        <v>50</v>
      </c>
      <c r="H43" s="278">
        <v>11333</v>
      </c>
      <c r="I43" s="97">
        <v>35</v>
      </c>
      <c r="J43" s="97">
        <f t="shared" si="7"/>
        <v>15</v>
      </c>
      <c r="K43" s="91">
        <f t="shared" si="8"/>
        <v>396655</v>
      </c>
      <c r="L43" s="94">
        <f t="shared" si="9"/>
        <v>169995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682</v>
      </c>
      <c r="C44" s="11" t="s">
        <v>683</v>
      </c>
      <c r="D44" s="16">
        <v>500000</v>
      </c>
      <c r="E44" s="16">
        <v>66650</v>
      </c>
      <c r="F44" s="41">
        <f t="shared" si="10"/>
        <v>566650</v>
      </c>
      <c r="G44" s="159">
        <v>50</v>
      </c>
      <c r="H44" s="278">
        <v>11333</v>
      </c>
      <c r="I44" s="97">
        <v>36</v>
      </c>
      <c r="J44" s="97">
        <f t="shared" si="7"/>
        <v>14</v>
      </c>
      <c r="K44" s="91">
        <f t="shared" si="8"/>
        <v>407988</v>
      </c>
      <c r="L44" s="94">
        <f t="shared" si="9"/>
        <v>158662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542</v>
      </c>
      <c r="C45" s="11" t="s">
        <v>543</v>
      </c>
      <c r="D45" s="16">
        <v>500000</v>
      </c>
      <c r="E45" s="16">
        <v>66650</v>
      </c>
      <c r="F45" s="41">
        <f t="shared" si="10"/>
        <v>566650</v>
      </c>
      <c r="G45" s="159">
        <v>50</v>
      </c>
      <c r="H45" s="278">
        <v>11333</v>
      </c>
      <c r="I45" s="97">
        <v>35</v>
      </c>
      <c r="J45" s="97">
        <f t="shared" si="7"/>
        <v>15</v>
      </c>
      <c r="K45" s="91">
        <f t="shared" si="8"/>
        <v>396655</v>
      </c>
      <c r="L45" s="94">
        <f t="shared" si="9"/>
        <v>169995</v>
      </c>
      <c r="M45" s="11"/>
      <c r="N45" s="180" t="e">
        <f>#REF!-H45</f>
        <v>#REF!</v>
      </c>
    </row>
    <row r="46" spans="1:14" s="114" customFormat="1">
      <c r="A46" s="96">
        <v>41</v>
      </c>
      <c r="B46" s="96" t="s">
        <v>657</v>
      </c>
      <c r="C46" s="11" t="s">
        <v>658</v>
      </c>
      <c r="D46" s="12">
        <v>500000</v>
      </c>
      <c r="E46" s="12">
        <v>66650</v>
      </c>
      <c r="F46" s="15">
        <f t="shared" si="10"/>
        <v>566650</v>
      </c>
      <c r="G46" s="14">
        <v>50</v>
      </c>
      <c r="H46" s="277">
        <v>11333</v>
      </c>
      <c r="I46" s="14">
        <v>41</v>
      </c>
      <c r="J46" s="97">
        <f t="shared" si="7"/>
        <v>9</v>
      </c>
      <c r="K46" s="91">
        <f t="shared" si="8"/>
        <v>464653</v>
      </c>
      <c r="L46" s="15">
        <f t="shared" si="9"/>
        <v>101997</v>
      </c>
      <c r="M46" s="8"/>
      <c r="N46" s="180" t="e">
        <f>#REF!-H46</f>
        <v>#REF!</v>
      </c>
    </row>
    <row r="47" spans="1:14" s="114" customFormat="1">
      <c r="A47" s="96">
        <v>42</v>
      </c>
      <c r="B47" s="11" t="s">
        <v>900</v>
      </c>
      <c r="C47" s="123" t="s">
        <v>923</v>
      </c>
      <c r="D47" s="19">
        <v>330000</v>
      </c>
      <c r="E47" s="19">
        <v>43989</v>
      </c>
      <c r="F47" s="19">
        <f t="shared" si="10"/>
        <v>373989</v>
      </c>
      <c r="G47" s="159">
        <v>50</v>
      </c>
      <c r="H47" s="279">
        <v>7479.78</v>
      </c>
      <c r="I47" s="159">
        <v>5</v>
      </c>
      <c r="J47" s="159">
        <f t="shared" si="7"/>
        <v>45</v>
      </c>
      <c r="K47" s="16">
        <f t="shared" si="8"/>
        <v>37398.9</v>
      </c>
      <c r="L47" s="94">
        <f t="shared" si="9"/>
        <v>336590.1</v>
      </c>
      <c r="M47" s="11"/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11" t="s">
        <v>695</v>
      </c>
      <c r="D48" s="16">
        <v>330000</v>
      </c>
      <c r="E48" s="16">
        <v>43989</v>
      </c>
      <c r="F48" s="41">
        <f t="shared" si="10"/>
        <v>373989</v>
      </c>
      <c r="G48" s="159">
        <v>50</v>
      </c>
      <c r="H48" s="278">
        <v>7479.78</v>
      </c>
      <c r="I48" s="97">
        <v>57</v>
      </c>
      <c r="J48" s="97">
        <f t="shared" si="7"/>
        <v>-7</v>
      </c>
      <c r="K48" s="91">
        <f t="shared" si="8"/>
        <v>426347.45999999996</v>
      </c>
      <c r="L48" s="94">
        <f t="shared" si="9"/>
        <v>-52358.459999999963</v>
      </c>
      <c r="M48" s="11"/>
      <c r="N48" s="180" t="e">
        <f>#REF!-H48</f>
        <v>#REF!</v>
      </c>
    </row>
    <row r="49" spans="1:14" s="114" customFormat="1">
      <c r="A49" s="96">
        <v>44</v>
      </c>
      <c r="B49" s="11" t="s">
        <v>893</v>
      </c>
      <c r="C49" s="123" t="s">
        <v>915</v>
      </c>
      <c r="D49" s="19">
        <v>450000</v>
      </c>
      <c r="E49" s="19">
        <v>59985</v>
      </c>
      <c r="F49" s="19">
        <v>509985</v>
      </c>
      <c r="G49" s="159">
        <v>50</v>
      </c>
      <c r="H49" s="279">
        <v>10199.700000000001</v>
      </c>
      <c r="I49" s="159">
        <v>5</v>
      </c>
      <c r="J49" s="159">
        <f t="shared" si="7"/>
        <v>45</v>
      </c>
      <c r="K49" s="16">
        <f t="shared" si="8"/>
        <v>50998.5</v>
      </c>
      <c r="L49" s="94">
        <f t="shared" si="9"/>
        <v>458986.5</v>
      </c>
      <c r="M49" s="11"/>
      <c r="N49" s="180" t="e">
        <f>#REF!-H49</f>
        <v>#REF!</v>
      </c>
    </row>
    <row r="50" spans="1:14" s="114" customFormat="1">
      <c r="A50" s="96">
        <v>45</v>
      </c>
      <c r="B50" s="96" t="s">
        <v>520</v>
      </c>
      <c r="C50" s="11" t="s">
        <v>521</v>
      </c>
      <c r="D50" s="19">
        <v>450000</v>
      </c>
      <c r="E50" s="19">
        <v>59985</v>
      </c>
      <c r="F50" s="19">
        <v>509985</v>
      </c>
      <c r="G50" s="159">
        <v>50</v>
      </c>
      <c r="H50" s="282">
        <v>10199.700000000001</v>
      </c>
      <c r="I50" s="97">
        <v>47</v>
      </c>
      <c r="J50" s="97">
        <f t="shared" si="7"/>
        <v>3</v>
      </c>
      <c r="K50" s="91">
        <f t="shared" si="8"/>
        <v>479385.9</v>
      </c>
      <c r="L50" s="94">
        <f t="shared" si="9"/>
        <v>30599.099999999977</v>
      </c>
      <c r="M50" s="11"/>
      <c r="N50" s="180" t="e">
        <f>#REF!-H50</f>
        <v>#REF!</v>
      </c>
    </row>
    <row r="51" spans="1:14" s="114" customFormat="1">
      <c r="A51" s="96">
        <v>46</v>
      </c>
      <c r="B51" s="96" t="s">
        <v>715</v>
      </c>
      <c r="C51" s="11" t="s">
        <v>716</v>
      </c>
      <c r="D51" s="19">
        <v>450000</v>
      </c>
      <c r="E51" s="19">
        <v>59985</v>
      </c>
      <c r="F51" s="19">
        <v>509985</v>
      </c>
      <c r="G51" s="159">
        <v>50</v>
      </c>
      <c r="H51" s="278">
        <v>10199.700000000001</v>
      </c>
      <c r="I51" s="101">
        <v>10</v>
      </c>
      <c r="J51" s="97">
        <f t="shared" si="7"/>
        <v>40</v>
      </c>
      <c r="K51" s="91">
        <f t="shared" si="8"/>
        <v>101997</v>
      </c>
      <c r="L51" s="94">
        <f t="shared" si="9"/>
        <v>407988</v>
      </c>
      <c r="M51" s="8"/>
    </row>
    <row r="52" spans="1:14" s="114" customFormat="1">
      <c r="A52" s="96">
        <v>47</v>
      </c>
      <c r="B52" s="96" t="s">
        <v>700</v>
      </c>
      <c r="C52" s="11" t="s">
        <v>701</v>
      </c>
      <c r="D52" s="16">
        <v>500000</v>
      </c>
      <c r="E52" s="16">
        <v>66650</v>
      </c>
      <c r="F52" s="41">
        <f>SUM(D52:E52)</f>
        <v>566650</v>
      </c>
      <c r="G52" s="159">
        <v>50</v>
      </c>
      <c r="H52" s="278">
        <v>11333</v>
      </c>
      <c r="I52" s="97">
        <v>57</v>
      </c>
      <c r="J52" s="97">
        <f t="shared" si="7"/>
        <v>-7</v>
      </c>
      <c r="K52" s="91">
        <f t="shared" si="8"/>
        <v>645981</v>
      </c>
      <c r="L52" s="94">
        <f t="shared" si="9"/>
        <v>-79331</v>
      </c>
      <c r="M52" s="11"/>
      <c r="N52" s="180" t="e">
        <f>#REF!-H52</f>
        <v>#REF!</v>
      </c>
    </row>
    <row r="53" spans="1:14" s="114" customFormat="1">
      <c r="A53" s="96">
        <v>48</v>
      </c>
      <c r="B53" s="96" t="s">
        <v>724</v>
      </c>
      <c r="C53" s="11" t="s">
        <v>725</v>
      </c>
      <c r="D53" s="19">
        <v>500000</v>
      </c>
      <c r="E53" s="19">
        <v>66650</v>
      </c>
      <c r="F53" s="19">
        <v>566650</v>
      </c>
      <c r="G53" s="159">
        <v>50</v>
      </c>
      <c r="H53" s="278">
        <v>11333</v>
      </c>
      <c r="I53" s="97">
        <v>21</v>
      </c>
      <c r="J53" s="97">
        <f t="shared" si="7"/>
        <v>29</v>
      </c>
      <c r="K53" s="91">
        <f t="shared" si="8"/>
        <v>237993</v>
      </c>
      <c r="L53" s="91">
        <f t="shared" si="9"/>
        <v>328657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624</v>
      </c>
      <c r="C54" s="11" t="s">
        <v>625</v>
      </c>
      <c r="D54" s="16">
        <v>150000</v>
      </c>
      <c r="E54" s="16">
        <v>19995</v>
      </c>
      <c r="F54" s="41">
        <f>SUM(D54:E54)</f>
        <v>169995</v>
      </c>
      <c r="G54" s="159">
        <v>50</v>
      </c>
      <c r="H54" s="278">
        <v>3399.9</v>
      </c>
      <c r="I54" s="97">
        <v>45</v>
      </c>
      <c r="J54" s="97">
        <f t="shared" si="7"/>
        <v>5</v>
      </c>
      <c r="K54" s="91">
        <f t="shared" si="8"/>
        <v>152995.5</v>
      </c>
      <c r="L54" s="94">
        <f t="shared" si="9"/>
        <v>16999.5</v>
      </c>
      <c r="M54" s="11"/>
      <c r="N54" s="180" t="e">
        <f>#REF!-H54</f>
        <v>#REF!</v>
      </c>
    </row>
    <row r="55" spans="1:14" s="114" customFormat="1">
      <c r="A55" s="96">
        <v>50</v>
      </c>
      <c r="B55" s="11" t="s">
        <v>887</v>
      </c>
      <c r="C55" s="123" t="s">
        <v>909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279">
        <v>11333</v>
      </c>
      <c r="I55" s="159">
        <v>5</v>
      </c>
      <c r="J55" s="159">
        <f t="shared" si="7"/>
        <v>45</v>
      </c>
      <c r="K55" s="16">
        <f t="shared" si="8"/>
        <v>56665</v>
      </c>
      <c r="L55" s="94">
        <f t="shared" si="9"/>
        <v>509985</v>
      </c>
      <c r="M55" s="11"/>
      <c r="N55" s="180" t="e">
        <f>#REF!-H55</f>
        <v>#REF!</v>
      </c>
    </row>
    <row r="56" spans="1:14" s="114" customFormat="1">
      <c r="A56" s="96">
        <v>51</v>
      </c>
      <c r="B56" s="11" t="s">
        <v>894</v>
      </c>
      <c r="C56" s="123" t="s">
        <v>916</v>
      </c>
      <c r="D56" s="19">
        <v>450000</v>
      </c>
      <c r="E56" s="19">
        <v>59985</v>
      </c>
      <c r="F56" s="19">
        <v>509985</v>
      </c>
      <c r="G56" s="159">
        <v>50</v>
      </c>
      <c r="H56" s="279">
        <v>10199.700000000001</v>
      </c>
      <c r="I56" s="159">
        <v>5</v>
      </c>
      <c r="J56" s="159">
        <f t="shared" si="7"/>
        <v>45</v>
      </c>
      <c r="K56" s="16">
        <f t="shared" si="8"/>
        <v>50998.5</v>
      </c>
      <c r="L56" s="94">
        <f t="shared" si="9"/>
        <v>458986.5</v>
      </c>
      <c r="M56" s="11"/>
      <c r="N56" s="180" t="e">
        <f>#REF!-H56</f>
        <v>#REF!</v>
      </c>
    </row>
    <row r="57" spans="1:14" s="114" customFormat="1">
      <c r="A57" s="96">
        <v>52</v>
      </c>
      <c r="B57" s="96" t="s">
        <v>619</v>
      </c>
      <c r="C57" s="11" t="s">
        <v>620</v>
      </c>
      <c r="D57" s="16">
        <v>500000</v>
      </c>
      <c r="E57" s="16">
        <v>66650</v>
      </c>
      <c r="F57" s="16">
        <v>566650</v>
      </c>
      <c r="G57" s="159">
        <v>50</v>
      </c>
      <c r="H57" s="278">
        <v>11333</v>
      </c>
      <c r="I57" s="97">
        <v>36</v>
      </c>
      <c r="J57" s="97">
        <f t="shared" si="7"/>
        <v>14</v>
      </c>
      <c r="K57" s="91">
        <f t="shared" si="8"/>
        <v>407988</v>
      </c>
      <c r="L57" s="94">
        <f t="shared" si="9"/>
        <v>158662</v>
      </c>
      <c r="M57" s="11"/>
      <c r="N57" s="180" t="e">
        <f>#REF!-H57</f>
        <v>#REF!</v>
      </c>
    </row>
    <row r="58" spans="1:14" s="114" customFormat="1">
      <c r="A58" s="96">
        <v>53</v>
      </c>
      <c r="B58" s="8" t="s">
        <v>663</v>
      </c>
      <c r="C58" s="11" t="s">
        <v>953</v>
      </c>
      <c r="D58" s="19">
        <v>330000</v>
      </c>
      <c r="E58" s="19">
        <v>43989</v>
      </c>
      <c r="F58" s="19">
        <f>SUM(D58:E58)</f>
        <v>373989</v>
      </c>
      <c r="G58" s="159">
        <v>50</v>
      </c>
      <c r="H58" s="279">
        <v>7479.78</v>
      </c>
      <c r="I58" s="159">
        <v>3</v>
      </c>
      <c r="J58" s="97">
        <f t="shared" si="7"/>
        <v>47</v>
      </c>
      <c r="K58" s="91">
        <f t="shared" si="8"/>
        <v>22439.34</v>
      </c>
      <c r="L58" s="94">
        <f t="shared" si="9"/>
        <v>351549.66</v>
      </c>
      <c r="M58" s="11"/>
    </row>
    <row r="59" spans="1:14" s="114" customFormat="1">
      <c r="A59" s="96">
        <v>54</v>
      </c>
      <c r="B59" s="96" t="s">
        <v>664</v>
      </c>
      <c r="C59" s="11" t="s">
        <v>665</v>
      </c>
      <c r="D59" s="19">
        <v>330000</v>
      </c>
      <c r="E59" s="19">
        <v>43989</v>
      </c>
      <c r="F59" s="19">
        <f>SUM(D59:E59)</f>
        <v>373989</v>
      </c>
      <c r="G59" s="159">
        <v>50</v>
      </c>
      <c r="H59" s="283">
        <v>7479.78</v>
      </c>
      <c r="I59" s="101">
        <v>10</v>
      </c>
      <c r="J59" s="97">
        <f t="shared" si="7"/>
        <v>40</v>
      </c>
      <c r="K59" s="91">
        <f t="shared" si="8"/>
        <v>74797.8</v>
      </c>
      <c r="L59" s="94">
        <f t="shared" si="9"/>
        <v>299191.2</v>
      </c>
      <c r="M59" s="8"/>
      <c r="N59" s="180" t="e">
        <f>#REF!-H59</f>
        <v>#REF!</v>
      </c>
    </row>
    <row r="60" spans="1:14" s="114" customFormat="1">
      <c r="A60" s="96">
        <v>55</v>
      </c>
      <c r="B60" s="11" t="s">
        <v>896</v>
      </c>
      <c r="C60" s="123" t="s">
        <v>919</v>
      </c>
      <c r="D60" s="19">
        <v>450000</v>
      </c>
      <c r="E60" s="19">
        <v>59985</v>
      </c>
      <c r="F60" s="19">
        <v>509985</v>
      </c>
      <c r="G60" s="159">
        <v>50</v>
      </c>
      <c r="H60" s="279">
        <v>10199.700000000001</v>
      </c>
      <c r="I60" s="159">
        <v>5</v>
      </c>
      <c r="J60" s="159">
        <f t="shared" si="7"/>
        <v>45</v>
      </c>
      <c r="K60" s="16">
        <f t="shared" si="8"/>
        <v>50998.5</v>
      </c>
      <c r="L60" s="94">
        <f t="shared" si="9"/>
        <v>458986.5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516</v>
      </c>
      <c r="C61" s="11" t="s">
        <v>517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284">
        <v>11333</v>
      </c>
      <c r="I61" s="97">
        <v>36</v>
      </c>
      <c r="J61" s="97">
        <f t="shared" si="7"/>
        <v>14</v>
      </c>
      <c r="K61" s="91">
        <f t="shared" si="8"/>
        <v>407988</v>
      </c>
      <c r="L61" s="94">
        <f t="shared" si="9"/>
        <v>158662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688</v>
      </c>
      <c r="C62" s="11" t="s">
        <v>689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278">
        <v>11333</v>
      </c>
      <c r="I62" s="97">
        <v>41</v>
      </c>
      <c r="J62" s="97">
        <f t="shared" si="7"/>
        <v>9</v>
      </c>
      <c r="K62" s="91">
        <f t="shared" si="8"/>
        <v>464653</v>
      </c>
      <c r="L62" s="94">
        <f t="shared" si="9"/>
        <v>101997</v>
      </c>
      <c r="M62" s="11"/>
      <c r="N62" s="180" t="e">
        <f>#REF!-H62</f>
        <v>#REF!</v>
      </c>
    </row>
    <row r="63" spans="1:14" s="114" customFormat="1">
      <c r="A63" s="96">
        <v>58</v>
      </c>
      <c r="B63" s="96" t="s">
        <v>635</v>
      </c>
      <c r="C63" s="11" t="s">
        <v>636</v>
      </c>
      <c r="D63" s="16">
        <v>500000</v>
      </c>
      <c r="E63" s="16">
        <v>66650</v>
      </c>
      <c r="F63" s="41">
        <f>SUM(D63:E63)</f>
        <v>566650</v>
      </c>
      <c r="G63" s="159">
        <v>50</v>
      </c>
      <c r="H63" s="278">
        <v>11333</v>
      </c>
      <c r="I63" s="97">
        <v>57</v>
      </c>
      <c r="J63" s="97">
        <f t="shared" si="7"/>
        <v>-7</v>
      </c>
      <c r="K63" s="91">
        <f t="shared" si="8"/>
        <v>645981</v>
      </c>
      <c r="L63" s="94">
        <f t="shared" si="9"/>
        <v>-79331</v>
      </c>
      <c r="M63" s="11"/>
      <c r="N63" s="180" t="e">
        <f>#REF!-H63</f>
        <v>#REF!</v>
      </c>
    </row>
    <row r="64" spans="1:14" s="114" customFormat="1">
      <c r="A64" s="96">
        <v>59</v>
      </c>
      <c r="B64" s="126" t="s">
        <v>937</v>
      </c>
      <c r="C64" s="8" t="s">
        <v>938</v>
      </c>
      <c r="D64" s="19">
        <v>150000</v>
      </c>
      <c r="E64" s="19">
        <v>19995</v>
      </c>
      <c r="F64" s="19">
        <f>SUM(D64:E64)</f>
        <v>169995</v>
      </c>
      <c r="G64" s="159">
        <v>50</v>
      </c>
      <c r="H64" s="286">
        <v>3399.9</v>
      </c>
      <c r="I64" s="159">
        <v>2</v>
      </c>
      <c r="J64" s="159">
        <f t="shared" si="7"/>
        <v>48</v>
      </c>
      <c r="K64" s="16">
        <f t="shared" si="8"/>
        <v>6799.8</v>
      </c>
      <c r="L64" s="94">
        <f t="shared" si="9"/>
        <v>163195.20000000001</v>
      </c>
      <c r="M64" s="8"/>
    </row>
    <row r="65" spans="1:14" s="114" customFormat="1">
      <c r="A65" s="96">
        <v>60</v>
      </c>
      <c r="B65" s="96" t="s">
        <v>717</v>
      </c>
      <c r="C65" s="11" t="s">
        <v>718</v>
      </c>
      <c r="D65" s="16">
        <v>450000</v>
      </c>
      <c r="E65" s="16">
        <v>59985</v>
      </c>
      <c r="F65" s="16">
        <v>509985</v>
      </c>
      <c r="G65" s="159">
        <v>50</v>
      </c>
      <c r="H65" s="278">
        <v>10199.700000000001</v>
      </c>
      <c r="I65" s="97">
        <v>24</v>
      </c>
      <c r="J65" s="97">
        <f t="shared" si="7"/>
        <v>26</v>
      </c>
      <c r="K65" s="91">
        <f t="shared" si="8"/>
        <v>244792.80000000002</v>
      </c>
      <c r="L65" s="94">
        <f t="shared" si="9"/>
        <v>265192.19999999995</v>
      </c>
      <c r="M65" s="11"/>
      <c r="N65" s="180" t="e">
        <f>#REF!-H65</f>
        <v>#REF!</v>
      </c>
    </row>
    <row r="66" spans="1:14" s="114" customFormat="1">
      <c r="A66" s="96">
        <v>61</v>
      </c>
      <c r="B66" s="96" t="s">
        <v>579</v>
      </c>
      <c r="C66" s="11" t="s">
        <v>580</v>
      </c>
      <c r="D66" s="16">
        <v>500000</v>
      </c>
      <c r="E66" s="16">
        <v>33325</v>
      </c>
      <c r="F66" s="41">
        <f>SUM(D66:E66)</f>
        <v>533325</v>
      </c>
      <c r="G66" s="159">
        <v>25</v>
      </c>
      <c r="H66" s="278">
        <v>21333</v>
      </c>
      <c r="I66" s="97">
        <v>26</v>
      </c>
      <c r="J66" s="97">
        <f t="shared" si="7"/>
        <v>-1</v>
      </c>
      <c r="K66" s="91">
        <f t="shared" si="8"/>
        <v>554658</v>
      </c>
      <c r="L66" s="94">
        <f t="shared" si="9"/>
        <v>-21333</v>
      </c>
      <c r="M66" s="11"/>
      <c r="N66" s="180" t="e">
        <f>#REF!-H66</f>
        <v>#REF!</v>
      </c>
    </row>
    <row r="67" spans="1:14" s="114" customFormat="1">
      <c r="A67" s="96">
        <v>62</v>
      </c>
      <c r="B67" s="96" t="s">
        <v>698</v>
      </c>
      <c r="C67" s="11" t="s">
        <v>699</v>
      </c>
      <c r="D67" s="19">
        <v>500000</v>
      </c>
      <c r="E67" s="19">
        <v>66650</v>
      </c>
      <c r="F67" s="19">
        <v>566650</v>
      </c>
      <c r="G67" s="159">
        <v>50</v>
      </c>
      <c r="H67" s="278">
        <v>11333</v>
      </c>
      <c r="I67" s="97">
        <v>22</v>
      </c>
      <c r="J67" s="97">
        <f t="shared" si="7"/>
        <v>28</v>
      </c>
      <c r="K67" s="91">
        <f t="shared" si="8"/>
        <v>249326</v>
      </c>
      <c r="L67" s="91">
        <f t="shared" si="9"/>
        <v>317324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702</v>
      </c>
      <c r="C68" s="11" t="s">
        <v>703</v>
      </c>
      <c r="D68" s="16">
        <v>450000</v>
      </c>
      <c r="E68" s="16">
        <v>59985</v>
      </c>
      <c r="F68" s="16">
        <v>509985</v>
      </c>
      <c r="G68" s="159">
        <v>50</v>
      </c>
      <c r="H68" s="278">
        <v>10199.700000000001</v>
      </c>
      <c r="I68" s="97">
        <v>21</v>
      </c>
      <c r="J68" s="97">
        <f t="shared" ref="J68:J86" si="11">G68-I68</f>
        <v>29</v>
      </c>
      <c r="K68" s="91">
        <f t="shared" si="8"/>
        <v>214193.7</v>
      </c>
      <c r="L68" s="91">
        <f t="shared" si="9"/>
        <v>295791.3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676</v>
      </c>
      <c r="C69" s="11" t="s">
        <v>677</v>
      </c>
      <c r="D69" s="19">
        <v>150000</v>
      </c>
      <c r="E69" s="19">
        <v>19995</v>
      </c>
      <c r="F69" s="19">
        <f>SUM(D69:E69)</f>
        <v>169995</v>
      </c>
      <c r="G69" s="159">
        <v>50</v>
      </c>
      <c r="H69" s="278">
        <v>3399.9</v>
      </c>
      <c r="I69" s="97">
        <v>22</v>
      </c>
      <c r="J69" s="97">
        <f t="shared" si="11"/>
        <v>28</v>
      </c>
      <c r="K69" s="91">
        <f t="shared" ref="K69:K102" si="12">I69*H69</f>
        <v>74797.8</v>
      </c>
      <c r="L69" s="91">
        <f t="shared" si="9"/>
        <v>95197.2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621</v>
      </c>
      <c r="C70" s="11" t="s">
        <v>622</v>
      </c>
      <c r="D70" s="16">
        <v>500000</v>
      </c>
      <c r="E70" s="16">
        <v>66650</v>
      </c>
      <c r="F70" s="41">
        <f>SUM(D70:E70)</f>
        <v>566650</v>
      </c>
      <c r="G70" s="159">
        <v>50</v>
      </c>
      <c r="H70" s="278">
        <v>11333</v>
      </c>
      <c r="I70" s="97">
        <v>45</v>
      </c>
      <c r="J70" s="97">
        <f t="shared" si="11"/>
        <v>5</v>
      </c>
      <c r="K70" s="91">
        <f t="shared" si="12"/>
        <v>509985</v>
      </c>
      <c r="L70" s="94">
        <f t="shared" ref="L70:L101" si="13">F70-K70</f>
        <v>56665</v>
      </c>
      <c r="M70" s="11"/>
      <c r="N70" s="180" t="e">
        <f>#REF!-H70</f>
        <v>#REF!</v>
      </c>
    </row>
    <row r="71" spans="1:14" s="114" customFormat="1">
      <c r="A71" s="96">
        <v>66</v>
      </c>
      <c r="B71" s="96" t="s">
        <v>604</v>
      </c>
      <c r="C71" s="11" t="s">
        <v>605</v>
      </c>
      <c r="D71" s="16">
        <v>500000</v>
      </c>
      <c r="E71" s="16">
        <v>66650</v>
      </c>
      <c r="F71" s="41">
        <f>SUM(D71:E71)</f>
        <v>566650</v>
      </c>
      <c r="G71" s="159">
        <v>50</v>
      </c>
      <c r="H71" s="278">
        <v>11333</v>
      </c>
      <c r="I71" s="97">
        <v>57</v>
      </c>
      <c r="J71" s="97">
        <f t="shared" si="11"/>
        <v>-7</v>
      </c>
      <c r="K71" s="91">
        <f t="shared" si="12"/>
        <v>645981</v>
      </c>
      <c r="L71" s="94">
        <f t="shared" si="13"/>
        <v>-79331</v>
      </c>
      <c r="M71" s="11"/>
      <c r="N71" s="180" t="e">
        <f>#REF!-H71</f>
        <v>#REF!</v>
      </c>
    </row>
    <row r="72" spans="1:14" s="114" customFormat="1">
      <c r="A72" s="96">
        <v>67</v>
      </c>
      <c r="B72" s="96" t="s">
        <v>503</v>
      </c>
      <c r="C72" s="11" t="s">
        <v>504</v>
      </c>
      <c r="D72" s="16">
        <v>150000</v>
      </c>
      <c r="E72" s="16">
        <v>19995</v>
      </c>
      <c r="F72" s="41">
        <f>SUM(D72:E72)</f>
        <v>169995</v>
      </c>
      <c r="G72" s="159">
        <v>50</v>
      </c>
      <c r="H72" s="278">
        <v>3399.9</v>
      </c>
      <c r="I72" s="97">
        <v>45</v>
      </c>
      <c r="J72" s="97">
        <f t="shared" si="11"/>
        <v>5</v>
      </c>
      <c r="K72" s="91">
        <f t="shared" si="12"/>
        <v>152995.5</v>
      </c>
      <c r="L72" s="94">
        <f t="shared" si="13"/>
        <v>16999.5</v>
      </c>
      <c r="M72" s="11"/>
      <c r="N72" s="180" t="e">
        <f>#REF!-H72</f>
        <v>#REF!</v>
      </c>
    </row>
    <row r="73" spans="1:14" s="114" customFormat="1">
      <c r="A73" s="96">
        <v>68</v>
      </c>
      <c r="B73" s="96" t="s">
        <v>522</v>
      </c>
      <c r="C73" s="11" t="s">
        <v>523</v>
      </c>
      <c r="D73" s="19">
        <v>500000</v>
      </c>
      <c r="E73" s="19">
        <v>66650</v>
      </c>
      <c r="F73" s="19">
        <v>566650</v>
      </c>
      <c r="G73" s="159">
        <v>50</v>
      </c>
      <c r="H73" s="278">
        <v>11333</v>
      </c>
      <c r="I73" s="97">
        <v>22</v>
      </c>
      <c r="J73" s="97">
        <f t="shared" si="11"/>
        <v>28</v>
      </c>
      <c r="K73" s="91">
        <f t="shared" si="12"/>
        <v>249326</v>
      </c>
      <c r="L73" s="91">
        <f t="shared" si="13"/>
        <v>317324</v>
      </c>
      <c r="M73" s="11"/>
      <c r="N73" s="180" t="e">
        <f>#REF!-H73</f>
        <v>#REF!</v>
      </c>
    </row>
    <row r="74" spans="1:14" s="114" customFormat="1">
      <c r="A74" s="96">
        <v>69</v>
      </c>
      <c r="B74" s="96" t="s">
        <v>666</v>
      </c>
      <c r="C74" s="11" t="s">
        <v>667</v>
      </c>
      <c r="D74" s="19">
        <v>150000</v>
      </c>
      <c r="E74" s="19">
        <v>19995</v>
      </c>
      <c r="F74" s="19">
        <f>SUM(D74:E74)</f>
        <v>169995</v>
      </c>
      <c r="G74" s="159">
        <v>50</v>
      </c>
      <c r="H74" s="278">
        <v>3339.9</v>
      </c>
      <c r="I74" s="159">
        <v>8</v>
      </c>
      <c r="J74" s="97">
        <f t="shared" si="11"/>
        <v>42</v>
      </c>
      <c r="K74" s="91">
        <f t="shared" si="12"/>
        <v>26719.200000000001</v>
      </c>
      <c r="L74" s="94">
        <f t="shared" si="13"/>
        <v>143275.79999999999</v>
      </c>
      <c r="M74" s="11"/>
      <c r="N74" s="180" t="e">
        <f>#REF!-H74</f>
        <v>#REF!</v>
      </c>
    </row>
    <row r="75" spans="1:14" s="114" customFormat="1">
      <c r="A75" s="96">
        <v>70</v>
      </c>
      <c r="B75" s="11" t="s">
        <v>902</v>
      </c>
      <c r="C75" s="123" t="s">
        <v>926</v>
      </c>
      <c r="D75" s="19">
        <v>150000</v>
      </c>
      <c r="E75" s="19">
        <v>19995</v>
      </c>
      <c r="F75" s="19">
        <f>SUM(D75:E75)</f>
        <v>169995</v>
      </c>
      <c r="G75" s="159">
        <v>50</v>
      </c>
      <c r="H75" s="279">
        <v>3399.9</v>
      </c>
      <c r="I75" s="159">
        <v>5</v>
      </c>
      <c r="J75" s="159">
        <f t="shared" si="11"/>
        <v>45</v>
      </c>
      <c r="K75" s="16">
        <f t="shared" si="12"/>
        <v>16999.5</v>
      </c>
      <c r="L75" s="94">
        <f t="shared" si="13"/>
        <v>152995.5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686</v>
      </c>
      <c r="C76" s="11" t="s">
        <v>687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78">
        <v>11333</v>
      </c>
      <c r="I76" s="97">
        <v>35</v>
      </c>
      <c r="J76" s="97">
        <f t="shared" si="11"/>
        <v>15</v>
      </c>
      <c r="K76" s="91">
        <f t="shared" si="12"/>
        <v>396655</v>
      </c>
      <c r="L76" s="94">
        <f t="shared" si="13"/>
        <v>169995</v>
      </c>
      <c r="M76" s="11"/>
      <c r="N76" s="180" t="e">
        <f>#REF!-H76</f>
        <v>#REF!</v>
      </c>
    </row>
    <row r="77" spans="1:14" s="114" customFormat="1">
      <c r="A77" s="96">
        <v>72</v>
      </c>
      <c r="B77" s="11" t="s">
        <v>890</v>
      </c>
      <c r="C77" s="123" t="s">
        <v>912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279">
        <v>11333</v>
      </c>
      <c r="I77" s="159">
        <v>5</v>
      </c>
      <c r="J77" s="159">
        <f t="shared" si="11"/>
        <v>45</v>
      </c>
      <c r="K77" s="16">
        <f t="shared" si="12"/>
        <v>56665</v>
      </c>
      <c r="L77" s="94">
        <f t="shared" si="13"/>
        <v>509985</v>
      </c>
      <c r="M77" s="11"/>
      <c r="N77" s="180" t="e">
        <f>#REF!-H77</f>
        <v>#REF!</v>
      </c>
    </row>
    <row r="78" spans="1:14" s="114" customFormat="1">
      <c r="A78" s="96">
        <v>73</v>
      </c>
      <c r="B78" s="96" t="s">
        <v>530</v>
      </c>
      <c r="C78" s="11" t="s">
        <v>531</v>
      </c>
      <c r="D78" s="16">
        <v>500000</v>
      </c>
      <c r="E78" s="16">
        <v>66650</v>
      </c>
      <c r="F78" s="16">
        <v>566650</v>
      </c>
      <c r="G78" s="159">
        <v>50</v>
      </c>
      <c r="H78" s="278">
        <v>11333</v>
      </c>
      <c r="I78" s="97">
        <v>35</v>
      </c>
      <c r="J78" s="97">
        <f t="shared" si="11"/>
        <v>15</v>
      </c>
      <c r="K78" s="91">
        <f t="shared" si="12"/>
        <v>396655</v>
      </c>
      <c r="L78" s="94">
        <f t="shared" si="13"/>
        <v>169995</v>
      </c>
      <c r="M78" s="11"/>
      <c r="N78" s="180" t="e">
        <f>#REF!-H78</f>
        <v>#REF!</v>
      </c>
    </row>
    <row r="79" spans="1:14" s="114" customFormat="1">
      <c r="A79" s="96">
        <v>74</v>
      </c>
      <c r="B79" s="96" t="s">
        <v>544</v>
      </c>
      <c r="C79" s="11" t="s">
        <v>545</v>
      </c>
      <c r="D79" s="16">
        <v>450000</v>
      </c>
      <c r="E79" s="16">
        <v>59985</v>
      </c>
      <c r="F79" s="16">
        <v>509985</v>
      </c>
      <c r="G79" s="159">
        <v>50</v>
      </c>
      <c r="H79" s="278">
        <v>10199.700000000001</v>
      </c>
      <c r="I79" s="97">
        <v>29</v>
      </c>
      <c r="J79" s="97">
        <f t="shared" si="11"/>
        <v>21</v>
      </c>
      <c r="K79" s="91">
        <f t="shared" si="12"/>
        <v>295791.30000000005</v>
      </c>
      <c r="L79" s="94">
        <f t="shared" si="13"/>
        <v>214193.69999999995</v>
      </c>
      <c r="M79" s="11"/>
      <c r="N79" s="180" t="e">
        <f>#REF!-H79</f>
        <v>#REF!</v>
      </c>
    </row>
    <row r="80" spans="1:14" s="114" customFormat="1">
      <c r="A80" s="96">
        <v>75</v>
      </c>
      <c r="B80" s="96" t="s">
        <v>886</v>
      </c>
      <c r="C80" s="11" t="s">
        <v>908</v>
      </c>
      <c r="D80" s="16">
        <v>500000</v>
      </c>
      <c r="E80" s="16">
        <v>66650</v>
      </c>
      <c r="F80" s="41">
        <f>SUM(D80:E80)</f>
        <v>566650</v>
      </c>
      <c r="G80" s="159">
        <v>50</v>
      </c>
      <c r="H80" s="278">
        <v>11333</v>
      </c>
      <c r="I80" s="97">
        <v>36</v>
      </c>
      <c r="J80" s="97">
        <f t="shared" si="11"/>
        <v>14</v>
      </c>
      <c r="K80" s="91">
        <f t="shared" si="12"/>
        <v>407988</v>
      </c>
      <c r="L80" s="94">
        <f t="shared" si="13"/>
        <v>158662</v>
      </c>
      <c r="M80" s="11"/>
      <c r="N80" s="180" t="e">
        <f>#REF!-H80</f>
        <v>#REF!</v>
      </c>
    </row>
    <row r="81" spans="1:14" s="114" customFormat="1">
      <c r="A81" s="96">
        <v>76</v>
      </c>
      <c r="B81" s="11" t="s">
        <v>707</v>
      </c>
      <c r="C81" s="11" t="s">
        <v>708</v>
      </c>
      <c r="D81" s="16">
        <v>500000</v>
      </c>
      <c r="E81" s="16">
        <v>66650</v>
      </c>
      <c r="F81" s="16">
        <v>566650</v>
      </c>
      <c r="G81" s="159">
        <v>50</v>
      </c>
      <c r="H81" s="279">
        <v>11330</v>
      </c>
      <c r="I81" s="96">
        <v>35</v>
      </c>
      <c r="J81" s="97">
        <f t="shared" si="11"/>
        <v>15</v>
      </c>
      <c r="K81" s="91">
        <f t="shared" si="12"/>
        <v>396550</v>
      </c>
      <c r="L81" s="94">
        <f t="shared" si="13"/>
        <v>170100</v>
      </c>
      <c r="M81" s="11"/>
    </row>
    <row r="82" spans="1:14" s="114" customFormat="1">
      <c r="A82" s="96">
        <v>77</v>
      </c>
      <c r="B82" s="96" t="s">
        <v>598</v>
      </c>
      <c r="C82" s="11" t="s">
        <v>599</v>
      </c>
      <c r="D82" s="16">
        <v>500000</v>
      </c>
      <c r="E82" s="16">
        <v>66650</v>
      </c>
      <c r="F82" s="41">
        <f>SUM(D82:E82)</f>
        <v>566650</v>
      </c>
      <c r="G82" s="159">
        <v>50</v>
      </c>
      <c r="H82" s="278">
        <v>11333</v>
      </c>
      <c r="I82" s="97">
        <v>57</v>
      </c>
      <c r="J82" s="97">
        <f t="shared" si="11"/>
        <v>-7</v>
      </c>
      <c r="K82" s="91">
        <f t="shared" si="12"/>
        <v>645981</v>
      </c>
      <c r="L82" s="94">
        <f t="shared" si="13"/>
        <v>-79331</v>
      </c>
      <c r="M82" s="11"/>
      <c r="N82" s="180" t="e">
        <f>#REF!-H82</f>
        <v>#REF!</v>
      </c>
    </row>
    <row r="83" spans="1:14" s="114" customFormat="1">
      <c r="A83" s="96">
        <v>78</v>
      </c>
      <c r="B83" s="96" t="s">
        <v>551</v>
      </c>
      <c r="C83" s="11" t="s">
        <v>552</v>
      </c>
      <c r="D83" s="19">
        <v>500000</v>
      </c>
      <c r="E83" s="19">
        <v>66650</v>
      </c>
      <c r="F83" s="19">
        <v>566650</v>
      </c>
      <c r="G83" s="159">
        <v>50</v>
      </c>
      <c r="H83" s="278">
        <v>11333</v>
      </c>
      <c r="I83" s="97">
        <v>22</v>
      </c>
      <c r="J83" s="97">
        <f t="shared" si="11"/>
        <v>28</v>
      </c>
      <c r="K83" s="91">
        <f t="shared" si="12"/>
        <v>249326</v>
      </c>
      <c r="L83" s="91">
        <f t="shared" si="13"/>
        <v>317324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569</v>
      </c>
      <c r="C84" s="11" t="s">
        <v>570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78">
        <v>11333</v>
      </c>
      <c r="I84" s="97">
        <v>36</v>
      </c>
      <c r="J84" s="97">
        <f t="shared" si="11"/>
        <v>14</v>
      </c>
      <c r="K84" s="91">
        <f t="shared" si="12"/>
        <v>407988</v>
      </c>
      <c r="L84" s="94">
        <f t="shared" si="13"/>
        <v>158662</v>
      </c>
      <c r="M84" s="11"/>
    </row>
    <row r="85" spans="1:14" s="114" customFormat="1">
      <c r="A85" s="96">
        <v>80</v>
      </c>
      <c r="B85" s="96" t="s">
        <v>518</v>
      </c>
      <c r="C85" s="11" t="s">
        <v>519</v>
      </c>
      <c r="D85" s="19">
        <v>500000</v>
      </c>
      <c r="E85" s="19">
        <v>66650</v>
      </c>
      <c r="F85" s="19">
        <v>566650</v>
      </c>
      <c r="G85" s="159">
        <v>50</v>
      </c>
      <c r="H85" s="278">
        <v>11333</v>
      </c>
      <c r="I85" s="97">
        <v>22</v>
      </c>
      <c r="J85" s="97">
        <f t="shared" si="11"/>
        <v>28</v>
      </c>
      <c r="K85" s="91">
        <f t="shared" si="12"/>
        <v>249326</v>
      </c>
      <c r="L85" s="91">
        <f t="shared" si="13"/>
        <v>317324</v>
      </c>
      <c r="M85" s="11"/>
      <c r="N85" s="180" t="e">
        <f>#REF!-H85</f>
        <v>#REF!</v>
      </c>
    </row>
    <row r="86" spans="1:14" s="114" customFormat="1">
      <c r="A86" s="96">
        <v>81</v>
      </c>
      <c r="B86" s="126" t="s">
        <v>943</v>
      </c>
      <c r="C86" s="8" t="s">
        <v>944</v>
      </c>
      <c r="D86" s="16">
        <v>450000</v>
      </c>
      <c r="E86" s="16">
        <v>59985</v>
      </c>
      <c r="F86" s="41">
        <f>SUM(D86:E86)</f>
        <v>509985</v>
      </c>
      <c r="G86" s="159">
        <v>50</v>
      </c>
      <c r="H86" s="286">
        <v>10199.700000000001</v>
      </c>
      <c r="I86" s="159">
        <v>35</v>
      </c>
      <c r="J86" s="159">
        <f t="shared" si="11"/>
        <v>15</v>
      </c>
      <c r="K86" s="16">
        <f t="shared" si="12"/>
        <v>356989.5</v>
      </c>
      <c r="L86" s="94">
        <f t="shared" si="13"/>
        <v>152995.5</v>
      </c>
      <c r="M86" s="8"/>
    </row>
    <row r="87" spans="1:14" s="114" customFormat="1">
      <c r="A87" s="96">
        <v>82</v>
      </c>
      <c r="B87" s="96" t="s">
        <v>655</v>
      </c>
      <c r="C87" s="11" t="s">
        <v>656</v>
      </c>
      <c r="D87" s="16">
        <v>450000</v>
      </c>
      <c r="E87" s="16">
        <v>59985</v>
      </c>
      <c r="F87" s="41">
        <f>SUM(D87:E87)</f>
        <v>509985</v>
      </c>
      <c r="G87" s="159">
        <v>50</v>
      </c>
      <c r="H87" s="278">
        <v>10199.700000000001</v>
      </c>
      <c r="I87" s="97">
        <v>36</v>
      </c>
      <c r="J87" s="97">
        <f t="shared" ref="J87:J105" si="14">G87-I87</f>
        <v>14</v>
      </c>
      <c r="K87" s="91">
        <f t="shared" si="12"/>
        <v>367189.2</v>
      </c>
      <c r="L87" s="94">
        <f t="shared" si="13"/>
        <v>142795.79999999999</v>
      </c>
      <c r="M87" s="11"/>
      <c r="N87" s="180" t="e">
        <f>#REF!-H87</f>
        <v>#REF!</v>
      </c>
    </row>
    <row r="88" spans="1:14" s="114" customFormat="1">
      <c r="A88" s="96">
        <v>83</v>
      </c>
      <c r="B88" s="96" t="s">
        <v>553</v>
      </c>
      <c r="C88" s="11" t="s">
        <v>554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278">
        <v>11333</v>
      </c>
      <c r="I88" s="97">
        <v>57</v>
      </c>
      <c r="J88" s="97">
        <f t="shared" si="14"/>
        <v>-7</v>
      </c>
      <c r="K88" s="91">
        <f t="shared" si="12"/>
        <v>645981</v>
      </c>
      <c r="L88" s="94">
        <f t="shared" si="13"/>
        <v>-79331</v>
      </c>
      <c r="M88" s="11"/>
      <c r="N88" s="180" t="e">
        <f>#REF!-H88</f>
        <v>#REF!</v>
      </c>
    </row>
    <row r="89" spans="1:14" s="114" customFormat="1">
      <c r="A89" s="96">
        <v>84</v>
      </c>
      <c r="B89" s="96" t="s">
        <v>536</v>
      </c>
      <c r="C89" s="11" t="s">
        <v>537</v>
      </c>
      <c r="D89" s="12">
        <v>500000</v>
      </c>
      <c r="E89" s="12">
        <v>66650</v>
      </c>
      <c r="F89" s="15">
        <f>SUM(D89:E89)</f>
        <v>566650</v>
      </c>
      <c r="G89" s="14">
        <v>50</v>
      </c>
      <c r="H89" s="285">
        <v>11333</v>
      </c>
      <c r="I89" s="14">
        <v>41</v>
      </c>
      <c r="J89" s="97">
        <f t="shared" si="14"/>
        <v>9</v>
      </c>
      <c r="K89" s="91">
        <f t="shared" si="12"/>
        <v>464653</v>
      </c>
      <c r="L89" s="15">
        <f t="shared" si="13"/>
        <v>101997</v>
      </c>
      <c r="M89" s="8"/>
      <c r="N89" s="180" t="e">
        <f>#REF!-H89</f>
        <v>#REF!</v>
      </c>
    </row>
    <row r="90" spans="1:14" s="114" customFormat="1">
      <c r="A90" s="96">
        <v>85</v>
      </c>
      <c r="B90" s="96" t="s">
        <v>883</v>
      </c>
      <c r="C90" s="11" t="s">
        <v>905</v>
      </c>
      <c r="D90" s="16">
        <v>500000</v>
      </c>
      <c r="E90" s="16">
        <v>66650</v>
      </c>
      <c r="F90" s="41">
        <f>SUM(D90:E90)</f>
        <v>566650</v>
      </c>
      <c r="G90" s="159">
        <v>50</v>
      </c>
      <c r="H90" s="278">
        <v>11333</v>
      </c>
      <c r="I90" s="97">
        <v>44</v>
      </c>
      <c r="J90" s="97">
        <f t="shared" si="14"/>
        <v>6</v>
      </c>
      <c r="K90" s="91">
        <f t="shared" si="12"/>
        <v>498652</v>
      </c>
      <c r="L90" s="94">
        <f t="shared" si="13"/>
        <v>67998</v>
      </c>
      <c r="M90" s="11"/>
      <c r="N90" s="180" t="e">
        <f>#REF!-H90</f>
        <v>#REF!</v>
      </c>
    </row>
    <row r="91" spans="1:14" s="114" customFormat="1">
      <c r="A91" s="96">
        <v>86</v>
      </c>
      <c r="B91" s="96" t="s">
        <v>596</v>
      </c>
      <c r="C91" s="11" t="s">
        <v>597</v>
      </c>
      <c r="D91" s="19">
        <v>500000</v>
      </c>
      <c r="E91" s="19">
        <v>66650</v>
      </c>
      <c r="F91" s="19">
        <v>566650</v>
      </c>
      <c r="G91" s="159">
        <v>50</v>
      </c>
      <c r="H91" s="278">
        <v>11333</v>
      </c>
      <c r="I91" s="97">
        <v>22</v>
      </c>
      <c r="J91" s="97">
        <f t="shared" si="14"/>
        <v>28</v>
      </c>
      <c r="K91" s="91">
        <f t="shared" si="12"/>
        <v>249326</v>
      </c>
      <c r="L91" s="91">
        <f t="shared" si="13"/>
        <v>317324</v>
      </c>
      <c r="M91" s="11"/>
      <c r="N91" s="180" t="e">
        <f>#REF!-H91</f>
        <v>#REF!</v>
      </c>
    </row>
    <row r="92" spans="1:14" s="114" customFormat="1">
      <c r="A92" s="96">
        <v>87</v>
      </c>
      <c r="B92" s="11" t="s">
        <v>885</v>
      </c>
      <c r="C92" s="123" t="s">
        <v>907</v>
      </c>
      <c r="D92" s="16">
        <v>500000</v>
      </c>
      <c r="E92" s="16">
        <v>66650</v>
      </c>
      <c r="F92" s="41">
        <f>SUM(D92:E92)</f>
        <v>566650</v>
      </c>
      <c r="G92" s="159">
        <v>50</v>
      </c>
      <c r="H92" s="279">
        <v>11333</v>
      </c>
      <c r="I92" s="159">
        <v>5</v>
      </c>
      <c r="J92" s="159">
        <f t="shared" si="14"/>
        <v>45</v>
      </c>
      <c r="K92" s="16">
        <f t="shared" si="12"/>
        <v>56665</v>
      </c>
      <c r="L92" s="94">
        <f t="shared" si="13"/>
        <v>509985</v>
      </c>
      <c r="M92" s="11"/>
      <c r="N92" s="180" t="e">
        <f>#REF!-H92</f>
        <v>#REF!</v>
      </c>
    </row>
    <row r="93" spans="1:14" s="114" customFormat="1">
      <c r="A93" s="96">
        <v>88</v>
      </c>
      <c r="B93" s="96" t="s">
        <v>607</v>
      </c>
      <c r="C93" s="11" t="s">
        <v>608</v>
      </c>
      <c r="D93" s="16">
        <v>450000</v>
      </c>
      <c r="E93" s="16">
        <v>59985</v>
      </c>
      <c r="F93" s="41">
        <f>SUM(D93:E93)</f>
        <v>509985</v>
      </c>
      <c r="G93" s="159">
        <v>50</v>
      </c>
      <c r="H93" s="278">
        <v>10199.700000000001</v>
      </c>
      <c r="I93" s="159">
        <v>45</v>
      </c>
      <c r="J93" s="97">
        <f t="shared" si="14"/>
        <v>5</v>
      </c>
      <c r="K93" s="91">
        <f t="shared" si="12"/>
        <v>458986.50000000006</v>
      </c>
      <c r="L93" s="94">
        <f t="shared" si="13"/>
        <v>50998.499999999942</v>
      </c>
      <c r="M93" s="11"/>
      <c r="N93" s="180" t="e">
        <f>#REF!-H93</f>
        <v>#REF!</v>
      </c>
    </row>
    <row r="94" spans="1:14" s="114" customFormat="1">
      <c r="A94" s="96">
        <v>89</v>
      </c>
      <c r="B94" s="8" t="s">
        <v>868</v>
      </c>
      <c r="C94" s="11" t="s">
        <v>925</v>
      </c>
      <c r="D94" s="19">
        <v>150000</v>
      </c>
      <c r="E94" s="19">
        <v>19995</v>
      </c>
      <c r="F94" s="19">
        <f>SUM(D94:E94)</f>
        <v>169995</v>
      </c>
      <c r="G94" s="159">
        <v>50</v>
      </c>
      <c r="H94" s="279">
        <v>3399.9</v>
      </c>
      <c r="I94" s="159">
        <v>6</v>
      </c>
      <c r="J94" s="97">
        <f t="shared" si="14"/>
        <v>44</v>
      </c>
      <c r="K94" s="91">
        <f t="shared" si="12"/>
        <v>20399.400000000001</v>
      </c>
      <c r="L94" s="94">
        <f t="shared" si="13"/>
        <v>149595.6</v>
      </c>
      <c r="M94" s="11"/>
      <c r="N94" s="180" t="e">
        <f>#REF!-H94</f>
        <v>#REF!</v>
      </c>
    </row>
    <row r="95" spans="1:14" s="114" customFormat="1">
      <c r="A95" s="96">
        <v>90</v>
      </c>
      <c r="B95" s="96" t="s">
        <v>642</v>
      </c>
      <c r="C95" s="11" t="s">
        <v>643</v>
      </c>
      <c r="D95" s="16">
        <v>500000</v>
      </c>
      <c r="E95" s="16">
        <v>66650</v>
      </c>
      <c r="F95" s="16">
        <v>566650</v>
      </c>
      <c r="G95" s="159">
        <v>50</v>
      </c>
      <c r="H95" s="283">
        <v>11333</v>
      </c>
      <c r="I95" s="101">
        <v>10</v>
      </c>
      <c r="J95" s="97">
        <f t="shared" si="14"/>
        <v>40</v>
      </c>
      <c r="K95" s="91">
        <f t="shared" si="12"/>
        <v>113330</v>
      </c>
      <c r="L95" s="94">
        <f t="shared" si="13"/>
        <v>453320</v>
      </c>
      <c r="M95" s="8"/>
      <c r="N95" s="180" t="e">
        <f>#REF!-H95</f>
        <v>#REF!</v>
      </c>
    </row>
    <row r="96" spans="1:14" s="114" customFormat="1">
      <c r="A96" s="96">
        <v>91</v>
      </c>
      <c r="B96" s="96" t="s">
        <v>661</v>
      </c>
      <c r="C96" s="11" t="s">
        <v>662</v>
      </c>
      <c r="D96" s="19">
        <v>500000</v>
      </c>
      <c r="E96" s="19">
        <v>66650</v>
      </c>
      <c r="F96" s="19">
        <v>566650</v>
      </c>
      <c r="G96" s="159">
        <v>50</v>
      </c>
      <c r="H96" s="278">
        <v>11333</v>
      </c>
      <c r="I96" s="97">
        <v>21</v>
      </c>
      <c r="J96" s="97">
        <f t="shared" si="14"/>
        <v>29</v>
      </c>
      <c r="K96" s="91">
        <f t="shared" si="12"/>
        <v>237993</v>
      </c>
      <c r="L96" s="91">
        <f t="shared" si="13"/>
        <v>328657</v>
      </c>
      <c r="M96" s="11"/>
      <c r="N96" s="180" t="e">
        <f>#REF!-H96</f>
        <v>#REF!</v>
      </c>
    </row>
    <row r="97" spans="1:14" s="114" customFormat="1">
      <c r="A97" s="96">
        <v>92</v>
      </c>
      <c r="B97" s="8" t="s">
        <v>723</v>
      </c>
      <c r="C97" s="11" t="s">
        <v>955</v>
      </c>
      <c r="D97" s="16">
        <v>500000</v>
      </c>
      <c r="E97" s="16">
        <v>66650</v>
      </c>
      <c r="F97" s="41">
        <f>SUM(D97:E97)</f>
        <v>566650</v>
      </c>
      <c r="G97" s="159">
        <v>50</v>
      </c>
      <c r="H97" s="279">
        <v>11333</v>
      </c>
      <c r="I97" s="159">
        <v>3</v>
      </c>
      <c r="J97" s="97">
        <f t="shared" si="14"/>
        <v>47</v>
      </c>
      <c r="K97" s="91">
        <f t="shared" si="12"/>
        <v>33999</v>
      </c>
      <c r="L97" s="94">
        <f t="shared" si="13"/>
        <v>532651</v>
      </c>
      <c r="M97" s="11"/>
    </row>
    <row r="98" spans="1:14" s="114" customFormat="1">
      <c r="A98" s="96">
        <v>93</v>
      </c>
      <c r="B98" s="96" t="s">
        <v>719</v>
      </c>
      <c r="C98" s="11" t="s">
        <v>720</v>
      </c>
      <c r="D98" s="16">
        <v>500000</v>
      </c>
      <c r="E98" s="16">
        <v>66650</v>
      </c>
      <c r="F98" s="16">
        <v>566650</v>
      </c>
      <c r="G98" s="159">
        <v>50</v>
      </c>
      <c r="H98" s="278">
        <v>11333</v>
      </c>
      <c r="I98" s="101">
        <v>10</v>
      </c>
      <c r="J98" s="97">
        <f t="shared" si="14"/>
        <v>40</v>
      </c>
      <c r="K98" s="91">
        <f t="shared" si="12"/>
        <v>113330</v>
      </c>
      <c r="L98" s="94">
        <f t="shared" si="13"/>
        <v>453320</v>
      </c>
      <c r="M98" s="8"/>
      <c r="N98" s="180" t="e">
        <f>#REF!-H98</f>
        <v>#REF!</v>
      </c>
    </row>
    <row r="99" spans="1:14" s="114" customFormat="1">
      <c r="A99" s="96">
        <v>94</v>
      </c>
      <c r="B99" s="96" t="s">
        <v>668</v>
      </c>
      <c r="C99" s="11" t="s">
        <v>669</v>
      </c>
      <c r="D99" s="16">
        <v>450000</v>
      </c>
      <c r="E99" s="16">
        <v>59985</v>
      </c>
      <c r="F99" s="16">
        <v>509985</v>
      </c>
      <c r="G99" s="159">
        <v>50</v>
      </c>
      <c r="H99" s="278">
        <v>10199.700000000001</v>
      </c>
      <c r="I99" s="97">
        <v>21</v>
      </c>
      <c r="J99" s="97">
        <f t="shared" si="14"/>
        <v>29</v>
      </c>
      <c r="K99" s="91">
        <f t="shared" si="12"/>
        <v>214193.7</v>
      </c>
      <c r="L99" s="91">
        <f t="shared" si="13"/>
        <v>295791.3</v>
      </c>
      <c r="M99" s="11"/>
      <c r="N99" s="180" t="e">
        <f>#REF!-H99</f>
        <v>#REF!</v>
      </c>
    </row>
    <row r="100" spans="1:14" s="114" customFormat="1">
      <c r="A100" s="96">
        <v>95</v>
      </c>
      <c r="B100" s="96" t="s">
        <v>594</v>
      </c>
      <c r="C100" s="11" t="s">
        <v>595</v>
      </c>
      <c r="D100" s="16">
        <v>500000</v>
      </c>
      <c r="E100" s="16">
        <v>66650</v>
      </c>
      <c r="F100" s="41">
        <f t="shared" ref="F100:F113" si="15">SUM(D100:E100)</f>
        <v>566650</v>
      </c>
      <c r="G100" s="159">
        <v>50</v>
      </c>
      <c r="H100" s="278">
        <v>11333</v>
      </c>
      <c r="I100" s="97">
        <v>36</v>
      </c>
      <c r="J100" s="97">
        <f t="shared" si="14"/>
        <v>14</v>
      </c>
      <c r="K100" s="91">
        <f t="shared" si="12"/>
        <v>407988</v>
      </c>
      <c r="L100" s="94">
        <f t="shared" si="13"/>
        <v>158662</v>
      </c>
      <c r="M100" s="11"/>
      <c r="N100" s="180" t="e">
        <f>#REF!-H100</f>
        <v>#REF!</v>
      </c>
    </row>
    <row r="101" spans="1:14" s="114" customFormat="1">
      <c r="A101" s="96">
        <v>96</v>
      </c>
      <c r="B101" s="96" t="s">
        <v>585</v>
      </c>
      <c r="C101" s="11" t="s">
        <v>586</v>
      </c>
      <c r="D101" s="161">
        <v>500000</v>
      </c>
      <c r="E101" s="161">
        <v>66650</v>
      </c>
      <c r="F101" s="162">
        <f t="shared" si="15"/>
        <v>566650</v>
      </c>
      <c r="G101" s="96">
        <v>50</v>
      </c>
      <c r="H101" s="278">
        <v>11333</v>
      </c>
      <c r="I101" s="97">
        <v>36</v>
      </c>
      <c r="J101" s="97">
        <f t="shared" si="14"/>
        <v>14</v>
      </c>
      <c r="K101" s="146">
        <f t="shared" si="12"/>
        <v>407988</v>
      </c>
      <c r="L101" s="164">
        <f t="shared" si="13"/>
        <v>158662</v>
      </c>
      <c r="M101" s="123"/>
      <c r="N101" s="180" t="e">
        <f>#REF!-H101</f>
        <v>#REF!</v>
      </c>
    </row>
    <row r="102" spans="1:14" s="114" customFormat="1">
      <c r="A102" s="96">
        <v>97</v>
      </c>
      <c r="B102" s="11" t="s">
        <v>899</v>
      </c>
      <c r="C102" s="123" t="s">
        <v>922</v>
      </c>
      <c r="D102" s="19">
        <v>330000</v>
      </c>
      <c r="E102" s="19">
        <v>43989</v>
      </c>
      <c r="F102" s="19">
        <f t="shared" si="15"/>
        <v>373989</v>
      </c>
      <c r="G102" s="159">
        <v>50</v>
      </c>
      <c r="H102" s="279">
        <v>7479.78</v>
      </c>
      <c r="I102" s="159">
        <v>5</v>
      </c>
      <c r="J102" s="159">
        <f t="shared" si="14"/>
        <v>45</v>
      </c>
      <c r="K102" s="16">
        <f t="shared" si="12"/>
        <v>37398.9</v>
      </c>
      <c r="L102" s="94">
        <f t="shared" ref="L102:L133" si="16">F102-K102</f>
        <v>336590.1</v>
      </c>
      <c r="M102" s="11"/>
      <c r="N102" s="180" t="e">
        <f>#REF!-H102</f>
        <v>#REF!</v>
      </c>
    </row>
    <row r="103" spans="1:14" s="114" customFormat="1">
      <c r="A103" s="96">
        <v>98</v>
      </c>
      <c r="B103" s="96" t="s">
        <v>647</v>
      </c>
      <c r="C103" s="11" t="s">
        <v>648</v>
      </c>
      <c r="D103" s="16">
        <v>500000</v>
      </c>
      <c r="E103" s="16">
        <v>66650</v>
      </c>
      <c r="F103" s="41">
        <f t="shared" si="15"/>
        <v>566650</v>
      </c>
      <c r="G103" s="159">
        <v>50</v>
      </c>
      <c r="H103" s="278">
        <v>11333</v>
      </c>
      <c r="I103" s="97">
        <v>14</v>
      </c>
      <c r="J103" s="97">
        <f t="shared" si="14"/>
        <v>36</v>
      </c>
      <c r="K103" s="91">
        <f>(1*11333)</f>
        <v>11333</v>
      </c>
      <c r="L103" s="91">
        <f t="shared" si="16"/>
        <v>555317</v>
      </c>
      <c r="M103" s="11"/>
    </row>
    <row r="104" spans="1:14" s="114" customFormat="1">
      <c r="A104" s="96">
        <v>99</v>
      </c>
      <c r="B104" s="11" t="s">
        <v>929</v>
      </c>
      <c r="C104" s="11" t="s">
        <v>932</v>
      </c>
      <c r="D104" s="16">
        <v>500000</v>
      </c>
      <c r="E104" s="16">
        <v>66650</v>
      </c>
      <c r="F104" s="41">
        <f t="shared" si="15"/>
        <v>566650</v>
      </c>
      <c r="G104" s="159">
        <v>50</v>
      </c>
      <c r="H104" s="279">
        <v>11333</v>
      </c>
      <c r="I104" s="159">
        <v>35</v>
      </c>
      <c r="J104" s="159">
        <f t="shared" si="14"/>
        <v>15</v>
      </c>
      <c r="K104" s="16">
        <f>I104*H104</f>
        <v>396655</v>
      </c>
      <c r="L104" s="94">
        <f t="shared" si="16"/>
        <v>169995</v>
      </c>
      <c r="M104" s="11"/>
    </row>
    <row r="105" spans="1:14" s="114" customFormat="1">
      <c r="A105" s="96">
        <v>100</v>
      </c>
      <c r="B105" s="126" t="s">
        <v>941</v>
      </c>
      <c r="C105" s="8" t="s">
        <v>942</v>
      </c>
      <c r="D105" s="19">
        <v>330000</v>
      </c>
      <c r="E105" s="19">
        <v>43989</v>
      </c>
      <c r="F105" s="19">
        <f t="shared" si="15"/>
        <v>373989</v>
      </c>
      <c r="G105" s="159">
        <v>50</v>
      </c>
      <c r="H105" s="286">
        <v>7479.78</v>
      </c>
      <c r="I105" s="159">
        <v>2</v>
      </c>
      <c r="J105" s="159">
        <f t="shared" si="14"/>
        <v>48</v>
      </c>
      <c r="K105" s="16">
        <f>I105*H105</f>
        <v>14959.56</v>
      </c>
      <c r="L105" s="94">
        <f t="shared" si="16"/>
        <v>359029.44</v>
      </c>
      <c r="M105" s="8"/>
    </row>
    <row r="106" spans="1:14" s="114" customFormat="1">
      <c r="A106" s="96">
        <v>101</v>
      </c>
      <c r="B106" s="96" t="s">
        <v>600</v>
      </c>
      <c r="C106" s="11" t="s">
        <v>601</v>
      </c>
      <c r="D106" s="16">
        <v>450000</v>
      </c>
      <c r="E106" s="16">
        <v>59985</v>
      </c>
      <c r="F106" s="41">
        <f t="shared" si="15"/>
        <v>509985</v>
      </c>
      <c r="G106" s="159">
        <v>50</v>
      </c>
      <c r="H106" s="278">
        <v>10199.700000000001</v>
      </c>
      <c r="I106" s="97">
        <v>35</v>
      </c>
      <c r="J106" s="97">
        <f>G106-I106</f>
        <v>15</v>
      </c>
      <c r="K106" s="91">
        <f>I106*H106</f>
        <v>356989.5</v>
      </c>
      <c r="L106" s="94">
        <f t="shared" si="16"/>
        <v>152995.5</v>
      </c>
      <c r="M106" s="11"/>
    </row>
    <row r="107" spans="1:14" s="114" customFormat="1">
      <c r="A107" s="96">
        <v>102</v>
      </c>
      <c r="B107" s="126" t="s">
        <v>930</v>
      </c>
      <c r="C107" s="8" t="s">
        <v>933</v>
      </c>
      <c r="D107" s="19">
        <v>330000</v>
      </c>
      <c r="E107" s="19">
        <v>31672.200000000012</v>
      </c>
      <c r="F107" s="19">
        <f t="shared" si="15"/>
        <v>361672.2</v>
      </c>
      <c r="G107" s="159">
        <v>36</v>
      </c>
      <c r="H107" s="286">
        <v>10046.450000000001</v>
      </c>
      <c r="I107" s="159"/>
      <c r="J107" s="34"/>
      <c r="K107" s="16">
        <f>I107*H107</f>
        <v>0</v>
      </c>
      <c r="L107" s="94">
        <f t="shared" si="16"/>
        <v>361672.2</v>
      </c>
      <c r="M107" s="8"/>
    </row>
    <row r="108" spans="1:14" s="114" customFormat="1">
      <c r="A108" s="96">
        <v>103</v>
      </c>
      <c r="B108" s="96" t="s">
        <v>546</v>
      </c>
      <c r="C108" s="11" t="s">
        <v>547</v>
      </c>
      <c r="D108" s="19">
        <v>330000</v>
      </c>
      <c r="E108" s="19">
        <v>43989</v>
      </c>
      <c r="F108" s="19">
        <f t="shared" si="15"/>
        <v>373989</v>
      </c>
      <c r="G108" s="159">
        <v>40</v>
      </c>
      <c r="H108" s="278">
        <v>9129.7800000000007</v>
      </c>
      <c r="I108" s="159">
        <v>10</v>
      </c>
      <c r="J108" s="97">
        <f t="shared" ref="J108:J133" si="17">G108-I108</f>
        <v>30</v>
      </c>
      <c r="K108" s="91">
        <f>I108*H108</f>
        <v>91297.8</v>
      </c>
      <c r="L108" s="94">
        <f t="shared" si="16"/>
        <v>282691.20000000001</v>
      </c>
      <c r="M108" s="11"/>
    </row>
    <row r="109" spans="1:14" s="114" customFormat="1">
      <c r="A109" s="96">
        <v>104</v>
      </c>
      <c r="B109" s="96" t="s">
        <v>638</v>
      </c>
      <c r="C109" s="11" t="s">
        <v>639</v>
      </c>
      <c r="D109" s="16">
        <v>500000</v>
      </c>
      <c r="E109" s="16">
        <v>66650</v>
      </c>
      <c r="F109" s="41">
        <f t="shared" si="15"/>
        <v>566650</v>
      </c>
      <c r="G109" s="159">
        <v>50</v>
      </c>
      <c r="H109" s="278">
        <v>11333</v>
      </c>
      <c r="I109" s="97">
        <v>14</v>
      </c>
      <c r="J109" s="97">
        <f t="shared" si="17"/>
        <v>36</v>
      </c>
      <c r="K109" s="91">
        <f>(1*11333)</f>
        <v>11333</v>
      </c>
      <c r="L109" s="91">
        <f t="shared" si="16"/>
        <v>555317</v>
      </c>
      <c r="M109" s="11"/>
      <c r="N109" s="120"/>
    </row>
    <row r="110" spans="1:14" s="114" customFormat="1">
      <c r="A110" s="96">
        <v>105</v>
      </c>
      <c r="B110" s="96" t="s">
        <v>629</v>
      </c>
      <c r="C110" s="11" t="s">
        <v>630</v>
      </c>
      <c r="D110" s="12">
        <v>330000</v>
      </c>
      <c r="E110" s="12">
        <v>43989</v>
      </c>
      <c r="F110" s="15">
        <f t="shared" si="15"/>
        <v>373989</v>
      </c>
      <c r="G110" s="14">
        <v>50</v>
      </c>
      <c r="H110" s="280">
        <v>7479.78</v>
      </c>
      <c r="I110" s="14">
        <v>41</v>
      </c>
      <c r="J110" s="97">
        <f t="shared" si="17"/>
        <v>9</v>
      </c>
      <c r="K110" s="91">
        <f t="shared" ref="K110:K133" si="18">I110*H110</f>
        <v>306670.98</v>
      </c>
      <c r="L110" s="15">
        <f t="shared" si="16"/>
        <v>67318.020000000019</v>
      </c>
      <c r="M110" s="8"/>
      <c r="N110"/>
    </row>
    <row r="111" spans="1:14" s="114" customFormat="1">
      <c r="A111" s="96">
        <v>106</v>
      </c>
      <c r="B111" s="96" t="s">
        <v>645</v>
      </c>
      <c r="C111" s="11" t="s">
        <v>646</v>
      </c>
      <c r="D111" s="16">
        <v>500000</v>
      </c>
      <c r="E111" s="16">
        <v>66650</v>
      </c>
      <c r="F111" s="41">
        <f t="shared" si="15"/>
        <v>566650</v>
      </c>
      <c r="G111" s="159">
        <v>50</v>
      </c>
      <c r="H111" s="278">
        <v>11333</v>
      </c>
      <c r="I111" s="97">
        <v>35</v>
      </c>
      <c r="J111" s="97">
        <f t="shared" si="17"/>
        <v>15</v>
      </c>
      <c r="K111" s="91">
        <f t="shared" si="18"/>
        <v>396655</v>
      </c>
      <c r="L111" s="94">
        <f t="shared" si="16"/>
        <v>169995</v>
      </c>
      <c r="M111" s="11"/>
      <c r="N111"/>
    </row>
    <row r="112" spans="1:14" s="114" customFormat="1">
      <c r="A112" s="96">
        <v>107</v>
      </c>
      <c r="B112" s="96" t="s">
        <v>548</v>
      </c>
      <c r="C112" s="11" t="s">
        <v>549</v>
      </c>
      <c r="D112" s="12">
        <v>330000</v>
      </c>
      <c r="E112" s="12">
        <v>43989</v>
      </c>
      <c r="F112" s="15">
        <f t="shared" si="15"/>
        <v>373989</v>
      </c>
      <c r="G112" s="14">
        <v>50</v>
      </c>
      <c r="H112" s="280">
        <v>7479.78</v>
      </c>
      <c r="I112" s="14">
        <v>41</v>
      </c>
      <c r="J112" s="97">
        <f t="shared" si="17"/>
        <v>9</v>
      </c>
      <c r="K112" s="91">
        <f t="shared" si="18"/>
        <v>306670.98</v>
      </c>
      <c r="L112" s="15">
        <f t="shared" si="16"/>
        <v>67318.020000000019</v>
      </c>
      <c r="M112" s="8"/>
      <c r="N112"/>
    </row>
    <row r="113" spans="1:15" s="114" customFormat="1">
      <c r="A113" s="96">
        <v>108</v>
      </c>
      <c r="B113" s="11" t="s">
        <v>678</v>
      </c>
      <c r="C113" s="123" t="s">
        <v>679</v>
      </c>
      <c r="D113" s="16">
        <v>500000</v>
      </c>
      <c r="E113" s="16">
        <v>66650</v>
      </c>
      <c r="F113" s="41">
        <f t="shared" si="15"/>
        <v>566650</v>
      </c>
      <c r="G113" s="159">
        <v>50</v>
      </c>
      <c r="H113" s="279">
        <v>15222</v>
      </c>
      <c r="I113" s="159">
        <v>5</v>
      </c>
      <c r="J113" s="159">
        <f t="shared" si="17"/>
        <v>45</v>
      </c>
      <c r="K113" s="16">
        <f t="shared" si="18"/>
        <v>76110</v>
      </c>
      <c r="L113" s="94">
        <f t="shared" si="16"/>
        <v>490540</v>
      </c>
      <c r="M113" s="11"/>
      <c r="N113"/>
    </row>
    <row r="114" spans="1:15" s="114" customFormat="1">
      <c r="A114" s="96">
        <v>109</v>
      </c>
      <c r="B114" s="96" t="s">
        <v>501</v>
      </c>
      <c r="C114" s="11" t="s">
        <v>502</v>
      </c>
      <c r="D114" s="16">
        <v>500000</v>
      </c>
      <c r="E114" s="16">
        <v>66650</v>
      </c>
      <c r="F114" s="16">
        <v>566650</v>
      </c>
      <c r="G114" s="159">
        <v>50</v>
      </c>
      <c r="H114" s="277">
        <v>11333</v>
      </c>
      <c r="I114" s="159">
        <v>10</v>
      </c>
      <c r="J114" s="97">
        <f t="shared" si="17"/>
        <v>40</v>
      </c>
      <c r="K114" s="91">
        <f t="shared" si="18"/>
        <v>113330</v>
      </c>
      <c r="L114" s="94">
        <f t="shared" si="16"/>
        <v>453320</v>
      </c>
      <c r="M114" s="11"/>
      <c r="N114"/>
    </row>
    <row r="115" spans="1:15" s="114" customFormat="1">
      <c r="A115" s="96">
        <v>110</v>
      </c>
      <c r="B115" s="96" t="s">
        <v>514</v>
      </c>
      <c r="C115" s="11" t="s">
        <v>515</v>
      </c>
      <c r="D115" s="16">
        <v>500000</v>
      </c>
      <c r="E115" s="16">
        <v>66650</v>
      </c>
      <c r="F115" s="41">
        <f>SUM(D115:E115)</f>
        <v>566650</v>
      </c>
      <c r="G115" s="159">
        <v>50</v>
      </c>
      <c r="H115" s="278">
        <v>11333</v>
      </c>
      <c r="I115" s="97">
        <v>57</v>
      </c>
      <c r="J115" s="97">
        <f t="shared" si="17"/>
        <v>-7</v>
      </c>
      <c r="K115" s="91">
        <f t="shared" si="18"/>
        <v>645981</v>
      </c>
      <c r="L115" s="94">
        <f t="shared" si="16"/>
        <v>-79331</v>
      </c>
      <c r="M115" s="11"/>
      <c r="N115"/>
    </row>
    <row r="116" spans="1:15" s="114" customFormat="1">
      <c r="A116" s="96">
        <v>111</v>
      </c>
      <c r="B116" s="96" t="s">
        <v>557</v>
      </c>
      <c r="C116" s="11" t="s">
        <v>558</v>
      </c>
      <c r="D116" s="16">
        <v>450000</v>
      </c>
      <c r="E116" s="16">
        <v>59985</v>
      </c>
      <c r="F116" s="41">
        <f>SUM(D116:E116)</f>
        <v>509985</v>
      </c>
      <c r="G116" s="159">
        <v>50</v>
      </c>
      <c r="H116" s="278">
        <v>10199.700000000001</v>
      </c>
      <c r="I116" s="97">
        <v>36</v>
      </c>
      <c r="J116" s="97">
        <f t="shared" si="17"/>
        <v>14</v>
      </c>
      <c r="K116" s="91">
        <f t="shared" si="18"/>
        <v>367189.2</v>
      </c>
      <c r="L116" s="94">
        <f t="shared" si="16"/>
        <v>142795.79999999999</v>
      </c>
      <c r="M116" s="11"/>
    </row>
    <row r="117" spans="1:15" s="114" customFormat="1">
      <c r="A117" s="96">
        <v>112</v>
      </c>
      <c r="B117" s="96" t="s">
        <v>583</v>
      </c>
      <c r="C117" s="11" t="s">
        <v>584</v>
      </c>
      <c r="D117" s="16">
        <v>500000</v>
      </c>
      <c r="E117" s="16">
        <v>66650</v>
      </c>
      <c r="F117" s="41">
        <f>SUM(D117:E117)</f>
        <v>566650</v>
      </c>
      <c r="G117" s="159">
        <v>50</v>
      </c>
      <c r="H117" s="278">
        <v>11333</v>
      </c>
      <c r="I117" s="97">
        <v>36</v>
      </c>
      <c r="J117" s="97">
        <f t="shared" si="17"/>
        <v>14</v>
      </c>
      <c r="K117" s="91">
        <f t="shared" si="18"/>
        <v>407988</v>
      </c>
      <c r="L117" s="94">
        <f t="shared" si="16"/>
        <v>158662</v>
      </c>
      <c r="M117" s="11"/>
    </row>
    <row r="118" spans="1:15" s="114" customFormat="1">
      <c r="A118" s="96">
        <v>113</v>
      </c>
      <c r="B118" s="96" t="s">
        <v>561</v>
      </c>
      <c r="C118" s="11" t="s">
        <v>562</v>
      </c>
      <c r="D118" s="16">
        <v>450000</v>
      </c>
      <c r="E118" s="16">
        <v>59985</v>
      </c>
      <c r="F118" s="41">
        <f>SUM(D118:E118)</f>
        <v>509985</v>
      </c>
      <c r="G118" s="159">
        <v>50</v>
      </c>
      <c r="H118" s="278">
        <v>10199.700000000001</v>
      </c>
      <c r="I118" s="97">
        <v>36</v>
      </c>
      <c r="J118" s="97">
        <f t="shared" si="17"/>
        <v>14</v>
      </c>
      <c r="K118" s="91">
        <f t="shared" si="18"/>
        <v>367189.2</v>
      </c>
      <c r="L118" s="94">
        <f t="shared" si="16"/>
        <v>142795.79999999999</v>
      </c>
      <c r="M118" s="11"/>
    </row>
    <row r="119" spans="1:15" s="114" customFormat="1">
      <c r="A119" s="96">
        <v>114</v>
      </c>
      <c r="B119" s="96" t="s">
        <v>684</v>
      </c>
      <c r="C119" s="11" t="s">
        <v>685</v>
      </c>
      <c r="D119" s="19">
        <v>500000</v>
      </c>
      <c r="E119" s="19">
        <v>66650</v>
      </c>
      <c r="F119" s="19">
        <v>566650</v>
      </c>
      <c r="G119" s="159">
        <v>50</v>
      </c>
      <c r="H119" s="278">
        <v>11333</v>
      </c>
      <c r="I119" s="97">
        <v>22</v>
      </c>
      <c r="J119" s="97">
        <f t="shared" si="17"/>
        <v>28</v>
      </c>
      <c r="K119" s="91">
        <f t="shared" si="18"/>
        <v>249326</v>
      </c>
      <c r="L119" s="91">
        <f t="shared" si="16"/>
        <v>317324</v>
      </c>
      <c r="M119" s="11"/>
    </row>
    <row r="120" spans="1:15" s="114" customFormat="1">
      <c r="A120" s="96">
        <v>115</v>
      </c>
      <c r="B120" s="96" t="s">
        <v>670</v>
      </c>
      <c r="C120" s="11" t="s">
        <v>671</v>
      </c>
      <c r="D120" s="16">
        <v>330000</v>
      </c>
      <c r="E120" s="16">
        <v>43989</v>
      </c>
      <c r="F120" s="41">
        <f>SUM(D120:E120)</f>
        <v>373989</v>
      </c>
      <c r="G120" s="159">
        <v>50</v>
      </c>
      <c r="H120" s="278">
        <v>7479.78</v>
      </c>
      <c r="I120" s="159">
        <v>44</v>
      </c>
      <c r="J120" s="97">
        <f t="shared" si="17"/>
        <v>6</v>
      </c>
      <c r="K120" s="91">
        <f t="shared" si="18"/>
        <v>329110.32</v>
      </c>
      <c r="L120" s="94">
        <f t="shared" si="16"/>
        <v>44878.679999999993</v>
      </c>
      <c r="M120" s="11"/>
    </row>
    <row r="121" spans="1:15" s="114" customFormat="1">
      <c r="A121" s="96">
        <v>116</v>
      </c>
      <c r="B121" s="11" t="s">
        <v>901</v>
      </c>
      <c r="C121" s="123" t="s">
        <v>924</v>
      </c>
      <c r="D121" s="19">
        <v>330000</v>
      </c>
      <c r="E121" s="19">
        <v>43989</v>
      </c>
      <c r="F121" s="19">
        <f>SUM(D121:E121)</f>
        <v>373989</v>
      </c>
      <c r="G121" s="159">
        <v>50</v>
      </c>
      <c r="H121" s="279">
        <v>7479.78</v>
      </c>
      <c r="I121" s="159">
        <v>5</v>
      </c>
      <c r="J121" s="159">
        <f t="shared" si="17"/>
        <v>45</v>
      </c>
      <c r="K121" s="16">
        <f t="shared" si="18"/>
        <v>37398.9</v>
      </c>
      <c r="L121" s="94">
        <f t="shared" si="16"/>
        <v>336590.1</v>
      </c>
      <c r="M121" s="11"/>
    </row>
    <row r="122" spans="1:15" s="114" customFormat="1">
      <c r="A122" s="96">
        <v>117</v>
      </c>
      <c r="B122" s="96" t="s">
        <v>509</v>
      </c>
      <c r="C122" s="11" t="s">
        <v>510</v>
      </c>
      <c r="D122" s="19">
        <v>450000</v>
      </c>
      <c r="E122" s="19">
        <v>59985</v>
      </c>
      <c r="F122" s="19">
        <v>509985</v>
      </c>
      <c r="G122" s="159">
        <v>50</v>
      </c>
      <c r="H122" s="278">
        <v>10199.700000000001</v>
      </c>
      <c r="I122" s="97">
        <v>22</v>
      </c>
      <c r="J122" s="97">
        <f t="shared" si="17"/>
        <v>28</v>
      </c>
      <c r="K122" s="91">
        <f t="shared" si="18"/>
        <v>224393.40000000002</v>
      </c>
      <c r="L122" s="91">
        <f t="shared" si="16"/>
        <v>285591.59999999998</v>
      </c>
      <c r="M122" s="11"/>
    </row>
    <row r="123" spans="1:15" s="114" customFormat="1">
      <c r="A123" s="96">
        <v>118</v>
      </c>
      <c r="B123" s="126" t="s">
        <v>928</v>
      </c>
      <c r="C123" s="8" t="s">
        <v>931</v>
      </c>
      <c r="D123" s="16">
        <v>500000</v>
      </c>
      <c r="E123" s="16">
        <v>47988.040000000037</v>
      </c>
      <c r="F123" s="41">
        <f>SUM(D123:E123)</f>
        <v>547988.04</v>
      </c>
      <c r="G123" s="159">
        <v>36</v>
      </c>
      <c r="H123" s="286">
        <v>15221.89</v>
      </c>
      <c r="I123" s="159">
        <v>20</v>
      </c>
      <c r="J123" s="159">
        <f t="shared" si="17"/>
        <v>16</v>
      </c>
      <c r="K123" s="16">
        <f t="shared" si="18"/>
        <v>304437.8</v>
      </c>
      <c r="L123" s="94">
        <f t="shared" si="16"/>
        <v>243550.24000000005</v>
      </c>
      <c r="M123" s="8"/>
    </row>
    <row r="124" spans="1:15" s="114" customFormat="1">
      <c r="A124" s="96">
        <v>119</v>
      </c>
      <c r="B124" s="96" t="s">
        <v>613</v>
      </c>
      <c r="C124" s="11" t="s">
        <v>614</v>
      </c>
      <c r="D124" s="16">
        <v>500000</v>
      </c>
      <c r="E124" s="16">
        <v>66650</v>
      </c>
      <c r="F124" s="41">
        <f>SUM(D124:E124)</f>
        <v>566650</v>
      </c>
      <c r="G124" s="159">
        <v>50</v>
      </c>
      <c r="H124" s="278">
        <v>11333</v>
      </c>
      <c r="I124" s="97">
        <v>56</v>
      </c>
      <c r="J124" s="97">
        <f t="shared" si="17"/>
        <v>-6</v>
      </c>
      <c r="K124" s="91">
        <f t="shared" si="18"/>
        <v>634648</v>
      </c>
      <c r="L124" s="94">
        <f t="shared" si="16"/>
        <v>-67998</v>
      </c>
      <c r="M124" s="11"/>
      <c r="O124" s="120"/>
    </row>
    <row r="125" spans="1:15" s="114" customFormat="1">
      <c r="A125" s="96">
        <v>120</v>
      </c>
      <c r="B125" s="96" t="s">
        <v>711</v>
      </c>
      <c r="C125" s="11" t="s">
        <v>712</v>
      </c>
      <c r="D125" s="16">
        <v>500000</v>
      </c>
      <c r="E125" s="16">
        <v>66650</v>
      </c>
      <c r="F125" s="41">
        <f>SUM(D125:E125)</f>
        <v>566650</v>
      </c>
      <c r="G125" s="159">
        <v>50</v>
      </c>
      <c r="H125" s="278">
        <v>11333</v>
      </c>
      <c r="I125" s="97">
        <v>35</v>
      </c>
      <c r="J125" s="97">
        <f t="shared" si="17"/>
        <v>15</v>
      </c>
      <c r="K125" s="91">
        <f t="shared" si="18"/>
        <v>396655</v>
      </c>
      <c r="L125" s="94">
        <f t="shared" si="16"/>
        <v>169995</v>
      </c>
      <c r="M125" s="11"/>
    </row>
    <row r="126" spans="1:15" s="114" customFormat="1">
      <c r="A126" s="96">
        <v>121</v>
      </c>
      <c r="B126" s="96" t="s">
        <v>538</v>
      </c>
      <c r="C126" s="11" t="s">
        <v>539</v>
      </c>
      <c r="D126" s="12">
        <v>500000</v>
      </c>
      <c r="E126" s="12">
        <v>66650</v>
      </c>
      <c r="F126" s="15">
        <f>SUM(D126:E126)</f>
        <v>566650</v>
      </c>
      <c r="G126" s="14">
        <v>50</v>
      </c>
      <c r="H126" s="277">
        <v>11333</v>
      </c>
      <c r="I126" s="14">
        <v>41</v>
      </c>
      <c r="J126" s="97">
        <f t="shared" si="17"/>
        <v>9</v>
      </c>
      <c r="K126" s="91">
        <f t="shared" si="18"/>
        <v>464653</v>
      </c>
      <c r="L126" s="15">
        <f t="shared" si="16"/>
        <v>101997</v>
      </c>
      <c r="M126" s="8"/>
    </row>
    <row r="127" spans="1:15" s="114" customFormat="1">
      <c r="A127" s="96">
        <v>122</v>
      </c>
      <c r="B127" s="96" t="s">
        <v>507</v>
      </c>
      <c r="C127" s="11" t="s">
        <v>508</v>
      </c>
      <c r="D127" s="16">
        <v>500000</v>
      </c>
      <c r="E127" s="16">
        <v>66650</v>
      </c>
      <c r="F127" s="16">
        <v>566650</v>
      </c>
      <c r="G127" s="159">
        <v>50</v>
      </c>
      <c r="H127" s="278">
        <v>11333</v>
      </c>
      <c r="I127" s="97">
        <v>22</v>
      </c>
      <c r="J127" s="97">
        <f t="shared" si="17"/>
        <v>28</v>
      </c>
      <c r="K127" s="91">
        <f t="shared" si="18"/>
        <v>249326</v>
      </c>
      <c r="L127" s="91">
        <f t="shared" si="16"/>
        <v>317324</v>
      </c>
      <c r="M127" s="11"/>
    </row>
    <row r="128" spans="1:15" s="114" customFormat="1">
      <c r="A128" s="96">
        <v>123</v>
      </c>
      <c r="B128" s="96" t="s">
        <v>728</v>
      </c>
      <c r="C128" s="11" t="s">
        <v>729</v>
      </c>
      <c r="D128" s="16">
        <v>500000</v>
      </c>
      <c r="E128" s="16">
        <v>47992</v>
      </c>
      <c r="F128" s="41">
        <f t="shared" ref="F128:F133" si="19">SUM(D128:E128)</f>
        <v>547992</v>
      </c>
      <c r="G128" s="159">
        <v>36</v>
      </c>
      <c r="H128" s="277">
        <v>15222</v>
      </c>
      <c r="I128" s="97">
        <v>35</v>
      </c>
      <c r="J128" s="97">
        <f t="shared" si="17"/>
        <v>1</v>
      </c>
      <c r="K128" s="91">
        <f t="shared" si="18"/>
        <v>532770</v>
      </c>
      <c r="L128" s="94">
        <f t="shared" si="16"/>
        <v>15222</v>
      </c>
      <c r="M128" s="11"/>
    </row>
    <row r="129" spans="1:15" s="114" customFormat="1">
      <c r="A129" s="96">
        <v>124</v>
      </c>
      <c r="B129" s="11" t="s">
        <v>889</v>
      </c>
      <c r="C129" s="123" t="s">
        <v>911</v>
      </c>
      <c r="D129" s="16">
        <v>500000</v>
      </c>
      <c r="E129" s="16">
        <v>66650</v>
      </c>
      <c r="F129" s="41">
        <f t="shared" si="19"/>
        <v>566650</v>
      </c>
      <c r="G129" s="159">
        <v>50</v>
      </c>
      <c r="H129" s="279">
        <v>11333</v>
      </c>
      <c r="I129" s="159">
        <v>5</v>
      </c>
      <c r="J129" s="159">
        <f t="shared" si="17"/>
        <v>45</v>
      </c>
      <c r="K129" s="16">
        <f t="shared" si="18"/>
        <v>56665</v>
      </c>
      <c r="L129" s="94">
        <f t="shared" si="16"/>
        <v>509985</v>
      </c>
      <c r="M129" s="11"/>
    </row>
    <row r="130" spans="1:15" s="114" customFormat="1">
      <c r="A130" s="96">
        <v>125</v>
      </c>
      <c r="B130" s="241" t="s">
        <v>590</v>
      </c>
      <c r="C130" s="11" t="s">
        <v>591</v>
      </c>
      <c r="D130" s="19">
        <v>150000</v>
      </c>
      <c r="E130" s="19">
        <v>19995</v>
      </c>
      <c r="F130" s="19">
        <f t="shared" si="19"/>
        <v>169995</v>
      </c>
      <c r="G130" s="240">
        <v>50</v>
      </c>
      <c r="H130" s="277">
        <v>3399.9</v>
      </c>
      <c r="I130" s="249">
        <v>35</v>
      </c>
      <c r="J130" s="97">
        <f t="shared" si="17"/>
        <v>15</v>
      </c>
      <c r="K130" s="91">
        <f t="shared" si="18"/>
        <v>118996.5</v>
      </c>
      <c r="L130" s="94">
        <f t="shared" si="16"/>
        <v>50998.5</v>
      </c>
      <c r="M130" s="11"/>
    </row>
    <row r="131" spans="1:15" s="114" customFormat="1">
      <c r="A131" s="96">
        <v>126</v>
      </c>
      <c r="B131" s="96" t="s">
        <v>631</v>
      </c>
      <c r="C131" s="11" t="s">
        <v>632</v>
      </c>
      <c r="D131" s="16">
        <v>500000</v>
      </c>
      <c r="E131" s="16">
        <v>66650</v>
      </c>
      <c r="F131" s="41">
        <f t="shared" si="19"/>
        <v>566650</v>
      </c>
      <c r="G131" s="159">
        <v>50</v>
      </c>
      <c r="H131" s="278">
        <v>11333</v>
      </c>
      <c r="I131" s="159">
        <v>57</v>
      </c>
      <c r="J131" s="97">
        <f t="shared" si="17"/>
        <v>-7</v>
      </c>
      <c r="K131" s="91">
        <f t="shared" si="18"/>
        <v>645981</v>
      </c>
      <c r="L131" s="94">
        <f t="shared" si="16"/>
        <v>-79331</v>
      </c>
      <c r="M131" s="11"/>
    </row>
    <row r="132" spans="1:15" s="114" customFormat="1">
      <c r="A132" s="96">
        <v>127</v>
      </c>
      <c r="B132" s="11" t="s">
        <v>898</v>
      </c>
      <c r="C132" s="123" t="s">
        <v>921</v>
      </c>
      <c r="D132" s="19">
        <v>330000</v>
      </c>
      <c r="E132" s="19">
        <v>43989</v>
      </c>
      <c r="F132" s="19">
        <f t="shared" si="19"/>
        <v>373989</v>
      </c>
      <c r="G132" s="159">
        <v>50</v>
      </c>
      <c r="H132" s="279">
        <v>7479.78</v>
      </c>
      <c r="I132" s="159">
        <v>5</v>
      </c>
      <c r="J132" s="159">
        <f t="shared" si="17"/>
        <v>45</v>
      </c>
      <c r="K132" s="16">
        <f t="shared" si="18"/>
        <v>37398.9</v>
      </c>
      <c r="L132" s="94">
        <f t="shared" si="16"/>
        <v>336590.1</v>
      </c>
      <c r="M132" s="11"/>
      <c r="N132" s="120"/>
    </row>
    <row r="133" spans="1:15" s="120" customFormat="1">
      <c r="A133" s="96">
        <v>128</v>
      </c>
      <c r="B133" s="11" t="s">
        <v>888</v>
      </c>
      <c r="C133" s="123" t="s">
        <v>910</v>
      </c>
      <c r="D133" s="16">
        <v>500000</v>
      </c>
      <c r="E133" s="16">
        <v>66650</v>
      </c>
      <c r="F133" s="41">
        <f t="shared" si="19"/>
        <v>566650</v>
      </c>
      <c r="G133" s="159">
        <v>50</v>
      </c>
      <c r="H133" s="279">
        <v>11333</v>
      </c>
      <c r="I133" s="159">
        <v>5</v>
      </c>
      <c r="J133" s="159">
        <f t="shared" si="17"/>
        <v>45</v>
      </c>
      <c r="K133" s="16">
        <f t="shared" si="18"/>
        <v>56665</v>
      </c>
      <c r="L133" s="94">
        <f t="shared" si="16"/>
        <v>509985</v>
      </c>
      <c r="M133" s="11"/>
      <c r="N133" s="114"/>
      <c r="O133" s="114"/>
    </row>
    <row r="134" spans="1:15" s="114" customFormat="1">
      <c r="A134" s="126"/>
      <c r="B134" s="126"/>
      <c r="C134" s="8"/>
      <c r="D134" s="34">
        <f>SUM(D6:D133)</f>
        <v>54870000</v>
      </c>
      <c r="E134" s="34">
        <f>SUM(E6:E133)</f>
        <v>7231209.2400000002</v>
      </c>
      <c r="F134" s="34">
        <f>SUM(F6:F133)</f>
        <v>62101209.240000002</v>
      </c>
      <c r="G134" s="34"/>
      <c r="H134" s="34">
        <f>SUM(H6:H133)</f>
        <v>1270976.27</v>
      </c>
      <c r="I134" s="34"/>
      <c r="J134" s="34"/>
      <c r="K134" s="34">
        <f>SUM(K6:K133)</f>
        <v>34455622.68</v>
      </c>
      <c r="L134" s="34">
        <f>SUM(L6:L133)</f>
        <v>27645586.560000006</v>
      </c>
      <c r="M134" s="8"/>
    </row>
    <row r="135" spans="1:15" s="114" customFormat="1">
      <c r="A135" s="270"/>
      <c r="B135" s="270"/>
      <c r="C135" s="69"/>
      <c r="D135" s="67"/>
      <c r="E135" s="67"/>
      <c r="F135" s="67"/>
      <c r="G135" s="67"/>
      <c r="H135" s="276">
        <v>1270976.2700000003</v>
      </c>
      <c r="I135" s="67"/>
      <c r="J135" s="67"/>
      <c r="K135" s="67"/>
      <c r="L135" s="67"/>
      <c r="M135" s="69"/>
    </row>
    <row r="136" spans="1:15" s="114" customFormat="1">
      <c r="A136" s="270"/>
      <c r="B136" s="270"/>
      <c r="C136" s="69"/>
      <c r="D136" s="67"/>
      <c r="E136" s="67"/>
      <c r="F136" s="67"/>
      <c r="G136" s="67"/>
      <c r="H136" s="67"/>
      <c r="I136" s="67"/>
      <c r="J136" s="67"/>
      <c r="K136" s="67"/>
      <c r="L136" s="67"/>
      <c r="M136" s="69"/>
    </row>
    <row r="137" spans="1:15" s="114" customFormat="1">
      <c r="A137" s="44"/>
      <c r="B137" s="44"/>
      <c r="C137" s="184"/>
      <c r="D137"/>
      <c r="E137"/>
      <c r="F137"/>
      <c r="G137" s="43"/>
      <c r="H137" s="39">
        <f>H135-H134</f>
        <v>0</v>
      </c>
      <c r="I137" s="99"/>
      <c r="J137" s="99"/>
      <c r="K137"/>
      <c r="L137"/>
      <c r="M137"/>
      <c r="N137" s="180"/>
    </row>
    <row r="138" spans="1:15" s="114" customFormat="1">
      <c r="A138" s="96">
        <v>7</v>
      </c>
      <c r="B138" s="241" t="s">
        <v>674</v>
      </c>
      <c r="C138" s="11" t="s">
        <v>675</v>
      </c>
      <c r="D138" s="16">
        <v>500000</v>
      </c>
      <c r="E138" s="16">
        <v>53320</v>
      </c>
      <c r="F138" s="41">
        <f>SUM(D138:E138)</f>
        <v>553320</v>
      </c>
      <c r="G138" s="240">
        <v>40</v>
      </c>
      <c r="H138" s="209">
        <v>13833</v>
      </c>
      <c r="I138" s="243">
        <v>53</v>
      </c>
      <c r="J138" s="96">
        <f t="shared" ref="J138:J157" si="20">G138-I138</f>
        <v>-13</v>
      </c>
      <c r="K138" s="16">
        <f t="shared" ref="K138:K153" si="21">I138*H138</f>
        <v>733149</v>
      </c>
      <c r="L138" s="41">
        <f t="shared" ref="L138:L157" si="22">F138-K138</f>
        <v>-179829</v>
      </c>
      <c r="M138" s="11"/>
      <c r="N138" s="180" t="e">
        <f>#REF!-H131</f>
        <v>#REF!</v>
      </c>
    </row>
    <row r="139" spans="1:15" s="114" customFormat="1">
      <c r="A139" s="96">
        <v>9</v>
      </c>
      <c r="B139" s="96" t="s">
        <v>602</v>
      </c>
      <c r="C139" s="11" t="s">
        <v>603</v>
      </c>
      <c r="D139" s="16">
        <v>330000</v>
      </c>
      <c r="E139" s="16">
        <v>43989</v>
      </c>
      <c r="F139" s="41">
        <f>SUM(D139:E139)</f>
        <v>373989</v>
      </c>
      <c r="G139" s="159">
        <v>50</v>
      </c>
      <c r="H139" s="203">
        <v>7479.78</v>
      </c>
      <c r="I139" s="96">
        <v>41</v>
      </c>
      <c r="J139" s="96">
        <f t="shared" si="20"/>
        <v>9</v>
      </c>
      <c r="K139" s="16">
        <f t="shared" si="21"/>
        <v>306670.98</v>
      </c>
      <c r="L139" s="41">
        <f t="shared" si="22"/>
        <v>67318.020000000019</v>
      </c>
      <c r="M139" s="11"/>
    </row>
    <row r="140" spans="1:15" s="114" customFormat="1">
      <c r="A140" s="96">
        <v>18</v>
      </c>
      <c r="B140" s="96" t="s">
        <v>672</v>
      </c>
      <c r="C140" s="11" t="s">
        <v>673</v>
      </c>
      <c r="D140" s="16">
        <v>500000</v>
      </c>
      <c r="E140" s="16">
        <v>53320</v>
      </c>
      <c r="F140" s="41">
        <f>SUM(D140:E140)</f>
        <v>553320</v>
      </c>
      <c r="G140" s="159">
        <v>40</v>
      </c>
      <c r="H140" s="209">
        <v>13833</v>
      </c>
      <c r="I140" s="97">
        <v>53</v>
      </c>
      <c r="J140" s="97">
        <f t="shared" si="20"/>
        <v>-13</v>
      </c>
      <c r="K140" s="91">
        <f t="shared" si="21"/>
        <v>733149</v>
      </c>
      <c r="L140" s="94">
        <f t="shared" si="22"/>
        <v>-179829</v>
      </c>
      <c r="M140" s="11"/>
      <c r="N140" s="180" t="e">
        <f>#REF!-H138</f>
        <v>#REF!</v>
      </c>
    </row>
    <row r="141" spans="1:15" s="114" customFormat="1">
      <c r="A141" s="96">
        <v>56</v>
      </c>
      <c r="B141" s="96" t="s">
        <v>592</v>
      </c>
      <c r="C141" s="11" t="s">
        <v>593</v>
      </c>
      <c r="D141" s="16">
        <v>500000</v>
      </c>
      <c r="E141" s="16">
        <v>53320</v>
      </c>
      <c r="F141" s="41">
        <f>SUM(D141:E141)</f>
        <v>553320</v>
      </c>
      <c r="G141" s="159">
        <v>40</v>
      </c>
      <c r="H141" s="209">
        <v>13833</v>
      </c>
      <c r="I141" s="97">
        <v>53</v>
      </c>
      <c r="J141" s="97">
        <f t="shared" si="20"/>
        <v>-13</v>
      </c>
      <c r="K141" s="91">
        <f t="shared" si="21"/>
        <v>733149</v>
      </c>
      <c r="L141" s="94">
        <f t="shared" si="22"/>
        <v>-179829</v>
      </c>
      <c r="M141" s="11"/>
      <c r="N141" s="180" t="e">
        <f>#REF!-H139</f>
        <v>#REF!</v>
      </c>
    </row>
    <row r="142" spans="1:15" s="114" customFormat="1">
      <c r="A142" s="96">
        <v>82</v>
      </c>
      <c r="B142" s="96" t="s">
        <v>555</v>
      </c>
      <c r="C142" s="11" t="s">
        <v>556</v>
      </c>
      <c r="D142" s="16">
        <v>500000</v>
      </c>
      <c r="E142" s="16">
        <v>66650</v>
      </c>
      <c r="F142" s="41">
        <f>SUM(D142:E142)</f>
        <v>566650</v>
      </c>
      <c r="G142" s="159">
        <v>50</v>
      </c>
      <c r="H142" s="209">
        <v>11333</v>
      </c>
      <c r="I142" s="97">
        <v>32</v>
      </c>
      <c r="J142" s="97">
        <f t="shared" si="20"/>
        <v>18</v>
      </c>
      <c r="K142" s="91">
        <f t="shared" si="21"/>
        <v>362656</v>
      </c>
      <c r="L142" s="94">
        <f t="shared" si="22"/>
        <v>203994</v>
      </c>
      <c r="M142" s="11"/>
      <c r="N142" s="180" t="e">
        <f>#REF!-H140</f>
        <v>#REF!</v>
      </c>
    </row>
    <row r="143" spans="1:15" s="114" customFormat="1">
      <c r="A143" s="96">
        <v>129</v>
      </c>
      <c r="B143" s="96" t="s">
        <v>705</v>
      </c>
      <c r="C143" s="11" t="s">
        <v>706</v>
      </c>
      <c r="D143" s="19">
        <v>450000</v>
      </c>
      <c r="E143" s="19">
        <v>59985</v>
      </c>
      <c r="F143" s="19">
        <v>509985</v>
      </c>
      <c r="G143" s="159">
        <v>50</v>
      </c>
      <c r="H143" s="209">
        <v>10199.700000000001</v>
      </c>
      <c r="I143" s="159">
        <v>7</v>
      </c>
      <c r="J143" s="97">
        <f t="shared" si="20"/>
        <v>43</v>
      </c>
      <c r="K143" s="91">
        <f t="shared" si="21"/>
        <v>71397.900000000009</v>
      </c>
      <c r="L143" s="94">
        <f t="shared" si="22"/>
        <v>438587.1</v>
      </c>
      <c r="M143" s="11"/>
      <c r="N143" s="180" t="e">
        <f>#REF!-H141</f>
        <v>#REF!</v>
      </c>
    </row>
    <row r="144" spans="1:15" s="114" customFormat="1">
      <c r="A144" s="96">
        <v>103</v>
      </c>
      <c r="B144" s="96" t="s">
        <v>540</v>
      </c>
      <c r="C144" s="11" t="s">
        <v>541</v>
      </c>
      <c r="D144" s="16">
        <v>500000</v>
      </c>
      <c r="E144" s="16">
        <v>66650</v>
      </c>
      <c r="F144" s="41">
        <f>SUM(D144:E144)</f>
        <v>566650</v>
      </c>
      <c r="G144" s="159">
        <v>50</v>
      </c>
      <c r="H144" s="209">
        <v>11333</v>
      </c>
      <c r="I144" s="97">
        <v>37</v>
      </c>
      <c r="J144" s="97">
        <f t="shared" si="20"/>
        <v>13</v>
      </c>
      <c r="K144" s="91">
        <f t="shared" si="21"/>
        <v>419321</v>
      </c>
      <c r="L144" s="94">
        <f t="shared" si="22"/>
        <v>147329</v>
      </c>
      <c r="M144" s="11"/>
      <c r="N144" s="180" t="e">
        <f>#REF!-H142</f>
        <v>#REF!</v>
      </c>
    </row>
    <row r="145" spans="1:14" s="114" customFormat="1">
      <c r="A145" s="96">
        <v>33</v>
      </c>
      <c r="B145" s="122" t="s">
        <v>897</v>
      </c>
      <c r="C145" s="123" t="s">
        <v>920</v>
      </c>
      <c r="D145" s="19">
        <v>450000</v>
      </c>
      <c r="E145" s="19">
        <v>59985</v>
      </c>
      <c r="F145" s="19">
        <v>509985</v>
      </c>
      <c r="G145" s="159">
        <v>50</v>
      </c>
      <c r="H145" s="254">
        <v>10199.700000000001</v>
      </c>
      <c r="I145" s="188">
        <v>2</v>
      </c>
      <c r="J145" s="188">
        <f t="shared" si="20"/>
        <v>48</v>
      </c>
      <c r="K145" s="257">
        <f t="shared" si="21"/>
        <v>20399.400000000001</v>
      </c>
      <c r="L145" s="94">
        <f t="shared" si="22"/>
        <v>489585.6</v>
      </c>
      <c r="M145" s="122" t="s">
        <v>251</v>
      </c>
      <c r="N145"/>
    </row>
    <row r="146" spans="1:14" s="114" customFormat="1">
      <c r="A146" s="96">
        <v>41</v>
      </c>
      <c r="B146" s="122" t="s">
        <v>881</v>
      </c>
      <c r="C146" s="123" t="s">
        <v>903</v>
      </c>
      <c r="D146" s="16">
        <v>500000</v>
      </c>
      <c r="E146" s="16">
        <v>66650</v>
      </c>
      <c r="F146" s="41">
        <f>SUM(D146:E146)</f>
        <v>566650</v>
      </c>
      <c r="G146" s="159">
        <v>50</v>
      </c>
      <c r="H146" s="254">
        <v>13833</v>
      </c>
      <c r="I146" s="188">
        <v>2</v>
      </c>
      <c r="J146" s="188">
        <f t="shared" si="20"/>
        <v>48</v>
      </c>
      <c r="K146" s="257">
        <f t="shared" si="21"/>
        <v>27666</v>
      </c>
      <c r="L146" s="94">
        <f t="shared" si="22"/>
        <v>538984</v>
      </c>
      <c r="M146" s="122" t="s">
        <v>251</v>
      </c>
    </row>
    <row r="147" spans="1:14" s="114" customFormat="1">
      <c r="A147" s="96">
        <v>63</v>
      </c>
      <c r="B147" s="96" t="s">
        <v>891</v>
      </c>
      <c r="C147" s="11" t="s">
        <v>913</v>
      </c>
      <c r="D147" s="12">
        <v>450000</v>
      </c>
      <c r="E147" s="12">
        <v>59985</v>
      </c>
      <c r="F147" s="15">
        <f>SUM(D147:E147)</f>
        <v>509985</v>
      </c>
      <c r="G147" s="14">
        <v>50</v>
      </c>
      <c r="H147" s="203">
        <v>10199.9</v>
      </c>
      <c r="I147" s="14">
        <v>39</v>
      </c>
      <c r="J147" s="97">
        <f t="shared" si="20"/>
        <v>11</v>
      </c>
      <c r="K147" s="91">
        <f t="shared" si="21"/>
        <v>397796.1</v>
      </c>
      <c r="L147" s="15">
        <f t="shared" si="22"/>
        <v>112188.90000000002</v>
      </c>
      <c r="M147" s="8"/>
      <c r="N147" s="180" t="e">
        <f>#REF!-H146</f>
        <v>#REF!</v>
      </c>
    </row>
    <row r="148" spans="1:14" s="114" customFormat="1">
      <c r="A148" s="96">
        <v>94</v>
      </c>
      <c r="B148" s="122" t="s">
        <v>892</v>
      </c>
      <c r="C148" s="123" t="s">
        <v>914</v>
      </c>
      <c r="D148" s="19">
        <v>450000</v>
      </c>
      <c r="E148" s="19">
        <v>59985</v>
      </c>
      <c r="F148" s="19">
        <v>509985</v>
      </c>
      <c r="G148" s="159">
        <v>50</v>
      </c>
      <c r="H148" s="254">
        <v>10199.700000000001</v>
      </c>
      <c r="I148" s="188">
        <v>2</v>
      </c>
      <c r="J148" s="188">
        <f t="shared" si="20"/>
        <v>48</v>
      </c>
      <c r="K148" s="257">
        <f t="shared" si="21"/>
        <v>20399.400000000001</v>
      </c>
      <c r="L148" s="94">
        <f t="shared" si="22"/>
        <v>489585.6</v>
      </c>
      <c r="M148" s="122" t="s">
        <v>251</v>
      </c>
      <c r="N148" s="180" t="e">
        <f>#REF!-H147</f>
        <v>#REF!</v>
      </c>
    </row>
    <row r="149" spans="1:14" s="114" customFormat="1">
      <c r="A149" s="96">
        <v>106</v>
      </c>
      <c r="B149" s="8" t="s">
        <v>628</v>
      </c>
      <c r="C149" s="11" t="s">
        <v>917</v>
      </c>
      <c r="D149" s="19">
        <v>450000</v>
      </c>
      <c r="E149" s="19">
        <v>59985</v>
      </c>
      <c r="F149" s="19">
        <v>509985</v>
      </c>
      <c r="G149" s="159">
        <v>50</v>
      </c>
      <c r="H149" s="254">
        <v>10199.700000000001</v>
      </c>
      <c r="I149" s="159">
        <v>3</v>
      </c>
      <c r="J149" s="97">
        <f t="shared" si="20"/>
        <v>47</v>
      </c>
      <c r="K149" s="91">
        <f t="shared" si="21"/>
        <v>30599.100000000002</v>
      </c>
      <c r="L149" s="94">
        <f t="shared" si="22"/>
        <v>479385.9</v>
      </c>
      <c r="M149" s="11"/>
      <c r="N149" s="180" t="e">
        <f>#REF!-H148</f>
        <v>#REF!</v>
      </c>
    </row>
    <row r="150" spans="1:14" s="114" customFormat="1">
      <c r="A150" s="96">
        <v>115</v>
      </c>
      <c r="B150" s="122" t="s">
        <v>882</v>
      </c>
      <c r="C150" s="123" t="s">
        <v>904</v>
      </c>
      <c r="D150" s="19">
        <v>450000</v>
      </c>
      <c r="E150" s="19">
        <v>59985</v>
      </c>
      <c r="F150" s="19">
        <v>509985</v>
      </c>
      <c r="G150" s="159">
        <v>50</v>
      </c>
      <c r="H150" s="254">
        <v>13699.7</v>
      </c>
      <c r="I150" s="188">
        <v>2</v>
      </c>
      <c r="J150" s="188">
        <f t="shared" si="20"/>
        <v>48</v>
      </c>
      <c r="K150" s="257">
        <f t="shared" si="21"/>
        <v>27399.4</v>
      </c>
      <c r="L150" s="94">
        <f t="shared" si="22"/>
        <v>482585.59999999998</v>
      </c>
      <c r="M150" s="122" t="s">
        <v>251</v>
      </c>
      <c r="N150"/>
    </row>
    <row r="151" spans="1:14" s="114" customFormat="1">
      <c r="A151" s="96">
        <v>120</v>
      </c>
      <c r="B151" s="96" t="s">
        <v>577</v>
      </c>
      <c r="C151" s="11" t="s">
        <v>578</v>
      </c>
      <c r="D151" s="19">
        <v>330000</v>
      </c>
      <c r="E151" s="19">
        <v>43989</v>
      </c>
      <c r="F151" s="19">
        <f t="shared" ref="F151:F157" si="23">SUM(D151:E151)</f>
        <v>373989</v>
      </c>
      <c r="G151" s="159">
        <v>50</v>
      </c>
      <c r="H151" s="209">
        <v>7479.78</v>
      </c>
      <c r="I151" s="159">
        <v>7</v>
      </c>
      <c r="J151" s="97">
        <f t="shared" si="20"/>
        <v>43</v>
      </c>
      <c r="K151" s="91">
        <f t="shared" si="21"/>
        <v>52358.46</v>
      </c>
      <c r="L151" s="94">
        <f t="shared" si="22"/>
        <v>321630.53999999998</v>
      </c>
      <c r="M151" s="214"/>
    </row>
    <row r="152" spans="1:14" s="114" customFormat="1">
      <c r="A152" s="96">
        <v>2</v>
      </c>
      <c r="B152" s="241" t="s">
        <v>615</v>
      </c>
      <c r="C152" s="11" t="s">
        <v>616</v>
      </c>
      <c r="D152" s="16">
        <v>132000</v>
      </c>
      <c r="E152" s="16">
        <v>17595.599999999999</v>
      </c>
      <c r="F152" s="41">
        <f t="shared" si="23"/>
        <v>149595.6</v>
      </c>
      <c r="G152" s="240">
        <v>40</v>
      </c>
      <c r="H152" s="278">
        <v>3739.89</v>
      </c>
      <c r="I152" s="243">
        <v>40</v>
      </c>
      <c r="J152" s="96">
        <f t="shared" si="20"/>
        <v>0</v>
      </c>
      <c r="K152" s="16">
        <f t="shared" si="21"/>
        <v>149595.6</v>
      </c>
      <c r="L152" s="41">
        <f t="shared" si="22"/>
        <v>0</v>
      </c>
      <c r="M152" s="11"/>
    </row>
    <row r="153" spans="1:14" s="114" customFormat="1">
      <c r="A153" s="96">
        <v>74</v>
      </c>
      <c r="B153" s="96" t="s">
        <v>651</v>
      </c>
      <c r="C153" s="11" t="s">
        <v>652</v>
      </c>
      <c r="D153" s="16">
        <v>450000</v>
      </c>
      <c r="E153" s="16">
        <v>59985</v>
      </c>
      <c r="F153" s="41">
        <f t="shared" si="23"/>
        <v>509985</v>
      </c>
      <c r="G153" s="159">
        <v>50</v>
      </c>
      <c r="H153" s="278">
        <v>10199.700000000001</v>
      </c>
      <c r="I153" s="97">
        <v>39</v>
      </c>
      <c r="J153" s="97">
        <f t="shared" si="20"/>
        <v>11</v>
      </c>
      <c r="K153" s="91">
        <f t="shared" si="21"/>
        <v>397788.30000000005</v>
      </c>
      <c r="L153" s="94">
        <f t="shared" si="22"/>
        <v>112196.69999999995</v>
      </c>
      <c r="M153" s="11"/>
      <c r="N153" s="180" t="e">
        <f>#REF!-H152</f>
        <v>#REF!</v>
      </c>
    </row>
    <row r="154" spans="1:14" s="114" customFormat="1">
      <c r="A154" s="96">
        <v>16</v>
      </c>
      <c r="B154" s="96" t="s">
        <v>565</v>
      </c>
      <c r="C154" s="11" t="s">
        <v>566</v>
      </c>
      <c r="D154" s="16">
        <v>60000</v>
      </c>
      <c r="E154" s="16">
        <v>7998</v>
      </c>
      <c r="F154" s="41">
        <f t="shared" si="23"/>
        <v>67998</v>
      </c>
      <c r="G154" s="159">
        <v>40</v>
      </c>
      <c r="H154" s="278">
        <v>1699.95</v>
      </c>
      <c r="I154" s="97">
        <v>10</v>
      </c>
      <c r="J154" s="97">
        <f t="shared" si="20"/>
        <v>30</v>
      </c>
      <c r="K154" s="91"/>
      <c r="L154" s="94">
        <f t="shared" si="22"/>
        <v>67998</v>
      </c>
      <c r="M154" s="11"/>
      <c r="N154" s="180" t="e">
        <f>#REF!-H153</f>
        <v>#REF!</v>
      </c>
    </row>
    <row r="155" spans="1:14" s="114" customFormat="1">
      <c r="A155" s="96">
        <v>33</v>
      </c>
      <c r="B155" s="96" t="s">
        <v>499</v>
      </c>
      <c r="C155" s="11" t="s">
        <v>500</v>
      </c>
      <c r="D155" s="16">
        <v>500000</v>
      </c>
      <c r="E155" s="16">
        <v>66650</v>
      </c>
      <c r="F155" s="41">
        <f t="shared" si="23"/>
        <v>566650</v>
      </c>
      <c r="G155" s="159">
        <v>50</v>
      </c>
      <c r="H155" s="277">
        <v>11333</v>
      </c>
      <c r="I155" s="159">
        <v>7</v>
      </c>
      <c r="J155" s="97">
        <f t="shared" si="20"/>
        <v>43</v>
      </c>
      <c r="K155" s="91">
        <f>I155*H155</f>
        <v>79331</v>
      </c>
      <c r="L155" s="94">
        <f t="shared" si="22"/>
        <v>487319</v>
      </c>
      <c r="M155" s="11"/>
    </row>
    <row r="156" spans="1:14" s="114" customFormat="1">
      <c r="A156" s="96">
        <v>113</v>
      </c>
      <c r="B156" s="96" t="s">
        <v>611</v>
      </c>
      <c r="C156" s="11" t="s">
        <v>612</v>
      </c>
      <c r="D156" s="12">
        <v>500000</v>
      </c>
      <c r="E156" s="12">
        <v>66650</v>
      </c>
      <c r="F156" s="15">
        <f t="shared" si="23"/>
        <v>566650</v>
      </c>
      <c r="G156" s="14">
        <v>50</v>
      </c>
      <c r="H156" s="277">
        <v>11333</v>
      </c>
      <c r="I156" s="14">
        <v>40</v>
      </c>
      <c r="J156" s="97">
        <f t="shared" si="20"/>
        <v>10</v>
      </c>
      <c r="K156" s="91">
        <f>I156*H156</f>
        <v>453320</v>
      </c>
      <c r="L156" s="15">
        <f t="shared" si="22"/>
        <v>113330</v>
      </c>
      <c r="M156" s="8"/>
      <c r="N156" s="180" t="e">
        <f>#REF!-H155</f>
        <v>#REF!</v>
      </c>
    </row>
    <row r="157" spans="1:14" s="114" customFormat="1">
      <c r="A157" s="96">
        <v>116</v>
      </c>
      <c r="B157" s="96" t="s">
        <v>563</v>
      </c>
      <c r="C157" s="11" t="s">
        <v>564</v>
      </c>
      <c r="D157" s="19">
        <v>330000</v>
      </c>
      <c r="E157" s="19">
        <v>43989</v>
      </c>
      <c r="F157" s="19">
        <f t="shared" si="23"/>
        <v>373989</v>
      </c>
      <c r="G157" s="159">
        <v>50</v>
      </c>
      <c r="H157" s="277">
        <v>7479.78</v>
      </c>
      <c r="I157" s="97">
        <v>21</v>
      </c>
      <c r="J157" s="97">
        <f t="shared" si="20"/>
        <v>29</v>
      </c>
      <c r="K157" s="91">
        <f>I157*H157</f>
        <v>157075.38</v>
      </c>
      <c r="L157" s="91">
        <f t="shared" si="22"/>
        <v>216913.62</v>
      </c>
      <c r="M157" s="11"/>
    </row>
    <row r="158" spans="1:14" s="114" customFormat="1" ht="18" customHeight="1">
      <c r="A158" s="44"/>
      <c r="B158" s="44"/>
      <c r="C158" s="184"/>
      <c r="D158"/>
      <c r="E158"/>
      <c r="F158"/>
      <c r="G158" s="43"/>
      <c r="H158" s="39"/>
      <c r="I158" s="99"/>
      <c r="J158" s="99"/>
      <c r="K158"/>
      <c r="L158"/>
      <c r="M158"/>
    </row>
    <row r="159" spans="1:14" s="114" customFormat="1" ht="18" customHeight="1">
      <c r="A159" s="44"/>
      <c r="B159" s="44"/>
      <c r="C159" s="184"/>
      <c r="D159"/>
      <c r="E159"/>
      <c r="F159"/>
      <c r="G159" s="43"/>
      <c r="H159" s="39">
        <f>H137-H134</f>
        <v>-1270976.27</v>
      </c>
      <c r="I159" s="99"/>
      <c r="J159" s="99"/>
      <c r="K159"/>
      <c r="L159"/>
      <c r="M159"/>
    </row>
    <row r="160" spans="1:14" s="114" customFormat="1" ht="18" customHeigh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4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44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44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44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44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44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>
      <c r="A167" s="96">
        <v>9</v>
      </c>
      <c r="B167" s="96" t="s">
        <v>704</v>
      </c>
      <c r="C167" s="2" t="s">
        <v>794</v>
      </c>
      <c r="D167" s="16">
        <v>500000</v>
      </c>
      <c r="E167" s="16">
        <v>66650</v>
      </c>
      <c r="F167" s="41">
        <f>SUM(D167:E167)</f>
        <v>566650</v>
      </c>
      <c r="G167" s="159">
        <v>50</v>
      </c>
      <c r="H167" s="209">
        <v>11333</v>
      </c>
      <c r="I167" s="96">
        <v>40</v>
      </c>
      <c r="J167" s="96">
        <f>G167-I167</f>
        <v>10</v>
      </c>
      <c r="K167" s="16">
        <f>I167*H167</f>
        <v>453320</v>
      </c>
      <c r="L167" s="41">
        <f>F167-K167</f>
        <v>113330</v>
      </c>
      <c r="M167" s="11"/>
      <c r="N167" s="180" t="e">
        <f>#REF!-H167</f>
        <v>#REF!</v>
      </c>
    </row>
    <row r="168" spans="1:14" s="114" customFormat="1">
      <c r="A168" s="96">
        <v>38</v>
      </c>
      <c r="B168" s="96" t="s">
        <v>511</v>
      </c>
      <c r="C168" s="173" t="s">
        <v>837</v>
      </c>
      <c r="D168" s="41">
        <v>200000</v>
      </c>
      <c r="E168" s="41">
        <v>26660</v>
      </c>
      <c r="F168" s="41">
        <f>SUM(D168:E168)</f>
        <v>226660</v>
      </c>
      <c r="G168" s="159">
        <v>40</v>
      </c>
      <c r="H168" s="203">
        <v>7479</v>
      </c>
      <c r="I168" s="97">
        <v>17</v>
      </c>
      <c r="J168" s="97">
        <f>G168-I168</f>
        <v>23</v>
      </c>
      <c r="K168" s="91">
        <f>I168*H168</f>
        <v>127143</v>
      </c>
      <c r="L168" s="94">
        <f>F168-K168</f>
        <v>99517</v>
      </c>
      <c r="M168" s="11"/>
      <c r="N168" s="180" t="e">
        <f>#REF!-H168</f>
        <v>#REF!</v>
      </c>
    </row>
    <row r="169" spans="1:14" s="114" customFormat="1">
      <c r="A169" s="96">
        <v>56</v>
      </c>
      <c r="B169" s="96" t="s">
        <v>637</v>
      </c>
      <c r="C169" s="23" t="s">
        <v>776</v>
      </c>
      <c r="D169" s="16">
        <v>500000</v>
      </c>
      <c r="E169" s="16">
        <v>66650</v>
      </c>
      <c r="F169" s="41">
        <f>SUM(D169:E169)</f>
        <v>566650</v>
      </c>
      <c r="G169" s="159">
        <v>50</v>
      </c>
      <c r="H169" s="209">
        <v>11333</v>
      </c>
      <c r="I169" s="97">
        <v>39</v>
      </c>
      <c r="J169" s="97">
        <f>G169-I169</f>
        <v>11</v>
      </c>
      <c r="K169" s="91">
        <f>I169*H169</f>
        <v>441987</v>
      </c>
      <c r="L169" s="94">
        <f>F169-K169</f>
        <v>124663</v>
      </c>
      <c r="M169" s="11"/>
      <c r="N169" s="180" t="e">
        <f>#REF!-H169</f>
        <v>#REF!</v>
      </c>
    </row>
    <row r="170" spans="1:14" s="114" customFormat="1">
      <c r="A170" s="96">
        <v>91</v>
      </c>
      <c r="B170" s="96" t="s">
        <v>587</v>
      </c>
      <c r="C170" s="2" t="s">
        <v>763</v>
      </c>
      <c r="D170" s="12">
        <v>500000</v>
      </c>
      <c r="E170" s="12">
        <v>66650</v>
      </c>
      <c r="F170" s="15">
        <f>SUM(D170:E170)</f>
        <v>566650</v>
      </c>
      <c r="G170" s="14">
        <v>50</v>
      </c>
      <c r="H170" s="143">
        <v>11333</v>
      </c>
      <c r="I170" s="14">
        <v>34</v>
      </c>
      <c r="J170" s="97">
        <f>G170-I170</f>
        <v>16</v>
      </c>
      <c r="K170" s="91">
        <f>I170*H170</f>
        <v>385322</v>
      </c>
      <c r="L170" s="15">
        <f>F170-K170</f>
        <v>181328</v>
      </c>
      <c r="M170" s="8"/>
      <c r="N170" s="180" t="e">
        <f>#REF!-H170</f>
        <v>#REF!</v>
      </c>
    </row>
    <row r="171" spans="1:14" s="114" customFormat="1">
      <c r="A171" s="96">
        <v>105</v>
      </c>
      <c r="B171" s="96" t="s">
        <v>678</v>
      </c>
      <c r="C171" s="23" t="s">
        <v>733</v>
      </c>
      <c r="D171" s="16">
        <v>500000</v>
      </c>
      <c r="E171" s="16">
        <v>47992</v>
      </c>
      <c r="F171" s="41">
        <f>SUM(D171:E171)</f>
        <v>547992</v>
      </c>
      <c r="G171" s="159">
        <v>36</v>
      </c>
      <c r="H171" s="203">
        <v>15222</v>
      </c>
      <c r="I171" s="97">
        <v>30</v>
      </c>
      <c r="J171" s="97">
        <f>G171-I171</f>
        <v>6</v>
      </c>
      <c r="K171" s="91">
        <f>I171*H171</f>
        <v>456660</v>
      </c>
      <c r="L171" s="94">
        <f>F171-K171</f>
        <v>91332</v>
      </c>
      <c r="M171" s="11"/>
      <c r="N171" s="180" t="e">
        <f>#REF!-H171</f>
        <v>#REF!</v>
      </c>
    </row>
    <row r="172" spans="1:14" s="114" customFormat="1"/>
    <row r="173" spans="1:14" s="114" customFormat="1">
      <c r="A173" s="96">
        <v>1</v>
      </c>
      <c r="B173" s="241"/>
      <c r="C173" s="4" t="s">
        <v>383</v>
      </c>
      <c r="D173" s="41">
        <v>200000</v>
      </c>
      <c r="E173" s="41">
        <v>26660</v>
      </c>
      <c r="F173" s="41">
        <f t="shared" ref="F173:F178" si="24">SUM(D173:E173)</f>
        <v>226660</v>
      </c>
      <c r="G173" s="159">
        <v>40</v>
      </c>
      <c r="H173" s="208">
        <v>5666.5</v>
      </c>
      <c r="I173" s="96">
        <v>42</v>
      </c>
      <c r="J173" s="96">
        <f t="shared" ref="J173:J182" si="25">G173-I173</f>
        <v>-2</v>
      </c>
      <c r="K173" s="16">
        <f t="shared" ref="K173:K182" si="26">I173*H173</f>
        <v>237993</v>
      </c>
      <c r="L173" s="41">
        <f t="shared" ref="L173:L182" si="27">F173-K173</f>
        <v>-11333</v>
      </c>
      <c r="M173" s="11"/>
      <c r="N173" s="180" t="e">
        <f>#REF!-H173</f>
        <v>#REF!</v>
      </c>
    </row>
    <row r="174" spans="1:14" s="114" customFormat="1">
      <c r="A174" s="96">
        <v>5</v>
      </c>
      <c r="B174" s="241"/>
      <c r="C174" s="4" t="s">
        <v>413</v>
      </c>
      <c r="D174" s="12">
        <v>180000</v>
      </c>
      <c r="E174" s="12">
        <v>23994</v>
      </c>
      <c r="F174" s="15">
        <f t="shared" si="24"/>
        <v>203994</v>
      </c>
      <c r="G174" s="14">
        <v>40</v>
      </c>
      <c r="H174" s="208">
        <v>5099.8500000000004</v>
      </c>
      <c r="I174" s="159">
        <v>38</v>
      </c>
      <c r="J174" s="97">
        <f t="shared" si="25"/>
        <v>2</v>
      </c>
      <c r="K174" s="91">
        <f t="shared" si="26"/>
        <v>193794.30000000002</v>
      </c>
      <c r="L174" s="15">
        <f t="shared" si="27"/>
        <v>10199.699999999983</v>
      </c>
      <c r="M174" s="8"/>
      <c r="N174" s="180" t="e">
        <f>#REF!-H174</f>
        <v>#REF!</v>
      </c>
    </row>
    <row r="175" spans="1:14" s="114" customFormat="1">
      <c r="A175" s="96">
        <v>12</v>
      </c>
      <c r="B175" s="96"/>
      <c r="C175" s="2" t="s">
        <v>389</v>
      </c>
      <c r="D175" s="41">
        <v>200000</v>
      </c>
      <c r="E175" s="41">
        <v>26660</v>
      </c>
      <c r="F175" s="41">
        <f t="shared" si="24"/>
        <v>226660</v>
      </c>
      <c r="G175" s="220">
        <v>40</v>
      </c>
      <c r="H175" s="208">
        <v>5666.5</v>
      </c>
      <c r="I175" s="96">
        <v>53</v>
      </c>
      <c r="J175" s="96">
        <f t="shared" si="25"/>
        <v>-13</v>
      </c>
      <c r="K175" s="16">
        <f t="shared" si="26"/>
        <v>300324.5</v>
      </c>
      <c r="L175" s="41">
        <f t="shared" si="27"/>
        <v>-73664.5</v>
      </c>
      <c r="M175" s="152"/>
      <c r="N175" s="180" t="e">
        <f>#REF!-H175</f>
        <v>#REF!</v>
      </c>
    </row>
    <row r="176" spans="1:14" s="114" customFormat="1">
      <c r="A176" s="96">
        <v>29</v>
      </c>
      <c r="B176" s="241"/>
      <c r="C176" s="4" t="s">
        <v>414</v>
      </c>
      <c r="D176" s="16">
        <v>180000</v>
      </c>
      <c r="E176" s="16">
        <v>23994</v>
      </c>
      <c r="F176" s="41">
        <f t="shared" si="24"/>
        <v>203994</v>
      </c>
      <c r="G176" s="159">
        <v>40</v>
      </c>
      <c r="H176" s="208">
        <v>5099.8500000000004</v>
      </c>
      <c r="I176" s="97">
        <v>40</v>
      </c>
      <c r="J176" s="97">
        <f t="shared" si="25"/>
        <v>0</v>
      </c>
      <c r="K176" s="91">
        <f t="shared" si="26"/>
        <v>203994</v>
      </c>
      <c r="L176" s="94">
        <f t="shared" si="27"/>
        <v>0</v>
      </c>
      <c r="M176" s="11"/>
      <c r="N176" s="180" t="e">
        <f>#REF!-H176</f>
        <v>#REF!</v>
      </c>
    </row>
    <row r="177" spans="1:15" s="114" customFormat="1">
      <c r="A177" s="96">
        <v>64</v>
      </c>
      <c r="B177" s="241"/>
      <c r="C177" s="4" t="s">
        <v>403</v>
      </c>
      <c r="D177" s="41">
        <v>200000</v>
      </c>
      <c r="E177" s="41">
        <v>26660</v>
      </c>
      <c r="F177" s="41">
        <f t="shared" si="24"/>
        <v>226660</v>
      </c>
      <c r="G177" s="159">
        <v>40</v>
      </c>
      <c r="H177" s="208">
        <v>5666.5</v>
      </c>
      <c r="I177" s="97">
        <v>42</v>
      </c>
      <c r="J177" s="97">
        <f t="shared" si="25"/>
        <v>-2</v>
      </c>
      <c r="K177" s="91">
        <f t="shared" si="26"/>
        <v>237993</v>
      </c>
      <c r="L177" s="94">
        <f t="shared" si="27"/>
        <v>-11333</v>
      </c>
      <c r="M177" s="11"/>
      <c r="N177" s="180" t="e">
        <f>#REF!-H177</f>
        <v>#REF!</v>
      </c>
    </row>
    <row r="178" spans="1:15" s="114" customFormat="1">
      <c r="A178" s="96">
        <v>68</v>
      </c>
      <c r="B178" s="241"/>
      <c r="C178" s="4" t="s">
        <v>422</v>
      </c>
      <c r="D178" s="16">
        <v>132000</v>
      </c>
      <c r="E178" s="16">
        <v>17595.599999999999</v>
      </c>
      <c r="F178" s="41">
        <f t="shared" si="24"/>
        <v>149595.6</v>
      </c>
      <c r="G178" s="159">
        <v>40</v>
      </c>
      <c r="H178" s="208">
        <v>3739.89</v>
      </c>
      <c r="I178" s="97">
        <v>42</v>
      </c>
      <c r="J178" s="97">
        <f t="shared" si="25"/>
        <v>-2</v>
      </c>
      <c r="K178" s="91">
        <f t="shared" si="26"/>
        <v>157075.38</v>
      </c>
      <c r="L178" s="94">
        <f t="shared" si="27"/>
        <v>-7479.7799999999988</v>
      </c>
      <c r="M178" s="11"/>
      <c r="N178" s="180" t="e">
        <f>#REF!-H178</f>
        <v>#REF!</v>
      </c>
    </row>
    <row r="179" spans="1:15" s="114" customFormat="1">
      <c r="A179" s="96">
        <v>86</v>
      </c>
      <c r="B179" s="241"/>
      <c r="C179" s="4" t="s">
        <v>407</v>
      </c>
      <c r="D179" s="41">
        <v>200000</v>
      </c>
      <c r="E179" s="41">
        <v>26660</v>
      </c>
      <c r="F179" s="41">
        <v>226660</v>
      </c>
      <c r="G179" s="159">
        <v>40</v>
      </c>
      <c r="H179" s="208">
        <v>5666.5</v>
      </c>
      <c r="I179" s="97">
        <v>42</v>
      </c>
      <c r="J179" s="97">
        <f t="shared" si="25"/>
        <v>-2</v>
      </c>
      <c r="K179" s="91">
        <f t="shared" si="26"/>
        <v>237993</v>
      </c>
      <c r="L179" s="94">
        <f t="shared" si="27"/>
        <v>-11333</v>
      </c>
      <c r="M179" s="11"/>
      <c r="N179" s="180" t="e">
        <f>#REF!-H179</f>
        <v>#REF!</v>
      </c>
    </row>
    <row r="180" spans="1:15" s="114" customFormat="1">
      <c r="A180" s="96">
        <v>94</v>
      </c>
      <c r="B180" s="241"/>
      <c r="C180" s="4" t="s">
        <v>408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5"/>
        <v>-2</v>
      </c>
      <c r="K180" s="91">
        <f t="shared" si="26"/>
        <v>237993</v>
      </c>
      <c r="L180" s="94">
        <f t="shared" si="27"/>
        <v>-11333</v>
      </c>
      <c r="M180" s="11"/>
      <c r="N180" s="180" t="e">
        <f>#REF!-H180</f>
        <v>#REF!</v>
      </c>
    </row>
    <row r="181" spans="1:15" s="114" customFormat="1">
      <c r="A181" s="96">
        <v>99</v>
      </c>
      <c r="B181" s="241"/>
      <c r="C181" s="4" t="s">
        <v>409</v>
      </c>
      <c r="D181" s="41">
        <v>200000</v>
      </c>
      <c r="E181" s="41">
        <v>26660</v>
      </c>
      <c r="F181" s="41">
        <f>SUM(D181:E181)</f>
        <v>226660</v>
      </c>
      <c r="G181" s="159">
        <v>40</v>
      </c>
      <c r="H181" s="208">
        <v>5666.5</v>
      </c>
      <c r="I181" s="97">
        <v>42</v>
      </c>
      <c r="J181" s="97">
        <f t="shared" si="25"/>
        <v>-2</v>
      </c>
      <c r="K181" s="91">
        <f t="shared" si="26"/>
        <v>237993</v>
      </c>
      <c r="L181" s="94">
        <f t="shared" si="27"/>
        <v>-11333</v>
      </c>
      <c r="M181" s="11"/>
      <c r="N181" s="180" t="e">
        <f>#REF!-H181</f>
        <v>#REF!</v>
      </c>
      <c r="O181"/>
    </row>
    <row r="182" spans="1:15" s="114" customFormat="1">
      <c r="A182" s="96">
        <v>107</v>
      </c>
      <c r="B182" s="241"/>
      <c r="C182" s="4" t="s">
        <v>35</v>
      </c>
      <c r="D182" s="155">
        <v>150000</v>
      </c>
      <c r="E182" s="155">
        <v>19995</v>
      </c>
      <c r="F182" s="155">
        <f>SUM(D182:E182)</f>
        <v>169995</v>
      </c>
      <c r="G182" s="159">
        <v>50</v>
      </c>
      <c r="H182" s="208">
        <v>3399.9</v>
      </c>
      <c r="I182" s="97">
        <v>14</v>
      </c>
      <c r="J182" s="97">
        <f t="shared" si="25"/>
        <v>36</v>
      </c>
      <c r="K182" s="91">
        <f t="shared" si="26"/>
        <v>47598.6</v>
      </c>
      <c r="L182" s="91">
        <f t="shared" si="27"/>
        <v>122396.4</v>
      </c>
      <c r="M182" s="122"/>
      <c r="N182" s="180" t="e">
        <f>#REF!-H182</f>
        <v>#REF!</v>
      </c>
      <c r="O182"/>
    </row>
    <row r="183" spans="1:15" s="114" customFormat="1">
      <c r="O183"/>
    </row>
    <row r="184" spans="1:15" s="114" customFormat="1">
      <c r="A184" s="96">
        <v>30</v>
      </c>
      <c r="B184" s="96"/>
      <c r="C184" s="25" t="s">
        <v>362</v>
      </c>
      <c r="D184" s="12">
        <v>450000</v>
      </c>
      <c r="E184" s="12">
        <v>59985</v>
      </c>
      <c r="F184" s="15">
        <f>SUM(D184:E184)</f>
        <v>509985</v>
      </c>
      <c r="G184" s="14">
        <v>50</v>
      </c>
      <c r="H184" s="212">
        <v>10199.700000000001</v>
      </c>
      <c r="I184" s="14">
        <v>30</v>
      </c>
      <c r="J184" s="97">
        <f t="shared" ref="J184:J191" si="28">G184-I184</f>
        <v>20</v>
      </c>
      <c r="K184" s="91">
        <f>I184*H184</f>
        <v>305991</v>
      </c>
      <c r="L184" s="15">
        <f t="shared" ref="L184:L191" si="29">F184-K184</f>
        <v>203994</v>
      </c>
      <c r="M184" s="8"/>
      <c r="N184" s="180" t="e">
        <f>#REF!-H184</f>
        <v>#REF!</v>
      </c>
      <c r="O184"/>
    </row>
    <row r="185" spans="1:15" s="114" customFormat="1" ht="14.25" customHeight="1">
      <c r="A185" s="96">
        <v>102</v>
      </c>
      <c r="B185" s="241"/>
      <c r="C185" s="46" t="s">
        <v>289</v>
      </c>
      <c r="D185" s="16">
        <v>180000</v>
      </c>
      <c r="E185" s="16">
        <v>23994</v>
      </c>
      <c r="F185" s="16">
        <v>203994</v>
      </c>
      <c r="G185" s="221">
        <v>40</v>
      </c>
      <c r="H185" s="167">
        <v>5099.8500000000004</v>
      </c>
      <c r="I185" s="97">
        <v>40</v>
      </c>
      <c r="J185" s="97">
        <f t="shared" si="28"/>
        <v>0</v>
      </c>
      <c r="K185" s="156">
        <f>(36*5099.85)</f>
        <v>183594.6</v>
      </c>
      <c r="L185" s="91">
        <f t="shared" si="29"/>
        <v>20399.399999999994</v>
      </c>
      <c r="M185" s="122"/>
      <c r="N185" s="180" t="e">
        <f>#REF!-H185</f>
        <v>#REF!</v>
      </c>
      <c r="O185"/>
    </row>
    <row r="186" spans="1:15" s="114" customFormat="1" ht="14.25" customHeight="1">
      <c r="A186" s="96">
        <v>90</v>
      </c>
      <c r="B186" s="241"/>
      <c r="C186" s="4" t="s">
        <v>416</v>
      </c>
      <c r="D186" s="12">
        <v>180000</v>
      </c>
      <c r="E186" s="12">
        <v>23994</v>
      </c>
      <c r="F186" s="15">
        <f>SUM(D186:E186)</f>
        <v>203994</v>
      </c>
      <c r="G186" s="21">
        <v>40</v>
      </c>
      <c r="H186" s="167">
        <v>5099.8500000000004</v>
      </c>
      <c r="I186" s="14">
        <v>47</v>
      </c>
      <c r="J186" s="97">
        <f t="shared" si="28"/>
        <v>-7</v>
      </c>
      <c r="K186" s="91">
        <f t="shared" ref="K186:K191" si="30">I186*H186</f>
        <v>239692.95</v>
      </c>
      <c r="L186" s="15">
        <f t="shared" si="29"/>
        <v>-35698.950000000012</v>
      </c>
      <c r="M186" s="10"/>
      <c r="N186" s="180" t="e">
        <f>#REF!-H186</f>
        <v>#REF!</v>
      </c>
      <c r="O186"/>
    </row>
    <row r="187" spans="1:15" ht="14.25" customHeight="1">
      <c r="A187" s="96">
        <v>4</v>
      </c>
      <c r="B187" s="241"/>
      <c r="C187" s="4" t="s">
        <v>384</v>
      </c>
      <c r="D187" s="41">
        <v>200000</v>
      </c>
      <c r="E187" s="41">
        <v>26660</v>
      </c>
      <c r="F187" s="41">
        <f>SUM(D187:E187)</f>
        <v>226660</v>
      </c>
      <c r="G187" s="159">
        <v>40</v>
      </c>
      <c r="H187" s="167">
        <v>5666.5</v>
      </c>
      <c r="I187" s="96">
        <v>32</v>
      </c>
      <c r="J187" s="96">
        <f t="shared" si="28"/>
        <v>8</v>
      </c>
      <c r="K187" s="16">
        <f t="shared" si="30"/>
        <v>181328</v>
      </c>
      <c r="L187" s="41">
        <f t="shared" si="29"/>
        <v>45332</v>
      </c>
      <c r="M187" s="11"/>
      <c r="N187" s="180" t="e">
        <f>#REF!-H187</f>
        <v>#REF!</v>
      </c>
    </row>
    <row r="188" spans="1:15" ht="14.25" customHeight="1">
      <c r="A188" s="96">
        <v>10</v>
      </c>
      <c r="B188" s="241"/>
      <c r="C188" s="4" t="s">
        <v>388</v>
      </c>
      <c r="D188" s="15">
        <v>200000</v>
      </c>
      <c r="E188" s="15">
        <v>26660</v>
      </c>
      <c r="F188" s="15">
        <f>SUM(D188:E188)</f>
        <v>226660</v>
      </c>
      <c r="G188" s="14">
        <v>40</v>
      </c>
      <c r="H188" s="24">
        <v>5666.5</v>
      </c>
      <c r="I188" s="14">
        <v>38</v>
      </c>
      <c r="J188" s="97">
        <f t="shared" si="28"/>
        <v>2</v>
      </c>
      <c r="K188" s="91">
        <f t="shared" si="30"/>
        <v>215327</v>
      </c>
      <c r="L188" s="15">
        <f t="shared" si="29"/>
        <v>11333</v>
      </c>
      <c r="M188" s="8"/>
      <c r="N188" s="180" t="e">
        <f>#REF!-H188</f>
        <v>#REF!</v>
      </c>
    </row>
    <row r="189" spans="1:15" ht="14.25" customHeight="1">
      <c r="A189" s="96">
        <v>25</v>
      </c>
      <c r="B189" s="241"/>
      <c r="C189" s="4" t="s">
        <v>140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167">
        <v>5666.5</v>
      </c>
      <c r="I189" s="14">
        <v>34</v>
      </c>
      <c r="J189" s="97">
        <f t="shared" si="28"/>
        <v>6</v>
      </c>
      <c r="K189" s="91">
        <f t="shared" si="30"/>
        <v>192661</v>
      </c>
      <c r="L189" s="15">
        <f t="shared" si="29"/>
        <v>33999</v>
      </c>
      <c r="M189" s="8"/>
      <c r="N189" s="180" t="e">
        <f>#REF!-H189</f>
        <v>#REF!</v>
      </c>
    </row>
    <row r="190" spans="1:15" ht="14.25" customHeight="1">
      <c r="A190" s="96">
        <v>31</v>
      </c>
      <c r="B190" s="96"/>
      <c r="C190" s="2" t="s">
        <v>284</v>
      </c>
      <c r="D190" s="19">
        <v>500000</v>
      </c>
      <c r="E190" s="19">
        <v>66650</v>
      </c>
      <c r="F190" s="19">
        <v>566650</v>
      </c>
      <c r="G190" s="159">
        <v>50</v>
      </c>
      <c r="H190" s="167">
        <v>11333</v>
      </c>
      <c r="I190" s="97">
        <v>34</v>
      </c>
      <c r="J190" s="97">
        <f t="shared" si="28"/>
        <v>16</v>
      </c>
      <c r="K190" s="91">
        <f t="shared" si="30"/>
        <v>385322</v>
      </c>
      <c r="L190" s="91">
        <f t="shared" si="29"/>
        <v>181328</v>
      </c>
      <c r="M190" s="122"/>
      <c r="N190" s="180" t="e">
        <f>#REF!-H190</f>
        <v>#REF!</v>
      </c>
    </row>
    <row r="191" spans="1:15" ht="14.25" customHeight="1">
      <c r="A191" s="96">
        <v>122</v>
      </c>
      <c r="B191" s="241"/>
      <c r="C191" s="168" t="s">
        <v>382</v>
      </c>
      <c r="D191" s="12">
        <v>330000</v>
      </c>
      <c r="E191" s="12">
        <v>43989</v>
      </c>
      <c r="F191" s="15">
        <f>SUM(D191:E191)</f>
        <v>373989</v>
      </c>
      <c r="G191" s="14">
        <v>50</v>
      </c>
      <c r="H191" s="222">
        <v>7479.78</v>
      </c>
      <c r="I191" s="14">
        <v>32</v>
      </c>
      <c r="J191" s="97">
        <f t="shared" si="28"/>
        <v>18</v>
      </c>
      <c r="K191" s="91">
        <f t="shared" si="30"/>
        <v>239352.95999999999</v>
      </c>
      <c r="L191" s="15">
        <f t="shared" si="29"/>
        <v>134636.04</v>
      </c>
      <c r="M191" s="8"/>
    </row>
    <row r="192" spans="1:15" ht="14.25" customHeight="1">
      <c r="A192" s="114"/>
      <c r="B192" s="114"/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</row>
    <row r="193" spans="1:15" ht="14.25" customHeight="1">
      <c r="A193" s="96">
        <v>96</v>
      </c>
      <c r="B193" s="241"/>
      <c r="C193" s="4" t="s">
        <v>482</v>
      </c>
      <c r="D193" s="12">
        <v>60000</v>
      </c>
      <c r="E193" s="12">
        <v>7998</v>
      </c>
      <c r="F193" s="15">
        <f>SUM(D193:E193)</f>
        <v>67998</v>
      </c>
      <c r="G193" s="14">
        <v>40</v>
      </c>
      <c r="H193" s="172">
        <v>1699.95</v>
      </c>
      <c r="I193" s="97">
        <v>41</v>
      </c>
      <c r="J193" s="97">
        <f>G193-I193</f>
        <v>-1</v>
      </c>
      <c r="K193" s="91">
        <f>I193*H193</f>
        <v>69697.95</v>
      </c>
      <c r="L193" s="94">
        <f>F193-K193</f>
        <v>-1699.9499999999971</v>
      </c>
      <c r="M193" s="122"/>
      <c r="N193" s="114"/>
    </row>
    <row r="194" spans="1:15" ht="14.25" customHeight="1">
      <c r="A194" s="114"/>
      <c r="B194" s="114"/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21"/>
    </row>
    <row r="195" spans="1:15" ht="14.25" customHeight="1">
      <c r="A195" s="96">
        <v>121</v>
      </c>
      <c r="B195" s="241"/>
      <c r="C195" s="4" t="s">
        <v>429</v>
      </c>
      <c r="D195" s="16">
        <v>60000</v>
      </c>
      <c r="E195" s="16">
        <v>7998</v>
      </c>
      <c r="F195" s="41">
        <f>SUM(D195:E195)</f>
        <v>67998</v>
      </c>
      <c r="G195" s="159">
        <v>40</v>
      </c>
      <c r="H195" s="167">
        <v>1699.95</v>
      </c>
      <c r="I195" s="97">
        <v>40</v>
      </c>
      <c r="J195" s="97">
        <f>G195-I195</f>
        <v>0</v>
      </c>
      <c r="K195" s="91">
        <f>I195*H195</f>
        <v>67998</v>
      </c>
      <c r="L195" s="94">
        <f>F195-K195</f>
        <v>0</v>
      </c>
      <c r="M195" s="11"/>
      <c r="N195" s="180" t="e">
        <f>#REF!-H195</f>
        <v>#REF!</v>
      </c>
    </row>
    <row r="197" spans="1:15">
      <c r="A197" s="96">
        <v>12</v>
      </c>
      <c r="B197" s="96"/>
      <c r="C197" s="2" t="s">
        <v>373</v>
      </c>
      <c r="D197" s="16">
        <v>330000</v>
      </c>
      <c r="E197" s="16">
        <v>43989</v>
      </c>
      <c r="F197" s="41">
        <f>SUM(D197:E197)</f>
        <v>373989</v>
      </c>
      <c r="G197" s="33">
        <v>50</v>
      </c>
      <c r="H197" s="16">
        <v>7479.78</v>
      </c>
      <c r="I197" s="96">
        <v>26</v>
      </c>
      <c r="J197" s="96">
        <f>G197-I197</f>
        <v>24</v>
      </c>
      <c r="K197" s="16">
        <f>I197*H197</f>
        <v>194474.28</v>
      </c>
      <c r="L197" s="41">
        <f>F197-K197</f>
        <v>179514.72</v>
      </c>
      <c r="M197" s="11"/>
      <c r="N197" s="180" t="e">
        <f>#REF!-H197</f>
        <v>#REF!</v>
      </c>
    </row>
    <row r="198" spans="1:15">
      <c r="A198" s="96">
        <v>87</v>
      </c>
      <c r="B198" s="96"/>
      <c r="C198" s="2" t="s">
        <v>421</v>
      </c>
      <c r="D198" s="16">
        <v>132000</v>
      </c>
      <c r="E198" s="16">
        <v>17595.599999999999</v>
      </c>
      <c r="F198" s="16">
        <v>149595.6</v>
      </c>
      <c r="G198" s="45">
        <v>40</v>
      </c>
      <c r="H198" s="19">
        <v>3739.89</v>
      </c>
      <c r="I198" s="97">
        <v>46</v>
      </c>
      <c r="J198" s="97">
        <f>G198-I198</f>
        <v>-6</v>
      </c>
      <c r="K198" s="91">
        <f>I198*H198</f>
        <v>172034.94</v>
      </c>
      <c r="L198" s="94">
        <f>F198-K198</f>
        <v>-22439.339999999997</v>
      </c>
      <c r="M198" s="11"/>
      <c r="N198" s="180" t="e">
        <f>#REF!-H198</f>
        <v>#REF!</v>
      </c>
    </row>
    <row r="199" spans="1:15" s="121" customFormat="1">
      <c r="A199" s="96">
        <v>116</v>
      </c>
      <c r="B199" s="96"/>
      <c r="C199" s="2" t="s">
        <v>377</v>
      </c>
      <c r="D199" s="155">
        <v>330000</v>
      </c>
      <c r="E199" s="155">
        <v>43989</v>
      </c>
      <c r="F199" s="155">
        <f>SUM(D199:E199)</f>
        <v>373989</v>
      </c>
      <c r="G199" s="33">
        <v>50</v>
      </c>
      <c r="H199" s="154">
        <v>7479.78</v>
      </c>
      <c r="I199" s="97">
        <v>12</v>
      </c>
      <c r="J199" s="97">
        <f>G199-I199</f>
        <v>38</v>
      </c>
      <c r="K199" s="91">
        <f>I199*H199</f>
        <v>89757.36</v>
      </c>
      <c r="L199" s="91">
        <f>F199-K199</f>
        <v>284231.64</v>
      </c>
      <c r="M199" s="122"/>
      <c r="N199" s="180" t="e">
        <f>#REF!-H199</f>
        <v>#REF!</v>
      </c>
      <c r="O199"/>
    </row>
    <row r="201" spans="1:15">
      <c r="A201" s="96">
        <v>144</v>
      </c>
      <c r="B201" s="96"/>
      <c r="C201" s="2" t="s">
        <v>410</v>
      </c>
      <c r="D201" s="41">
        <v>200000</v>
      </c>
      <c r="E201" s="41">
        <v>26660</v>
      </c>
      <c r="F201" s="41">
        <f>SUM(D201:E201)</f>
        <v>226660</v>
      </c>
      <c r="G201" s="33">
        <v>40</v>
      </c>
      <c r="H201" s="41">
        <v>5666.5</v>
      </c>
      <c r="I201" s="97">
        <v>40</v>
      </c>
      <c r="J201" s="97">
        <f>G201-I201</f>
        <v>0</v>
      </c>
      <c r="K201" s="91">
        <f>I201*H201</f>
        <v>226660</v>
      </c>
      <c r="L201" s="94">
        <f>F201-K201</f>
        <v>0</v>
      </c>
      <c r="M201" s="11"/>
      <c r="N201" s="180" t="e">
        <f>#REF!-H201</f>
        <v>#REF!</v>
      </c>
    </row>
    <row r="202" spans="1:15">
      <c r="A202" s="96">
        <v>147</v>
      </c>
      <c r="B202" s="96"/>
      <c r="C202" s="2" t="s">
        <v>411</v>
      </c>
      <c r="D202" s="41">
        <v>200000</v>
      </c>
      <c r="E202" s="41">
        <v>26660</v>
      </c>
      <c r="F202" s="41">
        <v>226660</v>
      </c>
      <c r="G202" s="33">
        <v>40</v>
      </c>
      <c r="H202" s="19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148</v>
      </c>
      <c r="B203" s="96"/>
      <c r="C203" s="2" t="s">
        <v>412</v>
      </c>
      <c r="D203" s="41">
        <v>200000</v>
      </c>
      <c r="E203" s="41">
        <v>26660</v>
      </c>
      <c r="F203" s="41">
        <f>SUM(D203:E203)</f>
        <v>226660</v>
      </c>
      <c r="G203" s="33">
        <v>40</v>
      </c>
      <c r="H203" s="41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5" spans="1:15">
      <c r="A205" s="96">
        <v>6</v>
      </c>
      <c r="B205" s="96"/>
      <c r="C205" s="2" t="s">
        <v>418</v>
      </c>
      <c r="D205" s="16">
        <v>132000</v>
      </c>
      <c r="E205" s="16">
        <v>17595.599999999999</v>
      </c>
      <c r="F205" s="41">
        <f t="shared" ref="F205:F217" si="31">SUM(D205:E205)</f>
        <v>149595.6</v>
      </c>
      <c r="G205" s="33">
        <v>40</v>
      </c>
      <c r="H205" s="16">
        <v>3739.89</v>
      </c>
      <c r="I205" s="96">
        <v>40</v>
      </c>
      <c r="J205" s="96">
        <f t="shared" ref="J205:J225" si="32">G205-I205</f>
        <v>0</v>
      </c>
      <c r="K205" s="16">
        <f t="shared" ref="K205:K225" si="33">I205*H205</f>
        <v>149595.6</v>
      </c>
      <c r="L205" s="41">
        <f t="shared" ref="L205:L225" si="34">F205-K205</f>
        <v>0</v>
      </c>
      <c r="M205" s="11"/>
      <c r="N205" s="180" t="e">
        <f>#REF!-H205</f>
        <v>#REF!</v>
      </c>
    </row>
    <row r="206" spans="1:15">
      <c r="A206" s="96">
        <v>11</v>
      </c>
      <c r="B206" s="96"/>
      <c r="C206" s="2" t="s">
        <v>386</v>
      </c>
      <c r="D206" s="41">
        <v>200000</v>
      </c>
      <c r="E206" s="41">
        <v>26660</v>
      </c>
      <c r="F206" s="41">
        <f t="shared" si="31"/>
        <v>226660</v>
      </c>
      <c r="G206" s="33">
        <v>40</v>
      </c>
      <c r="H206" s="41">
        <v>5666.5</v>
      </c>
      <c r="I206" s="96">
        <v>40</v>
      </c>
      <c r="J206" s="96">
        <f t="shared" si="32"/>
        <v>0</v>
      </c>
      <c r="K206" s="16">
        <f t="shared" si="33"/>
        <v>226660</v>
      </c>
      <c r="L206" s="41">
        <f t="shared" si="34"/>
        <v>0</v>
      </c>
      <c r="M206" s="11"/>
      <c r="N206" s="180" t="e">
        <f>#REF!-H206</f>
        <v>#REF!</v>
      </c>
    </row>
    <row r="207" spans="1:15">
      <c r="A207" s="96">
        <v>13</v>
      </c>
      <c r="B207" s="96"/>
      <c r="C207" s="2" t="s">
        <v>387</v>
      </c>
      <c r="D207" s="41">
        <v>200000</v>
      </c>
      <c r="E207" s="41">
        <v>26660</v>
      </c>
      <c r="F207" s="41">
        <f t="shared" si="31"/>
        <v>226660</v>
      </c>
      <c r="G207" s="33">
        <v>40</v>
      </c>
      <c r="H207" s="41">
        <v>5666.5</v>
      </c>
      <c r="I207" s="96">
        <v>40</v>
      </c>
      <c r="J207" s="96">
        <f t="shared" si="32"/>
        <v>0</v>
      </c>
      <c r="K207" s="16">
        <f t="shared" si="33"/>
        <v>226660</v>
      </c>
      <c r="L207" s="41">
        <f t="shared" si="34"/>
        <v>0</v>
      </c>
      <c r="M207" s="11"/>
      <c r="N207" s="180" t="e">
        <f>#REF!-H207</f>
        <v>#REF!</v>
      </c>
    </row>
    <row r="208" spans="1:15">
      <c r="A208" s="96">
        <v>20</v>
      </c>
      <c r="B208" s="96"/>
      <c r="C208" s="2" t="s">
        <v>390</v>
      </c>
      <c r="D208" s="41">
        <v>200000</v>
      </c>
      <c r="E208" s="41">
        <v>26660</v>
      </c>
      <c r="F208" s="41">
        <f t="shared" si="31"/>
        <v>226660</v>
      </c>
      <c r="G208" s="33">
        <v>40</v>
      </c>
      <c r="H208" s="41">
        <v>5666.5</v>
      </c>
      <c r="I208" s="96">
        <v>40</v>
      </c>
      <c r="J208" s="96">
        <f t="shared" si="32"/>
        <v>0</v>
      </c>
      <c r="K208" s="16">
        <f t="shared" si="33"/>
        <v>226660</v>
      </c>
      <c r="L208" s="41">
        <f t="shared" si="34"/>
        <v>0</v>
      </c>
      <c r="M208" s="11"/>
      <c r="N208" s="180" t="e">
        <f>#REF!-H208</f>
        <v>#REF!</v>
      </c>
    </row>
    <row r="209" spans="1:15">
      <c r="A209" s="96">
        <v>29</v>
      </c>
      <c r="B209" s="96"/>
      <c r="C209" s="2" t="s">
        <v>391</v>
      </c>
      <c r="D209" s="41">
        <v>200000</v>
      </c>
      <c r="E209" s="41">
        <v>26660</v>
      </c>
      <c r="F209" s="41">
        <f t="shared" si="31"/>
        <v>226660</v>
      </c>
      <c r="G209" s="33">
        <v>40</v>
      </c>
      <c r="H209" s="41">
        <v>5666.5</v>
      </c>
      <c r="I209" s="97">
        <v>40</v>
      </c>
      <c r="J209" s="97">
        <f t="shared" si="32"/>
        <v>0</v>
      </c>
      <c r="K209" s="91">
        <f t="shared" si="33"/>
        <v>226660</v>
      </c>
      <c r="L209" s="94">
        <f t="shared" si="34"/>
        <v>0</v>
      </c>
      <c r="M209" s="11"/>
      <c r="N209" s="180" t="e">
        <f>#REF!-H209</f>
        <v>#REF!</v>
      </c>
    </row>
    <row r="210" spans="1:15">
      <c r="A210" s="96">
        <v>31</v>
      </c>
      <c r="B210" s="96"/>
      <c r="C210" s="2" t="s">
        <v>392</v>
      </c>
      <c r="D210" s="41">
        <v>200000</v>
      </c>
      <c r="E210" s="41">
        <v>26660</v>
      </c>
      <c r="F210" s="41">
        <f t="shared" si="31"/>
        <v>226660</v>
      </c>
      <c r="G210" s="33">
        <v>40</v>
      </c>
      <c r="H210" s="41">
        <v>5666.5</v>
      </c>
      <c r="I210" s="97">
        <v>40</v>
      </c>
      <c r="J210" s="97">
        <f t="shared" si="32"/>
        <v>0</v>
      </c>
      <c r="K210" s="91">
        <f t="shared" si="33"/>
        <v>226660</v>
      </c>
      <c r="L210" s="94">
        <f t="shared" si="34"/>
        <v>0</v>
      </c>
      <c r="M210" s="11"/>
      <c r="N210" s="180" t="e">
        <f>#REF!-H210</f>
        <v>#REF!</v>
      </c>
    </row>
    <row r="211" spans="1:15">
      <c r="A211" s="96">
        <v>34</v>
      </c>
      <c r="B211" s="96"/>
      <c r="C211" s="2" t="s">
        <v>393</v>
      </c>
      <c r="D211" s="41">
        <v>200000</v>
      </c>
      <c r="E211" s="41">
        <v>26660</v>
      </c>
      <c r="F211" s="41">
        <f t="shared" si="31"/>
        <v>226660</v>
      </c>
      <c r="G211" s="33">
        <v>40</v>
      </c>
      <c r="H211" s="41">
        <v>5666.5</v>
      </c>
      <c r="I211" s="97">
        <v>40</v>
      </c>
      <c r="J211" s="97">
        <f t="shared" si="32"/>
        <v>0</v>
      </c>
      <c r="K211" s="91">
        <f t="shared" si="33"/>
        <v>226660</v>
      </c>
      <c r="L211" s="94">
        <f t="shared" si="34"/>
        <v>0</v>
      </c>
      <c r="M211" s="11"/>
      <c r="N211" s="180" t="e">
        <f>#REF!-H211</f>
        <v>#REF!</v>
      </c>
    </row>
    <row r="212" spans="1:15">
      <c r="A212" s="96">
        <v>41</v>
      </c>
      <c r="B212" s="96"/>
      <c r="C212" s="2" t="s">
        <v>415</v>
      </c>
      <c r="D212" s="16">
        <v>180000</v>
      </c>
      <c r="E212" s="16">
        <v>23994</v>
      </c>
      <c r="F212" s="41">
        <f t="shared" si="31"/>
        <v>203994</v>
      </c>
      <c r="G212" s="33">
        <v>40</v>
      </c>
      <c r="H212" s="16">
        <v>5099.8500000000004</v>
      </c>
      <c r="I212" s="97">
        <v>40</v>
      </c>
      <c r="J212" s="97">
        <f t="shared" si="32"/>
        <v>0</v>
      </c>
      <c r="K212" s="91">
        <f t="shared" si="33"/>
        <v>203994</v>
      </c>
      <c r="L212" s="94">
        <f t="shared" si="34"/>
        <v>0</v>
      </c>
      <c r="M212" s="11"/>
      <c r="N212" s="180" t="e">
        <f>#REF!-H212</f>
        <v>#REF!</v>
      </c>
    </row>
    <row r="213" spans="1:15">
      <c r="A213" s="96">
        <v>45</v>
      </c>
      <c r="B213" s="96"/>
      <c r="C213" s="2" t="s">
        <v>394</v>
      </c>
      <c r="D213" s="41">
        <v>200000</v>
      </c>
      <c r="E213" s="41">
        <v>26660</v>
      </c>
      <c r="F213" s="41">
        <f t="shared" si="31"/>
        <v>226660</v>
      </c>
      <c r="G213" s="33">
        <v>40</v>
      </c>
      <c r="H213" s="41">
        <v>5666.5</v>
      </c>
      <c r="I213" s="97">
        <v>40</v>
      </c>
      <c r="J213" s="97">
        <f t="shared" si="32"/>
        <v>0</v>
      </c>
      <c r="K213" s="91">
        <f t="shared" si="33"/>
        <v>226660</v>
      </c>
      <c r="L213" s="94">
        <f t="shared" si="34"/>
        <v>0</v>
      </c>
      <c r="M213" s="11"/>
      <c r="N213" s="180" t="e">
        <f>#REF!-H213</f>
        <v>#REF!</v>
      </c>
    </row>
    <row r="214" spans="1:15">
      <c r="A214" s="96">
        <v>51</v>
      </c>
      <c r="B214" s="96"/>
      <c r="C214" s="2" t="s">
        <v>395</v>
      </c>
      <c r="D214" s="15">
        <v>200000</v>
      </c>
      <c r="E214" s="15">
        <v>26660</v>
      </c>
      <c r="F214" s="15">
        <f t="shared" si="31"/>
        <v>226660</v>
      </c>
      <c r="G214" s="31">
        <v>40</v>
      </c>
      <c r="H214" s="15">
        <v>5666.5</v>
      </c>
      <c r="I214" s="14">
        <v>38</v>
      </c>
      <c r="J214" s="97">
        <f t="shared" si="32"/>
        <v>2</v>
      </c>
      <c r="K214" s="91">
        <f t="shared" si="33"/>
        <v>215327</v>
      </c>
      <c r="L214" s="15">
        <f t="shared" si="34"/>
        <v>11333</v>
      </c>
      <c r="M214" s="8"/>
      <c r="N214" s="180" t="e">
        <f>#REF!-H214</f>
        <v>#REF!</v>
      </c>
    </row>
    <row r="215" spans="1:15">
      <c r="A215" s="96">
        <v>59</v>
      </c>
      <c r="B215" s="96"/>
      <c r="C215" s="2" t="s">
        <v>419</v>
      </c>
      <c r="D215" s="16">
        <v>132000</v>
      </c>
      <c r="E215" s="16">
        <v>17595.599999999999</v>
      </c>
      <c r="F215" s="41">
        <f t="shared" si="31"/>
        <v>149595.6</v>
      </c>
      <c r="G215" s="33">
        <v>40</v>
      </c>
      <c r="H215" s="16">
        <v>3739.89</v>
      </c>
      <c r="I215" s="97">
        <v>40</v>
      </c>
      <c r="J215" s="97">
        <f t="shared" si="32"/>
        <v>0</v>
      </c>
      <c r="K215" s="91">
        <f t="shared" si="33"/>
        <v>149595.6</v>
      </c>
      <c r="L215" s="94">
        <f t="shared" si="34"/>
        <v>0</v>
      </c>
      <c r="M215" s="11"/>
      <c r="N215" s="180" t="e">
        <f>#REF!-H215</f>
        <v>#REF!</v>
      </c>
    </row>
    <row r="216" spans="1:15">
      <c r="A216" s="96">
        <v>60</v>
      </c>
      <c r="B216" s="96"/>
      <c r="C216" s="2" t="s">
        <v>396</v>
      </c>
      <c r="D216" s="41">
        <v>200000</v>
      </c>
      <c r="E216" s="41">
        <v>26660</v>
      </c>
      <c r="F216" s="41">
        <f t="shared" si="31"/>
        <v>226660</v>
      </c>
      <c r="G216" s="33">
        <v>40</v>
      </c>
      <c r="H216" s="41">
        <v>5666.5</v>
      </c>
      <c r="I216" s="97">
        <v>40</v>
      </c>
      <c r="J216" s="97">
        <f t="shared" si="32"/>
        <v>0</v>
      </c>
      <c r="K216" s="91">
        <f t="shared" si="33"/>
        <v>226660</v>
      </c>
      <c r="L216" s="94">
        <f t="shared" si="34"/>
        <v>0</v>
      </c>
      <c r="M216" s="11"/>
      <c r="N216" s="180" t="e">
        <f>#REF!-H216</f>
        <v>#REF!</v>
      </c>
    </row>
    <row r="217" spans="1:15">
      <c r="A217" s="96">
        <v>65</v>
      </c>
      <c r="B217" s="96"/>
      <c r="C217" s="2" t="s">
        <v>420</v>
      </c>
      <c r="D217" s="16">
        <v>132000</v>
      </c>
      <c r="E217" s="16">
        <v>17595.599999999999</v>
      </c>
      <c r="F217" s="41">
        <f t="shared" si="31"/>
        <v>149595.6</v>
      </c>
      <c r="G217" s="33">
        <v>40</v>
      </c>
      <c r="H217" s="16">
        <v>3739.89</v>
      </c>
      <c r="I217" s="97">
        <v>40</v>
      </c>
      <c r="J217" s="97">
        <f t="shared" si="32"/>
        <v>0</v>
      </c>
      <c r="K217" s="91">
        <f t="shared" si="33"/>
        <v>149595.6</v>
      </c>
      <c r="L217" s="94">
        <f t="shared" si="34"/>
        <v>0</v>
      </c>
      <c r="M217" s="11"/>
      <c r="N217" s="180" t="e">
        <f>#REF!-H217</f>
        <v>#REF!</v>
      </c>
    </row>
    <row r="218" spans="1:15">
      <c r="A218" s="96">
        <v>67</v>
      </c>
      <c r="B218" s="96"/>
      <c r="C218" s="2" t="s">
        <v>397</v>
      </c>
      <c r="D218" s="41">
        <v>200000</v>
      </c>
      <c r="E218" s="41">
        <v>26660</v>
      </c>
      <c r="F218" s="41">
        <v>226660</v>
      </c>
      <c r="G218" s="33">
        <v>40</v>
      </c>
      <c r="H218" s="19">
        <v>5666.5</v>
      </c>
      <c r="I218" s="97">
        <v>40</v>
      </c>
      <c r="J218" s="97">
        <f t="shared" si="32"/>
        <v>0</v>
      </c>
      <c r="K218" s="91">
        <f t="shared" si="33"/>
        <v>226660</v>
      </c>
      <c r="L218" s="94">
        <f t="shared" si="34"/>
        <v>0</v>
      </c>
      <c r="M218" s="11"/>
      <c r="N218" s="180" t="e">
        <f>#REF!-H218</f>
        <v>#REF!</v>
      </c>
    </row>
    <row r="219" spans="1:15">
      <c r="A219" s="96">
        <v>69</v>
      </c>
      <c r="B219" s="96"/>
      <c r="C219" s="2" t="s">
        <v>398</v>
      </c>
      <c r="D219" s="41">
        <v>200000</v>
      </c>
      <c r="E219" s="41">
        <v>26660</v>
      </c>
      <c r="F219" s="41">
        <f>SUM(D219:E219)</f>
        <v>226660</v>
      </c>
      <c r="G219" s="33">
        <v>40</v>
      </c>
      <c r="H219" s="41">
        <v>5666.5</v>
      </c>
      <c r="I219" s="97">
        <v>40</v>
      </c>
      <c r="J219" s="97">
        <f t="shared" si="32"/>
        <v>0</v>
      </c>
      <c r="K219" s="91">
        <f t="shared" si="33"/>
        <v>226660</v>
      </c>
      <c r="L219" s="94">
        <f t="shared" si="34"/>
        <v>0</v>
      </c>
      <c r="M219" s="11"/>
      <c r="N219" s="180" t="e">
        <f>#REF!-H219</f>
        <v>#REF!</v>
      </c>
    </row>
    <row r="220" spans="1:15">
      <c r="A220" s="96">
        <v>72</v>
      </c>
      <c r="B220" s="96"/>
      <c r="C220" s="2" t="s">
        <v>399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32"/>
        <v>0</v>
      </c>
      <c r="K220" s="91">
        <f t="shared" si="33"/>
        <v>226660</v>
      </c>
      <c r="L220" s="94">
        <f t="shared" si="34"/>
        <v>0</v>
      </c>
      <c r="M220" s="11"/>
      <c r="N220" s="180" t="e">
        <f>#REF!-H220</f>
        <v>#REF!</v>
      </c>
    </row>
    <row r="221" spans="1:15">
      <c r="A221" s="96">
        <v>73</v>
      </c>
      <c r="B221" s="96"/>
      <c r="C221" s="2" t="s">
        <v>428</v>
      </c>
      <c r="D221" s="16">
        <v>60000</v>
      </c>
      <c r="E221" s="16">
        <v>7998</v>
      </c>
      <c r="F221" s="41">
        <f>SUM(D221:E221)</f>
        <v>67998</v>
      </c>
      <c r="G221" s="33">
        <v>40</v>
      </c>
      <c r="H221" s="16">
        <v>1699.95</v>
      </c>
      <c r="I221" s="97">
        <v>40</v>
      </c>
      <c r="J221" s="97">
        <f t="shared" si="32"/>
        <v>0</v>
      </c>
      <c r="K221" s="91">
        <f t="shared" si="33"/>
        <v>67998</v>
      </c>
      <c r="L221" s="94">
        <f t="shared" si="34"/>
        <v>0</v>
      </c>
      <c r="M221" s="11"/>
      <c r="N221" s="180" t="e">
        <f>#REF!-H221</f>
        <v>#REF!</v>
      </c>
      <c r="O221" s="114"/>
    </row>
    <row r="222" spans="1:15">
      <c r="A222" s="96">
        <v>77</v>
      </c>
      <c r="B222" s="96"/>
      <c r="C222" s="2" t="s">
        <v>401</v>
      </c>
      <c r="D222" s="41">
        <v>200000</v>
      </c>
      <c r="E222" s="41">
        <v>26660</v>
      </c>
      <c r="F222" s="41">
        <f>SUM(D222:E222)</f>
        <v>226660</v>
      </c>
      <c r="G222" s="33">
        <v>40</v>
      </c>
      <c r="H222" s="41">
        <v>5666.5</v>
      </c>
      <c r="I222" s="97">
        <v>40</v>
      </c>
      <c r="J222" s="97">
        <f t="shared" si="32"/>
        <v>0</v>
      </c>
      <c r="K222" s="91">
        <f t="shared" si="33"/>
        <v>226660</v>
      </c>
      <c r="L222" s="94">
        <f t="shared" si="34"/>
        <v>0</v>
      </c>
      <c r="M222" s="11"/>
      <c r="N222" s="180" t="e">
        <f>#REF!-H222</f>
        <v>#REF!</v>
      </c>
      <c r="O222" s="114"/>
    </row>
    <row r="223" spans="1:15">
      <c r="A223" s="96">
        <v>79</v>
      </c>
      <c r="B223" s="96"/>
      <c r="C223" s="2" t="s">
        <v>402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32"/>
        <v>0</v>
      </c>
      <c r="K223" s="91">
        <f t="shared" si="33"/>
        <v>226660</v>
      </c>
      <c r="L223" s="94">
        <f t="shared" si="34"/>
        <v>0</v>
      </c>
      <c r="M223" s="11"/>
      <c r="N223" s="180" t="e">
        <f>#REF!-H223</f>
        <v>#REF!</v>
      </c>
      <c r="O223" s="114"/>
    </row>
    <row r="224" spans="1:15">
      <c r="A224" s="96">
        <v>82</v>
      </c>
      <c r="B224" s="96"/>
      <c r="C224" s="2" t="s">
        <v>404</v>
      </c>
      <c r="D224" s="41">
        <v>200000</v>
      </c>
      <c r="E224" s="41">
        <v>26660</v>
      </c>
      <c r="F224" s="41">
        <v>226660</v>
      </c>
      <c r="G224" s="33">
        <v>40</v>
      </c>
      <c r="H224" s="19">
        <v>5666.5</v>
      </c>
      <c r="I224" s="97">
        <v>40</v>
      </c>
      <c r="J224" s="97">
        <f t="shared" si="32"/>
        <v>0</v>
      </c>
      <c r="K224" s="91">
        <f t="shared" si="33"/>
        <v>226660</v>
      </c>
      <c r="L224" s="94">
        <f t="shared" si="34"/>
        <v>0</v>
      </c>
      <c r="M224" s="11"/>
      <c r="N224" s="180" t="e">
        <f>#REF!-H224</f>
        <v>#REF!</v>
      </c>
    </row>
    <row r="225" spans="1:15">
      <c r="A225" s="96">
        <v>84</v>
      </c>
      <c r="B225" s="96"/>
      <c r="C225" s="2" t="s">
        <v>405</v>
      </c>
      <c r="D225" s="41">
        <v>200000</v>
      </c>
      <c r="E225" s="41">
        <v>26660</v>
      </c>
      <c r="F225" s="41">
        <f>SUM(D225:E225)</f>
        <v>226660</v>
      </c>
      <c r="G225" s="33">
        <v>40</v>
      </c>
      <c r="H225" s="41">
        <v>5666.5</v>
      </c>
      <c r="I225" s="97">
        <v>40</v>
      </c>
      <c r="J225" s="97">
        <f t="shared" si="32"/>
        <v>0</v>
      </c>
      <c r="K225" s="91">
        <f t="shared" si="33"/>
        <v>226660</v>
      </c>
      <c r="L225" s="94">
        <f t="shared" si="34"/>
        <v>0</v>
      </c>
      <c r="M225" s="11"/>
      <c r="N225" s="180" t="e">
        <f>#REF!-H225</f>
        <v>#REF!</v>
      </c>
      <c r="O225" s="114"/>
    </row>
    <row r="226" spans="1:15">
      <c r="O226" s="114"/>
    </row>
    <row r="227" spans="1:15">
      <c r="O227" s="114"/>
    </row>
    <row r="228" spans="1:15">
      <c r="C228" s="127" t="s">
        <v>226</v>
      </c>
      <c r="D228" s="129">
        <v>200000</v>
      </c>
      <c r="E228" s="129">
        <v>26660</v>
      </c>
      <c r="F228" s="129">
        <v>226660</v>
      </c>
      <c r="G228" s="130">
        <v>40</v>
      </c>
      <c r="H228" s="137">
        <v>5666.5</v>
      </c>
      <c r="I228" s="134">
        <v>40</v>
      </c>
      <c r="J228" s="134">
        <f t="shared" ref="J228:J248" si="35">G228-I228</f>
        <v>0</v>
      </c>
      <c r="K228" s="135">
        <f t="shared" ref="K228:K248" si="36">I228*H228</f>
        <v>226660</v>
      </c>
      <c r="L228" s="136">
        <f t="shared" ref="L228:L248" si="37">F228-K228</f>
        <v>0</v>
      </c>
      <c r="M228" s="132"/>
      <c r="N228" s="121"/>
    </row>
    <row r="229" spans="1:15">
      <c r="C229" s="127" t="s">
        <v>181</v>
      </c>
      <c r="D229" s="129">
        <v>200000</v>
      </c>
      <c r="E229" s="129">
        <v>26660</v>
      </c>
      <c r="F229" s="129">
        <f t="shared" ref="F229:F235" si="38">SUM(D229:E229)</f>
        <v>226660</v>
      </c>
      <c r="G229" s="130">
        <v>40</v>
      </c>
      <c r="H229" s="129">
        <v>5666.5</v>
      </c>
      <c r="I229" s="134">
        <v>40</v>
      </c>
      <c r="J229" s="134">
        <f t="shared" si="35"/>
        <v>0</v>
      </c>
      <c r="K229" s="135">
        <f t="shared" si="36"/>
        <v>226660</v>
      </c>
      <c r="L229" s="136">
        <f t="shared" si="37"/>
        <v>0</v>
      </c>
      <c r="M229" s="132"/>
    </row>
    <row r="230" spans="1:15">
      <c r="C230" s="127" t="s">
        <v>249</v>
      </c>
      <c r="D230" s="128">
        <v>180000</v>
      </c>
      <c r="E230" s="128">
        <v>23994</v>
      </c>
      <c r="F230" s="129">
        <f t="shared" si="38"/>
        <v>203994</v>
      </c>
      <c r="G230" s="130">
        <v>40</v>
      </c>
      <c r="H230" s="128">
        <v>5099.8500000000004</v>
      </c>
      <c r="I230" s="134">
        <v>45</v>
      </c>
      <c r="J230" s="134">
        <f t="shared" si="35"/>
        <v>-5</v>
      </c>
      <c r="K230" s="135">
        <f t="shared" si="36"/>
        <v>229493.25000000003</v>
      </c>
      <c r="L230" s="136">
        <f t="shared" si="37"/>
        <v>-25499.250000000029</v>
      </c>
      <c r="M230" s="132"/>
    </row>
    <row r="231" spans="1:15">
      <c r="C231" s="127" t="s">
        <v>188</v>
      </c>
      <c r="D231" s="128">
        <v>180000</v>
      </c>
      <c r="E231" s="128">
        <v>23994</v>
      </c>
      <c r="F231" s="129">
        <f t="shared" si="38"/>
        <v>203994</v>
      </c>
      <c r="G231" s="130">
        <v>40</v>
      </c>
      <c r="H231" s="128">
        <v>5099.8500000000004</v>
      </c>
      <c r="I231" s="131">
        <v>37</v>
      </c>
      <c r="J231" s="131">
        <f t="shared" si="35"/>
        <v>3</v>
      </c>
      <c r="K231" s="128">
        <f t="shared" si="36"/>
        <v>188694.45</v>
      </c>
      <c r="L231" s="129">
        <f t="shared" si="37"/>
        <v>15299.549999999988</v>
      </c>
      <c r="M231" s="132"/>
    </row>
    <row r="232" spans="1:15">
      <c r="C232" s="127" t="s">
        <v>124</v>
      </c>
      <c r="D232" s="129">
        <v>200000</v>
      </c>
      <c r="E232" s="129">
        <v>26660</v>
      </c>
      <c r="F232" s="129">
        <f t="shared" si="38"/>
        <v>226660</v>
      </c>
      <c r="G232" s="130">
        <v>40</v>
      </c>
      <c r="H232" s="129">
        <v>5666.5</v>
      </c>
      <c r="I232" s="131">
        <v>40</v>
      </c>
      <c r="J232" s="131">
        <f t="shared" si="35"/>
        <v>0</v>
      </c>
      <c r="K232" s="128">
        <f t="shared" si="36"/>
        <v>226660</v>
      </c>
      <c r="L232" s="129">
        <f t="shared" si="37"/>
        <v>0</v>
      </c>
      <c r="M232" s="132"/>
    </row>
    <row r="233" spans="1:15">
      <c r="C233" s="127" t="s">
        <v>129</v>
      </c>
      <c r="D233" s="129">
        <v>200000</v>
      </c>
      <c r="E233" s="129">
        <v>26660</v>
      </c>
      <c r="F233" s="129">
        <f t="shared" si="38"/>
        <v>226660</v>
      </c>
      <c r="G233" s="130">
        <v>40</v>
      </c>
      <c r="H233" s="129">
        <v>5666.5</v>
      </c>
      <c r="I233" s="131">
        <v>38</v>
      </c>
      <c r="J233" s="131">
        <f t="shared" si="35"/>
        <v>2</v>
      </c>
      <c r="K233" s="128">
        <f t="shared" si="36"/>
        <v>215327</v>
      </c>
      <c r="L233" s="129">
        <f t="shared" si="37"/>
        <v>11333</v>
      </c>
      <c r="M233" s="132"/>
    </row>
    <row r="234" spans="1:15">
      <c r="C234" s="127" t="s">
        <v>202</v>
      </c>
      <c r="D234" s="128">
        <v>132000</v>
      </c>
      <c r="E234" s="128">
        <v>17595.599999999999</v>
      </c>
      <c r="F234" s="129">
        <f t="shared" si="38"/>
        <v>149595.6</v>
      </c>
      <c r="G234" s="130">
        <v>40</v>
      </c>
      <c r="H234" s="128">
        <v>3739.89</v>
      </c>
      <c r="I234" s="131">
        <v>34</v>
      </c>
      <c r="J234" s="131">
        <f t="shared" si="35"/>
        <v>6</v>
      </c>
      <c r="K234" s="128">
        <f t="shared" si="36"/>
        <v>127156.26</v>
      </c>
      <c r="L234" s="129">
        <f t="shared" si="37"/>
        <v>22439.340000000011</v>
      </c>
      <c r="M234" s="132"/>
    </row>
    <row r="235" spans="1:15">
      <c r="A235" s="101">
        <v>135</v>
      </c>
      <c r="B235" s="244"/>
      <c r="C235" s="125" t="s">
        <v>138</v>
      </c>
      <c r="D235" s="129">
        <v>200000</v>
      </c>
      <c r="E235" s="129">
        <v>26660</v>
      </c>
      <c r="F235" s="129">
        <f t="shared" si="38"/>
        <v>226660</v>
      </c>
      <c r="G235" s="130">
        <v>40</v>
      </c>
      <c r="H235" s="129">
        <v>5666.5</v>
      </c>
      <c r="I235" s="134">
        <v>37</v>
      </c>
      <c r="J235" s="134">
        <f t="shared" si="35"/>
        <v>3</v>
      </c>
      <c r="K235" s="135">
        <f t="shared" si="36"/>
        <v>209660.5</v>
      </c>
      <c r="L235" s="136">
        <f t="shared" si="37"/>
        <v>16999.5</v>
      </c>
      <c r="M235" s="132"/>
    </row>
    <row r="236" spans="1:15">
      <c r="A236" s="101">
        <v>167.333333333333</v>
      </c>
      <c r="B236" s="101"/>
      <c r="C236" s="127" t="s">
        <v>236</v>
      </c>
      <c r="D236" s="128">
        <v>180000</v>
      </c>
      <c r="E236" s="128">
        <v>23994</v>
      </c>
      <c r="F236" s="128">
        <v>203994</v>
      </c>
      <c r="G236" s="139">
        <v>40</v>
      </c>
      <c r="H236" s="137">
        <v>5099.8500000000004</v>
      </c>
      <c r="I236" s="134">
        <v>46</v>
      </c>
      <c r="J236" s="134">
        <f t="shared" si="35"/>
        <v>-6</v>
      </c>
      <c r="K236" s="135">
        <f t="shared" si="36"/>
        <v>234593.1</v>
      </c>
      <c r="L236" s="136">
        <f t="shared" si="37"/>
        <v>-30599.100000000006</v>
      </c>
      <c r="M236" s="140"/>
    </row>
    <row r="237" spans="1:15">
      <c r="A237" s="101">
        <v>144.833333333333</v>
      </c>
      <c r="B237" s="101"/>
      <c r="C237" s="127" t="s">
        <v>234</v>
      </c>
      <c r="D237" s="129">
        <v>200000</v>
      </c>
      <c r="E237" s="129">
        <v>26660</v>
      </c>
      <c r="F237" s="129">
        <v>226660</v>
      </c>
      <c r="G237" s="130">
        <v>40</v>
      </c>
      <c r="H237" s="137">
        <v>5666.5</v>
      </c>
      <c r="I237" s="134">
        <v>40</v>
      </c>
      <c r="J237" s="134">
        <f t="shared" si="35"/>
        <v>0</v>
      </c>
      <c r="K237" s="135">
        <f t="shared" si="36"/>
        <v>226660</v>
      </c>
      <c r="L237" s="136">
        <f t="shared" si="37"/>
        <v>0</v>
      </c>
      <c r="M237" s="132"/>
    </row>
    <row r="238" spans="1:15">
      <c r="A238" s="101">
        <v>146.333333333333</v>
      </c>
      <c r="B238" s="245"/>
      <c r="C238" s="141" t="s">
        <v>187</v>
      </c>
      <c r="D238" s="129">
        <v>150000</v>
      </c>
      <c r="E238" s="129">
        <v>11997</v>
      </c>
      <c r="F238" s="129">
        <f t="shared" ref="F238:F245" si="39">SUM(D238:E238)</f>
        <v>161997</v>
      </c>
      <c r="G238" s="130">
        <v>30</v>
      </c>
      <c r="H238" s="129">
        <v>5399.9</v>
      </c>
      <c r="I238" s="134">
        <v>31</v>
      </c>
      <c r="J238" s="134">
        <f t="shared" si="35"/>
        <v>-1</v>
      </c>
      <c r="K238" s="135">
        <f t="shared" si="36"/>
        <v>167396.9</v>
      </c>
      <c r="L238" s="136">
        <f t="shared" si="37"/>
        <v>-5399.8999999999942</v>
      </c>
      <c r="M238" s="132"/>
    </row>
    <row r="239" spans="1:15">
      <c r="A239" s="101">
        <v>147.833333333333</v>
      </c>
      <c r="B239" s="101"/>
      <c r="C239" s="127" t="s">
        <v>150</v>
      </c>
      <c r="D239" s="129">
        <v>200000</v>
      </c>
      <c r="E239" s="129">
        <v>26660</v>
      </c>
      <c r="F239" s="129">
        <f t="shared" si="39"/>
        <v>226660</v>
      </c>
      <c r="G239" s="130">
        <v>40</v>
      </c>
      <c r="H239" s="129">
        <v>5666.5</v>
      </c>
      <c r="I239" s="134">
        <v>40</v>
      </c>
      <c r="J239" s="134">
        <f t="shared" si="35"/>
        <v>0</v>
      </c>
      <c r="K239" s="135">
        <f t="shared" si="36"/>
        <v>226660</v>
      </c>
      <c r="L239" s="136">
        <f t="shared" si="37"/>
        <v>0</v>
      </c>
      <c r="M239" s="132"/>
    </row>
    <row r="240" spans="1:15">
      <c r="A240" s="101">
        <v>149.333333333333</v>
      </c>
      <c r="B240" s="244"/>
      <c r="C240" s="125" t="s">
        <v>151</v>
      </c>
      <c r="D240" s="129">
        <v>200000</v>
      </c>
      <c r="E240" s="129">
        <v>26660</v>
      </c>
      <c r="F240" s="129">
        <f t="shared" si="39"/>
        <v>226660</v>
      </c>
      <c r="G240" s="130">
        <v>40</v>
      </c>
      <c r="H240" s="129">
        <v>5666.5</v>
      </c>
      <c r="I240" s="134">
        <v>38</v>
      </c>
      <c r="J240" s="134">
        <f t="shared" si="35"/>
        <v>2</v>
      </c>
      <c r="K240" s="135">
        <f t="shared" si="36"/>
        <v>215327</v>
      </c>
      <c r="L240" s="136">
        <f t="shared" si="37"/>
        <v>11333</v>
      </c>
      <c r="M240" s="132"/>
    </row>
    <row r="241" spans="1:14">
      <c r="A241" s="101">
        <v>150.833333333333</v>
      </c>
      <c r="B241" s="244"/>
      <c r="C241" s="186" t="s">
        <v>266</v>
      </c>
      <c r="D241" s="128">
        <v>330000</v>
      </c>
      <c r="E241" s="128">
        <v>43989</v>
      </c>
      <c r="F241" s="129">
        <f t="shared" si="39"/>
        <v>373989</v>
      </c>
      <c r="G241" s="130">
        <v>50</v>
      </c>
      <c r="H241" s="138">
        <v>7479</v>
      </c>
      <c r="I241" s="134">
        <v>8</v>
      </c>
      <c r="J241" s="134">
        <f t="shared" si="35"/>
        <v>42</v>
      </c>
      <c r="K241" s="135">
        <f t="shared" si="36"/>
        <v>59832</v>
      </c>
      <c r="L241" s="136">
        <f t="shared" si="37"/>
        <v>314157</v>
      </c>
      <c r="M241" s="124"/>
    </row>
    <row r="242" spans="1:14">
      <c r="A242" s="101">
        <v>152.333333333333</v>
      </c>
      <c r="B242" s="244"/>
      <c r="C242" s="125" t="s">
        <v>156</v>
      </c>
      <c r="D242" s="129">
        <v>200000</v>
      </c>
      <c r="E242" s="129">
        <v>26660</v>
      </c>
      <c r="F242" s="129">
        <f t="shared" si="39"/>
        <v>226660</v>
      </c>
      <c r="G242" s="130">
        <v>40</v>
      </c>
      <c r="H242" s="133">
        <v>3739.89</v>
      </c>
      <c r="I242" s="134">
        <v>40</v>
      </c>
      <c r="J242" s="134">
        <f t="shared" si="35"/>
        <v>0</v>
      </c>
      <c r="K242" s="135">
        <f t="shared" si="36"/>
        <v>149595.6</v>
      </c>
      <c r="L242" s="136">
        <f t="shared" si="37"/>
        <v>77064.399999999994</v>
      </c>
      <c r="M242" s="132"/>
    </row>
    <row r="243" spans="1:14">
      <c r="A243" s="101">
        <v>153.833333333333</v>
      </c>
      <c r="B243" s="244"/>
      <c r="C243" s="125" t="s">
        <v>157</v>
      </c>
      <c r="D243" s="129">
        <v>200000</v>
      </c>
      <c r="E243" s="129">
        <v>26660</v>
      </c>
      <c r="F243" s="129">
        <f t="shared" si="39"/>
        <v>226660</v>
      </c>
      <c r="G243" s="130">
        <v>40</v>
      </c>
      <c r="H243" s="129">
        <v>5666.5</v>
      </c>
      <c r="I243" s="134">
        <v>40</v>
      </c>
      <c r="J243" s="134">
        <f t="shared" si="35"/>
        <v>0</v>
      </c>
      <c r="K243" s="135">
        <f t="shared" si="36"/>
        <v>226660</v>
      </c>
      <c r="L243" s="136">
        <f t="shared" si="37"/>
        <v>0</v>
      </c>
      <c r="M243" s="132"/>
    </row>
    <row r="244" spans="1:14">
      <c r="A244" s="101">
        <v>155.333333333333</v>
      </c>
      <c r="B244" s="244"/>
      <c r="C244" s="125" t="s">
        <v>158</v>
      </c>
      <c r="D244" s="129">
        <v>200000</v>
      </c>
      <c r="E244" s="129">
        <v>26660</v>
      </c>
      <c r="F244" s="129">
        <f t="shared" si="39"/>
        <v>226660</v>
      </c>
      <c r="G244" s="130">
        <v>40</v>
      </c>
      <c r="H244" s="129">
        <v>5666.5</v>
      </c>
      <c r="I244" s="134">
        <v>40</v>
      </c>
      <c r="J244" s="134">
        <f t="shared" si="35"/>
        <v>0</v>
      </c>
      <c r="K244" s="135">
        <f t="shared" si="36"/>
        <v>226660</v>
      </c>
      <c r="L244" s="136">
        <f t="shared" si="37"/>
        <v>0</v>
      </c>
      <c r="M244" s="132"/>
    </row>
    <row r="245" spans="1:14">
      <c r="A245" s="101">
        <v>156.833333333333</v>
      </c>
      <c r="B245" s="244"/>
      <c r="C245" s="125" t="s">
        <v>159</v>
      </c>
      <c r="D245" s="129">
        <v>200000</v>
      </c>
      <c r="E245" s="129">
        <v>26660</v>
      </c>
      <c r="F245" s="129">
        <f t="shared" si="39"/>
        <v>226660</v>
      </c>
      <c r="G245" s="130">
        <v>40</v>
      </c>
      <c r="H245" s="129">
        <v>5666.5</v>
      </c>
      <c r="I245" s="134">
        <v>31</v>
      </c>
      <c r="J245" s="134">
        <f t="shared" si="35"/>
        <v>9</v>
      </c>
      <c r="K245" s="135">
        <f t="shared" si="36"/>
        <v>175661.5</v>
      </c>
      <c r="L245" s="136">
        <f t="shared" si="37"/>
        <v>50998.5</v>
      </c>
      <c r="M245" s="132"/>
    </row>
    <row r="246" spans="1:14">
      <c r="A246" s="101">
        <v>158.333333333333</v>
      </c>
      <c r="B246" s="101"/>
      <c r="C246" s="127" t="s">
        <v>233</v>
      </c>
      <c r="D246" s="129">
        <v>200000</v>
      </c>
      <c r="E246" s="129">
        <v>26660</v>
      </c>
      <c r="F246" s="129">
        <v>226660</v>
      </c>
      <c r="G246" s="130">
        <v>40</v>
      </c>
      <c r="H246" s="137">
        <v>5666.5</v>
      </c>
      <c r="I246" s="134">
        <v>40</v>
      </c>
      <c r="J246" s="134">
        <f t="shared" si="35"/>
        <v>0</v>
      </c>
      <c r="K246" s="135">
        <f t="shared" si="36"/>
        <v>226660</v>
      </c>
      <c r="L246" s="136">
        <f t="shared" si="37"/>
        <v>0</v>
      </c>
      <c r="M246" s="132"/>
    </row>
    <row r="247" spans="1:14">
      <c r="A247" s="101">
        <v>159.833333333333</v>
      </c>
      <c r="B247" s="101"/>
      <c r="C247" s="127" t="s">
        <v>160</v>
      </c>
      <c r="D247" s="129">
        <v>200000</v>
      </c>
      <c r="E247" s="129">
        <v>26660</v>
      </c>
      <c r="F247" s="129">
        <f>SUM(D247:E247)</f>
        <v>226660</v>
      </c>
      <c r="G247" s="130">
        <v>40</v>
      </c>
      <c r="H247" s="129">
        <v>5666.5</v>
      </c>
      <c r="I247" s="134">
        <v>40</v>
      </c>
      <c r="J247" s="134">
        <f t="shared" si="35"/>
        <v>0</v>
      </c>
      <c r="K247" s="135">
        <f t="shared" si="36"/>
        <v>226660</v>
      </c>
      <c r="L247" s="136">
        <f t="shared" si="37"/>
        <v>0</v>
      </c>
      <c r="M247" s="132"/>
    </row>
    <row r="248" spans="1:14">
      <c r="A248" s="101">
        <v>161.333333333333</v>
      </c>
      <c r="B248" s="101"/>
      <c r="C248" s="127" t="s">
        <v>205</v>
      </c>
      <c r="D248" s="128">
        <v>132000</v>
      </c>
      <c r="E248" s="128">
        <v>17595.599999999999</v>
      </c>
      <c r="F248" s="129">
        <f>SUM(D248:E248)</f>
        <v>149595.6</v>
      </c>
      <c r="G248" s="130">
        <v>40</v>
      </c>
      <c r="H248" s="128">
        <v>3739.89</v>
      </c>
      <c r="I248" s="134">
        <v>40</v>
      </c>
      <c r="J248" s="134">
        <f t="shared" si="35"/>
        <v>0</v>
      </c>
      <c r="K248" s="135">
        <f t="shared" si="36"/>
        <v>149595.6</v>
      </c>
      <c r="L248" s="136">
        <f t="shared" si="37"/>
        <v>0</v>
      </c>
      <c r="M248" s="132"/>
    </row>
    <row r="250" spans="1:14">
      <c r="A250" s="101">
        <v>173.333333333333</v>
      </c>
      <c r="B250" s="245"/>
    </row>
    <row r="251" spans="1:14">
      <c r="A251" s="101">
        <v>174.833333333333</v>
      </c>
      <c r="B251" s="245"/>
    </row>
    <row r="254" spans="1:14">
      <c r="A254" s="160">
        <v>47</v>
      </c>
      <c r="B254" s="160"/>
      <c r="C254" s="181" t="s">
        <v>432</v>
      </c>
      <c r="D254" s="16">
        <v>500000</v>
      </c>
      <c r="E254" s="16">
        <v>66650</v>
      </c>
      <c r="F254" s="41">
        <f>SUM(D254:E254)</f>
        <v>566650</v>
      </c>
      <c r="G254" s="33">
        <v>50</v>
      </c>
      <c r="H254" s="24">
        <v>5666.5</v>
      </c>
      <c r="I254" s="97">
        <v>33</v>
      </c>
      <c r="J254" s="97">
        <f>G254-I254</f>
        <v>17</v>
      </c>
      <c r="K254" s="91">
        <f>I254*H254</f>
        <v>186994.5</v>
      </c>
      <c r="L254" s="94">
        <f>F254-K254</f>
        <v>379655.5</v>
      </c>
      <c r="M254" s="11"/>
      <c r="N254" s="180" t="e">
        <f>#REF!-H254</f>
        <v>#REF!</v>
      </c>
    </row>
    <row r="255" spans="1:14">
      <c r="A255" s="160">
        <v>70</v>
      </c>
      <c r="B255" s="160"/>
      <c r="C255" s="181" t="s">
        <v>433</v>
      </c>
      <c r="D255" s="41">
        <v>200000</v>
      </c>
      <c r="E255" s="41">
        <v>26660</v>
      </c>
      <c r="F255" s="41">
        <f>SUM(D255:E255)</f>
        <v>226660</v>
      </c>
      <c r="G255" s="33">
        <v>40</v>
      </c>
      <c r="H255" s="41">
        <v>5666.5</v>
      </c>
      <c r="I255" s="97">
        <v>40</v>
      </c>
      <c r="J255" s="97">
        <f>G255-I255</f>
        <v>0</v>
      </c>
      <c r="K255" s="91">
        <f>I255*H255</f>
        <v>226660</v>
      </c>
      <c r="L255" s="94">
        <f>F255-K255</f>
        <v>0</v>
      </c>
      <c r="M255" s="11"/>
      <c r="N255" s="180" t="e">
        <f>#REF!-H255</f>
        <v>#REF!</v>
      </c>
    </row>
    <row r="256" spans="1:14">
      <c r="A256" s="160">
        <v>93</v>
      </c>
      <c r="B256" s="160"/>
      <c r="C256" s="181" t="s">
        <v>434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41</v>
      </c>
      <c r="J256" s="97">
        <f>G256-I256</f>
        <v>-1</v>
      </c>
      <c r="K256" s="91">
        <f>I256*H256</f>
        <v>232326.5</v>
      </c>
      <c r="L256" s="94">
        <f>F256-K256</f>
        <v>-5666.5</v>
      </c>
      <c r="M256" s="11"/>
      <c r="N256" s="180" t="e">
        <f>#REF!-H256</f>
        <v>#REF!</v>
      </c>
    </row>
    <row r="257" spans="1:14">
      <c r="A257" s="160">
        <v>10</v>
      </c>
      <c r="B257" s="160"/>
      <c r="C257" s="181" t="s">
        <v>431</v>
      </c>
      <c r="D257" s="16">
        <v>450000</v>
      </c>
      <c r="E257" s="16">
        <v>28792.799999999999</v>
      </c>
      <c r="F257" s="41">
        <f>SUM(D257:E257)</f>
        <v>478792.8</v>
      </c>
      <c r="G257" s="33">
        <v>24</v>
      </c>
      <c r="H257" s="16">
        <v>19949.7</v>
      </c>
      <c r="I257" s="96">
        <v>24</v>
      </c>
      <c r="J257" s="96">
        <f>G257-I257</f>
        <v>0</v>
      </c>
      <c r="K257" s="16">
        <f>I257*H257</f>
        <v>478792.80000000005</v>
      </c>
      <c r="L257" s="41">
        <f>F257-K257</f>
        <v>0</v>
      </c>
      <c r="M257" s="11"/>
      <c r="N257" s="180" t="e">
        <f>#REF!-H257</f>
        <v>#REF!</v>
      </c>
    </row>
    <row r="258" spans="1:14">
      <c r="A258" s="160">
        <v>6</v>
      </c>
      <c r="B258" s="160"/>
      <c r="C258" s="181" t="s">
        <v>430</v>
      </c>
      <c r="D258" s="16">
        <v>330000</v>
      </c>
      <c r="E258" s="16">
        <v>21114.720000000001</v>
      </c>
      <c r="F258" s="41">
        <f>SUM(D258:E258)</f>
        <v>351114.72</v>
      </c>
      <c r="G258" s="33">
        <v>24</v>
      </c>
      <c r="H258" s="24">
        <v>6649.9</v>
      </c>
      <c r="I258" s="96">
        <v>24</v>
      </c>
      <c r="J258" s="96">
        <f>G258-I258</f>
        <v>0</v>
      </c>
      <c r="K258" s="16">
        <f>I258*H258</f>
        <v>159597.59999999998</v>
      </c>
      <c r="L258" s="41">
        <f>F258-K258</f>
        <v>191517.12</v>
      </c>
      <c r="M258" s="11"/>
      <c r="N258" s="180" t="e">
        <f>#REF!-H258</f>
        <v>#REF!</v>
      </c>
    </row>
    <row r="260" spans="1:14">
      <c r="A260" s="96">
        <v>77</v>
      </c>
      <c r="B260" s="96"/>
      <c r="C260" s="170" t="s">
        <v>400</v>
      </c>
      <c r="D260" s="41">
        <v>200000</v>
      </c>
      <c r="E260" s="41">
        <v>26660</v>
      </c>
      <c r="F260" s="41">
        <f>SUM(D260:E260)</f>
        <v>226660</v>
      </c>
      <c r="G260" s="33">
        <v>40</v>
      </c>
      <c r="H260" s="41">
        <v>5666.5</v>
      </c>
      <c r="I260" s="97">
        <v>36</v>
      </c>
      <c r="J260" s="97">
        <f>G260-I260</f>
        <v>4</v>
      </c>
      <c r="K260" s="91">
        <f>I260*H260</f>
        <v>203994</v>
      </c>
      <c r="L260" s="94">
        <f>F260-K260</f>
        <v>22666</v>
      </c>
      <c r="M260" s="11"/>
      <c r="N260" s="180" t="e">
        <f>#REF!-H260</f>
        <v>#REF!</v>
      </c>
    </row>
    <row r="261" spans="1:14">
      <c r="A261" s="96">
        <v>109</v>
      </c>
      <c r="B261" s="96"/>
      <c r="C261" s="142" t="s">
        <v>406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39</v>
      </c>
      <c r="J261" s="97">
        <f>G261-I261</f>
        <v>1</v>
      </c>
      <c r="K261" s="91">
        <f>I261*H261</f>
        <v>220993.5</v>
      </c>
      <c r="L261" s="94">
        <f>F261-K261</f>
        <v>5666.5</v>
      </c>
      <c r="M261" s="11"/>
      <c r="N261" s="180" t="e">
        <f>#REF!-H261</f>
        <v>#REF!</v>
      </c>
    </row>
    <row r="262" spans="1:14">
      <c r="A262" s="96">
        <v>127</v>
      </c>
      <c r="B262" s="96"/>
      <c r="C262" s="142" t="s">
        <v>423</v>
      </c>
      <c r="D262" s="16">
        <v>132000</v>
      </c>
      <c r="E262" s="16">
        <v>17595.599999999999</v>
      </c>
      <c r="F262" s="41">
        <f>SUM(D262:E262)</f>
        <v>149595.6</v>
      </c>
      <c r="G262" s="33">
        <v>40</v>
      </c>
      <c r="H262" s="16">
        <v>3739.89</v>
      </c>
      <c r="I262" s="97">
        <v>40</v>
      </c>
      <c r="J262" s="97">
        <f>G262-I262</f>
        <v>0</v>
      </c>
      <c r="K262" s="91">
        <f>I262*H262</f>
        <v>149595.6</v>
      </c>
      <c r="L262" s="94">
        <f>F262-K262</f>
        <v>0</v>
      </c>
      <c r="M262" s="11"/>
      <c r="N262" s="180" t="e">
        <f>#REF!-H262</f>
        <v>#REF!</v>
      </c>
    </row>
    <row r="263" spans="1:14">
      <c r="A263" s="96">
        <v>125</v>
      </c>
      <c r="B263" s="96"/>
      <c r="C263" s="142" t="s">
        <v>427</v>
      </c>
      <c r="D263" s="155">
        <v>150000</v>
      </c>
      <c r="E263" s="155">
        <v>19995</v>
      </c>
      <c r="F263" s="155">
        <f>SUM(D263:E263)</f>
        <v>169995</v>
      </c>
      <c r="G263" s="33">
        <v>50</v>
      </c>
      <c r="H263" s="154">
        <v>3399.9</v>
      </c>
      <c r="I263" s="97">
        <v>9</v>
      </c>
      <c r="J263" s="97">
        <f>G263-I263</f>
        <v>41</v>
      </c>
      <c r="K263" s="91">
        <f>I263*H263</f>
        <v>30599.100000000002</v>
      </c>
      <c r="L263" s="91">
        <f>F263-K263</f>
        <v>139395.9</v>
      </c>
      <c r="M263" s="122"/>
      <c r="N263" s="180" t="e">
        <f>#REF!-H263</f>
        <v>#REF!</v>
      </c>
    </row>
    <row r="264" spans="1:14">
      <c r="A264" s="96">
        <v>5</v>
      </c>
      <c r="B264" s="96"/>
      <c r="C264" s="2" t="s">
        <v>385</v>
      </c>
      <c r="D264" s="41">
        <v>200000</v>
      </c>
      <c r="E264" s="41">
        <v>26660</v>
      </c>
      <c r="F264" s="41">
        <f>SUM(D264:E264)</f>
        <v>226660</v>
      </c>
      <c r="G264" s="33">
        <v>40</v>
      </c>
      <c r="H264" s="41">
        <v>5666.5</v>
      </c>
      <c r="I264" s="96">
        <v>40</v>
      </c>
      <c r="J264" s="96">
        <f>G264-I264</f>
        <v>0</v>
      </c>
      <c r="K264" s="16">
        <f>I264*H264</f>
        <v>226660</v>
      </c>
      <c r="L264" s="41">
        <f>F264-K264</f>
        <v>0</v>
      </c>
      <c r="M264" s="11"/>
      <c r="N264" s="180" t="e">
        <f>#REF!-H264</f>
        <v>#REF!</v>
      </c>
    </row>
  </sheetData>
  <sortState ref="B6:N133">
    <sortCondition ref="C6:C133"/>
  </sortState>
  <mergeCells count="2">
    <mergeCell ref="A3:M3"/>
    <mergeCell ref="A4:M4"/>
  </mergeCells>
  <conditionalFormatting sqref="C258">
    <cfRule type="duplicateValues" dxfId="649" priority="134" stopIfTrue="1"/>
    <cfRule type="duplicateValues" dxfId="648" priority="135" stopIfTrue="1"/>
  </conditionalFormatting>
  <conditionalFormatting sqref="C258">
    <cfRule type="duplicateValues" dxfId="647" priority="133" stopIfTrue="1"/>
  </conditionalFormatting>
  <conditionalFormatting sqref="C205">
    <cfRule type="duplicateValues" dxfId="646" priority="131" stopIfTrue="1"/>
    <cfRule type="duplicateValues" dxfId="645" priority="132" stopIfTrue="1"/>
  </conditionalFormatting>
  <conditionalFormatting sqref="C205">
    <cfRule type="duplicateValues" dxfId="644" priority="130" stopIfTrue="1"/>
  </conditionalFormatting>
  <conditionalFormatting sqref="C257">
    <cfRule type="duplicateValues" dxfId="643" priority="128" stopIfTrue="1"/>
    <cfRule type="duplicateValues" dxfId="642" priority="129" stopIfTrue="1"/>
  </conditionalFormatting>
  <conditionalFormatting sqref="C257">
    <cfRule type="duplicateValues" dxfId="641" priority="127" stopIfTrue="1"/>
  </conditionalFormatting>
  <conditionalFormatting sqref="C207">
    <cfRule type="duplicateValues" dxfId="640" priority="125" stopIfTrue="1"/>
    <cfRule type="duplicateValues" dxfId="639" priority="126" stopIfTrue="1"/>
  </conditionalFormatting>
  <conditionalFormatting sqref="C207">
    <cfRule type="duplicateValues" dxfId="638" priority="124" stopIfTrue="1"/>
  </conditionalFormatting>
  <conditionalFormatting sqref="C208">
    <cfRule type="duplicateValues" dxfId="637" priority="122" stopIfTrue="1"/>
    <cfRule type="duplicateValues" dxfId="636" priority="123" stopIfTrue="1"/>
  </conditionalFormatting>
  <conditionalFormatting sqref="C208">
    <cfRule type="duplicateValues" dxfId="635" priority="121" stopIfTrue="1"/>
  </conditionalFormatting>
  <conditionalFormatting sqref="C210">
    <cfRule type="duplicateValues" dxfId="634" priority="119" stopIfTrue="1"/>
    <cfRule type="duplicateValues" dxfId="633" priority="120" stopIfTrue="1"/>
  </conditionalFormatting>
  <conditionalFormatting sqref="C210">
    <cfRule type="duplicateValues" dxfId="632" priority="118" stopIfTrue="1"/>
  </conditionalFormatting>
  <conditionalFormatting sqref="C211">
    <cfRule type="duplicateValues" dxfId="631" priority="116" stopIfTrue="1"/>
    <cfRule type="duplicateValues" dxfId="630" priority="117" stopIfTrue="1"/>
  </conditionalFormatting>
  <conditionalFormatting sqref="C211">
    <cfRule type="duplicateValues" dxfId="629" priority="115" stopIfTrue="1"/>
  </conditionalFormatting>
  <conditionalFormatting sqref="C254">
    <cfRule type="duplicateValues" dxfId="628" priority="113" stopIfTrue="1"/>
    <cfRule type="duplicateValues" dxfId="627" priority="114" stopIfTrue="1"/>
  </conditionalFormatting>
  <conditionalFormatting sqref="C254">
    <cfRule type="duplicateValues" dxfId="626" priority="112" stopIfTrue="1"/>
  </conditionalFormatting>
  <conditionalFormatting sqref="C213">
    <cfRule type="duplicateValues" dxfId="625" priority="110" stopIfTrue="1"/>
    <cfRule type="duplicateValues" dxfId="624" priority="111" stopIfTrue="1"/>
  </conditionalFormatting>
  <conditionalFormatting sqref="C213">
    <cfRule type="duplicateValues" dxfId="623" priority="109" stopIfTrue="1"/>
  </conditionalFormatting>
  <conditionalFormatting sqref="C214">
    <cfRule type="duplicateValues" dxfId="622" priority="107" stopIfTrue="1"/>
    <cfRule type="duplicateValues" dxfId="621" priority="108" stopIfTrue="1"/>
  </conditionalFormatting>
  <conditionalFormatting sqref="C214">
    <cfRule type="duplicateValues" dxfId="620" priority="106" stopIfTrue="1"/>
  </conditionalFormatting>
  <conditionalFormatting sqref="C215">
    <cfRule type="duplicateValues" dxfId="619" priority="104" stopIfTrue="1"/>
    <cfRule type="duplicateValues" dxfId="618" priority="105" stopIfTrue="1"/>
  </conditionalFormatting>
  <conditionalFormatting sqref="C215">
    <cfRule type="duplicateValues" dxfId="617" priority="103" stopIfTrue="1"/>
  </conditionalFormatting>
  <conditionalFormatting sqref="C230">
    <cfRule type="duplicateValues" dxfId="616" priority="101" stopIfTrue="1"/>
    <cfRule type="duplicateValues" dxfId="615" priority="102" stopIfTrue="1"/>
  </conditionalFormatting>
  <conditionalFormatting sqref="C230">
    <cfRule type="duplicateValues" dxfId="614" priority="100" stopIfTrue="1"/>
  </conditionalFormatting>
  <conditionalFormatting sqref="C217">
    <cfRule type="duplicateValues" dxfId="613" priority="98" stopIfTrue="1"/>
    <cfRule type="duplicateValues" dxfId="612" priority="99" stopIfTrue="1"/>
  </conditionalFormatting>
  <conditionalFormatting sqref="C217">
    <cfRule type="duplicateValues" dxfId="611" priority="97" stopIfTrue="1"/>
  </conditionalFormatting>
  <conditionalFormatting sqref="C255">
    <cfRule type="duplicateValues" dxfId="610" priority="95" stopIfTrue="1"/>
    <cfRule type="duplicateValues" dxfId="609" priority="96" stopIfTrue="1"/>
  </conditionalFormatting>
  <conditionalFormatting sqref="C255">
    <cfRule type="duplicateValues" dxfId="608" priority="94" stopIfTrue="1"/>
  </conditionalFormatting>
  <conditionalFormatting sqref="C218">
    <cfRule type="duplicateValues" dxfId="607" priority="92" stopIfTrue="1"/>
    <cfRule type="duplicateValues" dxfId="606" priority="93" stopIfTrue="1"/>
  </conditionalFormatting>
  <conditionalFormatting sqref="C218">
    <cfRule type="duplicateValues" dxfId="605" priority="91" stopIfTrue="1"/>
  </conditionalFormatting>
  <conditionalFormatting sqref="C219">
    <cfRule type="duplicateValues" dxfId="604" priority="89" stopIfTrue="1"/>
    <cfRule type="duplicateValues" dxfId="603" priority="90" stopIfTrue="1"/>
  </conditionalFormatting>
  <conditionalFormatting sqref="C219">
    <cfRule type="duplicateValues" dxfId="602" priority="88" stopIfTrue="1"/>
  </conditionalFormatting>
  <conditionalFormatting sqref="C260">
    <cfRule type="duplicateValues" dxfId="601" priority="86" stopIfTrue="1"/>
    <cfRule type="duplicateValues" dxfId="600" priority="87" stopIfTrue="1"/>
  </conditionalFormatting>
  <conditionalFormatting sqref="C260">
    <cfRule type="duplicateValues" dxfId="599" priority="85" stopIfTrue="1"/>
  </conditionalFormatting>
  <conditionalFormatting sqref="C222">
    <cfRule type="duplicateValues" dxfId="598" priority="83" stopIfTrue="1"/>
    <cfRule type="duplicateValues" dxfId="597" priority="84" stopIfTrue="1"/>
  </conditionalFormatting>
  <conditionalFormatting sqref="C222">
    <cfRule type="duplicateValues" dxfId="596" priority="82" stopIfTrue="1"/>
  </conditionalFormatting>
  <conditionalFormatting sqref="C225">
    <cfRule type="duplicateValues" dxfId="595" priority="80" stopIfTrue="1"/>
    <cfRule type="duplicateValues" dxfId="594" priority="81" stopIfTrue="1"/>
  </conditionalFormatting>
  <conditionalFormatting sqref="C225">
    <cfRule type="duplicateValues" dxfId="593" priority="79" stopIfTrue="1"/>
  </conditionalFormatting>
  <conditionalFormatting sqref="C198">
    <cfRule type="duplicateValues" dxfId="592" priority="77" stopIfTrue="1"/>
    <cfRule type="duplicateValues" dxfId="591" priority="78" stopIfTrue="1"/>
  </conditionalFormatting>
  <conditionalFormatting sqref="C198">
    <cfRule type="duplicateValues" dxfId="590" priority="76" stopIfTrue="1"/>
  </conditionalFormatting>
  <conditionalFormatting sqref="C256">
    <cfRule type="duplicateValues" dxfId="589" priority="74" stopIfTrue="1"/>
    <cfRule type="duplicateValues" dxfId="588" priority="75" stopIfTrue="1"/>
  </conditionalFormatting>
  <conditionalFormatting sqref="C256">
    <cfRule type="duplicateValues" dxfId="587" priority="73" stopIfTrue="1"/>
  </conditionalFormatting>
  <conditionalFormatting sqref="C248">
    <cfRule type="duplicateValues" dxfId="586" priority="71" stopIfTrue="1"/>
    <cfRule type="duplicateValues" dxfId="585" priority="72" stopIfTrue="1"/>
  </conditionalFormatting>
  <conditionalFormatting sqref="C248">
    <cfRule type="duplicateValues" dxfId="584" priority="70" stopIfTrue="1"/>
  </conditionalFormatting>
  <conditionalFormatting sqref="C220">
    <cfRule type="duplicateValues" dxfId="583" priority="68" stopIfTrue="1"/>
    <cfRule type="duplicateValues" dxfId="582" priority="69" stopIfTrue="1"/>
  </conditionalFormatting>
  <conditionalFormatting sqref="C220">
    <cfRule type="duplicateValues" dxfId="581" priority="67" stopIfTrue="1"/>
  </conditionalFormatting>
  <conditionalFormatting sqref="C235">
    <cfRule type="duplicateValues" dxfId="580" priority="65" stopIfTrue="1"/>
    <cfRule type="duplicateValues" dxfId="579" priority="66" stopIfTrue="1"/>
  </conditionalFormatting>
  <conditionalFormatting sqref="C235">
    <cfRule type="duplicateValues" dxfId="578" priority="64" stopIfTrue="1"/>
  </conditionalFormatting>
  <conditionalFormatting sqref="C237">
    <cfRule type="duplicateValues" dxfId="577" priority="62" stopIfTrue="1"/>
    <cfRule type="duplicateValues" dxfId="576" priority="63" stopIfTrue="1"/>
  </conditionalFormatting>
  <conditionalFormatting sqref="C237">
    <cfRule type="duplicateValues" dxfId="575" priority="61" stopIfTrue="1"/>
  </conditionalFormatting>
  <conditionalFormatting sqref="C239">
    <cfRule type="duplicateValues" dxfId="574" priority="59" stopIfTrue="1"/>
    <cfRule type="duplicateValues" dxfId="573" priority="60" stopIfTrue="1"/>
  </conditionalFormatting>
  <conditionalFormatting sqref="C239">
    <cfRule type="duplicateValues" dxfId="572" priority="58" stopIfTrue="1"/>
  </conditionalFormatting>
  <conditionalFormatting sqref="C240">
    <cfRule type="duplicateValues" dxfId="571" priority="56" stopIfTrue="1"/>
    <cfRule type="duplicateValues" dxfId="570" priority="57" stopIfTrue="1"/>
  </conditionalFormatting>
  <conditionalFormatting sqref="C240">
    <cfRule type="duplicateValues" dxfId="569" priority="55" stopIfTrue="1"/>
  </conditionalFormatting>
  <conditionalFormatting sqref="C241">
    <cfRule type="duplicateValues" dxfId="568" priority="53" stopIfTrue="1"/>
    <cfRule type="duplicateValues" dxfId="567" priority="54" stopIfTrue="1"/>
  </conditionalFormatting>
  <conditionalFormatting sqref="C241">
    <cfRule type="duplicateValues" dxfId="566" priority="52" stopIfTrue="1"/>
  </conditionalFormatting>
  <conditionalFormatting sqref="C242">
    <cfRule type="duplicateValues" dxfId="565" priority="50" stopIfTrue="1"/>
    <cfRule type="duplicateValues" dxfId="564" priority="51" stopIfTrue="1"/>
  </conditionalFormatting>
  <conditionalFormatting sqref="C242">
    <cfRule type="duplicateValues" dxfId="563" priority="49" stopIfTrue="1"/>
  </conditionalFormatting>
  <conditionalFormatting sqref="C243">
    <cfRule type="duplicateValues" dxfId="562" priority="47" stopIfTrue="1"/>
    <cfRule type="duplicateValues" dxfId="561" priority="48" stopIfTrue="1"/>
  </conditionalFormatting>
  <conditionalFormatting sqref="C243">
    <cfRule type="duplicateValues" dxfId="560" priority="46" stopIfTrue="1"/>
  </conditionalFormatting>
  <conditionalFormatting sqref="C244">
    <cfRule type="duplicateValues" dxfId="559" priority="44" stopIfTrue="1"/>
    <cfRule type="duplicateValues" dxfId="558" priority="45" stopIfTrue="1"/>
  </conditionalFormatting>
  <conditionalFormatting sqref="C244">
    <cfRule type="duplicateValues" dxfId="557" priority="43" stopIfTrue="1"/>
  </conditionalFormatting>
  <conditionalFormatting sqref="C3">
    <cfRule type="duplicateValues" dxfId="556" priority="42"/>
  </conditionalFormatting>
  <conditionalFormatting sqref="C245">
    <cfRule type="duplicateValues" dxfId="555" priority="40" stopIfTrue="1"/>
    <cfRule type="duplicateValues" dxfId="554" priority="41" stopIfTrue="1"/>
  </conditionalFormatting>
  <conditionalFormatting sqref="C245">
    <cfRule type="duplicateValues" dxfId="553" priority="39" stopIfTrue="1"/>
  </conditionalFormatting>
  <conditionalFormatting sqref="C197">
    <cfRule type="duplicateValues" dxfId="552" priority="37" stopIfTrue="1"/>
    <cfRule type="duplicateValues" dxfId="551" priority="38" stopIfTrue="1"/>
  </conditionalFormatting>
  <conditionalFormatting sqref="C197">
    <cfRule type="duplicateValues" dxfId="550" priority="36" stopIfTrue="1"/>
  </conditionalFormatting>
  <conditionalFormatting sqref="C209">
    <cfRule type="duplicateValues" dxfId="549" priority="35"/>
  </conditionalFormatting>
  <conditionalFormatting sqref="C185">
    <cfRule type="duplicateValues" dxfId="548" priority="34"/>
  </conditionalFormatting>
  <conditionalFormatting sqref="C250 C359:C1048576 C228:C248 C1:C5 C197:C199 C193 C201 C205:C225 C260:C264 C254:C258 C184:C185">
    <cfRule type="duplicateValues" dxfId="547" priority="33"/>
  </conditionalFormatting>
  <conditionalFormatting sqref="C254:C258 C260:C264 C197:C199 C193 C201 C205:C225 C184:C185">
    <cfRule type="duplicateValues" dxfId="546" priority="32"/>
  </conditionalFormatting>
  <conditionalFormatting sqref="C231:C232 C199 C261:C263">
    <cfRule type="duplicateValues" dxfId="545" priority="30" stopIfTrue="1"/>
    <cfRule type="duplicateValues" dxfId="544" priority="31" stopIfTrue="1"/>
  </conditionalFormatting>
  <conditionalFormatting sqref="C231:C232 C199 C261:C263">
    <cfRule type="duplicateValues" dxfId="543" priority="29" stopIfTrue="1"/>
  </conditionalFormatting>
  <conditionalFormatting sqref="C231:C232 C261:C263 C199">
    <cfRule type="duplicateValues" dxfId="542" priority="27" stopIfTrue="1"/>
    <cfRule type="duplicateValues" dxfId="541" priority="28" stopIfTrue="1"/>
  </conditionalFormatting>
  <conditionalFormatting sqref="C231:C232 C261:C263 C199">
    <cfRule type="duplicateValues" dxfId="540" priority="26" stopIfTrue="1"/>
  </conditionalFormatting>
  <conditionalFormatting sqref="C184">
    <cfRule type="duplicateValues" dxfId="539" priority="24" stopIfTrue="1"/>
    <cfRule type="duplicateValues" dxfId="538" priority="25" stopIfTrue="1"/>
  </conditionalFormatting>
  <conditionalFormatting sqref="C184">
    <cfRule type="duplicateValues" dxfId="537" priority="23" stopIfTrue="1"/>
  </conditionalFormatting>
  <conditionalFormatting sqref="C264 C195 C207:C209 C205 C197:C199 C211:C225 C201:C203 C193 C185">
    <cfRule type="duplicateValues" dxfId="536" priority="21" stopIfTrue="1"/>
    <cfRule type="duplicateValues" dxfId="535" priority="22" stopIfTrue="1"/>
  </conditionalFormatting>
  <conditionalFormatting sqref="C264 C195 C207:C209 C205 C197:C199 C211:C225 C201:C203 C193 C185">
    <cfRule type="duplicateValues" dxfId="534" priority="20" stopIfTrue="1"/>
  </conditionalFormatting>
  <conditionalFormatting sqref="C195 C193 C184:C185">
    <cfRule type="duplicateValues" dxfId="533" priority="18" stopIfTrue="1"/>
    <cfRule type="duplicateValues" dxfId="532" priority="19" stopIfTrue="1"/>
  </conditionalFormatting>
  <conditionalFormatting sqref="C195 C193 C184:C185">
    <cfRule type="duplicateValues" dxfId="531" priority="17" stopIfTrue="1"/>
  </conditionalFormatting>
  <conditionalFormatting sqref="C195 C193 C185">
    <cfRule type="duplicateValues" dxfId="530" priority="15" stopIfTrue="1"/>
    <cfRule type="duplicateValues" dxfId="529" priority="16" stopIfTrue="1"/>
  </conditionalFormatting>
  <conditionalFormatting sqref="C195 C193 C185">
    <cfRule type="duplicateValues" dxfId="528" priority="14" stopIfTrue="1"/>
  </conditionalFormatting>
  <conditionalFormatting sqref="C260:C264 C211:C225 C207:C209 C205 C197:C199 C195 C201:C203 C193 C184:C185">
    <cfRule type="duplicateValues" dxfId="527" priority="12" stopIfTrue="1"/>
    <cfRule type="duplicateValues" dxfId="526" priority="13" stopIfTrue="1"/>
  </conditionalFormatting>
  <conditionalFormatting sqref="C260:C264 C211:C225 C207:C209 C205 C197:C199 C195 C201:C203 C193 C184:C185">
    <cfRule type="duplicateValues" dxfId="525" priority="11" stopIfTrue="1"/>
  </conditionalFormatting>
  <conditionalFormatting sqref="C185">
    <cfRule type="duplicateValues" dxfId="524" priority="9" stopIfTrue="1"/>
    <cfRule type="duplicateValues" dxfId="523" priority="10" stopIfTrue="1"/>
  </conditionalFormatting>
  <conditionalFormatting sqref="C193 C239:C244 C228:C229 C235:C237 C185">
    <cfRule type="duplicateValues" dxfId="522" priority="7" stopIfTrue="1"/>
    <cfRule type="duplicateValues" dxfId="521" priority="8" stopIfTrue="1"/>
  </conditionalFormatting>
  <conditionalFormatting sqref="C193 C239:C244 C228:C229 C235:C237 C185">
    <cfRule type="duplicateValues" dxfId="520" priority="6" stopIfTrue="1"/>
  </conditionalFormatting>
  <conditionalFormatting sqref="C193 C239:C244 C359:C1048576 C246:C248 C197:C199 C1:C2 C4:C5 C210:C223 C260:C264 C254:C258 C205:C208 C225 C235:C237 C228:C232 C185">
    <cfRule type="duplicateValues" dxfId="519" priority="5"/>
  </conditionalFormatting>
  <conditionalFormatting sqref="C193 C260:C264 C359:C1048576 C1:C5 C254:C258 C197:C199 C205:C208 C228:C232 C235:C237 C210:C223 C239:C248 C225 C185">
    <cfRule type="duplicateValues" dxfId="518" priority="4"/>
  </conditionalFormatting>
  <conditionalFormatting sqref="C173:C174 C176:C182 C167:C171">
    <cfRule type="duplicateValues" dxfId="517" priority="2" stopIfTrue="1"/>
    <cfRule type="duplicateValues" dxfId="516" priority="3" stopIfTrue="1"/>
  </conditionalFormatting>
  <conditionalFormatting sqref="C173:C174 C176:C182 C167:C171">
    <cfRule type="duplicateValues" dxfId="515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3:O264"/>
  <sheetViews>
    <sheetView topLeftCell="A105" workbookViewId="0">
      <selection activeCell="C139" sqref="C139"/>
    </sheetView>
  </sheetViews>
  <sheetFormatPr defaultRowHeight="15"/>
  <cols>
    <col min="1" max="1" width="5.5703125" style="44" customWidth="1"/>
    <col min="2" max="2" width="12" style="44" customWidth="1"/>
    <col min="3" max="3" width="39.42578125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957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7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96" t="s">
        <v>524</v>
      </c>
      <c r="C6" s="11" t="s">
        <v>525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203">
        <v>7479.78</v>
      </c>
      <c r="I6" s="159">
        <v>11</v>
      </c>
      <c r="J6" s="97">
        <f t="shared" ref="J6:J69" si="0">G6-I6</f>
        <v>39</v>
      </c>
      <c r="K6" s="91">
        <f t="shared" ref="K6:K14" si="1">I6*H6</f>
        <v>82277.58</v>
      </c>
      <c r="L6" s="94">
        <f t="shared" ref="L6:L37" si="2">F6-K6</f>
        <v>291711.42</v>
      </c>
      <c r="M6" s="11"/>
      <c r="N6" s="180" t="e">
        <f>#REF!-H6</f>
        <v>#REF!</v>
      </c>
    </row>
    <row r="7" spans="1:14" s="114" customFormat="1">
      <c r="A7" s="96">
        <v>2</v>
      </c>
      <c r="B7" s="11" t="s">
        <v>895</v>
      </c>
      <c r="C7" s="123" t="s">
        <v>918</v>
      </c>
      <c r="D7" s="19">
        <v>450000</v>
      </c>
      <c r="E7" s="19">
        <v>59985</v>
      </c>
      <c r="F7" s="19">
        <v>509985</v>
      </c>
      <c r="G7" s="159">
        <v>50</v>
      </c>
      <c r="H7" s="254">
        <v>10199.700000000001</v>
      </c>
      <c r="I7" s="159">
        <v>6</v>
      </c>
      <c r="J7" s="159">
        <f t="shared" si="0"/>
        <v>44</v>
      </c>
      <c r="K7" s="16">
        <f t="shared" si="1"/>
        <v>61198.200000000004</v>
      </c>
      <c r="L7" s="94">
        <f t="shared" si="2"/>
        <v>448786.8</v>
      </c>
      <c r="M7" s="11"/>
    </row>
    <row r="8" spans="1:14" s="114" customFormat="1">
      <c r="A8" s="96">
        <v>3</v>
      </c>
      <c r="B8" s="8" t="s">
        <v>606</v>
      </c>
      <c r="C8" s="123" t="s">
        <v>952</v>
      </c>
      <c r="D8" s="19">
        <v>150000</v>
      </c>
      <c r="E8" s="19">
        <v>19995</v>
      </c>
      <c r="F8" s="19">
        <f>SUM(D8:E8)</f>
        <v>169995</v>
      </c>
      <c r="G8" s="159">
        <v>50</v>
      </c>
      <c r="H8" s="254">
        <v>3399.9</v>
      </c>
      <c r="I8" s="159">
        <v>4</v>
      </c>
      <c r="J8" s="97">
        <f t="shared" si="0"/>
        <v>46</v>
      </c>
      <c r="K8" s="91">
        <f t="shared" si="1"/>
        <v>13599.6</v>
      </c>
      <c r="L8" s="94">
        <f t="shared" si="2"/>
        <v>156395.4</v>
      </c>
      <c r="M8" s="11"/>
    </row>
    <row r="9" spans="1:14" s="114" customFormat="1">
      <c r="A9" s="96">
        <v>4</v>
      </c>
      <c r="B9" s="11" t="s">
        <v>653</v>
      </c>
      <c r="C9" s="11" t="s">
        <v>654</v>
      </c>
      <c r="D9" s="19">
        <v>330000</v>
      </c>
      <c r="E9" s="19">
        <v>43989</v>
      </c>
      <c r="F9" s="19">
        <f>SUM(D9:E9)</f>
        <v>373989</v>
      </c>
      <c r="G9" s="159">
        <v>50</v>
      </c>
      <c r="H9" s="254">
        <v>7479.78</v>
      </c>
      <c r="I9" s="96">
        <v>29</v>
      </c>
      <c r="J9" s="97">
        <f t="shared" si="0"/>
        <v>21</v>
      </c>
      <c r="K9" s="91">
        <f t="shared" si="1"/>
        <v>216913.62</v>
      </c>
      <c r="L9" s="94">
        <f t="shared" si="2"/>
        <v>157075.38</v>
      </c>
      <c r="M9" s="11"/>
      <c r="N9" s="180" t="e">
        <f>#REF!-H9</f>
        <v>#REF!</v>
      </c>
    </row>
    <row r="10" spans="1:14" s="114" customFormat="1">
      <c r="A10" s="96">
        <v>5</v>
      </c>
      <c r="B10" s="96" t="s">
        <v>528</v>
      </c>
      <c r="C10" s="11" t="s">
        <v>529</v>
      </c>
      <c r="D10" s="12">
        <v>500000</v>
      </c>
      <c r="E10" s="12">
        <v>66650</v>
      </c>
      <c r="F10" s="15">
        <f>SUM(D10:E10)</f>
        <v>566650</v>
      </c>
      <c r="G10" s="14">
        <v>50</v>
      </c>
      <c r="H10" s="209">
        <v>11333</v>
      </c>
      <c r="I10" s="14">
        <v>42</v>
      </c>
      <c r="J10" s="97">
        <f t="shared" si="0"/>
        <v>8</v>
      </c>
      <c r="K10" s="91">
        <f t="shared" si="1"/>
        <v>475986</v>
      </c>
      <c r="L10" s="15">
        <f t="shared" si="2"/>
        <v>90664</v>
      </c>
      <c r="M10" s="8"/>
      <c r="N10" s="180" t="e">
        <f>#REF!-H10</f>
        <v>#REF!</v>
      </c>
    </row>
    <row r="11" spans="1:14" s="114" customFormat="1">
      <c r="A11" s="96">
        <v>6</v>
      </c>
      <c r="B11" s="96" t="s">
        <v>692</v>
      </c>
      <c r="C11" s="11" t="s">
        <v>693</v>
      </c>
      <c r="D11" s="16">
        <v>330000</v>
      </c>
      <c r="E11" s="16">
        <v>43989</v>
      </c>
      <c r="F11" s="41">
        <f>SUM(D11:E11)</f>
        <v>373989</v>
      </c>
      <c r="G11" s="159">
        <v>50</v>
      </c>
      <c r="H11" s="209">
        <v>7478.78</v>
      </c>
      <c r="I11" s="159">
        <v>46</v>
      </c>
      <c r="J11" s="96">
        <f t="shared" si="0"/>
        <v>4</v>
      </c>
      <c r="K11" s="16">
        <f t="shared" si="1"/>
        <v>344023.88</v>
      </c>
      <c r="L11" s="41">
        <f t="shared" si="2"/>
        <v>29965.119999999995</v>
      </c>
      <c r="M11" s="11"/>
      <c r="N11" s="180" t="e">
        <f>#REF!-H11</f>
        <v>#REF!</v>
      </c>
    </row>
    <row r="12" spans="1:14" s="114" customFormat="1">
      <c r="A12" s="96">
        <v>7</v>
      </c>
      <c r="B12" s="96" t="s">
        <v>640</v>
      </c>
      <c r="C12" s="11" t="s">
        <v>641</v>
      </c>
      <c r="D12" s="16">
        <v>500000</v>
      </c>
      <c r="E12" s="16">
        <v>66650</v>
      </c>
      <c r="F12" s="41">
        <f>SUM(D12:E12)</f>
        <v>566650</v>
      </c>
      <c r="G12" s="159">
        <v>50</v>
      </c>
      <c r="H12" s="209">
        <v>11333</v>
      </c>
      <c r="I12" s="96">
        <v>37</v>
      </c>
      <c r="J12" s="96">
        <f t="shared" si="0"/>
        <v>13</v>
      </c>
      <c r="K12" s="16">
        <f t="shared" si="1"/>
        <v>419321</v>
      </c>
      <c r="L12" s="41">
        <f t="shared" si="2"/>
        <v>147329</v>
      </c>
      <c r="M12" s="11"/>
      <c r="N12" s="180" t="e">
        <f>#REF!-H12</f>
        <v>#REF!</v>
      </c>
    </row>
    <row r="13" spans="1:14" s="114" customFormat="1">
      <c r="A13" s="96">
        <v>8</v>
      </c>
      <c r="B13" s="96" t="s">
        <v>709</v>
      </c>
      <c r="C13" s="11" t="s">
        <v>710</v>
      </c>
      <c r="D13" s="19">
        <v>500000</v>
      </c>
      <c r="E13" s="19">
        <v>66650</v>
      </c>
      <c r="F13" s="19">
        <v>566650</v>
      </c>
      <c r="G13" s="159">
        <v>50</v>
      </c>
      <c r="H13" s="209">
        <v>11333</v>
      </c>
      <c r="I13" s="96">
        <v>23</v>
      </c>
      <c r="J13" s="96">
        <f t="shared" si="0"/>
        <v>27</v>
      </c>
      <c r="K13" s="16">
        <f t="shared" si="1"/>
        <v>260659</v>
      </c>
      <c r="L13" s="16">
        <f t="shared" si="2"/>
        <v>305991</v>
      </c>
      <c r="M13" s="11"/>
      <c r="N13" s="180" t="e">
        <f>#REF!-H13</f>
        <v>#REF!</v>
      </c>
    </row>
    <row r="14" spans="1:14" s="114" customFormat="1">
      <c r="A14" s="96">
        <v>9</v>
      </c>
      <c r="B14" s="96" t="s">
        <v>696</v>
      </c>
      <c r="C14" s="11" t="s">
        <v>697</v>
      </c>
      <c r="D14" s="16">
        <v>500000</v>
      </c>
      <c r="E14" s="16">
        <v>66650</v>
      </c>
      <c r="F14" s="41">
        <f>SUM(D14:E14)</f>
        <v>566650</v>
      </c>
      <c r="G14" s="159">
        <v>50</v>
      </c>
      <c r="H14" s="209">
        <v>11333</v>
      </c>
      <c r="I14" s="96">
        <v>58</v>
      </c>
      <c r="J14" s="96">
        <f t="shared" si="0"/>
        <v>-8</v>
      </c>
      <c r="K14" s="16">
        <f t="shared" si="1"/>
        <v>657314</v>
      </c>
      <c r="L14" s="41">
        <f t="shared" si="2"/>
        <v>-90664</v>
      </c>
      <c r="M14" s="11"/>
      <c r="N14" s="180" t="e">
        <f>#REF!-H14</f>
        <v>#REF!</v>
      </c>
    </row>
    <row r="15" spans="1:14" s="114" customFormat="1">
      <c r="A15" s="96">
        <v>10</v>
      </c>
      <c r="B15" s="96" t="s">
        <v>574</v>
      </c>
      <c r="C15" s="11" t="s">
        <v>575</v>
      </c>
      <c r="D15" s="16">
        <v>330000</v>
      </c>
      <c r="E15" s="16">
        <v>43989</v>
      </c>
      <c r="F15" s="41">
        <f>SUM(D15:E15)</f>
        <v>373989</v>
      </c>
      <c r="G15" s="159">
        <v>50</v>
      </c>
      <c r="H15" s="203">
        <v>7479.78</v>
      </c>
      <c r="I15" s="159">
        <v>46</v>
      </c>
      <c r="J15" s="97">
        <f t="shared" si="0"/>
        <v>4</v>
      </c>
      <c r="K15" s="91">
        <f>(32*7479.78)</f>
        <v>239352.95999999999</v>
      </c>
      <c r="L15" s="94">
        <f t="shared" si="2"/>
        <v>134636.04</v>
      </c>
      <c r="M15" s="11"/>
      <c r="N15" s="180" t="e">
        <f>#REF!-H15</f>
        <v>#REF!</v>
      </c>
    </row>
    <row r="16" spans="1:14" s="114" customFormat="1">
      <c r="A16" s="96">
        <v>11</v>
      </c>
      <c r="B16" s="96" t="s">
        <v>721</v>
      </c>
      <c r="C16" s="11" t="s">
        <v>722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209">
        <v>11333</v>
      </c>
      <c r="I16" s="97">
        <v>58</v>
      </c>
      <c r="J16" s="97">
        <f t="shared" si="0"/>
        <v>-8</v>
      </c>
      <c r="K16" s="91">
        <f t="shared" ref="K16:K30" si="3">I16*H16</f>
        <v>657314</v>
      </c>
      <c r="L16" s="94">
        <f t="shared" si="2"/>
        <v>-90664</v>
      </c>
      <c r="M16" s="11"/>
      <c r="N16" s="180" t="e">
        <f>#REF!-H16</f>
        <v>#REF!</v>
      </c>
    </row>
    <row r="17" spans="1:14" s="114" customFormat="1">
      <c r="A17" s="96">
        <v>12</v>
      </c>
      <c r="B17" s="11" t="s">
        <v>945</v>
      </c>
      <c r="C17" s="123" t="s">
        <v>946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254">
        <v>11333</v>
      </c>
      <c r="I17" s="159">
        <v>6</v>
      </c>
      <c r="J17" s="159">
        <f t="shared" si="0"/>
        <v>44</v>
      </c>
      <c r="K17" s="16">
        <f t="shared" si="3"/>
        <v>67998</v>
      </c>
      <c r="L17" s="94">
        <f t="shared" si="2"/>
        <v>498652</v>
      </c>
      <c r="M17" s="11"/>
      <c r="N17" s="180" t="e">
        <f>#REF!-H17</f>
        <v>#REF!</v>
      </c>
    </row>
    <row r="18" spans="1:14" s="114" customFormat="1">
      <c r="A18" s="96">
        <v>13</v>
      </c>
      <c r="B18" s="126" t="s">
        <v>884</v>
      </c>
      <c r="C18" s="8" t="s">
        <v>906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12">
        <v>11333</v>
      </c>
      <c r="I18" s="159">
        <v>6</v>
      </c>
      <c r="J18" s="97">
        <f t="shared" si="0"/>
        <v>44</v>
      </c>
      <c r="K18" s="16">
        <f t="shared" si="3"/>
        <v>67998</v>
      </c>
      <c r="L18" s="94">
        <f t="shared" si="2"/>
        <v>498652</v>
      </c>
      <c r="M18" s="8"/>
    </row>
    <row r="19" spans="1:14" s="114" customFormat="1">
      <c r="A19" s="96">
        <v>14</v>
      </c>
      <c r="B19" s="96" t="s">
        <v>649</v>
      </c>
      <c r="C19" s="11" t="s">
        <v>650</v>
      </c>
      <c r="D19" s="16">
        <v>450000</v>
      </c>
      <c r="E19" s="16">
        <v>59985</v>
      </c>
      <c r="F19" s="16">
        <v>509985</v>
      </c>
      <c r="G19" s="159">
        <v>50</v>
      </c>
      <c r="H19" s="209">
        <v>10199.700000000001</v>
      </c>
      <c r="I19" s="97">
        <v>22</v>
      </c>
      <c r="J19" s="97">
        <f t="shared" si="0"/>
        <v>28</v>
      </c>
      <c r="K19" s="91">
        <f t="shared" si="3"/>
        <v>224393.40000000002</v>
      </c>
      <c r="L19" s="91">
        <f t="shared" si="2"/>
        <v>285591.59999999998</v>
      </c>
      <c r="M19" s="11"/>
      <c r="N19" s="180" t="e">
        <f>#REF!-H19</f>
        <v>#REF!</v>
      </c>
    </row>
    <row r="20" spans="1:14" s="114" customFormat="1">
      <c r="A20" s="96">
        <v>15</v>
      </c>
      <c r="B20" s="96" t="s">
        <v>617</v>
      </c>
      <c r="C20" s="11" t="s">
        <v>618</v>
      </c>
      <c r="D20" s="16">
        <v>450000</v>
      </c>
      <c r="E20" s="16">
        <v>59985</v>
      </c>
      <c r="F20" s="16">
        <v>509985</v>
      </c>
      <c r="G20" s="159">
        <v>50</v>
      </c>
      <c r="H20" s="209">
        <v>10199.700000000001</v>
      </c>
      <c r="I20" s="97">
        <v>37</v>
      </c>
      <c r="J20" s="97">
        <f t="shared" si="0"/>
        <v>13</v>
      </c>
      <c r="K20" s="91">
        <f t="shared" si="3"/>
        <v>377388.9</v>
      </c>
      <c r="L20" s="94">
        <f t="shared" si="2"/>
        <v>132596.09999999998</v>
      </c>
      <c r="M20" s="11"/>
      <c r="N20" s="180" t="e">
        <f>#REF!-H20</f>
        <v>#REF!</v>
      </c>
    </row>
    <row r="21" spans="1:14" s="114" customFormat="1">
      <c r="A21" s="96">
        <v>16</v>
      </c>
      <c r="B21" s="96" t="s">
        <v>505</v>
      </c>
      <c r="C21" s="11" t="s">
        <v>506</v>
      </c>
      <c r="D21" s="16">
        <v>500000</v>
      </c>
      <c r="E21" s="16">
        <v>66650</v>
      </c>
      <c r="F21" s="41">
        <f>SUM(D21:E21)</f>
        <v>566650</v>
      </c>
      <c r="G21" s="159">
        <v>50</v>
      </c>
      <c r="H21" s="209">
        <v>11333</v>
      </c>
      <c r="I21" s="97">
        <v>37</v>
      </c>
      <c r="J21" s="97">
        <f t="shared" si="0"/>
        <v>13</v>
      </c>
      <c r="K21" s="91">
        <f t="shared" si="3"/>
        <v>419321</v>
      </c>
      <c r="L21" s="94">
        <f t="shared" si="2"/>
        <v>147329</v>
      </c>
      <c r="M21" s="11"/>
      <c r="N21" s="180" t="e">
        <f>#REF!-H21</f>
        <v>#REF!</v>
      </c>
    </row>
    <row r="22" spans="1:14" s="114" customFormat="1">
      <c r="A22" s="96">
        <v>17</v>
      </c>
      <c r="B22" s="96" t="s">
        <v>659</v>
      </c>
      <c r="C22" s="11" t="s">
        <v>660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209">
        <v>11333</v>
      </c>
      <c r="I22" s="97">
        <v>47</v>
      </c>
      <c r="J22" s="97">
        <f t="shared" si="0"/>
        <v>3</v>
      </c>
      <c r="K22" s="91">
        <f t="shared" si="3"/>
        <v>532651</v>
      </c>
      <c r="L22" s="94">
        <f t="shared" si="2"/>
        <v>33999</v>
      </c>
      <c r="M22" s="11" t="s">
        <v>276</v>
      </c>
      <c r="N22" s="180" t="e">
        <f>#REF!-H22</f>
        <v>#REF!</v>
      </c>
    </row>
    <row r="23" spans="1:14" s="114" customFormat="1">
      <c r="A23" s="96">
        <v>18</v>
      </c>
      <c r="B23" s="96" t="s">
        <v>559</v>
      </c>
      <c r="C23" s="11" t="s">
        <v>560</v>
      </c>
      <c r="D23" s="16">
        <v>500000</v>
      </c>
      <c r="E23" s="16">
        <v>66650</v>
      </c>
      <c r="F23" s="16">
        <v>566650</v>
      </c>
      <c r="G23" s="159">
        <v>50</v>
      </c>
      <c r="H23" s="146">
        <v>11333</v>
      </c>
      <c r="I23" s="96">
        <v>11</v>
      </c>
      <c r="J23" s="97">
        <f t="shared" si="0"/>
        <v>39</v>
      </c>
      <c r="K23" s="91">
        <f t="shared" si="3"/>
        <v>124663</v>
      </c>
      <c r="L23" s="94">
        <f t="shared" si="2"/>
        <v>441987</v>
      </c>
      <c r="M23" s="123"/>
      <c r="N23" s="180" t="e">
        <f>#REF!-H23</f>
        <v>#REF!</v>
      </c>
    </row>
    <row r="24" spans="1:14" s="114" customFormat="1">
      <c r="A24" s="96">
        <v>19</v>
      </c>
      <c r="B24" s="96" t="s">
        <v>690</v>
      </c>
      <c r="C24" s="11" t="s">
        <v>691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209">
        <v>11333</v>
      </c>
      <c r="I24" s="159">
        <v>9</v>
      </c>
      <c r="J24" s="97">
        <f t="shared" si="0"/>
        <v>41</v>
      </c>
      <c r="K24" s="91">
        <f t="shared" si="3"/>
        <v>101997</v>
      </c>
      <c r="L24" s="94">
        <f t="shared" si="2"/>
        <v>464653</v>
      </c>
      <c r="M24" s="11"/>
      <c r="N24" s="180" t="e">
        <f>#REF!-H24</f>
        <v>#REF!</v>
      </c>
    </row>
    <row r="25" spans="1:14" s="114" customFormat="1">
      <c r="A25" s="96">
        <v>20</v>
      </c>
      <c r="B25" s="96" t="s">
        <v>581</v>
      </c>
      <c r="C25" s="11" t="s">
        <v>582</v>
      </c>
      <c r="D25" s="16">
        <v>330000</v>
      </c>
      <c r="E25" s="16">
        <v>43989</v>
      </c>
      <c r="F25" s="41">
        <f>SUM(D25:E25)</f>
        <v>373989</v>
      </c>
      <c r="G25" s="159">
        <v>50</v>
      </c>
      <c r="H25" s="209">
        <v>7479.78</v>
      </c>
      <c r="I25" s="97">
        <v>58</v>
      </c>
      <c r="J25" s="97">
        <f t="shared" si="0"/>
        <v>-8</v>
      </c>
      <c r="K25" s="91">
        <f t="shared" si="3"/>
        <v>433827.24</v>
      </c>
      <c r="L25" s="94">
        <f t="shared" si="2"/>
        <v>-59838.239999999991</v>
      </c>
      <c r="M25" s="11"/>
      <c r="N25" s="180" t="e">
        <f>#REF!-H25</f>
        <v>#REF!</v>
      </c>
    </row>
    <row r="26" spans="1:14" s="114" customFormat="1">
      <c r="A26" s="96">
        <v>21</v>
      </c>
      <c r="B26" s="96" t="s">
        <v>567</v>
      </c>
      <c r="C26" s="11" t="s">
        <v>568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209">
        <v>7479.78</v>
      </c>
      <c r="I26" s="97">
        <v>58</v>
      </c>
      <c r="J26" s="97">
        <f t="shared" si="0"/>
        <v>-8</v>
      </c>
      <c r="K26" s="91">
        <f t="shared" si="3"/>
        <v>433827.24</v>
      </c>
      <c r="L26" s="94">
        <f t="shared" si="2"/>
        <v>-59838.239999999991</v>
      </c>
      <c r="M26" s="11"/>
      <c r="N26" s="180" t="e">
        <f>#REF!-H26</f>
        <v>#REF!</v>
      </c>
    </row>
    <row r="27" spans="1:14" s="114" customFormat="1">
      <c r="A27" s="96">
        <v>22</v>
      </c>
      <c r="B27" s="126" t="s">
        <v>939</v>
      </c>
      <c r="C27" s="8" t="s">
        <v>940</v>
      </c>
      <c r="D27" s="19">
        <v>330000</v>
      </c>
      <c r="E27" s="19">
        <v>43989</v>
      </c>
      <c r="F27" s="19">
        <f>SUM(D27:E27)</f>
        <v>373989</v>
      </c>
      <c r="G27" s="159">
        <v>50</v>
      </c>
      <c r="H27" s="12">
        <v>7479.78</v>
      </c>
      <c r="I27" s="159">
        <v>3</v>
      </c>
      <c r="J27" s="159">
        <f t="shared" si="0"/>
        <v>47</v>
      </c>
      <c r="K27" s="16">
        <f t="shared" si="3"/>
        <v>22439.34</v>
      </c>
      <c r="L27" s="94">
        <f t="shared" si="2"/>
        <v>351549.66</v>
      </c>
      <c r="M27" s="8"/>
    </row>
    <row r="28" spans="1:14" s="114" customFormat="1">
      <c r="A28" s="96">
        <v>23</v>
      </c>
      <c r="B28" s="96" t="s">
        <v>726</v>
      </c>
      <c r="C28" s="11" t="s">
        <v>727</v>
      </c>
      <c r="D28" s="19">
        <v>500000</v>
      </c>
      <c r="E28" s="19">
        <v>66650</v>
      </c>
      <c r="F28" s="19">
        <v>566650</v>
      </c>
      <c r="G28" s="159">
        <v>50</v>
      </c>
      <c r="H28" s="209">
        <v>11333</v>
      </c>
      <c r="I28" s="97">
        <v>23</v>
      </c>
      <c r="J28" s="97">
        <f t="shared" si="0"/>
        <v>27</v>
      </c>
      <c r="K28" s="91">
        <f t="shared" si="3"/>
        <v>260659</v>
      </c>
      <c r="L28" s="91">
        <f t="shared" si="2"/>
        <v>305991</v>
      </c>
      <c r="M28" s="11"/>
      <c r="N28" s="180" t="e">
        <f>#REF!-H28</f>
        <v>#REF!</v>
      </c>
    </row>
    <row r="29" spans="1:14" s="114" customFormat="1">
      <c r="A29" s="96">
        <v>24</v>
      </c>
      <c r="B29" s="96" t="s">
        <v>680</v>
      </c>
      <c r="C29" s="11" t="s">
        <v>681</v>
      </c>
      <c r="D29" s="19">
        <v>500000</v>
      </c>
      <c r="E29" s="19">
        <v>66650</v>
      </c>
      <c r="F29" s="19">
        <v>566650</v>
      </c>
      <c r="G29" s="159">
        <v>50</v>
      </c>
      <c r="H29" s="209">
        <v>11333</v>
      </c>
      <c r="I29" s="97">
        <v>23</v>
      </c>
      <c r="J29" s="97">
        <f t="shared" si="0"/>
        <v>27</v>
      </c>
      <c r="K29" s="91">
        <f t="shared" si="3"/>
        <v>260659</v>
      </c>
      <c r="L29" s="91">
        <f t="shared" si="2"/>
        <v>305991</v>
      </c>
      <c r="M29" s="11"/>
      <c r="N29" s="180" t="e">
        <f>#REF!-H29</f>
        <v>#REF!</v>
      </c>
    </row>
    <row r="30" spans="1:14" s="114" customFormat="1">
      <c r="A30" s="96">
        <v>25</v>
      </c>
      <c r="B30" s="96" t="s">
        <v>576</v>
      </c>
      <c r="C30" s="11" t="s">
        <v>927</v>
      </c>
      <c r="D30" s="16">
        <v>60000</v>
      </c>
      <c r="E30" s="16">
        <v>7998</v>
      </c>
      <c r="F30" s="41">
        <f t="shared" ref="F30:F35" si="4">SUM(D30:E30)</f>
        <v>67998</v>
      </c>
      <c r="G30" s="159">
        <v>40</v>
      </c>
      <c r="H30" s="209">
        <v>1699.95</v>
      </c>
      <c r="I30" s="97">
        <v>12</v>
      </c>
      <c r="J30" s="97">
        <f t="shared" si="0"/>
        <v>28</v>
      </c>
      <c r="K30" s="91">
        <f t="shared" si="3"/>
        <v>20399.400000000001</v>
      </c>
      <c r="L30" s="94">
        <f t="shared" si="2"/>
        <v>47598.6</v>
      </c>
      <c r="M30" s="11"/>
      <c r="N30" s="180" t="e">
        <f>#REF!-H30</f>
        <v>#REF!</v>
      </c>
    </row>
    <row r="31" spans="1:14" s="114" customFormat="1">
      <c r="A31" s="96">
        <v>26</v>
      </c>
      <c r="B31" s="96" t="s">
        <v>949</v>
      </c>
      <c r="C31" s="11" t="s">
        <v>950</v>
      </c>
      <c r="D31" s="16">
        <v>500000</v>
      </c>
      <c r="E31" s="16">
        <v>66650</v>
      </c>
      <c r="F31" s="41">
        <f t="shared" si="4"/>
        <v>566650</v>
      </c>
      <c r="G31" s="159">
        <v>50</v>
      </c>
      <c r="H31" s="209">
        <v>11333</v>
      </c>
      <c r="I31" s="97">
        <v>36</v>
      </c>
      <c r="J31" s="97">
        <f t="shared" si="0"/>
        <v>14</v>
      </c>
      <c r="K31" s="91">
        <f>I31*H31</f>
        <v>407988</v>
      </c>
      <c r="L31" s="94">
        <f t="shared" si="2"/>
        <v>158662</v>
      </c>
      <c r="M31" s="11"/>
      <c r="N31" s="180" t="e">
        <f>#REF!-H31</f>
        <v>#REF!</v>
      </c>
    </row>
    <row r="32" spans="1:14" s="114" customFormat="1">
      <c r="A32" s="96">
        <v>27</v>
      </c>
      <c r="B32" s="96" t="s">
        <v>588</v>
      </c>
      <c r="C32" s="11" t="s">
        <v>589</v>
      </c>
      <c r="D32" s="16">
        <v>500000</v>
      </c>
      <c r="E32" s="16">
        <v>66650</v>
      </c>
      <c r="F32" s="41">
        <f t="shared" si="4"/>
        <v>566650</v>
      </c>
      <c r="G32" s="159">
        <v>50</v>
      </c>
      <c r="H32" s="209">
        <v>11333</v>
      </c>
      <c r="I32" s="97">
        <v>46</v>
      </c>
      <c r="J32" s="97">
        <f t="shared" si="0"/>
        <v>4</v>
      </c>
      <c r="K32" s="91">
        <f>I32*H32</f>
        <v>521318</v>
      </c>
      <c r="L32" s="94">
        <f t="shared" si="2"/>
        <v>45332</v>
      </c>
      <c r="M32" s="11"/>
      <c r="N32" s="180" t="e">
        <f>#REF!-H32</f>
        <v>#REF!</v>
      </c>
    </row>
    <row r="33" spans="1:14" s="114" customFormat="1">
      <c r="A33" s="96">
        <v>28</v>
      </c>
      <c r="B33" s="96" t="s">
        <v>532</v>
      </c>
      <c r="C33" s="11" t="s">
        <v>533</v>
      </c>
      <c r="D33" s="16">
        <v>500000</v>
      </c>
      <c r="E33" s="16">
        <v>66650</v>
      </c>
      <c r="F33" s="41">
        <f t="shared" si="4"/>
        <v>566650</v>
      </c>
      <c r="G33" s="159">
        <v>50</v>
      </c>
      <c r="H33" s="209">
        <v>11333</v>
      </c>
      <c r="I33" s="97">
        <v>46</v>
      </c>
      <c r="J33" s="97">
        <f t="shared" si="0"/>
        <v>4</v>
      </c>
      <c r="K33" s="91">
        <f>I33*H33</f>
        <v>521318</v>
      </c>
      <c r="L33" s="94">
        <f t="shared" si="2"/>
        <v>45332</v>
      </c>
      <c r="M33" s="11"/>
    </row>
    <row r="34" spans="1:14" s="114" customFormat="1">
      <c r="A34" s="96">
        <v>29</v>
      </c>
      <c r="B34" s="96" t="s">
        <v>633</v>
      </c>
      <c r="C34" s="11" t="s">
        <v>634</v>
      </c>
      <c r="D34" s="19">
        <v>150000</v>
      </c>
      <c r="E34" s="19">
        <v>19995</v>
      </c>
      <c r="F34" s="19">
        <f t="shared" si="4"/>
        <v>169995</v>
      </c>
      <c r="G34" s="159">
        <v>50</v>
      </c>
      <c r="H34" s="252">
        <v>3399.9</v>
      </c>
      <c r="I34" s="101">
        <v>11</v>
      </c>
      <c r="J34" s="97">
        <f t="shared" si="0"/>
        <v>39</v>
      </c>
      <c r="K34" s="91">
        <f>I34*H34</f>
        <v>37398.9</v>
      </c>
      <c r="L34" s="94">
        <f t="shared" si="2"/>
        <v>132596.1</v>
      </c>
      <c r="M34" s="8"/>
    </row>
    <row r="35" spans="1:14" s="114" customFormat="1">
      <c r="A35" s="96">
        <v>30</v>
      </c>
      <c r="B35" s="126" t="s">
        <v>947</v>
      </c>
      <c r="C35" s="8" t="s">
        <v>948</v>
      </c>
      <c r="D35" s="16">
        <v>500000</v>
      </c>
      <c r="E35" s="16">
        <v>66650</v>
      </c>
      <c r="F35" s="41">
        <f t="shared" si="4"/>
        <v>566650</v>
      </c>
      <c r="G35" s="159">
        <v>50</v>
      </c>
      <c r="H35" s="12">
        <v>11333</v>
      </c>
      <c r="I35" s="159">
        <v>3</v>
      </c>
      <c r="J35" s="159">
        <f t="shared" si="0"/>
        <v>47</v>
      </c>
      <c r="K35" s="16">
        <f>I35*H35</f>
        <v>33999</v>
      </c>
      <c r="L35" s="94">
        <f t="shared" si="2"/>
        <v>532651</v>
      </c>
      <c r="M35" s="8"/>
    </row>
    <row r="36" spans="1:14" s="114" customFormat="1">
      <c r="A36" s="96">
        <v>31</v>
      </c>
      <c r="B36" s="96" t="s">
        <v>534</v>
      </c>
      <c r="C36" s="11" t="s">
        <v>535</v>
      </c>
      <c r="D36" s="16">
        <v>450000</v>
      </c>
      <c r="E36" s="16">
        <v>59985</v>
      </c>
      <c r="F36" s="16">
        <v>509985</v>
      </c>
      <c r="G36" s="159">
        <v>50</v>
      </c>
      <c r="H36" s="209">
        <v>10199.700000000001</v>
      </c>
      <c r="I36" s="97">
        <v>15</v>
      </c>
      <c r="J36" s="97">
        <f t="shared" si="0"/>
        <v>35</v>
      </c>
      <c r="K36" s="91">
        <f>(1*10199.7)</f>
        <v>10199.700000000001</v>
      </c>
      <c r="L36" s="94">
        <f t="shared" si="2"/>
        <v>499785.3</v>
      </c>
      <c r="M36" s="11"/>
      <c r="N36" s="180" t="e">
        <f>#REF!-H36</f>
        <v>#REF!</v>
      </c>
    </row>
    <row r="37" spans="1:14" s="114" customFormat="1">
      <c r="A37" s="96">
        <v>32</v>
      </c>
      <c r="B37" s="96" t="s">
        <v>499</v>
      </c>
      <c r="C37" s="11" t="s">
        <v>500</v>
      </c>
      <c r="D37" s="16">
        <v>450000</v>
      </c>
      <c r="E37" s="16">
        <v>59985</v>
      </c>
      <c r="F37" s="41">
        <f>SUM(D37:E37)</f>
        <v>509985</v>
      </c>
      <c r="G37" s="159">
        <v>50</v>
      </c>
      <c r="H37" s="209">
        <v>11333</v>
      </c>
      <c r="I37" s="97">
        <v>26</v>
      </c>
      <c r="J37" s="97">
        <f t="shared" si="0"/>
        <v>24</v>
      </c>
      <c r="K37" s="91">
        <f t="shared" ref="K37:K100" si="5">I37*H37</f>
        <v>294658</v>
      </c>
      <c r="L37" s="94">
        <f t="shared" si="2"/>
        <v>215327</v>
      </c>
      <c r="M37" s="11"/>
      <c r="N37" s="180" t="e">
        <f>#REF!-H37</f>
        <v>#REF!</v>
      </c>
    </row>
    <row r="38" spans="1:14" s="114" customFormat="1">
      <c r="A38" s="96">
        <v>33</v>
      </c>
      <c r="B38" s="96" t="s">
        <v>572</v>
      </c>
      <c r="C38" s="11" t="s">
        <v>573</v>
      </c>
      <c r="D38" s="12">
        <v>150000</v>
      </c>
      <c r="E38" s="12">
        <v>19995</v>
      </c>
      <c r="F38" s="15">
        <f>SUM(D38:E38)</f>
        <v>169995</v>
      </c>
      <c r="G38" s="14">
        <v>50</v>
      </c>
      <c r="H38" s="209">
        <v>3399.9</v>
      </c>
      <c r="I38" s="14">
        <v>42</v>
      </c>
      <c r="J38" s="97">
        <f t="shared" si="0"/>
        <v>8</v>
      </c>
      <c r="K38" s="91">
        <f t="shared" si="5"/>
        <v>142795.80000000002</v>
      </c>
      <c r="L38" s="15">
        <f t="shared" ref="L38:L69" si="6">F38-K38</f>
        <v>27199.199999999983</v>
      </c>
      <c r="M38" s="8"/>
      <c r="N38" s="180" t="e">
        <f>#REF!-H38</f>
        <v>#REF!</v>
      </c>
    </row>
    <row r="39" spans="1:14" s="114" customFormat="1">
      <c r="A39" s="96">
        <v>34</v>
      </c>
      <c r="B39" s="96" t="s">
        <v>626</v>
      </c>
      <c r="C39" s="11" t="s">
        <v>627</v>
      </c>
      <c r="D39" s="16">
        <v>330000</v>
      </c>
      <c r="E39" s="16">
        <v>43989</v>
      </c>
      <c r="F39" s="41">
        <f>SUM(D39:E39)</f>
        <v>373989</v>
      </c>
      <c r="G39" s="159">
        <v>50</v>
      </c>
      <c r="H39" s="209">
        <v>7479.78</v>
      </c>
      <c r="I39" s="97">
        <v>37</v>
      </c>
      <c r="J39" s="97">
        <f t="shared" si="0"/>
        <v>13</v>
      </c>
      <c r="K39" s="91">
        <f t="shared" si="5"/>
        <v>276751.86</v>
      </c>
      <c r="L39" s="94">
        <f t="shared" si="6"/>
        <v>97237.140000000014</v>
      </c>
      <c r="M39" s="11"/>
      <c r="N39" s="180" t="e">
        <f>#REF!-H39</f>
        <v>#REF!</v>
      </c>
    </row>
    <row r="40" spans="1:14" s="114" customFormat="1">
      <c r="A40" s="96">
        <v>35</v>
      </c>
      <c r="B40" s="96" t="s">
        <v>730</v>
      </c>
      <c r="C40" s="11" t="s">
        <v>731</v>
      </c>
      <c r="D40" s="16">
        <v>500000</v>
      </c>
      <c r="E40" s="16">
        <v>66650</v>
      </c>
      <c r="F40" s="41">
        <f>SUM(D40:E40)</f>
        <v>566650</v>
      </c>
      <c r="G40" s="159">
        <v>50</v>
      </c>
      <c r="H40" s="209">
        <v>11333</v>
      </c>
      <c r="I40" s="159">
        <v>13</v>
      </c>
      <c r="J40" s="159">
        <f t="shared" si="0"/>
        <v>37</v>
      </c>
      <c r="K40" s="91">
        <f t="shared" si="5"/>
        <v>147329</v>
      </c>
      <c r="L40" s="94">
        <f t="shared" si="6"/>
        <v>419321</v>
      </c>
      <c r="M40" s="11"/>
      <c r="N40" s="180" t="e">
        <f>#REF!-H40</f>
        <v>#REF!</v>
      </c>
    </row>
    <row r="41" spans="1:14" s="114" customFormat="1">
      <c r="A41" s="96">
        <v>36</v>
      </c>
      <c r="B41" s="123" t="s">
        <v>623</v>
      </c>
      <c r="C41" s="123" t="s">
        <v>954</v>
      </c>
      <c r="D41" s="19">
        <v>450000</v>
      </c>
      <c r="E41" s="19">
        <v>59985</v>
      </c>
      <c r="F41" s="19">
        <v>509985</v>
      </c>
      <c r="G41" s="159">
        <v>50</v>
      </c>
      <c r="H41" s="254">
        <v>10199.700000000001</v>
      </c>
      <c r="I41" s="159">
        <v>3</v>
      </c>
      <c r="J41" s="97">
        <f t="shared" si="0"/>
        <v>47</v>
      </c>
      <c r="K41" s="91">
        <f t="shared" si="5"/>
        <v>30599.100000000002</v>
      </c>
      <c r="L41" s="94">
        <f t="shared" si="6"/>
        <v>479385.9</v>
      </c>
      <c r="M41" s="11"/>
    </row>
    <row r="42" spans="1:14" s="114" customFormat="1">
      <c r="A42" s="96">
        <v>37</v>
      </c>
      <c r="B42" s="96" t="s">
        <v>526</v>
      </c>
      <c r="C42" s="11" t="s">
        <v>527</v>
      </c>
      <c r="D42" s="16">
        <v>330000</v>
      </c>
      <c r="E42" s="16">
        <v>43989</v>
      </c>
      <c r="F42" s="41">
        <f t="shared" ref="F42:F48" si="7">SUM(D42:E42)</f>
        <v>373989</v>
      </c>
      <c r="G42" s="159">
        <v>50</v>
      </c>
      <c r="H42" s="203">
        <v>7479.78</v>
      </c>
      <c r="I42" s="97">
        <v>37</v>
      </c>
      <c r="J42" s="97">
        <f t="shared" si="0"/>
        <v>13</v>
      </c>
      <c r="K42" s="91">
        <f t="shared" si="5"/>
        <v>276751.86</v>
      </c>
      <c r="L42" s="94">
        <f t="shared" si="6"/>
        <v>97237.140000000014</v>
      </c>
      <c r="M42" s="11"/>
      <c r="N42" s="180" t="e">
        <f>#REF!-H42</f>
        <v>#REF!</v>
      </c>
    </row>
    <row r="43" spans="1:14" s="114" customFormat="1">
      <c r="A43" s="96">
        <v>38</v>
      </c>
      <c r="B43" s="96" t="s">
        <v>609</v>
      </c>
      <c r="C43" s="11" t="s">
        <v>610</v>
      </c>
      <c r="D43" s="16">
        <v>500000</v>
      </c>
      <c r="E43" s="16">
        <v>66650</v>
      </c>
      <c r="F43" s="41">
        <f t="shared" si="7"/>
        <v>566650</v>
      </c>
      <c r="G43" s="159">
        <v>50</v>
      </c>
      <c r="H43" s="209">
        <v>11333</v>
      </c>
      <c r="I43" s="97">
        <v>36</v>
      </c>
      <c r="J43" s="97">
        <f t="shared" si="0"/>
        <v>14</v>
      </c>
      <c r="K43" s="91">
        <f t="shared" si="5"/>
        <v>407988</v>
      </c>
      <c r="L43" s="94">
        <f t="shared" si="6"/>
        <v>158662</v>
      </c>
      <c r="M43" s="11"/>
      <c r="N43" s="180" t="e">
        <f>#REF!-H43</f>
        <v>#REF!</v>
      </c>
    </row>
    <row r="44" spans="1:14" s="114" customFormat="1">
      <c r="A44" s="96">
        <v>39</v>
      </c>
      <c r="B44" s="96" t="s">
        <v>682</v>
      </c>
      <c r="C44" s="11" t="s">
        <v>683</v>
      </c>
      <c r="D44" s="16">
        <v>500000</v>
      </c>
      <c r="E44" s="16">
        <v>66650</v>
      </c>
      <c r="F44" s="41">
        <f t="shared" si="7"/>
        <v>566650</v>
      </c>
      <c r="G44" s="159">
        <v>50</v>
      </c>
      <c r="H44" s="209">
        <v>11333</v>
      </c>
      <c r="I44" s="97">
        <v>37</v>
      </c>
      <c r="J44" s="97">
        <f t="shared" si="0"/>
        <v>13</v>
      </c>
      <c r="K44" s="91">
        <f t="shared" si="5"/>
        <v>419321</v>
      </c>
      <c r="L44" s="94">
        <f t="shared" si="6"/>
        <v>147329</v>
      </c>
      <c r="M44" s="11"/>
      <c r="N44" s="180" t="e">
        <f>#REF!-H44</f>
        <v>#REF!</v>
      </c>
    </row>
    <row r="45" spans="1:14" s="114" customFormat="1">
      <c r="A45" s="96">
        <v>40</v>
      </c>
      <c r="B45" s="96" t="s">
        <v>542</v>
      </c>
      <c r="C45" s="11" t="s">
        <v>543</v>
      </c>
      <c r="D45" s="16">
        <v>500000</v>
      </c>
      <c r="E45" s="16">
        <v>66650</v>
      </c>
      <c r="F45" s="41">
        <f t="shared" si="7"/>
        <v>566650</v>
      </c>
      <c r="G45" s="159">
        <v>50</v>
      </c>
      <c r="H45" s="209">
        <v>11333</v>
      </c>
      <c r="I45" s="97">
        <v>36</v>
      </c>
      <c r="J45" s="97">
        <f t="shared" si="0"/>
        <v>14</v>
      </c>
      <c r="K45" s="91">
        <f t="shared" si="5"/>
        <v>407988</v>
      </c>
      <c r="L45" s="94">
        <f t="shared" si="6"/>
        <v>158662</v>
      </c>
      <c r="M45" s="11"/>
      <c r="N45" s="180" t="e">
        <f>#REF!-H45</f>
        <v>#REF!</v>
      </c>
    </row>
    <row r="46" spans="1:14" s="114" customFormat="1">
      <c r="A46" s="96">
        <v>41</v>
      </c>
      <c r="B46" s="96" t="s">
        <v>657</v>
      </c>
      <c r="C46" s="11" t="s">
        <v>658</v>
      </c>
      <c r="D46" s="12">
        <v>500000</v>
      </c>
      <c r="E46" s="12">
        <v>66650</v>
      </c>
      <c r="F46" s="15">
        <f t="shared" si="7"/>
        <v>566650</v>
      </c>
      <c r="G46" s="14">
        <v>50</v>
      </c>
      <c r="H46" s="203">
        <v>11333</v>
      </c>
      <c r="I46" s="14">
        <v>42</v>
      </c>
      <c r="J46" s="97">
        <f t="shared" si="0"/>
        <v>8</v>
      </c>
      <c r="K46" s="91">
        <f t="shared" si="5"/>
        <v>475986</v>
      </c>
      <c r="L46" s="15">
        <f t="shared" si="6"/>
        <v>90664</v>
      </c>
      <c r="M46" s="8"/>
      <c r="N46" s="180" t="e">
        <f>#REF!-H46</f>
        <v>#REF!</v>
      </c>
    </row>
    <row r="47" spans="1:14" s="114" customFormat="1">
      <c r="A47" s="96">
        <v>42</v>
      </c>
      <c r="B47" s="11" t="s">
        <v>900</v>
      </c>
      <c r="C47" s="123" t="s">
        <v>923</v>
      </c>
      <c r="D47" s="19">
        <v>330000</v>
      </c>
      <c r="E47" s="19">
        <v>43989</v>
      </c>
      <c r="F47" s="19">
        <f t="shared" si="7"/>
        <v>373989</v>
      </c>
      <c r="G47" s="159">
        <v>50</v>
      </c>
      <c r="H47" s="254">
        <v>7479.78</v>
      </c>
      <c r="I47" s="159">
        <v>6</v>
      </c>
      <c r="J47" s="159">
        <f t="shared" si="0"/>
        <v>44</v>
      </c>
      <c r="K47" s="16">
        <f t="shared" si="5"/>
        <v>44878.68</v>
      </c>
      <c r="L47" s="94">
        <f t="shared" si="6"/>
        <v>329110.32</v>
      </c>
      <c r="M47" s="11"/>
      <c r="N47" s="180" t="e">
        <f>#REF!-H47</f>
        <v>#REF!</v>
      </c>
    </row>
    <row r="48" spans="1:14" s="114" customFormat="1">
      <c r="A48" s="96">
        <v>43</v>
      </c>
      <c r="B48" s="96" t="s">
        <v>694</v>
      </c>
      <c r="C48" s="11" t="s">
        <v>695</v>
      </c>
      <c r="D48" s="16">
        <v>330000</v>
      </c>
      <c r="E48" s="16">
        <v>43989</v>
      </c>
      <c r="F48" s="41">
        <f t="shared" si="7"/>
        <v>373989</v>
      </c>
      <c r="G48" s="159">
        <v>50</v>
      </c>
      <c r="H48" s="209">
        <v>7479.78</v>
      </c>
      <c r="I48" s="97">
        <v>58</v>
      </c>
      <c r="J48" s="97">
        <f t="shared" si="0"/>
        <v>-8</v>
      </c>
      <c r="K48" s="91">
        <f t="shared" si="5"/>
        <v>433827.24</v>
      </c>
      <c r="L48" s="94">
        <f t="shared" si="6"/>
        <v>-59838.239999999991</v>
      </c>
      <c r="M48" s="11"/>
      <c r="N48" s="180" t="e">
        <f>#REF!-H48</f>
        <v>#REF!</v>
      </c>
    </row>
    <row r="49" spans="1:14" s="114" customFormat="1">
      <c r="A49" s="96">
        <v>44</v>
      </c>
      <c r="B49" s="11" t="s">
        <v>893</v>
      </c>
      <c r="C49" s="123" t="s">
        <v>915</v>
      </c>
      <c r="D49" s="19">
        <v>450000</v>
      </c>
      <c r="E49" s="19">
        <v>59985</v>
      </c>
      <c r="F49" s="19">
        <v>509985</v>
      </c>
      <c r="G49" s="159">
        <v>50</v>
      </c>
      <c r="H49" s="254">
        <v>10199.700000000001</v>
      </c>
      <c r="I49" s="159">
        <v>6</v>
      </c>
      <c r="J49" s="159">
        <f t="shared" si="0"/>
        <v>44</v>
      </c>
      <c r="K49" s="16">
        <f t="shared" si="5"/>
        <v>61198.200000000004</v>
      </c>
      <c r="L49" s="94">
        <f t="shared" si="6"/>
        <v>448786.8</v>
      </c>
      <c r="M49" s="11"/>
      <c r="N49" s="180" t="e">
        <f>#REF!-H49</f>
        <v>#REF!</v>
      </c>
    </row>
    <row r="50" spans="1:14" s="114" customFormat="1">
      <c r="A50" s="96">
        <v>45</v>
      </c>
      <c r="B50" s="96" t="s">
        <v>520</v>
      </c>
      <c r="C50" s="11" t="s">
        <v>521</v>
      </c>
      <c r="D50" s="19">
        <v>450000</v>
      </c>
      <c r="E50" s="19">
        <v>59985</v>
      </c>
      <c r="F50" s="19">
        <v>509985</v>
      </c>
      <c r="G50" s="159">
        <v>50</v>
      </c>
      <c r="H50" s="161">
        <v>10199.700000000001</v>
      </c>
      <c r="I50" s="97">
        <v>48</v>
      </c>
      <c r="J50" s="97">
        <f t="shared" si="0"/>
        <v>2</v>
      </c>
      <c r="K50" s="91">
        <f t="shared" si="5"/>
        <v>489585.60000000003</v>
      </c>
      <c r="L50" s="94">
        <f t="shared" si="6"/>
        <v>20399.399999999965</v>
      </c>
      <c r="M50" s="11"/>
      <c r="N50" s="180" t="e">
        <f>#REF!-H50</f>
        <v>#REF!</v>
      </c>
    </row>
    <row r="51" spans="1:14" s="114" customFormat="1">
      <c r="A51" s="96">
        <v>46</v>
      </c>
      <c r="B51" s="96" t="s">
        <v>715</v>
      </c>
      <c r="C51" s="11" t="s">
        <v>716</v>
      </c>
      <c r="D51" s="19">
        <v>450000</v>
      </c>
      <c r="E51" s="19">
        <v>59985</v>
      </c>
      <c r="F51" s="19">
        <v>509985</v>
      </c>
      <c r="G51" s="159">
        <v>50</v>
      </c>
      <c r="H51" s="209">
        <v>10199.700000000001</v>
      </c>
      <c r="I51" s="101">
        <v>11</v>
      </c>
      <c r="J51" s="97">
        <f t="shared" si="0"/>
        <v>39</v>
      </c>
      <c r="K51" s="91">
        <f t="shared" si="5"/>
        <v>112196.70000000001</v>
      </c>
      <c r="L51" s="94">
        <f t="shared" si="6"/>
        <v>397788.3</v>
      </c>
      <c r="M51" s="8"/>
    </row>
    <row r="52" spans="1:14" s="114" customFormat="1">
      <c r="A52" s="96">
        <v>47</v>
      </c>
      <c r="B52" s="96" t="s">
        <v>700</v>
      </c>
      <c r="C52" s="11" t="s">
        <v>701</v>
      </c>
      <c r="D52" s="16">
        <v>500000</v>
      </c>
      <c r="E52" s="16">
        <v>66650</v>
      </c>
      <c r="F52" s="41">
        <f>SUM(D52:E52)</f>
        <v>566650</v>
      </c>
      <c r="G52" s="159">
        <v>50</v>
      </c>
      <c r="H52" s="209">
        <v>11333</v>
      </c>
      <c r="I52" s="97">
        <v>58</v>
      </c>
      <c r="J52" s="97">
        <f t="shared" si="0"/>
        <v>-8</v>
      </c>
      <c r="K52" s="91">
        <f t="shared" si="5"/>
        <v>657314</v>
      </c>
      <c r="L52" s="94">
        <f t="shared" si="6"/>
        <v>-90664</v>
      </c>
      <c r="M52" s="11"/>
      <c r="N52" s="180" t="e">
        <f>#REF!-H52</f>
        <v>#REF!</v>
      </c>
    </row>
    <row r="53" spans="1:14" s="114" customFormat="1">
      <c r="A53" s="96">
        <v>48</v>
      </c>
      <c r="B53" s="96" t="s">
        <v>724</v>
      </c>
      <c r="C53" s="11" t="s">
        <v>725</v>
      </c>
      <c r="D53" s="19">
        <v>500000</v>
      </c>
      <c r="E53" s="19">
        <v>66650</v>
      </c>
      <c r="F53" s="19">
        <v>566650</v>
      </c>
      <c r="G53" s="159">
        <v>50</v>
      </c>
      <c r="H53" s="209">
        <v>11333</v>
      </c>
      <c r="I53" s="97">
        <v>22</v>
      </c>
      <c r="J53" s="97">
        <f t="shared" si="0"/>
        <v>28</v>
      </c>
      <c r="K53" s="91">
        <f t="shared" si="5"/>
        <v>249326</v>
      </c>
      <c r="L53" s="91">
        <f t="shared" si="6"/>
        <v>317324</v>
      </c>
      <c r="M53" s="11"/>
      <c r="N53" s="180" t="e">
        <f>#REF!-H53</f>
        <v>#REF!</v>
      </c>
    </row>
    <row r="54" spans="1:14" s="114" customFormat="1">
      <c r="A54" s="96">
        <v>49</v>
      </c>
      <c r="B54" s="96" t="s">
        <v>624</v>
      </c>
      <c r="C54" s="11" t="s">
        <v>625</v>
      </c>
      <c r="D54" s="16">
        <v>150000</v>
      </c>
      <c r="E54" s="16">
        <v>19995</v>
      </c>
      <c r="F54" s="41">
        <f>SUM(D54:E54)</f>
        <v>169995</v>
      </c>
      <c r="G54" s="159">
        <v>50</v>
      </c>
      <c r="H54" s="209">
        <v>3399.9</v>
      </c>
      <c r="I54" s="97">
        <v>46</v>
      </c>
      <c r="J54" s="97">
        <f t="shared" si="0"/>
        <v>4</v>
      </c>
      <c r="K54" s="91">
        <f t="shared" si="5"/>
        <v>156395.4</v>
      </c>
      <c r="L54" s="94">
        <f t="shared" si="6"/>
        <v>13599.600000000006</v>
      </c>
      <c r="M54" s="11"/>
      <c r="N54" s="180" t="e">
        <f>#REF!-H54</f>
        <v>#REF!</v>
      </c>
    </row>
    <row r="55" spans="1:14" s="114" customFormat="1">
      <c r="A55" s="96">
        <v>50</v>
      </c>
      <c r="B55" s="11" t="s">
        <v>887</v>
      </c>
      <c r="C55" s="123" t="s">
        <v>909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254">
        <v>11333</v>
      </c>
      <c r="I55" s="159">
        <v>6</v>
      </c>
      <c r="J55" s="159">
        <f t="shared" si="0"/>
        <v>44</v>
      </c>
      <c r="K55" s="16">
        <f t="shared" si="5"/>
        <v>67998</v>
      </c>
      <c r="L55" s="94">
        <f t="shared" si="6"/>
        <v>498652</v>
      </c>
      <c r="M55" s="11"/>
      <c r="N55" s="180" t="e">
        <f>#REF!-H55</f>
        <v>#REF!</v>
      </c>
    </row>
    <row r="56" spans="1:14" s="114" customFormat="1">
      <c r="A56" s="96">
        <v>51</v>
      </c>
      <c r="B56" s="11" t="s">
        <v>894</v>
      </c>
      <c r="C56" s="123" t="s">
        <v>916</v>
      </c>
      <c r="D56" s="19">
        <v>450000</v>
      </c>
      <c r="E56" s="19">
        <v>59985</v>
      </c>
      <c r="F56" s="19">
        <v>509985</v>
      </c>
      <c r="G56" s="159">
        <v>50</v>
      </c>
      <c r="H56" s="254">
        <v>10199.700000000001</v>
      </c>
      <c r="I56" s="159">
        <v>6</v>
      </c>
      <c r="J56" s="159">
        <f t="shared" si="0"/>
        <v>44</v>
      </c>
      <c r="K56" s="16">
        <f t="shared" si="5"/>
        <v>61198.200000000004</v>
      </c>
      <c r="L56" s="94">
        <f t="shared" si="6"/>
        <v>448786.8</v>
      </c>
      <c r="M56" s="11"/>
      <c r="N56" s="180" t="e">
        <f>#REF!-H56</f>
        <v>#REF!</v>
      </c>
    </row>
    <row r="57" spans="1:14" s="114" customFormat="1">
      <c r="A57" s="96">
        <v>52</v>
      </c>
      <c r="B57" s="96" t="s">
        <v>619</v>
      </c>
      <c r="C57" s="11" t="s">
        <v>620</v>
      </c>
      <c r="D57" s="16">
        <v>500000</v>
      </c>
      <c r="E57" s="16">
        <v>66650</v>
      </c>
      <c r="F57" s="16">
        <v>566650</v>
      </c>
      <c r="G57" s="159">
        <v>50</v>
      </c>
      <c r="H57" s="209">
        <v>11333</v>
      </c>
      <c r="I57" s="97">
        <v>37</v>
      </c>
      <c r="J57" s="97">
        <f t="shared" si="0"/>
        <v>13</v>
      </c>
      <c r="K57" s="91">
        <f t="shared" si="5"/>
        <v>419321</v>
      </c>
      <c r="L57" s="94">
        <f t="shared" si="6"/>
        <v>147329</v>
      </c>
      <c r="M57" s="11"/>
      <c r="N57" s="180" t="e">
        <f>#REF!-H57</f>
        <v>#REF!</v>
      </c>
    </row>
    <row r="58" spans="1:14" s="114" customFormat="1">
      <c r="A58" s="96">
        <v>53</v>
      </c>
      <c r="B58" s="8" t="s">
        <v>663</v>
      </c>
      <c r="C58" s="11" t="s">
        <v>953</v>
      </c>
      <c r="D58" s="19">
        <v>330000</v>
      </c>
      <c r="E58" s="19">
        <v>43989</v>
      </c>
      <c r="F58" s="19">
        <f>SUM(D58:E58)</f>
        <v>373989</v>
      </c>
      <c r="G58" s="159">
        <v>50</v>
      </c>
      <c r="H58" s="254">
        <v>7479.78</v>
      </c>
      <c r="I58" s="159">
        <v>4</v>
      </c>
      <c r="J58" s="97">
        <f t="shared" si="0"/>
        <v>46</v>
      </c>
      <c r="K58" s="91">
        <f t="shared" si="5"/>
        <v>29919.119999999999</v>
      </c>
      <c r="L58" s="94">
        <f t="shared" si="6"/>
        <v>344069.88</v>
      </c>
      <c r="M58" s="11"/>
    </row>
    <row r="59" spans="1:14" s="114" customFormat="1">
      <c r="A59" s="96">
        <v>54</v>
      </c>
      <c r="B59" s="96" t="s">
        <v>664</v>
      </c>
      <c r="C59" s="11" t="s">
        <v>665</v>
      </c>
      <c r="D59" s="19">
        <v>330000</v>
      </c>
      <c r="E59" s="19">
        <v>43989</v>
      </c>
      <c r="F59" s="19">
        <f>SUM(D59:E59)</f>
        <v>373989</v>
      </c>
      <c r="G59" s="159">
        <v>50</v>
      </c>
      <c r="H59" s="253">
        <v>7479.78</v>
      </c>
      <c r="I59" s="101">
        <v>11</v>
      </c>
      <c r="J59" s="97">
        <f t="shared" si="0"/>
        <v>39</v>
      </c>
      <c r="K59" s="91">
        <f t="shared" si="5"/>
        <v>82277.58</v>
      </c>
      <c r="L59" s="94">
        <f t="shared" si="6"/>
        <v>291711.42</v>
      </c>
      <c r="M59" s="8"/>
      <c r="N59" s="180" t="e">
        <f>#REF!-H59</f>
        <v>#REF!</v>
      </c>
    </row>
    <row r="60" spans="1:14" s="114" customFormat="1">
      <c r="A60" s="96">
        <v>55</v>
      </c>
      <c r="B60" s="11" t="s">
        <v>896</v>
      </c>
      <c r="C60" s="123" t="s">
        <v>919</v>
      </c>
      <c r="D60" s="19">
        <v>450000</v>
      </c>
      <c r="E60" s="19">
        <v>59985</v>
      </c>
      <c r="F60" s="19">
        <v>509985</v>
      </c>
      <c r="G60" s="159">
        <v>50</v>
      </c>
      <c r="H60" s="254">
        <v>10199.700000000001</v>
      </c>
      <c r="I60" s="159">
        <v>6</v>
      </c>
      <c r="J60" s="159">
        <f t="shared" si="0"/>
        <v>44</v>
      </c>
      <c r="K60" s="16">
        <f t="shared" si="5"/>
        <v>61198.200000000004</v>
      </c>
      <c r="L60" s="94">
        <f t="shared" si="6"/>
        <v>448786.8</v>
      </c>
      <c r="M60" s="11"/>
      <c r="N60" s="180" t="e">
        <f>#REF!-H60</f>
        <v>#REF!</v>
      </c>
    </row>
    <row r="61" spans="1:14" s="114" customFormat="1">
      <c r="A61" s="96">
        <v>56</v>
      </c>
      <c r="B61" s="96" t="s">
        <v>516</v>
      </c>
      <c r="C61" s="11" t="s">
        <v>517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164">
        <v>11333</v>
      </c>
      <c r="I61" s="97">
        <v>37</v>
      </c>
      <c r="J61" s="97">
        <f t="shared" si="0"/>
        <v>13</v>
      </c>
      <c r="K61" s="91">
        <f t="shared" si="5"/>
        <v>419321</v>
      </c>
      <c r="L61" s="94">
        <f t="shared" si="6"/>
        <v>147329</v>
      </c>
      <c r="M61" s="11"/>
      <c r="N61" s="180" t="e">
        <f>#REF!-H61</f>
        <v>#REF!</v>
      </c>
    </row>
    <row r="62" spans="1:14" s="114" customFormat="1">
      <c r="A62" s="96">
        <v>57</v>
      </c>
      <c r="B62" s="96" t="s">
        <v>688</v>
      </c>
      <c r="C62" s="11" t="s">
        <v>689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209">
        <v>11333</v>
      </c>
      <c r="I62" s="97">
        <v>42</v>
      </c>
      <c r="J62" s="97">
        <f t="shared" si="0"/>
        <v>8</v>
      </c>
      <c r="K62" s="91">
        <f t="shared" si="5"/>
        <v>475986</v>
      </c>
      <c r="L62" s="94">
        <f t="shared" si="6"/>
        <v>90664</v>
      </c>
      <c r="M62" s="11"/>
      <c r="N62" s="180" t="e">
        <f>#REF!-H62</f>
        <v>#REF!</v>
      </c>
    </row>
    <row r="63" spans="1:14" s="114" customFormat="1">
      <c r="A63" s="96">
        <v>58</v>
      </c>
      <c r="B63" s="96" t="s">
        <v>635</v>
      </c>
      <c r="C63" s="11" t="s">
        <v>636</v>
      </c>
      <c r="D63" s="16">
        <v>500000</v>
      </c>
      <c r="E63" s="16">
        <v>66650</v>
      </c>
      <c r="F63" s="41">
        <f>SUM(D63:E63)</f>
        <v>566650</v>
      </c>
      <c r="G63" s="159">
        <v>50</v>
      </c>
      <c r="H63" s="209">
        <v>11333</v>
      </c>
      <c r="I63" s="97">
        <v>58</v>
      </c>
      <c r="J63" s="97">
        <f t="shared" si="0"/>
        <v>-8</v>
      </c>
      <c r="K63" s="91">
        <f t="shared" si="5"/>
        <v>657314</v>
      </c>
      <c r="L63" s="94">
        <f t="shared" si="6"/>
        <v>-90664</v>
      </c>
      <c r="M63" s="11"/>
      <c r="N63" s="180" t="e">
        <f>#REF!-H63</f>
        <v>#REF!</v>
      </c>
    </row>
    <row r="64" spans="1:14" s="114" customFormat="1">
      <c r="A64" s="96">
        <v>59</v>
      </c>
      <c r="B64" s="126" t="s">
        <v>937</v>
      </c>
      <c r="C64" s="8" t="s">
        <v>938</v>
      </c>
      <c r="D64" s="19">
        <v>150000</v>
      </c>
      <c r="E64" s="19">
        <v>19995</v>
      </c>
      <c r="F64" s="19">
        <f>SUM(D64:E64)</f>
        <v>169995</v>
      </c>
      <c r="G64" s="159">
        <v>50</v>
      </c>
      <c r="H64" s="12">
        <v>3399.9</v>
      </c>
      <c r="I64" s="159">
        <v>3</v>
      </c>
      <c r="J64" s="159">
        <f t="shared" si="0"/>
        <v>47</v>
      </c>
      <c r="K64" s="16">
        <f t="shared" si="5"/>
        <v>10199.700000000001</v>
      </c>
      <c r="L64" s="94">
        <f t="shared" si="6"/>
        <v>159795.29999999999</v>
      </c>
      <c r="M64" s="8"/>
    </row>
    <row r="65" spans="1:14" s="114" customFormat="1">
      <c r="A65" s="96">
        <v>60</v>
      </c>
      <c r="B65" s="96" t="s">
        <v>717</v>
      </c>
      <c r="C65" s="11" t="s">
        <v>718</v>
      </c>
      <c r="D65" s="16">
        <v>450000</v>
      </c>
      <c r="E65" s="16">
        <v>59985</v>
      </c>
      <c r="F65" s="16">
        <v>509985</v>
      </c>
      <c r="G65" s="159">
        <v>50</v>
      </c>
      <c r="H65" s="209">
        <v>10199.700000000001</v>
      </c>
      <c r="I65" s="97">
        <v>25</v>
      </c>
      <c r="J65" s="97">
        <f t="shared" si="0"/>
        <v>25</v>
      </c>
      <c r="K65" s="91">
        <f t="shared" si="5"/>
        <v>254992.50000000003</v>
      </c>
      <c r="L65" s="94">
        <f t="shared" si="6"/>
        <v>254992.49999999997</v>
      </c>
      <c r="M65" s="11"/>
      <c r="N65" s="180" t="e">
        <f>#REF!-H65</f>
        <v>#REF!</v>
      </c>
    </row>
    <row r="66" spans="1:14" s="114" customFormat="1">
      <c r="A66" s="96">
        <v>61</v>
      </c>
      <c r="B66" s="96" t="s">
        <v>579</v>
      </c>
      <c r="C66" s="11" t="s">
        <v>580</v>
      </c>
      <c r="D66" s="16">
        <v>500000</v>
      </c>
      <c r="E66" s="16">
        <v>33325</v>
      </c>
      <c r="F66" s="41">
        <f>SUM(D66:E66)</f>
        <v>533325</v>
      </c>
      <c r="G66" s="159">
        <v>25</v>
      </c>
      <c r="H66" s="209">
        <v>21333</v>
      </c>
      <c r="I66" s="97">
        <v>27</v>
      </c>
      <c r="J66" s="97">
        <f t="shared" si="0"/>
        <v>-2</v>
      </c>
      <c r="K66" s="91">
        <f t="shared" si="5"/>
        <v>575991</v>
      </c>
      <c r="L66" s="94">
        <f t="shared" si="6"/>
        <v>-42666</v>
      </c>
      <c r="M66" s="11"/>
      <c r="N66" s="180" t="e">
        <f>#REF!-H66</f>
        <v>#REF!</v>
      </c>
    </row>
    <row r="67" spans="1:14" s="114" customFormat="1">
      <c r="A67" s="96">
        <v>62</v>
      </c>
      <c r="B67" s="96" t="s">
        <v>698</v>
      </c>
      <c r="C67" s="11" t="s">
        <v>699</v>
      </c>
      <c r="D67" s="19">
        <v>500000</v>
      </c>
      <c r="E67" s="19">
        <v>66650</v>
      </c>
      <c r="F67" s="19">
        <v>566650</v>
      </c>
      <c r="G67" s="159">
        <v>50</v>
      </c>
      <c r="H67" s="209">
        <v>11333</v>
      </c>
      <c r="I67" s="97">
        <v>23</v>
      </c>
      <c r="J67" s="97">
        <f t="shared" si="0"/>
        <v>27</v>
      </c>
      <c r="K67" s="91">
        <f t="shared" si="5"/>
        <v>260659</v>
      </c>
      <c r="L67" s="91">
        <f t="shared" si="6"/>
        <v>305991</v>
      </c>
      <c r="M67" s="11"/>
      <c r="N67" s="180" t="e">
        <f>#REF!-H67</f>
        <v>#REF!</v>
      </c>
    </row>
    <row r="68" spans="1:14" s="114" customFormat="1">
      <c r="A68" s="96">
        <v>63</v>
      </c>
      <c r="B68" s="96" t="s">
        <v>702</v>
      </c>
      <c r="C68" s="11" t="s">
        <v>703</v>
      </c>
      <c r="D68" s="16">
        <v>450000</v>
      </c>
      <c r="E68" s="16">
        <v>59985</v>
      </c>
      <c r="F68" s="16">
        <v>509985</v>
      </c>
      <c r="G68" s="159">
        <v>50</v>
      </c>
      <c r="H68" s="209">
        <v>10199.700000000001</v>
      </c>
      <c r="I68" s="97">
        <v>22</v>
      </c>
      <c r="J68" s="97">
        <f t="shared" si="0"/>
        <v>28</v>
      </c>
      <c r="K68" s="91">
        <f t="shared" si="5"/>
        <v>224393.40000000002</v>
      </c>
      <c r="L68" s="91">
        <f t="shared" si="6"/>
        <v>285591.59999999998</v>
      </c>
      <c r="M68" s="11"/>
      <c r="N68" s="180" t="e">
        <f>#REF!-H68</f>
        <v>#REF!</v>
      </c>
    </row>
    <row r="69" spans="1:14" s="114" customFormat="1">
      <c r="A69" s="96">
        <v>64</v>
      </c>
      <c r="B69" s="96" t="s">
        <v>676</v>
      </c>
      <c r="C69" s="11" t="s">
        <v>677</v>
      </c>
      <c r="D69" s="19">
        <v>150000</v>
      </c>
      <c r="E69" s="19">
        <v>19995</v>
      </c>
      <c r="F69" s="19">
        <f>SUM(D69:E69)</f>
        <v>169995</v>
      </c>
      <c r="G69" s="159">
        <v>50</v>
      </c>
      <c r="H69" s="209">
        <v>3399.9</v>
      </c>
      <c r="I69" s="97">
        <v>23</v>
      </c>
      <c r="J69" s="97">
        <f t="shared" si="0"/>
        <v>27</v>
      </c>
      <c r="K69" s="91">
        <f t="shared" si="5"/>
        <v>78197.7</v>
      </c>
      <c r="L69" s="91">
        <f t="shared" si="6"/>
        <v>91797.3</v>
      </c>
      <c r="M69" s="11"/>
      <c r="N69" s="180" t="e">
        <f>#REF!-H69</f>
        <v>#REF!</v>
      </c>
    </row>
    <row r="70" spans="1:14" s="114" customFormat="1">
      <c r="A70" s="96">
        <v>65</v>
      </c>
      <c r="B70" s="96" t="s">
        <v>621</v>
      </c>
      <c r="C70" s="11" t="s">
        <v>622</v>
      </c>
      <c r="D70" s="16">
        <v>500000</v>
      </c>
      <c r="E70" s="16">
        <v>66650</v>
      </c>
      <c r="F70" s="41">
        <f>SUM(D70:E70)</f>
        <v>566650</v>
      </c>
      <c r="G70" s="159">
        <v>50</v>
      </c>
      <c r="H70" s="209">
        <v>11333</v>
      </c>
      <c r="I70" s="97">
        <v>46</v>
      </c>
      <c r="J70" s="97">
        <f t="shared" ref="J70:J105" si="8">G70-I70</f>
        <v>4</v>
      </c>
      <c r="K70" s="91">
        <f t="shared" si="5"/>
        <v>521318</v>
      </c>
      <c r="L70" s="94">
        <f t="shared" ref="L70:L101" si="9">F70-K70</f>
        <v>45332</v>
      </c>
      <c r="M70" s="11"/>
      <c r="N70" s="180" t="e">
        <f>#REF!-H70</f>
        <v>#REF!</v>
      </c>
    </row>
    <row r="71" spans="1:14" s="114" customFormat="1">
      <c r="A71" s="96">
        <v>66</v>
      </c>
      <c r="B71" s="96" t="s">
        <v>604</v>
      </c>
      <c r="C71" s="11" t="s">
        <v>605</v>
      </c>
      <c r="D71" s="16">
        <v>500000</v>
      </c>
      <c r="E71" s="16">
        <v>66650</v>
      </c>
      <c r="F71" s="41">
        <f>SUM(D71:E71)</f>
        <v>566650</v>
      </c>
      <c r="G71" s="159">
        <v>50</v>
      </c>
      <c r="H71" s="209">
        <v>11333</v>
      </c>
      <c r="I71" s="97">
        <v>58</v>
      </c>
      <c r="J71" s="97">
        <f t="shared" si="8"/>
        <v>-8</v>
      </c>
      <c r="K71" s="91">
        <f t="shared" si="5"/>
        <v>657314</v>
      </c>
      <c r="L71" s="94">
        <f t="shared" si="9"/>
        <v>-90664</v>
      </c>
      <c r="M71" s="11"/>
      <c r="N71" s="180" t="e">
        <f>#REF!-H71</f>
        <v>#REF!</v>
      </c>
    </row>
    <row r="72" spans="1:14" s="114" customFormat="1">
      <c r="A72" s="96">
        <v>67</v>
      </c>
      <c r="B72" s="96" t="s">
        <v>503</v>
      </c>
      <c r="C72" s="11" t="s">
        <v>504</v>
      </c>
      <c r="D72" s="16">
        <v>150000</v>
      </c>
      <c r="E72" s="16">
        <v>19995</v>
      </c>
      <c r="F72" s="41">
        <f>SUM(D72:E72)</f>
        <v>169995</v>
      </c>
      <c r="G72" s="159">
        <v>50</v>
      </c>
      <c r="H72" s="209">
        <v>3399.9</v>
      </c>
      <c r="I72" s="97">
        <v>46</v>
      </c>
      <c r="J72" s="97">
        <f t="shared" si="8"/>
        <v>4</v>
      </c>
      <c r="K72" s="91">
        <f t="shared" si="5"/>
        <v>156395.4</v>
      </c>
      <c r="L72" s="94">
        <f t="shared" si="9"/>
        <v>13599.600000000006</v>
      </c>
      <c r="M72" s="11"/>
      <c r="N72" s="180" t="e">
        <f>#REF!-H72</f>
        <v>#REF!</v>
      </c>
    </row>
    <row r="73" spans="1:14" s="114" customFormat="1">
      <c r="A73" s="96">
        <v>68</v>
      </c>
      <c r="B73" s="96" t="s">
        <v>522</v>
      </c>
      <c r="C73" s="11" t="s">
        <v>523</v>
      </c>
      <c r="D73" s="19">
        <v>500000</v>
      </c>
      <c r="E73" s="19">
        <v>66650</v>
      </c>
      <c r="F73" s="19">
        <v>566650</v>
      </c>
      <c r="G73" s="159">
        <v>50</v>
      </c>
      <c r="H73" s="209">
        <v>11333</v>
      </c>
      <c r="I73" s="97">
        <v>23</v>
      </c>
      <c r="J73" s="97">
        <f t="shared" si="8"/>
        <v>27</v>
      </c>
      <c r="K73" s="91">
        <f t="shared" si="5"/>
        <v>260659</v>
      </c>
      <c r="L73" s="91">
        <f t="shared" si="9"/>
        <v>305991</v>
      </c>
      <c r="M73" s="11"/>
      <c r="N73" s="180" t="e">
        <f>#REF!-H73</f>
        <v>#REF!</v>
      </c>
    </row>
    <row r="74" spans="1:14" s="114" customFormat="1">
      <c r="A74" s="96">
        <v>69</v>
      </c>
      <c r="B74" s="96" t="s">
        <v>666</v>
      </c>
      <c r="C74" s="11" t="s">
        <v>667</v>
      </c>
      <c r="D74" s="19">
        <v>150000</v>
      </c>
      <c r="E74" s="19">
        <v>19995</v>
      </c>
      <c r="F74" s="19">
        <f>SUM(D74:E74)</f>
        <v>169995</v>
      </c>
      <c r="G74" s="159">
        <v>50</v>
      </c>
      <c r="H74" s="209">
        <v>3339.9</v>
      </c>
      <c r="I74" s="159">
        <v>9</v>
      </c>
      <c r="J74" s="97">
        <f t="shared" si="8"/>
        <v>41</v>
      </c>
      <c r="K74" s="91">
        <f t="shared" si="5"/>
        <v>30059.100000000002</v>
      </c>
      <c r="L74" s="94">
        <f t="shared" si="9"/>
        <v>139935.9</v>
      </c>
      <c r="M74" s="11"/>
      <c r="N74" s="180" t="e">
        <f>#REF!-H74</f>
        <v>#REF!</v>
      </c>
    </row>
    <row r="75" spans="1:14" s="114" customFormat="1">
      <c r="A75" s="96">
        <v>70</v>
      </c>
      <c r="B75" s="11" t="s">
        <v>902</v>
      </c>
      <c r="C75" s="123" t="s">
        <v>926</v>
      </c>
      <c r="D75" s="19">
        <v>150000</v>
      </c>
      <c r="E75" s="19">
        <v>19995</v>
      </c>
      <c r="F75" s="19">
        <f>SUM(D75:E75)</f>
        <v>169995</v>
      </c>
      <c r="G75" s="159">
        <v>50</v>
      </c>
      <c r="H75" s="254">
        <v>3399.9</v>
      </c>
      <c r="I75" s="159">
        <v>6</v>
      </c>
      <c r="J75" s="159">
        <f t="shared" si="8"/>
        <v>44</v>
      </c>
      <c r="K75" s="16">
        <f t="shared" si="5"/>
        <v>20399.400000000001</v>
      </c>
      <c r="L75" s="94">
        <f t="shared" si="9"/>
        <v>149595.6</v>
      </c>
      <c r="M75" s="11"/>
      <c r="N75" s="180" t="e">
        <f>#REF!-H75</f>
        <v>#REF!</v>
      </c>
    </row>
    <row r="76" spans="1:14" s="114" customFormat="1">
      <c r="A76" s="96">
        <v>71</v>
      </c>
      <c r="B76" s="96" t="s">
        <v>686</v>
      </c>
      <c r="C76" s="11" t="s">
        <v>687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209">
        <v>11333</v>
      </c>
      <c r="I76" s="97">
        <v>36</v>
      </c>
      <c r="J76" s="97">
        <f t="shared" si="8"/>
        <v>14</v>
      </c>
      <c r="K76" s="91">
        <f t="shared" si="5"/>
        <v>407988</v>
      </c>
      <c r="L76" s="94">
        <f t="shared" si="9"/>
        <v>158662</v>
      </c>
      <c r="M76" s="11"/>
      <c r="N76" s="180" t="e">
        <f>#REF!-H76</f>
        <v>#REF!</v>
      </c>
    </row>
    <row r="77" spans="1:14" s="114" customFormat="1">
      <c r="A77" s="96">
        <v>72</v>
      </c>
      <c r="B77" s="11" t="s">
        <v>890</v>
      </c>
      <c r="C77" s="123" t="s">
        <v>912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254">
        <v>11333</v>
      </c>
      <c r="I77" s="159">
        <v>6</v>
      </c>
      <c r="J77" s="159">
        <f t="shared" si="8"/>
        <v>44</v>
      </c>
      <c r="K77" s="16">
        <f t="shared" si="5"/>
        <v>67998</v>
      </c>
      <c r="L77" s="94">
        <f t="shared" si="9"/>
        <v>498652</v>
      </c>
      <c r="M77" s="11"/>
      <c r="N77" s="180" t="e">
        <f>#REF!-H77</f>
        <v>#REF!</v>
      </c>
    </row>
    <row r="78" spans="1:14" s="114" customFormat="1">
      <c r="A78" s="96">
        <v>73</v>
      </c>
      <c r="B78" s="96" t="s">
        <v>530</v>
      </c>
      <c r="C78" s="11" t="s">
        <v>531</v>
      </c>
      <c r="D78" s="16">
        <v>500000</v>
      </c>
      <c r="E78" s="16">
        <v>66650</v>
      </c>
      <c r="F78" s="16">
        <v>566650</v>
      </c>
      <c r="G78" s="159">
        <v>50</v>
      </c>
      <c r="H78" s="209">
        <v>11333</v>
      </c>
      <c r="I78" s="97">
        <v>36</v>
      </c>
      <c r="J78" s="97">
        <f t="shared" si="8"/>
        <v>14</v>
      </c>
      <c r="K78" s="91">
        <f t="shared" si="5"/>
        <v>407988</v>
      </c>
      <c r="L78" s="94">
        <f t="shared" si="9"/>
        <v>158662</v>
      </c>
      <c r="M78" s="11"/>
      <c r="N78" s="180" t="e">
        <f>#REF!-H78</f>
        <v>#REF!</v>
      </c>
    </row>
    <row r="79" spans="1:14" s="114" customFormat="1">
      <c r="A79" s="96">
        <v>74</v>
      </c>
      <c r="B79" s="96" t="s">
        <v>544</v>
      </c>
      <c r="C79" s="11" t="s">
        <v>545</v>
      </c>
      <c r="D79" s="16">
        <v>450000</v>
      </c>
      <c r="E79" s="16">
        <v>59985</v>
      </c>
      <c r="F79" s="16">
        <v>509985</v>
      </c>
      <c r="G79" s="159">
        <v>50</v>
      </c>
      <c r="H79" s="209">
        <v>10199.700000000001</v>
      </c>
      <c r="I79" s="97">
        <v>30</v>
      </c>
      <c r="J79" s="97">
        <f t="shared" si="8"/>
        <v>20</v>
      </c>
      <c r="K79" s="91">
        <f t="shared" si="5"/>
        <v>305991</v>
      </c>
      <c r="L79" s="94">
        <f t="shared" si="9"/>
        <v>203994</v>
      </c>
      <c r="M79" s="11"/>
      <c r="N79" s="180" t="e">
        <f>#REF!-H79</f>
        <v>#REF!</v>
      </c>
    </row>
    <row r="80" spans="1:14" s="114" customFormat="1">
      <c r="A80" s="96">
        <v>75</v>
      </c>
      <c r="B80" s="96" t="s">
        <v>886</v>
      </c>
      <c r="C80" s="11" t="s">
        <v>908</v>
      </c>
      <c r="D80" s="16">
        <v>500000</v>
      </c>
      <c r="E80" s="16">
        <v>66650</v>
      </c>
      <c r="F80" s="41">
        <f>SUM(D80:E80)</f>
        <v>566650</v>
      </c>
      <c r="G80" s="159">
        <v>50</v>
      </c>
      <c r="H80" s="209">
        <v>11333</v>
      </c>
      <c r="I80" s="97">
        <v>37</v>
      </c>
      <c r="J80" s="97">
        <f t="shared" si="8"/>
        <v>13</v>
      </c>
      <c r="K80" s="91">
        <f t="shared" si="5"/>
        <v>419321</v>
      </c>
      <c r="L80" s="94">
        <f t="shared" si="9"/>
        <v>147329</v>
      </c>
      <c r="M80" s="11"/>
      <c r="N80" s="180" t="e">
        <f>#REF!-H80</f>
        <v>#REF!</v>
      </c>
    </row>
    <row r="81" spans="1:14" s="114" customFormat="1">
      <c r="A81" s="96">
        <v>76</v>
      </c>
      <c r="B81" s="11" t="s">
        <v>707</v>
      </c>
      <c r="C81" s="11" t="s">
        <v>708</v>
      </c>
      <c r="D81" s="16">
        <v>500000</v>
      </c>
      <c r="E81" s="16">
        <v>66650</v>
      </c>
      <c r="F81" s="16">
        <v>566650</v>
      </c>
      <c r="G81" s="159">
        <v>50</v>
      </c>
      <c r="H81" s="254">
        <v>11330</v>
      </c>
      <c r="I81" s="96">
        <v>36</v>
      </c>
      <c r="J81" s="97">
        <f t="shared" si="8"/>
        <v>14</v>
      </c>
      <c r="K81" s="91">
        <f t="shared" si="5"/>
        <v>407880</v>
      </c>
      <c r="L81" s="94">
        <f t="shared" si="9"/>
        <v>158770</v>
      </c>
      <c r="M81" s="11"/>
    </row>
    <row r="82" spans="1:14" s="114" customFormat="1">
      <c r="A82" s="96">
        <v>77</v>
      </c>
      <c r="B82" s="96" t="s">
        <v>598</v>
      </c>
      <c r="C82" s="11" t="s">
        <v>599</v>
      </c>
      <c r="D82" s="16">
        <v>500000</v>
      </c>
      <c r="E82" s="16">
        <v>66650</v>
      </c>
      <c r="F82" s="41">
        <f>SUM(D82:E82)</f>
        <v>566650</v>
      </c>
      <c r="G82" s="159">
        <v>50</v>
      </c>
      <c r="H82" s="209">
        <v>11333</v>
      </c>
      <c r="I82" s="97">
        <v>58</v>
      </c>
      <c r="J82" s="97">
        <f t="shared" si="8"/>
        <v>-8</v>
      </c>
      <c r="K82" s="91">
        <f t="shared" si="5"/>
        <v>657314</v>
      </c>
      <c r="L82" s="94">
        <f t="shared" si="9"/>
        <v>-90664</v>
      </c>
      <c r="M82" s="11"/>
      <c r="N82" s="180" t="e">
        <f>#REF!-H82</f>
        <v>#REF!</v>
      </c>
    </row>
    <row r="83" spans="1:14" s="114" customFormat="1">
      <c r="A83" s="96">
        <v>78</v>
      </c>
      <c r="B83" s="96" t="s">
        <v>551</v>
      </c>
      <c r="C83" s="11" t="s">
        <v>552</v>
      </c>
      <c r="D83" s="19">
        <v>500000</v>
      </c>
      <c r="E83" s="19">
        <v>66650</v>
      </c>
      <c r="F83" s="19">
        <v>566650</v>
      </c>
      <c r="G83" s="159">
        <v>50</v>
      </c>
      <c r="H83" s="209">
        <v>11333</v>
      </c>
      <c r="I83" s="97">
        <v>23</v>
      </c>
      <c r="J83" s="97">
        <f t="shared" si="8"/>
        <v>27</v>
      </c>
      <c r="K83" s="91">
        <f t="shared" si="5"/>
        <v>260659</v>
      </c>
      <c r="L83" s="91">
        <f t="shared" si="9"/>
        <v>305991</v>
      </c>
      <c r="M83" s="11"/>
      <c r="N83" s="180" t="e">
        <f>#REF!-H83</f>
        <v>#REF!</v>
      </c>
    </row>
    <row r="84" spans="1:14" s="114" customFormat="1">
      <c r="A84" s="96">
        <v>79</v>
      </c>
      <c r="B84" s="96" t="s">
        <v>569</v>
      </c>
      <c r="C84" s="11" t="s">
        <v>570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209">
        <v>11333</v>
      </c>
      <c r="I84" s="97">
        <v>37</v>
      </c>
      <c r="J84" s="97">
        <f t="shared" si="8"/>
        <v>13</v>
      </c>
      <c r="K84" s="91">
        <f t="shared" si="5"/>
        <v>419321</v>
      </c>
      <c r="L84" s="94">
        <f t="shared" si="9"/>
        <v>147329</v>
      </c>
      <c r="M84" s="11"/>
    </row>
    <row r="85" spans="1:14" s="114" customFormat="1">
      <c r="A85" s="96">
        <v>80</v>
      </c>
      <c r="B85" s="96" t="s">
        <v>518</v>
      </c>
      <c r="C85" s="11" t="s">
        <v>519</v>
      </c>
      <c r="D85" s="19">
        <v>500000</v>
      </c>
      <c r="E85" s="19">
        <v>66650</v>
      </c>
      <c r="F85" s="19">
        <v>566650</v>
      </c>
      <c r="G85" s="159">
        <v>50</v>
      </c>
      <c r="H85" s="209">
        <v>11333</v>
      </c>
      <c r="I85" s="97">
        <v>23</v>
      </c>
      <c r="J85" s="97">
        <f t="shared" si="8"/>
        <v>27</v>
      </c>
      <c r="K85" s="91">
        <f t="shared" si="5"/>
        <v>260659</v>
      </c>
      <c r="L85" s="91">
        <f t="shared" si="9"/>
        <v>305991</v>
      </c>
      <c r="M85" s="11"/>
      <c r="N85" s="180" t="e">
        <f>#REF!-H85</f>
        <v>#REF!</v>
      </c>
    </row>
    <row r="86" spans="1:14" s="114" customFormat="1">
      <c r="A86" s="96">
        <v>81</v>
      </c>
      <c r="B86" s="126" t="s">
        <v>943</v>
      </c>
      <c r="C86" s="8" t="s">
        <v>944</v>
      </c>
      <c r="D86" s="16">
        <v>450000</v>
      </c>
      <c r="E86" s="16">
        <v>59985</v>
      </c>
      <c r="F86" s="41">
        <f>SUM(D86:E86)</f>
        <v>509985</v>
      </c>
      <c r="G86" s="159">
        <v>50</v>
      </c>
      <c r="H86" s="12">
        <v>10199.700000000001</v>
      </c>
      <c r="I86" s="159">
        <v>36</v>
      </c>
      <c r="J86" s="159">
        <f t="shared" si="8"/>
        <v>14</v>
      </c>
      <c r="K86" s="16">
        <f t="shared" si="5"/>
        <v>367189.2</v>
      </c>
      <c r="L86" s="94">
        <f t="shared" si="9"/>
        <v>142795.79999999999</v>
      </c>
      <c r="M86" s="8"/>
    </row>
    <row r="87" spans="1:14" s="114" customFormat="1">
      <c r="A87" s="96">
        <v>82</v>
      </c>
      <c r="B87" s="96" t="s">
        <v>655</v>
      </c>
      <c r="C87" s="11" t="s">
        <v>656</v>
      </c>
      <c r="D87" s="16">
        <v>450000</v>
      </c>
      <c r="E87" s="16">
        <v>59985</v>
      </c>
      <c r="F87" s="41">
        <f>SUM(D87:E87)</f>
        <v>509985</v>
      </c>
      <c r="G87" s="159">
        <v>50</v>
      </c>
      <c r="H87" s="209">
        <v>10199.700000000001</v>
      </c>
      <c r="I87" s="97">
        <v>37</v>
      </c>
      <c r="J87" s="97">
        <f t="shared" si="8"/>
        <v>13</v>
      </c>
      <c r="K87" s="91">
        <f t="shared" si="5"/>
        <v>377388.9</v>
      </c>
      <c r="L87" s="94">
        <f t="shared" si="9"/>
        <v>132596.09999999998</v>
      </c>
      <c r="M87" s="11"/>
      <c r="N87" s="180" t="e">
        <f>#REF!-H87</f>
        <v>#REF!</v>
      </c>
    </row>
    <row r="88" spans="1:14" s="114" customFormat="1">
      <c r="A88" s="96">
        <v>83</v>
      </c>
      <c r="B88" s="96" t="s">
        <v>553</v>
      </c>
      <c r="C88" s="11" t="s">
        <v>554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209">
        <v>11333</v>
      </c>
      <c r="I88" s="97">
        <v>58</v>
      </c>
      <c r="J88" s="97">
        <f t="shared" si="8"/>
        <v>-8</v>
      </c>
      <c r="K88" s="91">
        <f t="shared" si="5"/>
        <v>657314</v>
      </c>
      <c r="L88" s="94">
        <f t="shared" si="9"/>
        <v>-90664</v>
      </c>
      <c r="M88" s="11"/>
      <c r="N88" s="180" t="e">
        <f>#REF!-H88</f>
        <v>#REF!</v>
      </c>
    </row>
    <row r="89" spans="1:14" s="114" customFormat="1">
      <c r="A89" s="96">
        <v>84</v>
      </c>
      <c r="B89" s="96" t="s">
        <v>536</v>
      </c>
      <c r="C89" s="11" t="s">
        <v>537</v>
      </c>
      <c r="D89" s="12">
        <v>500000</v>
      </c>
      <c r="E89" s="12">
        <v>66650</v>
      </c>
      <c r="F89" s="15">
        <f>SUM(D89:E89)</f>
        <v>566650</v>
      </c>
      <c r="G89" s="14">
        <v>50</v>
      </c>
      <c r="H89" s="237">
        <v>11333</v>
      </c>
      <c r="I89" s="14">
        <v>42</v>
      </c>
      <c r="J89" s="97">
        <f t="shared" si="8"/>
        <v>8</v>
      </c>
      <c r="K89" s="91">
        <f t="shared" si="5"/>
        <v>475986</v>
      </c>
      <c r="L89" s="15">
        <f t="shared" si="9"/>
        <v>90664</v>
      </c>
      <c r="M89" s="8"/>
      <c r="N89" s="180" t="e">
        <f>#REF!-H89</f>
        <v>#REF!</v>
      </c>
    </row>
    <row r="90" spans="1:14" s="114" customFormat="1">
      <c r="A90" s="96">
        <v>85</v>
      </c>
      <c r="B90" s="96" t="s">
        <v>883</v>
      </c>
      <c r="C90" s="11" t="s">
        <v>905</v>
      </c>
      <c r="D90" s="16">
        <v>500000</v>
      </c>
      <c r="E90" s="16">
        <v>66650</v>
      </c>
      <c r="F90" s="41">
        <f>SUM(D90:E90)</f>
        <v>566650</v>
      </c>
      <c r="G90" s="159">
        <v>50</v>
      </c>
      <c r="H90" s="209">
        <v>11333</v>
      </c>
      <c r="I90" s="97">
        <v>45</v>
      </c>
      <c r="J90" s="97">
        <f t="shared" si="8"/>
        <v>5</v>
      </c>
      <c r="K90" s="91">
        <f t="shared" si="5"/>
        <v>509985</v>
      </c>
      <c r="L90" s="94">
        <f t="shared" si="9"/>
        <v>56665</v>
      </c>
      <c r="M90" s="11"/>
      <c r="N90" s="180" t="e">
        <f>#REF!-H90</f>
        <v>#REF!</v>
      </c>
    </row>
    <row r="91" spans="1:14" s="114" customFormat="1">
      <c r="A91" s="96">
        <v>86</v>
      </c>
      <c r="B91" s="96" t="s">
        <v>596</v>
      </c>
      <c r="C91" s="11" t="s">
        <v>597</v>
      </c>
      <c r="D91" s="19">
        <v>500000</v>
      </c>
      <c r="E91" s="19">
        <v>66650</v>
      </c>
      <c r="F91" s="19">
        <v>566650</v>
      </c>
      <c r="G91" s="159">
        <v>50</v>
      </c>
      <c r="H91" s="209">
        <v>11333</v>
      </c>
      <c r="I91" s="97">
        <v>23</v>
      </c>
      <c r="J91" s="97">
        <f t="shared" si="8"/>
        <v>27</v>
      </c>
      <c r="K91" s="91">
        <f t="shared" si="5"/>
        <v>260659</v>
      </c>
      <c r="L91" s="91">
        <f t="shared" si="9"/>
        <v>305991</v>
      </c>
      <c r="M91" s="11"/>
      <c r="N91" s="180" t="e">
        <f>#REF!-H91</f>
        <v>#REF!</v>
      </c>
    </row>
    <row r="92" spans="1:14" s="114" customFormat="1">
      <c r="A92" s="96">
        <v>87</v>
      </c>
      <c r="B92" s="11" t="s">
        <v>885</v>
      </c>
      <c r="C92" s="123" t="s">
        <v>907</v>
      </c>
      <c r="D92" s="16">
        <v>500000</v>
      </c>
      <c r="E92" s="16">
        <v>66650</v>
      </c>
      <c r="F92" s="41">
        <f>SUM(D92:E92)</f>
        <v>566650</v>
      </c>
      <c r="G92" s="159">
        <v>50</v>
      </c>
      <c r="H92" s="254">
        <v>11333</v>
      </c>
      <c r="I92" s="159">
        <v>6</v>
      </c>
      <c r="J92" s="159">
        <f t="shared" si="8"/>
        <v>44</v>
      </c>
      <c r="K92" s="16">
        <f t="shared" si="5"/>
        <v>67998</v>
      </c>
      <c r="L92" s="94">
        <f t="shared" si="9"/>
        <v>498652</v>
      </c>
      <c r="M92" s="11"/>
      <c r="N92" s="180" t="e">
        <f>#REF!-H92</f>
        <v>#REF!</v>
      </c>
    </row>
    <row r="93" spans="1:14" s="114" customFormat="1">
      <c r="A93" s="96">
        <v>88</v>
      </c>
      <c r="B93" s="96" t="s">
        <v>607</v>
      </c>
      <c r="C93" s="11" t="s">
        <v>608</v>
      </c>
      <c r="D93" s="16">
        <v>450000</v>
      </c>
      <c r="E93" s="16">
        <v>59985</v>
      </c>
      <c r="F93" s="41">
        <f>SUM(D93:E93)</f>
        <v>509985</v>
      </c>
      <c r="G93" s="159">
        <v>50</v>
      </c>
      <c r="H93" s="209">
        <v>10199.700000000001</v>
      </c>
      <c r="I93" s="159">
        <v>46</v>
      </c>
      <c r="J93" s="97">
        <f t="shared" si="8"/>
        <v>4</v>
      </c>
      <c r="K93" s="91">
        <f t="shared" si="5"/>
        <v>469186.2</v>
      </c>
      <c r="L93" s="94">
        <f t="shared" si="9"/>
        <v>40798.799999999988</v>
      </c>
      <c r="M93" s="11"/>
      <c r="N93" s="180" t="e">
        <f>#REF!-H93</f>
        <v>#REF!</v>
      </c>
    </row>
    <row r="94" spans="1:14" s="114" customFormat="1">
      <c r="A94" s="96">
        <v>89</v>
      </c>
      <c r="B94" s="8" t="s">
        <v>868</v>
      </c>
      <c r="C94" s="11" t="s">
        <v>925</v>
      </c>
      <c r="D94" s="19">
        <v>150000</v>
      </c>
      <c r="E94" s="19">
        <v>19995</v>
      </c>
      <c r="F94" s="19">
        <f>SUM(D94:E94)</f>
        <v>169995</v>
      </c>
      <c r="G94" s="159">
        <v>50</v>
      </c>
      <c r="H94" s="254">
        <v>3399.9</v>
      </c>
      <c r="I94" s="159">
        <v>7</v>
      </c>
      <c r="J94" s="97">
        <f t="shared" si="8"/>
        <v>43</v>
      </c>
      <c r="K94" s="91">
        <f t="shared" si="5"/>
        <v>23799.3</v>
      </c>
      <c r="L94" s="94">
        <f t="shared" si="9"/>
        <v>146195.70000000001</v>
      </c>
      <c r="M94" s="11"/>
      <c r="N94" s="180" t="e">
        <f>#REF!-H94</f>
        <v>#REF!</v>
      </c>
    </row>
    <row r="95" spans="1:14" s="114" customFormat="1">
      <c r="A95" s="96">
        <v>90</v>
      </c>
      <c r="B95" s="96" t="s">
        <v>642</v>
      </c>
      <c r="C95" s="11" t="s">
        <v>643</v>
      </c>
      <c r="D95" s="16">
        <v>500000</v>
      </c>
      <c r="E95" s="16">
        <v>66650</v>
      </c>
      <c r="F95" s="16">
        <v>566650</v>
      </c>
      <c r="G95" s="159">
        <v>50</v>
      </c>
      <c r="H95" s="253">
        <v>11333</v>
      </c>
      <c r="I95" s="101">
        <v>11</v>
      </c>
      <c r="J95" s="97">
        <f t="shared" si="8"/>
        <v>39</v>
      </c>
      <c r="K95" s="91">
        <f t="shared" si="5"/>
        <v>124663</v>
      </c>
      <c r="L95" s="94">
        <f t="shared" si="9"/>
        <v>441987</v>
      </c>
      <c r="M95" s="8"/>
      <c r="N95" s="180" t="e">
        <f>#REF!-H95</f>
        <v>#REF!</v>
      </c>
    </row>
    <row r="96" spans="1:14" s="114" customFormat="1">
      <c r="A96" s="96">
        <v>91</v>
      </c>
      <c r="B96" s="96" t="s">
        <v>661</v>
      </c>
      <c r="C96" s="11" t="s">
        <v>662</v>
      </c>
      <c r="D96" s="19">
        <v>500000</v>
      </c>
      <c r="E96" s="19">
        <v>66650</v>
      </c>
      <c r="F96" s="19">
        <v>566650</v>
      </c>
      <c r="G96" s="159">
        <v>50</v>
      </c>
      <c r="H96" s="209">
        <v>11333</v>
      </c>
      <c r="I96" s="97">
        <v>22</v>
      </c>
      <c r="J96" s="97">
        <f t="shared" si="8"/>
        <v>28</v>
      </c>
      <c r="K96" s="91">
        <f t="shared" si="5"/>
        <v>249326</v>
      </c>
      <c r="L96" s="91">
        <f t="shared" si="9"/>
        <v>317324</v>
      </c>
      <c r="M96" s="11"/>
      <c r="N96" s="180" t="e">
        <f>#REF!-H96</f>
        <v>#REF!</v>
      </c>
    </row>
    <row r="97" spans="1:14" s="114" customFormat="1">
      <c r="A97" s="96">
        <v>92</v>
      </c>
      <c r="B97" s="8" t="s">
        <v>723</v>
      </c>
      <c r="C97" s="11" t="s">
        <v>955</v>
      </c>
      <c r="D97" s="16">
        <v>500000</v>
      </c>
      <c r="E97" s="16">
        <v>66650</v>
      </c>
      <c r="F97" s="41">
        <f>SUM(D97:E97)</f>
        <v>566650</v>
      </c>
      <c r="G97" s="159">
        <v>50</v>
      </c>
      <c r="H97" s="254">
        <v>11333</v>
      </c>
      <c r="I97" s="159">
        <v>4</v>
      </c>
      <c r="J97" s="97">
        <f t="shared" si="8"/>
        <v>46</v>
      </c>
      <c r="K97" s="91">
        <f t="shared" si="5"/>
        <v>45332</v>
      </c>
      <c r="L97" s="94">
        <f t="shared" si="9"/>
        <v>521318</v>
      </c>
      <c r="M97" s="11"/>
    </row>
    <row r="98" spans="1:14" s="114" customFormat="1">
      <c r="A98" s="96">
        <v>93</v>
      </c>
      <c r="B98" s="96" t="s">
        <v>719</v>
      </c>
      <c r="C98" s="11" t="s">
        <v>720</v>
      </c>
      <c r="D98" s="16">
        <v>500000</v>
      </c>
      <c r="E98" s="16">
        <v>66650</v>
      </c>
      <c r="F98" s="16">
        <v>566650</v>
      </c>
      <c r="G98" s="159">
        <v>50</v>
      </c>
      <c r="H98" s="209">
        <v>11333</v>
      </c>
      <c r="I98" s="101">
        <v>11</v>
      </c>
      <c r="J98" s="97">
        <f t="shared" si="8"/>
        <v>39</v>
      </c>
      <c r="K98" s="91">
        <f t="shared" si="5"/>
        <v>124663</v>
      </c>
      <c r="L98" s="94">
        <f t="shared" si="9"/>
        <v>441987</v>
      </c>
      <c r="M98" s="8"/>
      <c r="N98" s="180" t="e">
        <f>#REF!-H98</f>
        <v>#REF!</v>
      </c>
    </row>
    <row r="99" spans="1:14" s="114" customFormat="1">
      <c r="A99" s="96">
        <v>94</v>
      </c>
      <c r="B99" s="96" t="s">
        <v>668</v>
      </c>
      <c r="C99" s="11" t="s">
        <v>669</v>
      </c>
      <c r="D99" s="16">
        <v>450000</v>
      </c>
      <c r="E99" s="16">
        <v>59985</v>
      </c>
      <c r="F99" s="16">
        <v>509985</v>
      </c>
      <c r="G99" s="159">
        <v>50</v>
      </c>
      <c r="H99" s="209">
        <v>10199.700000000001</v>
      </c>
      <c r="I99" s="97">
        <v>22</v>
      </c>
      <c r="J99" s="97">
        <f t="shared" si="8"/>
        <v>28</v>
      </c>
      <c r="K99" s="91">
        <f t="shared" si="5"/>
        <v>224393.40000000002</v>
      </c>
      <c r="L99" s="91">
        <f t="shared" si="9"/>
        <v>285591.59999999998</v>
      </c>
      <c r="M99" s="11"/>
      <c r="N99" s="180" t="e">
        <f>#REF!-H99</f>
        <v>#REF!</v>
      </c>
    </row>
    <row r="100" spans="1:14" s="114" customFormat="1">
      <c r="A100" s="96">
        <v>95</v>
      </c>
      <c r="B100" s="96" t="s">
        <v>594</v>
      </c>
      <c r="C100" s="11" t="s">
        <v>595</v>
      </c>
      <c r="D100" s="16">
        <v>500000</v>
      </c>
      <c r="E100" s="16">
        <v>66650</v>
      </c>
      <c r="F100" s="41">
        <f t="shared" ref="F100:F113" si="10">SUM(D100:E100)</f>
        <v>566650</v>
      </c>
      <c r="G100" s="159">
        <v>50</v>
      </c>
      <c r="H100" s="209">
        <v>11333</v>
      </c>
      <c r="I100" s="97">
        <v>37</v>
      </c>
      <c r="J100" s="97">
        <f t="shared" si="8"/>
        <v>13</v>
      </c>
      <c r="K100" s="91">
        <f t="shared" si="5"/>
        <v>419321</v>
      </c>
      <c r="L100" s="94">
        <f t="shared" si="9"/>
        <v>147329</v>
      </c>
      <c r="M100" s="11"/>
      <c r="N100" s="180" t="e">
        <f>#REF!-H100</f>
        <v>#REF!</v>
      </c>
    </row>
    <row r="101" spans="1:14" s="114" customFormat="1">
      <c r="A101" s="96">
        <v>96</v>
      </c>
      <c r="B101" s="96" t="s">
        <v>585</v>
      </c>
      <c r="C101" s="11" t="s">
        <v>586</v>
      </c>
      <c r="D101" s="161">
        <v>500000</v>
      </c>
      <c r="E101" s="161">
        <v>66650</v>
      </c>
      <c r="F101" s="162">
        <f t="shared" si="10"/>
        <v>566650</v>
      </c>
      <c r="G101" s="96">
        <v>50</v>
      </c>
      <c r="H101" s="209">
        <v>11333</v>
      </c>
      <c r="I101" s="97">
        <v>37</v>
      </c>
      <c r="J101" s="97">
        <f t="shared" si="8"/>
        <v>13</v>
      </c>
      <c r="K101" s="146">
        <f>I101*H101</f>
        <v>419321</v>
      </c>
      <c r="L101" s="164">
        <f t="shared" si="9"/>
        <v>147329</v>
      </c>
      <c r="M101" s="123"/>
      <c r="N101" s="180" t="e">
        <f>#REF!-H101</f>
        <v>#REF!</v>
      </c>
    </row>
    <row r="102" spans="1:14" s="114" customFormat="1">
      <c r="A102" s="96">
        <v>97</v>
      </c>
      <c r="B102" s="11" t="s">
        <v>899</v>
      </c>
      <c r="C102" s="123" t="s">
        <v>922</v>
      </c>
      <c r="D102" s="19">
        <v>330000</v>
      </c>
      <c r="E102" s="19">
        <v>43989</v>
      </c>
      <c r="F102" s="19">
        <f t="shared" si="10"/>
        <v>373989</v>
      </c>
      <c r="G102" s="159">
        <v>50</v>
      </c>
      <c r="H102" s="254">
        <v>7479.78</v>
      </c>
      <c r="I102" s="159">
        <v>6</v>
      </c>
      <c r="J102" s="159">
        <f t="shared" si="8"/>
        <v>44</v>
      </c>
      <c r="K102" s="16">
        <f>I102*H102</f>
        <v>44878.68</v>
      </c>
      <c r="L102" s="94">
        <f t="shared" ref="L102:L133" si="11">F102-K102</f>
        <v>329110.32</v>
      </c>
      <c r="M102" s="11"/>
      <c r="N102" s="180" t="e">
        <f>#REF!-H102</f>
        <v>#REF!</v>
      </c>
    </row>
    <row r="103" spans="1:14" s="114" customFormat="1">
      <c r="A103" s="96">
        <v>98</v>
      </c>
      <c r="B103" s="96" t="s">
        <v>647</v>
      </c>
      <c r="C103" s="11" t="s">
        <v>648</v>
      </c>
      <c r="D103" s="16">
        <v>500000</v>
      </c>
      <c r="E103" s="16">
        <v>66650</v>
      </c>
      <c r="F103" s="41">
        <f t="shared" si="10"/>
        <v>566650</v>
      </c>
      <c r="G103" s="159">
        <v>50</v>
      </c>
      <c r="H103" s="209">
        <v>11333</v>
      </c>
      <c r="I103" s="97">
        <v>15</v>
      </c>
      <c r="J103" s="97">
        <f t="shared" si="8"/>
        <v>35</v>
      </c>
      <c r="K103" s="91">
        <f>(1*11333)</f>
        <v>11333</v>
      </c>
      <c r="L103" s="91">
        <f t="shared" si="11"/>
        <v>555317</v>
      </c>
      <c r="M103" s="11"/>
    </row>
    <row r="104" spans="1:14" s="114" customFormat="1">
      <c r="A104" s="96">
        <v>99</v>
      </c>
      <c r="B104" s="11" t="s">
        <v>929</v>
      </c>
      <c r="C104" s="11" t="s">
        <v>932</v>
      </c>
      <c r="D104" s="16">
        <v>500000</v>
      </c>
      <c r="E104" s="16">
        <v>66650</v>
      </c>
      <c r="F104" s="41">
        <f t="shared" si="10"/>
        <v>566650</v>
      </c>
      <c r="G104" s="159">
        <v>50</v>
      </c>
      <c r="H104" s="254">
        <v>11333</v>
      </c>
      <c r="I104" s="159">
        <v>36</v>
      </c>
      <c r="J104" s="159">
        <f t="shared" si="8"/>
        <v>14</v>
      </c>
      <c r="K104" s="16">
        <f>I104*H104</f>
        <v>407988</v>
      </c>
      <c r="L104" s="94">
        <f t="shared" si="11"/>
        <v>158662</v>
      </c>
      <c r="M104" s="11"/>
    </row>
    <row r="105" spans="1:14" s="114" customFormat="1">
      <c r="A105" s="96">
        <v>100</v>
      </c>
      <c r="B105" s="126" t="s">
        <v>941</v>
      </c>
      <c r="C105" s="8" t="s">
        <v>942</v>
      </c>
      <c r="D105" s="19">
        <v>330000</v>
      </c>
      <c r="E105" s="19">
        <v>43989</v>
      </c>
      <c r="F105" s="19">
        <f t="shared" si="10"/>
        <v>373989</v>
      </c>
      <c r="G105" s="159">
        <v>50</v>
      </c>
      <c r="H105" s="12">
        <v>7479.78</v>
      </c>
      <c r="I105" s="159">
        <v>3</v>
      </c>
      <c r="J105" s="159">
        <f t="shared" si="8"/>
        <v>47</v>
      </c>
      <c r="K105" s="16">
        <f>I105*H105</f>
        <v>22439.34</v>
      </c>
      <c r="L105" s="94">
        <f t="shared" si="11"/>
        <v>351549.66</v>
      </c>
      <c r="M105" s="8"/>
    </row>
    <row r="106" spans="1:14" s="114" customFormat="1">
      <c r="A106" s="96">
        <v>101</v>
      </c>
      <c r="B106" s="96" t="s">
        <v>600</v>
      </c>
      <c r="C106" s="11" t="s">
        <v>601</v>
      </c>
      <c r="D106" s="16">
        <v>450000</v>
      </c>
      <c r="E106" s="16">
        <v>59985</v>
      </c>
      <c r="F106" s="41">
        <f t="shared" si="10"/>
        <v>509985</v>
      </c>
      <c r="G106" s="159">
        <v>50</v>
      </c>
      <c r="H106" s="209">
        <v>10199.700000000001</v>
      </c>
      <c r="I106" s="97">
        <v>36</v>
      </c>
      <c r="J106" s="97">
        <f>G106-I106</f>
        <v>14</v>
      </c>
      <c r="K106" s="91">
        <f>I106*H106</f>
        <v>367189.2</v>
      </c>
      <c r="L106" s="94">
        <f t="shared" si="11"/>
        <v>142795.79999999999</v>
      </c>
      <c r="M106" s="11"/>
    </row>
    <row r="107" spans="1:14" s="114" customFormat="1">
      <c r="A107" s="96">
        <v>102</v>
      </c>
      <c r="B107" s="126" t="s">
        <v>930</v>
      </c>
      <c r="C107" s="8" t="s">
        <v>933</v>
      </c>
      <c r="D107" s="19">
        <v>330000</v>
      </c>
      <c r="E107" s="19">
        <v>31672.200000000012</v>
      </c>
      <c r="F107" s="19">
        <f t="shared" si="10"/>
        <v>361672.2</v>
      </c>
      <c r="G107" s="159">
        <v>36</v>
      </c>
      <c r="H107" s="12">
        <v>10046.450000000001</v>
      </c>
      <c r="I107" s="159"/>
      <c r="J107" s="34"/>
      <c r="K107" s="16">
        <f>I107*H107</f>
        <v>0</v>
      </c>
      <c r="L107" s="94">
        <f t="shared" si="11"/>
        <v>361672.2</v>
      </c>
      <c r="M107" s="8"/>
    </row>
    <row r="108" spans="1:14" s="114" customFormat="1">
      <c r="A108" s="96">
        <v>103</v>
      </c>
      <c r="B108" s="96" t="s">
        <v>546</v>
      </c>
      <c r="C108" s="11" t="s">
        <v>547</v>
      </c>
      <c r="D108" s="19">
        <v>330000</v>
      </c>
      <c r="E108" s="19">
        <v>43989</v>
      </c>
      <c r="F108" s="19">
        <f t="shared" si="10"/>
        <v>373989</v>
      </c>
      <c r="G108" s="159">
        <v>40</v>
      </c>
      <c r="H108" s="209">
        <v>9129.7800000000007</v>
      </c>
      <c r="I108" s="159">
        <v>11</v>
      </c>
      <c r="J108" s="97">
        <f t="shared" ref="J108:J133" si="12">G108-I108</f>
        <v>29</v>
      </c>
      <c r="K108" s="91">
        <f>I108*H108</f>
        <v>100427.58</v>
      </c>
      <c r="L108" s="94">
        <f t="shared" si="11"/>
        <v>273561.42</v>
      </c>
      <c r="M108" s="11"/>
    </row>
    <row r="109" spans="1:14" s="114" customFormat="1">
      <c r="A109" s="96">
        <v>104</v>
      </c>
      <c r="B109" s="96" t="s">
        <v>638</v>
      </c>
      <c r="C109" s="11" t="s">
        <v>639</v>
      </c>
      <c r="D109" s="16">
        <v>500000</v>
      </c>
      <c r="E109" s="16">
        <v>66650</v>
      </c>
      <c r="F109" s="41">
        <f t="shared" si="10"/>
        <v>566650</v>
      </c>
      <c r="G109" s="159">
        <v>50</v>
      </c>
      <c r="H109" s="209">
        <v>11333</v>
      </c>
      <c r="I109" s="97">
        <v>15</v>
      </c>
      <c r="J109" s="97">
        <f t="shared" si="12"/>
        <v>35</v>
      </c>
      <c r="K109" s="91">
        <f>(1*11333)</f>
        <v>11333</v>
      </c>
      <c r="L109" s="91">
        <f t="shared" si="11"/>
        <v>555317</v>
      </c>
      <c r="M109" s="11"/>
      <c r="N109" s="120"/>
    </row>
    <row r="110" spans="1:14" s="114" customFormat="1">
      <c r="A110" s="96">
        <v>105</v>
      </c>
      <c r="B110" s="96" t="s">
        <v>629</v>
      </c>
      <c r="C110" s="11" t="s">
        <v>630</v>
      </c>
      <c r="D110" s="12">
        <v>330000</v>
      </c>
      <c r="E110" s="12">
        <v>43989</v>
      </c>
      <c r="F110" s="15">
        <f t="shared" si="10"/>
        <v>373989</v>
      </c>
      <c r="G110" s="14">
        <v>50</v>
      </c>
      <c r="H110" s="146">
        <v>7479.78</v>
      </c>
      <c r="I110" s="14">
        <v>42</v>
      </c>
      <c r="J110" s="97">
        <f t="shared" si="12"/>
        <v>8</v>
      </c>
      <c r="K110" s="91">
        <f t="shared" ref="K110:K133" si="13">I110*H110</f>
        <v>314150.76</v>
      </c>
      <c r="L110" s="15">
        <f t="shared" si="11"/>
        <v>59838.239999999991</v>
      </c>
      <c r="M110" s="8"/>
      <c r="N110"/>
    </row>
    <row r="111" spans="1:14" s="114" customFormat="1">
      <c r="A111" s="96">
        <v>106</v>
      </c>
      <c r="B111" s="96" t="s">
        <v>645</v>
      </c>
      <c r="C111" s="11" t="s">
        <v>646</v>
      </c>
      <c r="D111" s="16">
        <v>500000</v>
      </c>
      <c r="E111" s="16">
        <v>66650</v>
      </c>
      <c r="F111" s="41">
        <f t="shared" si="10"/>
        <v>566650</v>
      </c>
      <c r="G111" s="159">
        <v>50</v>
      </c>
      <c r="H111" s="209">
        <v>11333</v>
      </c>
      <c r="I111" s="97">
        <v>36</v>
      </c>
      <c r="J111" s="97">
        <f t="shared" si="12"/>
        <v>14</v>
      </c>
      <c r="K111" s="91">
        <f t="shared" si="13"/>
        <v>407988</v>
      </c>
      <c r="L111" s="94">
        <f t="shared" si="11"/>
        <v>158662</v>
      </c>
      <c r="M111" s="11"/>
      <c r="N111"/>
    </row>
    <row r="112" spans="1:14" s="114" customFormat="1">
      <c r="A112" s="96">
        <v>107</v>
      </c>
      <c r="B112" s="96" t="s">
        <v>548</v>
      </c>
      <c r="C112" s="11" t="s">
        <v>549</v>
      </c>
      <c r="D112" s="12">
        <v>330000</v>
      </c>
      <c r="E112" s="12">
        <v>43989</v>
      </c>
      <c r="F112" s="15">
        <f t="shared" si="10"/>
        <v>373989</v>
      </c>
      <c r="G112" s="14">
        <v>50</v>
      </c>
      <c r="H112" s="146">
        <v>7479.78</v>
      </c>
      <c r="I112" s="14">
        <v>42</v>
      </c>
      <c r="J112" s="97">
        <f t="shared" si="12"/>
        <v>8</v>
      </c>
      <c r="K112" s="91">
        <f t="shared" si="13"/>
        <v>314150.76</v>
      </c>
      <c r="L112" s="15">
        <f t="shared" si="11"/>
        <v>59838.239999999991</v>
      </c>
      <c r="M112" s="8"/>
      <c r="N112"/>
    </row>
    <row r="113" spans="1:15" s="114" customFormat="1">
      <c r="A113" s="96">
        <v>108</v>
      </c>
      <c r="B113" s="11" t="s">
        <v>678</v>
      </c>
      <c r="C113" s="123" t="s">
        <v>679</v>
      </c>
      <c r="D113" s="16">
        <v>500000</v>
      </c>
      <c r="E113" s="16">
        <v>66650</v>
      </c>
      <c r="F113" s="41">
        <f t="shared" si="10"/>
        <v>566650</v>
      </c>
      <c r="G113" s="159">
        <v>50</v>
      </c>
      <c r="H113" s="254">
        <v>15222</v>
      </c>
      <c r="I113" s="159">
        <v>6</v>
      </c>
      <c r="J113" s="159">
        <f t="shared" si="12"/>
        <v>44</v>
      </c>
      <c r="K113" s="16">
        <f t="shared" si="13"/>
        <v>91332</v>
      </c>
      <c r="L113" s="94">
        <f t="shared" si="11"/>
        <v>475318</v>
      </c>
      <c r="M113" s="11"/>
      <c r="N113"/>
    </row>
    <row r="114" spans="1:15" s="114" customFormat="1">
      <c r="A114" s="96">
        <v>109</v>
      </c>
      <c r="B114" s="96" t="s">
        <v>501</v>
      </c>
      <c r="C114" s="11" t="s">
        <v>502</v>
      </c>
      <c r="D114" s="16">
        <v>500000</v>
      </c>
      <c r="E114" s="16">
        <v>66650</v>
      </c>
      <c r="F114" s="16">
        <v>566650</v>
      </c>
      <c r="G114" s="159">
        <v>50</v>
      </c>
      <c r="H114" s="203">
        <v>11333</v>
      </c>
      <c r="I114" s="159">
        <v>11</v>
      </c>
      <c r="J114" s="97">
        <f t="shared" si="12"/>
        <v>39</v>
      </c>
      <c r="K114" s="91">
        <f t="shared" si="13"/>
        <v>124663</v>
      </c>
      <c r="L114" s="94">
        <f t="shared" si="11"/>
        <v>441987</v>
      </c>
      <c r="M114" s="11"/>
      <c r="N114"/>
    </row>
    <row r="115" spans="1:15" s="114" customFormat="1">
      <c r="A115" s="96">
        <v>110</v>
      </c>
      <c r="B115" s="96" t="s">
        <v>514</v>
      </c>
      <c r="C115" s="11" t="s">
        <v>515</v>
      </c>
      <c r="D115" s="16">
        <v>500000</v>
      </c>
      <c r="E115" s="16">
        <v>66650</v>
      </c>
      <c r="F115" s="41">
        <f>SUM(D115:E115)</f>
        <v>566650</v>
      </c>
      <c r="G115" s="159">
        <v>50</v>
      </c>
      <c r="H115" s="209">
        <v>11333</v>
      </c>
      <c r="I115" s="97">
        <v>58</v>
      </c>
      <c r="J115" s="97">
        <f t="shared" si="12"/>
        <v>-8</v>
      </c>
      <c r="K115" s="91">
        <f t="shared" si="13"/>
        <v>657314</v>
      </c>
      <c r="L115" s="94">
        <f t="shared" si="11"/>
        <v>-90664</v>
      </c>
      <c r="M115" s="11"/>
      <c r="N115"/>
    </row>
    <row r="116" spans="1:15" s="114" customFormat="1">
      <c r="A116" s="96">
        <v>111</v>
      </c>
      <c r="B116" s="96" t="s">
        <v>557</v>
      </c>
      <c r="C116" s="11" t="s">
        <v>558</v>
      </c>
      <c r="D116" s="16">
        <v>450000</v>
      </c>
      <c r="E116" s="16">
        <v>59985</v>
      </c>
      <c r="F116" s="41">
        <f>SUM(D116:E116)</f>
        <v>509985</v>
      </c>
      <c r="G116" s="159">
        <v>50</v>
      </c>
      <c r="H116" s="209">
        <v>10199.700000000001</v>
      </c>
      <c r="I116" s="97">
        <v>37</v>
      </c>
      <c r="J116" s="97">
        <f t="shared" si="12"/>
        <v>13</v>
      </c>
      <c r="K116" s="91">
        <f t="shared" si="13"/>
        <v>377388.9</v>
      </c>
      <c r="L116" s="94">
        <f t="shared" si="11"/>
        <v>132596.09999999998</v>
      </c>
      <c r="M116" s="11"/>
    </row>
    <row r="117" spans="1:15" s="114" customFormat="1">
      <c r="A117" s="96">
        <v>112</v>
      </c>
      <c r="B117" s="96" t="s">
        <v>583</v>
      </c>
      <c r="C117" s="11" t="s">
        <v>584</v>
      </c>
      <c r="D117" s="16">
        <v>500000</v>
      </c>
      <c r="E117" s="16">
        <v>66650</v>
      </c>
      <c r="F117" s="41">
        <f>SUM(D117:E117)</f>
        <v>566650</v>
      </c>
      <c r="G117" s="159">
        <v>50</v>
      </c>
      <c r="H117" s="209">
        <v>11333</v>
      </c>
      <c r="I117" s="97">
        <v>37</v>
      </c>
      <c r="J117" s="97">
        <f t="shared" si="12"/>
        <v>13</v>
      </c>
      <c r="K117" s="91">
        <f t="shared" si="13"/>
        <v>419321</v>
      </c>
      <c r="L117" s="94">
        <f t="shared" si="11"/>
        <v>147329</v>
      </c>
      <c r="M117" s="11"/>
    </row>
    <row r="118" spans="1:15" s="114" customFormat="1">
      <c r="A118" s="96">
        <v>113</v>
      </c>
      <c r="B118" s="96" t="s">
        <v>561</v>
      </c>
      <c r="C118" s="11" t="s">
        <v>562</v>
      </c>
      <c r="D118" s="16">
        <v>450000</v>
      </c>
      <c r="E118" s="16">
        <v>59985</v>
      </c>
      <c r="F118" s="41">
        <f>SUM(D118:E118)</f>
        <v>509985</v>
      </c>
      <c r="G118" s="159">
        <v>50</v>
      </c>
      <c r="H118" s="209">
        <v>10199.700000000001</v>
      </c>
      <c r="I118" s="97">
        <v>37</v>
      </c>
      <c r="J118" s="97">
        <f t="shared" si="12"/>
        <v>13</v>
      </c>
      <c r="K118" s="91">
        <f t="shared" si="13"/>
        <v>377388.9</v>
      </c>
      <c r="L118" s="94">
        <f t="shared" si="11"/>
        <v>132596.09999999998</v>
      </c>
      <c r="M118" s="11"/>
    </row>
    <row r="119" spans="1:15" s="114" customFormat="1">
      <c r="A119" s="96">
        <v>114</v>
      </c>
      <c r="B119" s="96" t="s">
        <v>684</v>
      </c>
      <c r="C119" s="11" t="s">
        <v>685</v>
      </c>
      <c r="D119" s="19">
        <v>500000</v>
      </c>
      <c r="E119" s="19">
        <v>66650</v>
      </c>
      <c r="F119" s="19">
        <v>566650</v>
      </c>
      <c r="G119" s="159">
        <v>50</v>
      </c>
      <c r="H119" s="209">
        <v>11333</v>
      </c>
      <c r="I119" s="97">
        <v>23</v>
      </c>
      <c r="J119" s="97">
        <f t="shared" si="12"/>
        <v>27</v>
      </c>
      <c r="K119" s="91">
        <f t="shared" si="13"/>
        <v>260659</v>
      </c>
      <c r="L119" s="91">
        <f t="shared" si="11"/>
        <v>305991</v>
      </c>
      <c r="M119" s="11"/>
    </row>
    <row r="120" spans="1:15" s="114" customFormat="1">
      <c r="A120" s="96">
        <v>115</v>
      </c>
      <c r="B120" s="96" t="s">
        <v>670</v>
      </c>
      <c r="C120" s="11" t="s">
        <v>671</v>
      </c>
      <c r="D120" s="16">
        <v>330000</v>
      </c>
      <c r="E120" s="16">
        <v>43989</v>
      </c>
      <c r="F120" s="41">
        <f>SUM(D120:E120)</f>
        <v>373989</v>
      </c>
      <c r="G120" s="159">
        <v>50</v>
      </c>
      <c r="H120" s="209">
        <v>7479.78</v>
      </c>
      <c r="I120" s="159">
        <v>45</v>
      </c>
      <c r="J120" s="97">
        <f t="shared" si="12"/>
        <v>5</v>
      </c>
      <c r="K120" s="91">
        <f t="shared" si="13"/>
        <v>336590.1</v>
      </c>
      <c r="L120" s="94">
        <f t="shared" si="11"/>
        <v>37398.900000000023</v>
      </c>
      <c r="M120" s="11"/>
    </row>
    <row r="121" spans="1:15" s="114" customFormat="1">
      <c r="A121" s="96">
        <v>116</v>
      </c>
      <c r="B121" s="11" t="s">
        <v>901</v>
      </c>
      <c r="C121" s="123" t="s">
        <v>924</v>
      </c>
      <c r="D121" s="19">
        <v>330000</v>
      </c>
      <c r="E121" s="19">
        <v>43989</v>
      </c>
      <c r="F121" s="19">
        <f>SUM(D121:E121)</f>
        <v>373989</v>
      </c>
      <c r="G121" s="159">
        <v>50</v>
      </c>
      <c r="H121" s="254">
        <v>7479.78</v>
      </c>
      <c r="I121" s="159">
        <v>6</v>
      </c>
      <c r="J121" s="159">
        <f t="shared" si="12"/>
        <v>44</v>
      </c>
      <c r="K121" s="16">
        <f t="shared" si="13"/>
        <v>44878.68</v>
      </c>
      <c r="L121" s="94">
        <f t="shared" si="11"/>
        <v>329110.32</v>
      </c>
      <c r="M121" s="11"/>
    </row>
    <row r="122" spans="1:15" s="114" customFormat="1">
      <c r="A122" s="96">
        <v>117</v>
      </c>
      <c r="B122" s="96" t="s">
        <v>509</v>
      </c>
      <c r="C122" s="11" t="s">
        <v>510</v>
      </c>
      <c r="D122" s="19">
        <v>450000</v>
      </c>
      <c r="E122" s="19">
        <v>59985</v>
      </c>
      <c r="F122" s="19">
        <v>509985</v>
      </c>
      <c r="G122" s="159">
        <v>50</v>
      </c>
      <c r="H122" s="209">
        <v>10199.700000000001</v>
      </c>
      <c r="I122" s="97">
        <v>23</v>
      </c>
      <c r="J122" s="97">
        <f t="shared" si="12"/>
        <v>27</v>
      </c>
      <c r="K122" s="91">
        <f t="shared" si="13"/>
        <v>234593.1</v>
      </c>
      <c r="L122" s="91">
        <f t="shared" si="11"/>
        <v>275391.90000000002</v>
      </c>
      <c r="M122" s="11"/>
    </row>
    <row r="123" spans="1:15" s="114" customFormat="1">
      <c r="A123" s="96">
        <v>118</v>
      </c>
      <c r="B123" s="126" t="s">
        <v>928</v>
      </c>
      <c r="C123" s="8" t="s">
        <v>931</v>
      </c>
      <c r="D123" s="16">
        <v>500000</v>
      </c>
      <c r="E123" s="16">
        <v>47988.040000000037</v>
      </c>
      <c r="F123" s="41">
        <f>SUM(D123:E123)</f>
        <v>547988.04</v>
      </c>
      <c r="G123" s="159">
        <v>36</v>
      </c>
      <c r="H123" s="12">
        <v>15221.89</v>
      </c>
      <c r="I123" s="159">
        <v>21</v>
      </c>
      <c r="J123" s="159">
        <f t="shared" si="12"/>
        <v>15</v>
      </c>
      <c r="K123" s="16">
        <f t="shared" si="13"/>
        <v>319659.69</v>
      </c>
      <c r="L123" s="94">
        <f t="shared" si="11"/>
        <v>228328.35000000003</v>
      </c>
      <c r="M123" s="8"/>
    </row>
    <row r="124" spans="1:15" s="114" customFormat="1">
      <c r="A124" s="96">
        <v>119</v>
      </c>
      <c r="B124" s="96" t="s">
        <v>613</v>
      </c>
      <c r="C124" s="11" t="s">
        <v>614</v>
      </c>
      <c r="D124" s="16">
        <v>500000</v>
      </c>
      <c r="E124" s="16">
        <v>66650</v>
      </c>
      <c r="F124" s="41">
        <f>SUM(D124:E124)</f>
        <v>566650</v>
      </c>
      <c r="G124" s="159">
        <v>50</v>
      </c>
      <c r="H124" s="209">
        <v>11333</v>
      </c>
      <c r="I124" s="97">
        <v>57</v>
      </c>
      <c r="J124" s="97">
        <f t="shared" si="12"/>
        <v>-7</v>
      </c>
      <c r="K124" s="91">
        <f t="shared" si="13"/>
        <v>645981</v>
      </c>
      <c r="L124" s="94">
        <f t="shared" si="11"/>
        <v>-79331</v>
      </c>
      <c r="M124" s="11"/>
      <c r="O124" s="120"/>
    </row>
    <row r="125" spans="1:15" s="114" customFormat="1">
      <c r="A125" s="96">
        <v>120</v>
      </c>
      <c r="B125" s="96" t="s">
        <v>711</v>
      </c>
      <c r="C125" s="11" t="s">
        <v>712</v>
      </c>
      <c r="D125" s="16">
        <v>500000</v>
      </c>
      <c r="E125" s="16">
        <v>66650</v>
      </c>
      <c r="F125" s="41">
        <f>SUM(D125:E125)</f>
        <v>566650</v>
      </c>
      <c r="G125" s="159">
        <v>50</v>
      </c>
      <c r="H125" s="209">
        <v>11333</v>
      </c>
      <c r="I125" s="97">
        <v>36</v>
      </c>
      <c r="J125" s="97">
        <f t="shared" si="12"/>
        <v>14</v>
      </c>
      <c r="K125" s="91">
        <f t="shared" si="13"/>
        <v>407988</v>
      </c>
      <c r="L125" s="94">
        <f t="shared" si="11"/>
        <v>158662</v>
      </c>
      <c r="M125" s="11"/>
    </row>
    <row r="126" spans="1:15" s="114" customFormat="1">
      <c r="A126" s="96">
        <v>121</v>
      </c>
      <c r="B126" s="96" t="s">
        <v>538</v>
      </c>
      <c r="C126" s="11" t="s">
        <v>539</v>
      </c>
      <c r="D126" s="12">
        <v>500000</v>
      </c>
      <c r="E126" s="12">
        <v>66650</v>
      </c>
      <c r="F126" s="15">
        <f>SUM(D126:E126)</f>
        <v>566650</v>
      </c>
      <c r="G126" s="14">
        <v>50</v>
      </c>
      <c r="H126" s="203">
        <v>11333</v>
      </c>
      <c r="I126" s="14">
        <v>42</v>
      </c>
      <c r="J126" s="97">
        <f t="shared" si="12"/>
        <v>8</v>
      </c>
      <c r="K126" s="91">
        <f t="shared" si="13"/>
        <v>475986</v>
      </c>
      <c r="L126" s="15">
        <f t="shared" si="11"/>
        <v>90664</v>
      </c>
      <c r="M126" s="8"/>
    </row>
    <row r="127" spans="1:15" s="114" customFormat="1">
      <c r="A127" s="96">
        <v>122</v>
      </c>
      <c r="B127" s="96" t="s">
        <v>507</v>
      </c>
      <c r="C127" s="11" t="s">
        <v>508</v>
      </c>
      <c r="D127" s="16">
        <v>500000</v>
      </c>
      <c r="E127" s="16">
        <v>66650</v>
      </c>
      <c r="F127" s="16">
        <v>566650</v>
      </c>
      <c r="G127" s="159">
        <v>50</v>
      </c>
      <c r="H127" s="209">
        <v>11333</v>
      </c>
      <c r="I127" s="97">
        <v>23</v>
      </c>
      <c r="J127" s="97">
        <f t="shared" si="12"/>
        <v>27</v>
      </c>
      <c r="K127" s="91">
        <f t="shared" si="13"/>
        <v>260659</v>
      </c>
      <c r="L127" s="91">
        <f t="shared" si="11"/>
        <v>305991</v>
      </c>
      <c r="M127" s="11"/>
    </row>
    <row r="128" spans="1:15" s="114" customFormat="1">
      <c r="A128" s="96">
        <v>123</v>
      </c>
      <c r="B128" s="96" t="s">
        <v>728</v>
      </c>
      <c r="C128" s="11" t="s">
        <v>729</v>
      </c>
      <c r="D128" s="16">
        <v>500000</v>
      </c>
      <c r="E128" s="16">
        <v>47992</v>
      </c>
      <c r="F128" s="41">
        <f t="shared" ref="F128:F133" si="14">SUM(D128:E128)</f>
        <v>547992</v>
      </c>
      <c r="G128" s="159">
        <v>36</v>
      </c>
      <c r="H128" s="203">
        <v>15222</v>
      </c>
      <c r="I128" s="97">
        <v>36</v>
      </c>
      <c r="J128" s="97">
        <f t="shared" si="12"/>
        <v>0</v>
      </c>
      <c r="K128" s="91">
        <f t="shared" si="13"/>
        <v>547992</v>
      </c>
      <c r="L128" s="94">
        <f t="shared" si="11"/>
        <v>0</v>
      </c>
      <c r="M128" s="11"/>
    </row>
    <row r="129" spans="1:15" s="114" customFormat="1">
      <c r="A129" s="96">
        <v>124</v>
      </c>
      <c r="B129" s="11" t="s">
        <v>889</v>
      </c>
      <c r="C129" s="123" t="s">
        <v>911</v>
      </c>
      <c r="D129" s="16">
        <v>500000</v>
      </c>
      <c r="E129" s="16">
        <v>66650</v>
      </c>
      <c r="F129" s="41">
        <f t="shared" si="14"/>
        <v>566650</v>
      </c>
      <c r="G129" s="159">
        <v>50</v>
      </c>
      <c r="H129" s="254">
        <v>11333</v>
      </c>
      <c r="I129" s="159">
        <v>6</v>
      </c>
      <c r="J129" s="159">
        <f t="shared" si="12"/>
        <v>44</v>
      </c>
      <c r="K129" s="16">
        <f t="shared" si="13"/>
        <v>67998</v>
      </c>
      <c r="L129" s="94">
        <f t="shared" si="11"/>
        <v>498652</v>
      </c>
      <c r="M129" s="11"/>
    </row>
    <row r="130" spans="1:15" s="114" customFormat="1">
      <c r="A130" s="96">
        <v>125</v>
      </c>
      <c r="B130" s="241" t="s">
        <v>590</v>
      </c>
      <c r="C130" s="11" t="s">
        <v>591</v>
      </c>
      <c r="D130" s="19">
        <v>150000</v>
      </c>
      <c r="E130" s="19">
        <v>19995</v>
      </c>
      <c r="F130" s="19">
        <f t="shared" si="14"/>
        <v>169995</v>
      </c>
      <c r="G130" s="240">
        <v>50</v>
      </c>
      <c r="H130" s="203">
        <v>3399.9</v>
      </c>
      <c r="I130" s="249">
        <v>36</v>
      </c>
      <c r="J130" s="97">
        <f t="shared" si="12"/>
        <v>14</v>
      </c>
      <c r="K130" s="91">
        <f t="shared" si="13"/>
        <v>122396.40000000001</v>
      </c>
      <c r="L130" s="94">
        <f t="shared" si="11"/>
        <v>47598.599999999991</v>
      </c>
      <c r="M130" s="11"/>
    </row>
    <row r="131" spans="1:15" s="114" customFormat="1">
      <c r="A131" s="96">
        <v>126</v>
      </c>
      <c r="B131" s="96" t="s">
        <v>631</v>
      </c>
      <c r="C131" s="11" t="s">
        <v>632</v>
      </c>
      <c r="D131" s="16">
        <v>500000</v>
      </c>
      <c r="E131" s="16">
        <v>66650</v>
      </c>
      <c r="F131" s="41">
        <f t="shared" si="14"/>
        <v>566650</v>
      </c>
      <c r="G131" s="159">
        <v>50</v>
      </c>
      <c r="H131" s="209">
        <v>11333</v>
      </c>
      <c r="I131" s="159">
        <v>58</v>
      </c>
      <c r="J131" s="97">
        <f t="shared" si="12"/>
        <v>-8</v>
      </c>
      <c r="K131" s="91">
        <f t="shared" si="13"/>
        <v>657314</v>
      </c>
      <c r="L131" s="94">
        <f t="shared" si="11"/>
        <v>-90664</v>
      </c>
      <c r="M131" s="11"/>
    </row>
    <row r="132" spans="1:15" s="114" customFormat="1">
      <c r="A132" s="96">
        <v>127</v>
      </c>
      <c r="B132" s="11" t="s">
        <v>898</v>
      </c>
      <c r="C132" s="123" t="s">
        <v>921</v>
      </c>
      <c r="D132" s="19">
        <v>330000</v>
      </c>
      <c r="E132" s="19">
        <v>43989</v>
      </c>
      <c r="F132" s="19">
        <f t="shared" si="14"/>
        <v>373989</v>
      </c>
      <c r="G132" s="159">
        <v>50</v>
      </c>
      <c r="H132" s="254">
        <v>7479.78</v>
      </c>
      <c r="I132" s="159">
        <v>6</v>
      </c>
      <c r="J132" s="159">
        <f t="shared" si="12"/>
        <v>44</v>
      </c>
      <c r="K132" s="16">
        <f t="shared" si="13"/>
        <v>44878.68</v>
      </c>
      <c r="L132" s="94">
        <f t="shared" si="11"/>
        <v>329110.32</v>
      </c>
      <c r="M132" s="11"/>
      <c r="N132" s="120"/>
    </row>
    <row r="133" spans="1:15" s="120" customFormat="1">
      <c r="A133" s="96">
        <v>128</v>
      </c>
      <c r="B133" s="11" t="s">
        <v>888</v>
      </c>
      <c r="C133" s="123" t="s">
        <v>910</v>
      </c>
      <c r="D133" s="16">
        <v>500000</v>
      </c>
      <c r="E133" s="16">
        <v>66650</v>
      </c>
      <c r="F133" s="41">
        <f t="shared" si="14"/>
        <v>566650</v>
      </c>
      <c r="G133" s="159">
        <v>50</v>
      </c>
      <c r="H133" s="254">
        <v>11333</v>
      </c>
      <c r="I133" s="159">
        <v>6</v>
      </c>
      <c r="J133" s="159">
        <f t="shared" si="12"/>
        <v>44</v>
      </c>
      <c r="K133" s="16">
        <f t="shared" si="13"/>
        <v>67998</v>
      </c>
      <c r="L133" s="94">
        <f t="shared" si="11"/>
        <v>498652</v>
      </c>
      <c r="M133" s="11"/>
      <c r="N133" s="114"/>
      <c r="O133" s="114"/>
    </row>
    <row r="134" spans="1:15" s="114" customFormat="1">
      <c r="A134" s="126"/>
      <c r="B134" s="126"/>
      <c r="C134" s="8"/>
      <c r="D134" s="34">
        <f>SUM(D6:D133)</f>
        <v>54870000</v>
      </c>
      <c r="E134" s="34">
        <f>SUM(E6:E133)</f>
        <v>7231209.2400000002</v>
      </c>
      <c r="F134" s="34">
        <f>SUM(F6:F133)</f>
        <v>62101209.240000002</v>
      </c>
      <c r="G134" s="34"/>
      <c r="H134" s="34">
        <f>SUM(H6:H133)</f>
        <v>1270976.27</v>
      </c>
      <c r="I134" s="34"/>
      <c r="J134" s="34"/>
      <c r="K134" s="34">
        <f>SUM(K6:K133)</f>
        <v>35694906.469999984</v>
      </c>
      <c r="L134" s="34">
        <f>SUM(L6:L133)</f>
        <v>26406302.770000007</v>
      </c>
      <c r="M134" s="8"/>
    </row>
    <row r="135" spans="1:15" s="114" customFormat="1">
      <c r="A135" s="270"/>
      <c r="B135" s="270"/>
      <c r="C135" s="69"/>
      <c r="D135" s="67"/>
      <c r="E135" s="67"/>
      <c r="F135" s="67"/>
      <c r="G135" s="67"/>
      <c r="H135" s="276">
        <v>1270976.2700000003</v>
      </c>
      <c r="I135" s="67"/>
      <c r="J135" s="67"/>
      <c r="K135" s="67"/>
      <c r="L135" s="67"/>
      <c r="M135" s="69"/>
    </row>
    <row r="136" spans="1:15" s="114" customFormat="1">
      <c r="A136" s="270"/>
      <c r="B136" s="270"/>
      <c r="C136" s="69"/>
      <c r="D136" s="67"/>
      <c r="E136" s="67"/>
      <c r="F136" s="67"/>
      <c r="G136" s="67"/>
      <c r="H136" s="67"/>
      <c r="I136" s="67"/>
      <c r="J136" s="67"/>
      <c r="K136" s="67"/>
      <c r="L136" s="67"/>
      <c r="M136" s="69"/>
    </row>
    <row r="137" spans="1:15" s="114" customFormat="1">
      <c r="A137" s="44"/>
      <c r="B137" s="44"/>
      <c r="C137" s="184"/>
      <c r="D137"/>
      <c r="E137"/>
      <c r="F137"/>
      <c r="G137" s="43"/>
      <c r="H137" s="39">
        <f>H135-H134</f>
        <v>0</v>
      </c>
      <c r="I137" s="99"/>
      <c r="J137" s="99"/>
      <c r="K137"/>
      <c r="L137"/>
      <c r="M137"/>
      <c r="N137" s="180"/>
    </row>
    <row r="138" spans="1:15" s="114" customFormat="1">
      <c r="A138" s="96">
        <v>7</v>
      </c>
      <c r="B138" s="241" t="s">
        <v>674</v>
      </c>
      <c r="C138" s="11" t="s">
        <v>675</v>
      </c>
      <c r="D138" s="16">
        <v>500000</v>
      </c>
      <c r="E138" s="16">
        <v>53320</v>
      </c>
      <c r="F138" s="41">
        <f>SUM(D138:E138)</f>
        <v>553320</v>
      </c>
      <c r="G138" s="240">
        <v>40</v>
      </c>
      <c r="H138" s="209">
        <v>13833</v>
      </c>
      <c r="I138" s="243">
        <v>53</v>
      </c>
      <c r="J138" s="96">
        <f t="shared" ref="J138:J157" si="15">G138-I138</f>
        <v>-13</v>
      </c>
      <c r="K138" s="16">
        <f t="shared" ref="K138:K153" si="16">I138*H138</f>
        <v>733149</v>
      </c>
      <c r="L138" s="41">
        <f t="shared" ref="L138:L157" si="17">F138-K138</f>
        <v>-179829</v>
      </c>
      <c r="M138" s="11"/>
      <c r="N138" s="180" t="e">
        <f>#REF!-H131</f>
        <v>#REF!</v>
      </c>
    </row>
    <row r="139" spans="1:15" s="114" customFormat="1">
      <c r="A139" s="96">
        <v>9</v>
      </c>
      <c r="B139" s="96" t="s">
        <v>602</v>
      </c>
      <c r="C139" s="11" t="s">
        <v>603</v>
      </c>
      <c r="D139" s="16">
        <v>330000</v>
      </c>
      <c r="E139" s="16">
        <v>43989</v>
      </c>
      <c r="F139" s="41">
        <f>SUM(D139:E139)</f>
        <v>373989</v>
      </c>
      <c r="G139" s="159">
        <v>50</v>
      </c>
      <c r="H139" s="203">
        <v>7479.78</v>
      </c>
      <c r="I139" s="96">
        <v>41</v>
      </c>
      <c r="J139" s="96">
        <f t="shared" si="15"/>
        <v>9</v>
      </c>
      <c r="K139" s="16">
        <f t="shared" si="16"/>
        <v>306670.98</v>
      </c>
      <c r="L139" s="41">
        <f t="shared" si="17"/>
        <v>67318.020000000019</v>
      </c>
      <c r="M139" s="11"/>
    </row>
    <row r="140" spans="1:15" s="114" customFormat="1">
      <c r="A140" s="96">
        <v>18</v>
      </c>
      <c r="B140" s="96" t="s">
        <v>672</v>
      </c>
      <c r="C140" s="11" t="s">
        <v>673</v>
      </c>
      <c r="D140" s="16">
        <v>500000</v>
      </c>
      <c r="E140" s="16">
        <v>53320</v>
      </c>
      <c r="F140" s="41">
        <f>SUM(D140:E140)</f>
        <v>553320</v>
      </c>
      <c r="G140" s="159">
        <v>40</v>
      </c>
      <c r="H140" s="209">
        <v>13833</v>
      </c>
      <c r="I140" s="97">
        <v>53</v>
      </c>
      <c r="J140" s="97">
        <f t="shared" si="15"/>
        <v>-13</v>
      </c>
      <c r="K140" s="91">
        <f t="shared" si="16"/>
        <v>733149</v>
      </c>
      <c r="L140" s="94">
        <f t="shared" si="17"/>
        <v>-179829</v>
      </c>
      <c r="M140" s="11"/>
      <c r="N140" s="180" t="e">
        <f>#REF!-H138</f>
        <v>#REF!</v>
      </c>
    </row>
    <row r="141" spans="1:15" s="114" customFormat="1">
      <c r="A141" s="96">
        <v>56</v>
      </c>
      <c r="B141" s="96" t="s">
        <v>592</v>
      </c>
      <c r="C141" s="11" t="s">
        <v>593</v>
      </c>
      <c r="D141" s="16">
        <v>500000</v>
      </c>
      <c r="E141" s="16">
        <v>53320</v>
      </c>
      <c r="F141" s="41">
        <f>SUM(D141:E141)</f>
        <v>553320</v>
      </c>
      <c r="G141" s="159">
        <v>40</v>
      </c>
      <c r="H141" s="209">
        <v>13833</v>
      </c>
      <c r="I141" s="97">
        <v>53</v>
      </c>
      <c r="J141" s="97">
        <f t="shared" si="15"/>
        <v>-13</v>
      </c>
      <c r="K141" s="91">
        <f t="shared" si="16"/>
        <v>733149</v>
      </c>
      <c r="L141" s="94">
        <f t="shared" si="17"/>
        <v>-179829</v>
      </c>
      <c r="M141" s="11"/>
      <c r="N141" s="180" t="e">
        <f>#REF!-H139</f>
        <v>#REF!</v>
      </c>
    </row>
    <row r="142" spans="1:15" s="114" customFormat="1">
      <c r="A142" s="96">
        <v>82</v>
      </c>
      <c r="B142" s="96" t="s">
        <v>555</v>
      </c>
      <c r="C142" s="11" t="s">
        <v>556</v>
      </c>
      <c r="D142" s="16">
        <v>500000</v>
      </c>
      <c r="E142" s="16">
        <v>66650</v>
      </c>
      <c r="F142" s="41">
        <f>SUM(D142:E142)</f>
        <v>566650</v>
      </c>
      <c r="G142" s="159">
        <v>50</v>
      </c>
      <c r="H142" s="209">
        <v>11333</v>
      </c>
      <c r="I142" s="97">
        <v>32</v>
      </c>
      <c r="J142" s="97">
        <f t="shared" si="15"/>
        <v>18</v>
      </c>
      <c r="K142" s="91">
        <f t="shared" si="16"/>
        <v>362656</v>
      </c>
      <c r="L142" s="94">
        <f t="shared" si="17"/>
        <v>203994</v>
      </c>
      <c r="M142" s="11"/>
      <c r="N142" s="180" t="e">
        <f>#REF!-H140</f>
        <v>#REF!</v>
      </c>
    </row>
    <row r="143" spans="1:15" s="114" customFormat="1">
      <c r="A143" s="96">
        <v>129</v>
      </c>
      <c r="B143" s="96" t="s">
        <v>705</v>
      </c>
      <c r="C143" s="11" t="s">
        <v>706</v>
      </c>
      <c r="D143" s="19">
        <v>450000</v>
      </c>
      <c r="E143" s="19">
        <v>59985</v>
      </c>
      <c r="F143" s="19">
        <v>509985</v>
      </c>
      <c r="G143" s="159">
        <v>50</v>
      </c>
      <c r="H143" s="209">
        <v>10199.700000000001</v>
      </c>
      <c r="I143" s="159">
        <v>7</v>
      </c>
      <c r="J143" s="97">
        <f t="shared" si="15"/>
        <v>43</v>
      </c>
      <c r="K143" s="91">
        <f t="shared" si="16"/>
        <v>71397.900000000009</v>
      </c>
      <c r="L143" s="94">
        <f t="shared" si="17"/>
        <v>438587.1</v>
      </c>
      <c r="M143" s="11"/>
      <c r="N143" s="180" t="e">
        <f>#REF!-H141</f>
        <v>#REF!</v>
      </c>
    </row>
    <row r="144" spans="1:15" s="114" customFormat="1">
      <c r="A144" s="96">
        <v>103</v>
      </c>
      <c r="B144" s="96" t="s">
        <v>540</v>
      </c>
      <c r="C144" s="11" t="s">
        <v>541</v>
      </c>
      <c r="D144" s="16">
        <v>500000</v>
      </c>
      <c r="E144" s="16">
        <v>66650</v>
      </c>
      <c r="F144" s="41">
        <f>SUM(D144:E144)</f>
        <v>566650</v>
      </c>
      <c r="G144" s="159">
        <v>50</v>
      </c>
      <c r="H144" s="209">
        <v>11333</v>
      </c>
      <c r="I144" s="97">
        <v>37</v>
      </c>
      <c r="J144" s="97">
        <f t="shared" si="15"/>
        <v>13</v>
      </c>
      <c r="K144" s="91">
        <f t="shared" si="16"/>
        <v>419321</v>
      </c>
      <c r="L144" s="94">
        <f t="shared" si="17"/>
        <v>147329</v>
      </c>
      <c r="M144" s="11"/>
      <c r="N144" s="180" t="e">
        <f>#REF!-H142</f>
        <v>#REF!</v>
      </c>
    </row>
    <row r="145" spans="1:14" s="114" customFormat="1">
      <c r="A145" s="96">
        <v>33</v>
      </c>
      <c r="B145" s="122" t="s">
        <v>897</v>
      </c>
      <c r="C145" s="123" t="s">
        <v>920</v>
      </c>
      <c r="D145" s="19">
        <v>450000</v>
      </c>
      <c r="E145" s="19">
        <v>59985</v>
      </c>
      <c r="F145" s="19">
        <v>509985</v>
      </c>
      <c r="G145" s="159">
        <v>50</v>
      </c>
      <c r="H145" s="254">
        <v>10199.700000000001</v>
      </c>
      <c r="I145" s="188">
        <v>2</v>
      </c>
      <c r="J145" s="188">
        <f t="shared" si="15"/>
        <v>48</v>
      </c>
      <c r="K145" s="257">
        <f t="shared" si="16"/>
        <v>20399.400000000001</v>
      </c>
      <c r="L145" s="94">
        <f t="shared" si="17"/>
        <v>489585.6</v>
      </c>
      <c r="M145" s="122" t="s">
        <v>251</v>
      </c>
      <c r="N145"/>
    </row>
    <row r="146" spans="1:14" s="114" customFormat="1">
      <c r="A146" s="96">
        <v>41</v>
      </c>
      <c r="B146" s="122" t="s">
        <v>881</v>
      </c>
      <c r="C146" s="123" t="s">
        <v>903</v>
      </c>
      <c r="D146" s="16">
        <v>500000</v>
      </c>
      <c r="E146" s="16">
        <v>66650</v>
      </c>
      <c r="F146" s="41">
        <f>SUM(D146:E146)</f>
        <v>566650</v>
      </c>
      <c r="G146" s="159">
        <v>50</v>
      </c>
      <c r="H146" s="254">
        <v>13833</v>
      </c>
      <c r="I146" s="188">
        <v>2</v>
      </c>
      <c r="J146" s="188">
        <f t="shared" si="15"/>
        <v>48</v>
      </c>
      <c r="K146" s="257">
        <f t="shared" si="16"/>
        <v>27666</v>
      </c>
      <c r="L146" s="94">
        <f t="shared" si="17"/>
        <v>538984</v>
      </c>
      <c r="M146" s="122" t="s">
        <v>251</v>
      </c>
    </row>
    <row r="147" spans="1:14" s="114" customFormat="1">
      <c r="A147" s="96">
        <v>63</v>
      </c>
      <c r="B147" s="96" t="s">
        <v>891</v>
      </c>
      <c r="C147" s="11" t="s">
        <v>913</v>
      </c>
      <c r="D147" s="12">
        <v>450000</v>
      </c>
      <c r="E147" s="12">
        <v>59985</v>
      </c>
      <c r="F147" s="15">
        <f>SUM(D147:E147)</f>
        <v>509985</v>
      </c>
      <c r="G147" s="14">
        <v>50</v>
      </c>
      <c r="H147" s="203">
        <v>10199.9</v>
      </c>
      <c r="I147" s="14">
        <v>39</v>
      </c>
      <c r="J147" s="97">
        <f t="shared" si="15"/>
        <v>11</v>
      </c>
      <c r="K147" s="91">
        <f t="shared" si="16"/>
        <v>397796.1</v>
      </c>
      <c r="L147" s="15">
        <f t="shared" si="17"/>
        <v>112188.90000000002</v>
      </c>
      <c r="M147" s="8"/>
      <c r="N147" s="180" t="e">
        <f>#REF!-H146</f>
        <v>#REF!</v>
      </c>
    </row>
    <row r="148" spans="1:14" s="114" customFormat="1">
      <c r="A148" s="96">
        <v>94</v>
      </c>
      <c r="B148" s="122" t="s">
        <v>892</v>
      </c>
      <c r="C148" s="123" t="s">
        <v>914</v>
      </c>
      <c r="D148" s="19">
        <v>450000</v>
      </c>
      <c r="E148" s="19">
        <v>59985</v>
      </c>
      <c r="F148" s="19">
        <v>509985</v>
      </c>
      <c r="G148" s="159">
        <v>50</v>
      </c>
      <c r="H148" s="254">
        <v>10199.700000000001</v>
      </c>
      <c r="I148" s="188">
        <v>2</v>
      </c>
      <c r="J148" s="188">
        <f t="shared" si="15"/>
        <v>48</v>
      </c>
      <c r="K148" s="257">
        <f t="shared" si="16"/>
        <v>20399.400000000001</v>
      </c>
      <c r="L148" s="94">
        <f t="shared" si="17"/>
        <v>489585.6</v>
      </c>
      <c r="M148" s="122" t="s">
        <v>251</v>
      </c>
      <c r="N148" s="180" t="e">
        <f>#REF!-H147</f>
        <v>#REF!</v>
      </c>
    </row>
    <row r="149" spans="1:14" s="114" customFormat="1">
      <c r="A149" s="96">
        <v>106</v>
      </c>
      <c r="B149" s="8" t="s">
        <v>628</v>
      </c>
      <c r="C149" s="11" t="s">
        <v>917</v>
      </c>
      <c r="D149" s="19">
        <v>450000</v>
      </c>
      <c r="E149" s="19">
        <v>59985</v>
      </c>
      <c r="F149" s="19">
        <v>509985</v>
      </c>
      <c r="G149" s="159">
        <v>50</v>
      </c>
      <c r="H149" s="254">
        <v>10199.700000000001</v>
      </c>
      <c r="I149" s="159">
        <v>3</v>
      </c>
      <c r="J149" s="97">
        <f t="shared" si="15"/>
        <v>47</v>
      </c>
      <c r="K149" s="91">
        <f t="shared" si="16"/>
        <v>30599.100000000002</v>
      </c>
      <c r="L149" s="94">
        <f t="shared" si="17"/>
        <v>479385.9</v>
      </c>
      <c r="M149" s="11"/>
      <c r="N149" s="180" t="e">
        <f>#REF!-H148</f>
        <v>#REF!</v>
      </c>
    </row>
    <row r="150" spans="1:14" s="114" customFormat="1">
      <c r="A150" s="96">
        <v>115</v>
      </c>
      <c r="B150" s="122" t="s">
        <v>882</v>
      </c>
      <c r="C150" s="123" t="s">
        <v>904</v>
      </c>
      <c r="D150" s="19">
        <v>450000</v>
      </c>
      <c r="E150" s="19">
        <v>59985</v>
      </c>
      <c r="F150" s="19">
        <v>509985</v>
      </c>
      <c r="G150" s="159">
        <v>50</v>
      </c>
      <c r="H150" s="254">
        <v>13699.7</v>
      </c>
      <c r="I150" s="188">
        <v>2</v>
      </c>
      <c r="J150" s="188">
        <f t="shared" si="15"/>
        <v>48</v>
      </c>
      <c r="K150" s="257">
        <f t="shared" si="16"/>
        <v>27399.4</v>
      </c>
      <c r="L150" s="94">
        <f t="shared" si="17"/>
        <v>482585.59999999998</v>
      </c>
      <c r="M150" s="122" t="s">
        <v>251</v>
      </c>
      <c r="N150"/>
    </row>
    <row r="151" spans="1:14" s="114" customFormat="1">
      <c r="A151" s="96">
        <v>120</v>
      </c>
      <c r="B151" s="96" t="s">
        <v>577</v>
      </c>
      <c r="C151" s="11" t="s">
        <v>578</v>
      </c>
      <c r="D151" s="19">
        <v>330000</v>
      </c>
      <c r="E151" s="19">
        <v>43989</v>
      </c>
      <c r="F151" s="19">
        <f t="shared" ref="F151:F157" si="18">SUM(D151:E151)</f>
        <v>373989</v>
      </c>
      <c r="G151" s="159">
        <v>50</v>
      </c>
      <c r="H151" s="209">
        <v>7479.78</v>
      </c>
      <c r="I151" s="159">
        <v>7</v>
      </c>
      <c r="J151" s="97">
        <f t="shared" si="15"/>
        <v>43</v>
      </c>
      <c r="K151" s="91">
        <f t="shared" si="16"/>
        <v>52358.46</v>
      </c>
      <c r="L151" s="94">
        <f t="shared" si="17"/>
        <v>321630.53999999998</v>
      </c>
      <c r="M151" s="214"/>
    </row>
    <row r="152" spans="1:14" s="114" customFormat="1">
      <c r="A152" s="96">
        <v>2</v>
      </c>
      <c r="B152" s="241" t="s">
        <v>615</v>
      </c>
      <c r="C152" s="11" t="s">
        <v>616</v>
      </c>
      <c r="D152" s="16">
        <v>132000</v>
      </c>
      <c r="E152" s="16">
        <v>17595.599999999999</v>
      </c>
      <c r="F152" s="41">
        <f t="shared" si="18"/>
        <v>149595.6</v>
      </c>
      <c r="G152" s="240">
        <v>40</v>
      </c>
      <c r="H152" s="278">
        <v>3739.89</v>
      </c>
      <c r="I152" s="243">
        <v>40</v>
      </c>
      <c r="J152" s="96">
        <f t="shared" si="15"/>
        <v>0</v>
      </c>
      <c r="K152" s="16">
        <f t="shared" si="16"/>
        <v>149595.6</v>
      </c>
      <c r="L152" s="41">
        <f t="shared" si="17"/>
        <v>0</v>
      </c>
      <c r="M152" s="11"/>
    </row>
    <row r="153" spans="1:14" s="114" customFormat="1">
      <c r="A153" s="96">
        <v>74</v>
      </c>
      <c r="B153" s="96" t="s">
        <v>651</v>
      </c>
      <c r="C153" s="11" t="s">
        <v>652</v>
      </c>
      <c r="D153" s="16">
        <v>450000</v>
      </c>
      <c r="E153" s="16">
        <v>59985</v>
      </c>
      <c r="F153" s="41">
        <f t="shared" si="18"/>
        <v>509985</v>
      </c>
      <c r="G153" s="159">
        <v>50</v>
      </c>
      <c r="H153" s="278">
        <v>10199.700000000001</v>
      </c>
      <c r="I153" s="97">
        <v>39</v>
      </c>
      <c r="J153" s="97">
        <f t="shared" si="15"/>
        <v>11</v>
      </c>
      <c r="K153" s="91">
        <f t="shared" si="16"/>
        <v>397788.30000000005</v>
      </c>
      <c r="L153" s="94">
        <f t="shared" si="17"/>
        <v>112196.69999999995</v>
      </c>
      <c r="M153" s="11"/>
      <c r="N153" s="180" t="e">
        <f>#REF!-H152</f>
        <v>#REF!</v>
      </c>
    </row>
    <row r="154" spans="1:14" s="114" customFormat="1">
      <c r="A154" s="96">
        <v>16</v>
      </c>
      <c r="B154" s="96" t="s">
        <v>565</v>
      </c>
      <c r="C154" s="11" t="s">
        <v>566</v>
      </c>
      <c r="D154" s="16">
        <v>60000</v>
      </c>
      <c r="E154" s="16">
        <v>7998</v>
      </c>
      <c r="F154" s="41">
        <f t="shared" si="18"/>
        <v>67998</v>
      </c>
      <c r="G154" s="159">
        <v>40</v>
      </c>
      <c r="H154" s="278">
        <v>1699.95</v>
      </c>
      <c r="I154" s="97">
        <v>10</v>
      </c>
      <c r="J154" s="97">
        <f t="shared" si="15"/>
        <v>30</v>
      </c>
      <c r="K154" s="91"/>
      <c r="L154" s="94">
        <f t="shared" si="17"/>
        <v>67998</v>
      </c>
      <c r="M154" s="11"/>
      <c r="N154" s="180" t="e">
        <f>#REF!-H153</f>
        <v>#REF!</v>
      </c>
    </row>
    <row r="155" spans="1:14" s="114" customFormat="1">
      <c r="A155" s="96">
        <v>33</v>
      </c>
      <c r="B155" s="96" t="s">
        <v>499</v>
      </c>
      <c r="C155" s="11" t="s">
        <v>500</v>
      </c>
      <c r="D155" s="16">
        <v>500000</v>
      </c>
      <c r="E155" s="16">
        <v>66650</v>
      </c>
      <c r="F155" s="41">
        <f t="shared" si="18"/>
        <v>566650</v>
      </c>
      <c r="G155" s="159">
        <v>50</v>
      </c>
      <c r="H155" s="277">
        <v>11333</v>
      </c>
      <c r="I155" s="159">
        <v>7</v>
      </c>
      <c r="J155" s="97">
        <f t="shared" si="15"/>
        <v>43</v>
      </c>
      <c r="K155" s="91">
        <f>I155*H155</f>
        <v>79331</v>
      </c>
      <c r="L155" s="94">
        <f t="shared" si="17"/>
        <v>487319</v>
      </c>
      <c r="M155" s="11"/>
    </row>
    <row r="156" spans="1:14" s="114" customFormat="1">
      <c r="A156" s="96">
        <v>113</v>
      </c>
      <c r="B156" s="96" t="s">
        <v>611</v>
      </c>
      <c r="C156" s="11" t="s">
        <v>612</v>
      </c>
      <c r="D156" s="12">
        <v>500000</v>
      </c>
      <c r="E156" s="12">
        <v>66650</v>
      </c>
      <c r="F156" s="15">
        <f t="shared" si="18"/>
        <v>566650</v>
      </c>
      <c r="G156" s="14">
        <v>50</v>
      </c>
      <c r="H156" s="277">
        <v>11333</v>
      </c>
      <c r="I156" s="14">
        <v>40</v>
      </c>
      <c r="J156" s="97">
        <f t="shared" si="15"/>
        <v>10</v>
      </c>
      <c r="K156" s="91">
        <f>I156*H156</f>
        <v>453320</v>
      </c>
      <c r="L156" s="15">
        <f t="shared" si="17"/>
        <v>113330</v>
      </c>
      <c r="M156" s="8"/>
      <c r="N156" s="180" t="e">
        <f>#REF!-H155</f>
        <v>#REF!</v>
      </c>
    </row>
    <row r="157" spans="1:14" s="114" customFormat="1">
      <c r="A157" s="96">
        <v>116</v>
      </c>
      <c r="B157" s="96" t="s">
        <v>563</v>
      </c>
      <c r="C157" s="11" t="s">
        <v>564</v>
      </c>
      <c r="D157" s="19">
        <v>330000</v>
      </c>
      <c r="E157" s="19">
        <v>43989</v>
      </c>
      <c r="F157" s="19">
        <f t="shared" si="18"/>
        <v>373989</v>
      </c>
      <c r="G157" s="159">
        <v>50</v>
      </c>
      <c r="H157" s="277">
        <v>7479.78</v>
      </c>
      <c r="I157" s="97">
        <v>21</v>
      </c>
      <c r="J157" s="97">
        <f t="shared" si="15"/>
        <v>29</v>
      </c>
      <c r="K157" s="91">
        <f>I157*H157</f>
        <v>157075.38</v>
      </c>
      <c r="L157" s="91">
        <f t="shared" si="17"/>
        <v>216913.62</v>
      </c>
      <c r="M157" s="11"/>
    </row>
    <row r="158" spans="1:14" s="114" customFormat="1" ht="18" customHeight="1">
      <c r="A158" s="44"/>
      <c r="B158" s="44"/>
      <c r="C158" s="184"/>
      <c r="D158"/>
      <c r="E158"/>
      <c r="F158"/>
      <c r="G158" s="43"/>
      <c r="H158" s="39"/>
      <c r="I158" s="99"/>
      <c r="J158" s="99"/>
      <c r="K158"/>
      <c r="L158"/>
      <c r="M158"/>
    </row>
    <row r="159" spans="1:14" s="114" customFormat="1" ht="18" customHeight="1">
      <c r="A159" s="44"/>
      <c r="B159" s="44"/>
      <c r="C159" s="184"/>
      <c r="D159"/>
      <c r="E159"/>
      <c r="F159"/>
      <c r="G159" s="43"/>
      <c r="H159" s="39">
        <f>H137-H134</f>
        <v>-1270976.27</v>
      </c>
      <c r="I159" s="99"/>
      <c r="J159" s="99"/>
      <c r="K159"/>
      <c r="L159"/>
      <c r="M159"/>
    </row>
    <row r="160" spans="1:14" s="114" customFormat="1" ht="18" customHeight="1">
      <c r="A160" s="44"/>
      <c r="B160" s="44"/>
      <c r="C160" s="184"/>
      <c r="D160"/>
      <c r="E160"/>
      <c r="F160"/>
      <c r="G160" s="43"/>
      <c r="H160" s="39"/>
      <c r="I160" s="99"/>
      <c r="J160" s="99"/>
      <c r="K160"/>
      <c r="L160"/>
      <c r="M160"/>
    </row>
    <row r="161" spans="1:14" s="114" customFormat="1" ht="18" customHeight="1">
      <c r="A161" s="44"/>
      <c r="B161" s="44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44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44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44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44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44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>
      <c r="A167" s="96">
        <v>9</v>
      </c>
      <c r="B167" s="96" t="s">
        <v>704</v>
      </c>
      <c r="C167" s="2" t="s">
        <v>794</v>
      </c>
      <c r="D167" s="16">
        <v>500000</v>
      </c>
      <c r="E167" s="16">
        <v>66650</v>
      </c>
      <c r="F167" s="41">
        <f>SUM(D167:E167)</f>
        <v>566650</v>
      </c>
      <c r="G167" s="159">
        <v>50</v>
      </c>
      <c r="H167" s="209">
        <v>11333</v>
      </c>
      <c r="I167" s="96">
        <v>40</v>
      </c>
      <c r="J167" s="96">
        <f>G167-I167</f>
        <v>10</v>
      </c>
      <c r="K167" s="16">
        <f>I167*H167</f>
        <v>453320</v>
      </c>
      <c r="L167" s="41">
        <f>F167-K167</f>
        <v>113330</v>
      </c>
      <c r="M167" s="11"/>
      <c r="N167" s="180" t="e">
        <f>#REF!-H167</f>
        <v>#REF!</v>
      </c>
    </row>
    <row r="168" spans="1:14" s="114" customFormat="1">
      <c r="A168" s="96">
        <v>38</v>
      </c>
      <c r="B168" s="96" t="s">
        <v>511</v>
      </c>
      <c r="C168" s="173" t="s">
        <v>837</v>
      </c>
      <c r="D168" s="41">
        <v>200000</v>
      </c>
      <c r="E168" s="41">
        <v>26660</v>
      </c>
      <c r="F168" s="41">
        <f>SUM(D168:E168)</f>
        <v>226660</v>
      </c>
      <c r="G168" s="159">
        <v>40</v>
      </c>
      <c r="H168" s="203">
        <v>7479</v>
      </c>
      <c r="I168" s="97">
        <v>17</v>
      </c>
      <c r="J168" s="97">
        <f>G168-I168</f>
        <v>23</v>
      </c>
      <c r="K168" s="91">
        <f>I168*H168</f>
        <v>127143</v>
      </c>
      <c r="L168" s="94">
        <f>F168-K168</f>
        <v>99517</v>
      </c>
      <c r="M168" s="11"/>
      <c r="N168" s="180" t="e">
        <f>#REF!-H168</f>
        <v>#REF!</v>
      </c>
    </row>
    <row r="169" spans="1:14" s="114" customFormat="1">
      <c r="A169" s="96">
        <v>56</v>
      </c>
      <c r="B169" s="96" t="s">
        <v>637</v>
      </c>
      <c r="C169" s="23" t="s">
        <v>776</v>
      </c>
      <c r="D169" s="16">
        <v>500000</v>
      </c>
      <c r="E169" s="16">
        <v>66650</v>
      </c>
      <c r="F169" s="41">
        <f>SUM(D169:E169)</f>
        <v>566650</v>
      </c>
      <c r="G169" s="159">
        <v>50</v>
      </c>
      <c r="H169" s="209">
        <v>11333</v>
      </c>
      <c r="I169" s="97">
        <v>39</v>
      </c>
      <c r="J169" s="97">
        <f>G169-I169</f>
        <v>11</v>
      </c>
      <c r="K169" s="91">
        <f>I169*H169</f>
        <v>441987</v>
      </c>
      <c r="L169" s="94">
        <f>F169-K169</f>
        <v>124663</v>
      </c>
      <c r="M169" s="11"/>
      <c r="N169" s="180" t="e">
        <f>#REF!-H169</f>
        <v>#REF!</v>
      </c>
    </row>
    <row r="170" spans="1:14" s="114" customFormat="1">
      <c r="A170" s="96">
        <v>91</v>
      </c>
      <c r="B170" s="96" t="s">
        <v>587</v>
      </c>
      <c r="C170" s="2" t="s">
        <v>763</v>
      </c>
      <c r="D170" s="12">
        <v>500000</v>
      </c>
      <c r="E170" s="12">
        <v>66650</v>
      </c>
      <c r="F170" s="15">
        <f>SUM(D170:E170)</f>
        <v>566650</v>
      </c>
      <c r="G170" s="14">
        <v>50</v>
      </c>
      <c r="H170" s="143">
        <v>11333</v>
      </c>
      <c r="I170" s="14">
        <v>34</v>
      </c>
      <c r="J170" s="97">
        <f>G170-I170</f>
        <v>16</v>
      </c>
      <c r="K170" s="91">
        <f>I170*H170</f>
        <v>385322</v>
      </c>
      <c r="L170" s="15">
        <f>F170-K170</f>
        <v>181328</v>
      </c>
      <c r="M170" s="8"/>
      <c r="N170" s="180" t="e">
        <f>#REF!-H170</f>
        <v>#REF!</v>
      </c>
    </row>
    <row r="171" spans="1:14" s="114" customFormat="1">
      <c r="A171" s="96">
        <v>105</v>
      </c>
      <c r="B171" s="96" t="s">
        <v>678</v>
      </c>
      <c r="C171" s="23" t="s">
        <v>733</v>
      </c>
      <c r="D171" s="16">
        <v>500000</v>
      </c>
      <c r="E171" s="16">
        <v>47992</v>
      </c>
      <c r="F171" s="41">
        <f>SUM(D171:E171)</f>
        <v>547992</v>
      </c>
      <c r="G171" s="159">
        <v>36</v>
      </c>
      <c r="H171" s="203">
        <v>15222</v>
      </c>
      <c r="I171" s="97">
        <v>30</v>
      </c>
      <c r="J171" s="97">
        <f>G171-I171</f>
        <v>6</v>
      </c>
      <c r="K171" s="91">
        <f>I171*H171</f>
        <v>456660</v>
      </c>
      <c r="L171" s="94">
        <f>F171-K171</f>
        <v>91332</v>
      </c>
      <c r="M171" s="11"/>
      <c r="N171" s="180" t="e">
        <f>#REF!-H171</f>
        <v>#REF!</v>
      </c>
    </row>
    <row r="172" spans="1:14" s="114" customFormat="1"/>
    <row r="173" spans="1:14" s="114" customFormat="1">
      <c r="A173" s="96">
        <v>1</v>
      </c>
      <c r="B173" s="241"/>
      <c r="C173" s="4" t="s">
        <v>383</v>
      </c>
      <c r="D173" s="41">
        <v>200000</v>
      </c>
      <c r="E173" s="41">
        <v>26660</v>
      </c>
      <c r="F173" s="41">
        <f t="shared" ref="F173:F178" si="19">SUM(D173:E173)</f>
        <v>226660</v>
      </c>
      <c r="G173" s="159">
        <v>40</v>
      </c>
      <c r="H173" s="208">
        <v>5666.5</v>
      </c>
      <c r="I173" s="96">
        <v>42</v>
      </c>
      <c r="J173" s="96">
        <f t="shared" ref="J173:J182" si="20">G173-I173</f>
        <v>-2</v>
      </c>
      <c r="K173" s="16">
        <f t="shared" ref="K173:K182" si="21">I173*H173</f>
        <v>237993</v>
      </c>
      <c r="L173" s="41">
        <f t="shared" ref="L173:L182" si="22">F173-K173</f>
        <v>-11333</v>
      </c>
      <c r="M173" s="11"/>
      <c r="N173" s="180" t="e">
        <f>#REF!-H173</f>
        <v>#REF!</v>
      </c>
    </row>
    <row r="174" spans="1:14" s="114" customFormat="1">
      <c r="A174" s="96">
        <v>5</v>
      </c>
      <c r="B174" s="241"/>
      <c r="C174" s="4" t="s">
        <v>413</v>
      </c>
      <c r="D174" s="12">
        <v>180000</v>
      </c>
      <c r="E174" s="12">
        <v>23994</v>
      </c>
      <c r="F174" s="15">
        <f t="shared" si="19"/>
        <v>203994</v>
      </c>
      <c r="G174" s="14">
        <v>40</v>
      </c>
      <c r="H174" s="208">
        <v>5099.8500000000004</v>
      </c>
      <c r="I174" s="159">
        <v>38</v>
      </c>
      <c r="J174" s="97">
        <f t="shared" si="20"/>
        <v>2</v>
      </c>
      <c r="K174" s="91">
        <f t="shared" si="21"/>
        <v>193794.30000000002</v>
      </c>
      <c r="L174" s="15">
        <f t="shared" si="22"/>
        <v>10199.699999999983</v>
      </c>
      <c r="M174" s="8"/>
      <c r="N174" s="180" t="e">
        <f>#REF!-H174</f>
        <v>#REF!</v>
      </c>
    </row>
    <row r="175" spans="1:14" s="114" customFormat="1">
      <c r="A175" s="96">
        <v>12</v>
      </c>
      <c r="B175" s="96"/>
      <c r="C175" s="2" t="s">
        <v>389</v>
      </c>
      <c r="D175" s="41">
        <v>200000</v>
      </c>
      <c r="E175" s="41">
        <v>26660</v>
      </c>
      <c r="F175" s="41">
        <f t="shared" si="19"/>
        <v>226660</v>
      </c>
      <c r="G175" s="220">
        <v>40</v>
      </c>
      <c r="H175" s="208">
        <v>5666.5</v>
      </c>
      <c r="I175" s="96">
        <v>53</v>
      </c>
      <c r="J175" s="96">
        <f t="shared" si="20"/>
        <v>-13</v>
      </c>
      <c r="K175" s="16">
        <f t="shared" si="21"/>
        <v>300324.5</v>
      </c>
      <c r="L175" s="41">
        <f t="shared" si="22"/>
        <v>-73664.5</v>
      </c>
      <c r="M175" s="152"/>
      <c r="N175" s="180" t="e">
        <f>#REF!-H175</f>
        <v>#REF!</v>
      </c>
    </row>
    <row r="176" spans="1:14" s="114" customFormat="1">
      <c r="A176" s="96">
        <v>29</v>
      </c>
      <c r="B176" s="241"/>
      <c r="C176" s="4" t="s">
        <v>414</v>
      </c>
      <c r="D176" s="16">
        <v>180000</v>
      </c>
      <c r="E176" s="16">
        <v>23994</v>
      </c>
      <c r="F176" s="41">
        <f t="shared" si="19"/>
        <v>203994</v>
      </c>
      <c r="G176" s="159">
        <v>40</v>
      </c>
      <c r="H176" s="208">
        <v>5099.8500000000004</v>
      </c>
      <c r="I176" s="97">
        <v>40</v>
      </c>
      <c r="J176" s="97">
        <f t="shared" si="20"/>
        <v>0</v>
      </c>
      <c r="K176" s="91">
        <f t="shared" si="21"/>
        <v>203994</v>
      </c>
      <c r="L176" s="94">
        <f t="shared" si="22"/>
        <v>0</v>
      </c>
      <c r="M176" s="11"/>
      <c r="N176" s="180" t="e">
        <f>#REF!-H176</f>
        <v>#REF!</v>
      </c>
    </row>
    <row r="177" spans="1:15" s="114" customFormat="1">
      <c r="A177" s="96">
        <v>64</v>
      </c>
      <c r="B177" s="241"/>
      <c r="C177" s="4" t="s">
        <v>403</v>
      </c>
      <c r="D177" s="41">
        <v>200000</v>
      </c>
      <c r="E177" s="41">
        <v>26660</v>
      </c>
      <c r="F177" s="41">
        <f t="shared" si="19"/>
        <v>226660</v>
      </c>
      <c r="G177" s="159">
        <v>40</v>
      </c>
      <c r="H177" s="208">
        <v>5666.5</v>
      </c>
      <c r="I177" s="97">
        <v>42</v>
      </c>
      <c r="J177" s="97">
        <f t="shared" si="20"/>
        <v>-2</v>
      </c>
      <c r="K177" s="91">
        <f t="shared" si="21"/>
        <v>237993</v>
      </c>
      <c r="L177" s="94">
        <f t="shared" si="22"/>
        <v>-11333</v>
      </c>
      <c r="M177" s="11"/>
      <c r="N177" s="180" t="e">
        <f>#REF!-H177</f>
        <v>#REF!</v>
      </c>
    </row>
    <row r="178" spans="1:15" s="114" customFormat="1">
      <c r="A178" s="96">
        <v>68</v>
      </c>
      <c r="B178" s="241"/>
      <c r="C178" s="4" t="s">
        <v>422</v>
      </c>
      <c r="D178" s="16">
        <v>132000</v>
      </c>
      <c r="E178" s="16">
        <v>17595.599999999999</v>
      </c>
      <c r="F178" s="41">
        <f t="shared" si="19"/>
        <v>149595.6</v>
      </c>
      <c r="G178" s="159">
        <v>40</v>
      </c>
      <c r="H178" s="208">
        <v>3739.89</v>
      </c>
      <c r="I178" s="97">
        <v>42</v>
      </c>
      <c r="J178" s="97">
        <f t="shared" si="20"/>
        <v>-2</v>
      </c>
      <c r="K178" s="91">
        <f t="shared" si="21"/>
        <v>157075.38</v>
      </c>
      <c r="L178" s="94">
        <f t="shared" si="22"/>
        <v>-7479.7799999999988</v>
      </c>
      <c r="M178" s="11"/>
      <c r="N178" s="180" t="e">
        <f>#REF!-H178</f>
        <v>#REF!</v>
      </c>
    </row>
    <row r="179" spans="1:15" s="114" customFormat="1">
      <c r="A179" s="96">
        <v>86</v>
      </c>
      <c r="B179" s="241"/>
      <c r="C179" s="4" t="s">
        <v>407</v>
      </c>
      <c r="D179" s="41">
        <v>200000</v>
      </c>
      <c r="E179" s="41">
        <v>26660</v>
      </c>
      <c r="F179" s="41">
        <v>226660</v>
      </c>
      <c r="G179" s="159">
        <v>40</v>
      </c>
      <c r="H179" s="208">
        <v>5666.5</v>
      </c>
      <c r="I179" s="97">
        <v>42</v>
      </c>
      <c r="J179" s="97">
        <f t="shared" si="20"/>
        <v>-2</v>
      </c>
      <c r="K179" s="91">
        <f t="shared" si="21"/>
        <v>237993</v>
      </c>
      <c r="L179" s="94">
        <f t="shared" si="22"/>
        <v>-11333</v>
      </c>
      <c r="M179" s="11"/>
      <c r="N179" s="180" t="e">
        <f>#REF!-H179</f>
        <v>#REF!</v>
      </c>
    </row>
    <row r="180" spans="1:15" s="114" customFormat="1">
      <c r="A180" s="96">
        <v>94</v>
      </c>
      <c r="B180" s="241"/>
      <c r="C180" s="4" t="s">
        <v>408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0"/>
        <v>-2</v>
      </c>
      <c r="K180" s="91">
        <f t="shared" si="21"/>
        <v>237993</v>
      </c>
      <c r="L180" s="94">
        <f t="shared" si="22"/>
        <v>-11333</v>
      </c>
      <c r="M180" s="11"/>
      <c r="N180" s="180" t="e">
        <f>#REF!-H180</f>
        <v>#REF!</v>
      </c>
    </row>
    <row r="181" spans="1:15" s="114" customFormat="1">
      <c r="A181" s="96">
        <v>99</v>
      </c>
      <c r="B181" s="241"/>
      <c r="C181" s="4" t="s">
        <v>409</v>
      </c>
      <c r="D181" s="41">
        <v>200000</v>
      </c>
      <c r="E181" s="41">
        <v>26660</v>
      </c>
      <c r="F181" s="41">
        <f>SUM(D181:E181)</f>
        <v>226660</v>
      </c>
      <c r="G181" s="159">
        <v>40</v>
      </c>
      <c r="H181" s="208">
        <v>5666.5</v>
      </c>
      <c r="I181" s="97">
        <v>42</v>
      </c>
      <c r="J181" s="97">
        <f t="shared" si="20"/>
        <v>-2</v>
      </c>
      <c r="K181" s="91">
        <f t="shared" si="21"/>
        <v>237993</v>
      </c>
      <c r="L181" s="94">
        <f t="shared" si="22"/>
        <v>-11333</v>
      </c>
      <c r="M181" s="11"/>
      <c r="N181" s="180" t="e">
        <f>#REF!-H181</f>
        <v>#REF!</v>
      </c>
      <c r="O181"/>
    </row>
    <row r="182" spans="1:15" s="114" customFormat="1">
      <c r="A182" s="96">
        <v>107</v>
      </c>
      <c r="B182" s="241"/>
      <c r="C182" s="4" t="s">
        <v>35</v>
      </c>
      <c r="D182" s="155">
        <v>150000</v>
      </c>
      <c r="E182" s="155">
        <v>19995</v>
      </c>
      <c r="F182" s="155">
        <f>SUM(D182:E182)</f>
        <v>169995</v>
      </c>
      <c r="G182" s="159">
        <v>50</v>
      </c>
      <c r="H182" s="208">
        <v>3399.9</v>
      </c>
      <c r="I182" s="97">
        <v>14</v>
      </c>
      <c r="J182" s="97">
        <f t="shared" si="20"/>
        <v>36</v>
      </c>
      <c r="K182" s="91">
        <f t="shared" si="21"/>
        <v>47598.6</v>
      </c>
      <c r="L182" s="91">
        <f t="shared" si="22"/>
        <v>122396.4</v>
      </c>
      <c r="M182" s="122"/>
      <c r="N182" s="180" t="e">
        <f>#REF!-H182</f>
        <v>#REF!</v>
      </c>
      <c r="O182"/>
    </row>
    <row r="183" spans="1:15" s="114" customFormat="1">
      <c r="O183"/>
    </row>
    <row r="184" spans="1:15" s="114" customFormat="1">
      <c r="A184" s="96">
        <v>30</v>
      </c>
      <c r="B184" s="96"/>
      <c r="C184" s="25" t="s">
        <v>362</v>
      </c>
      <c r="D184" s="12">
        <v>450000</v>
      </c>
      <c r="E184" s="12">
        <v>59985</v>
      </c>
      <c r="F184" s="15">
        <f>SUM(D184:E184)</f>
        <v>509985</v>
      </c>
      <c r="G184" s="14">
        <v>50</v>
      </c>
      <c r="H184" s="212">
        <v>10199.700000000001</v>
      </c>
      <c r="I184" s="14">
        <v>30</v>
      </c>
      <c r="J184" s="97">
        <f t="shared" ref="J184:J191" si="23">G184-I184</f>
        <v>20</v>
      </c>
      <c r="K184" s="91">
        <f>I184*H184</f>
        <v>305991</v>
      </c>
      <c r="L184" s="15">
        <f t="shared" ref="L184:L191" si="24">F184-K184</f>
        <v>203994</v>
      </c>
      <c r="M184" s="8"/>
      <c r="N184" s="180" t="e">
        <f>#REF!-H184</f>
        <v>#REF!</v>
      </c>
      <c r="O184"/>
    </row>
    <row r="185" spans="1:15" s="114" customFormat="1" ht="14.25" customHeight="1">
      <c r="A185" s="96">
        <v>102</v>
      </c>
      <c r="B185" s="241"/>
      <c r="C185" s="46" t="s">
        <v>289</v>
      </c>
      <c r="D185" s="16">
        <v>180000</v>
      </c>
      <c r="E185" s="16">
        <v>23994</v>
      </c>
      <c r="F185" s="16">
        <v>203994</v>
      </c>
      <c r="G185" s="221">
        <v>40</v>
      </c>
      <c r="H185" s="167">
        <v>5099.8500000000004</v>
      </c>
      <c r="I185" s="97">
        <v>40</v>
      </c>
      <c r="J185" s="97">
        <f t="shared" si="23"/>
        <v>0</v>
      </c>
      <c r="K185" s="156">
        <f>(36*5099.85)</f>
        <v>183594.6</v>
      </c>
      <c r="L185" s="91">
        <f t="shared" si="24"/>
        <v>20399.399999999994</v>
      </c>
      <c r="M185" s="122"/>
      <c r="N185" s="180" t="e">
        <f>#REF!-H185</f>
        <v>#REF!</v>
      </c>
      <c r="O185"/>
    </row>
    <row r="186" spans="1:15" s="114" customFormat="1" ht="14.25" customHeight="1">
      <c r="A186" s="96">
        <v>90</v>
      </c>
      <c r="B186" s="241"/>
      <c r="C186" s="4" t="s">
        <v>416</v>
      </c>
      <c r="D186" s="12">
        <v>180000</v>
      </c>
      <c r="E186" s="12">
        <v>23994</v>
      </c>
      <c r="F186" s="15">
        <f>SUM(D186:E186)</f>
        <v>203994</v>
      </c>
      <c r="G186" s="21">
        <v>40</v>
      </c>
      <c r="H186" s="167">
        <v>5099.8500000000004</v>
      </c>
      <c r="I186" s="14">
        <v>47</v>
      </c>
      <c r="J186" s="97">
        <f t="shared" si="23"/>
        <v>-7</v>
      </c>
      <c r="K186" s="91">
        <f t="shared" ref="K186:K191" si="25">I186*H186</f>
        <v>239692.95</v>
      </c>
      <c r="L186" s="15">
        <f t="shared" si="24"/>
        <v>-35698.950000000012</v>
      </c>
      <c r="M186" s="10"/>
      <c r="N186" s="180" t="e">
        <f>#REF!-H186</f>
        <v>#REF!</v>
      </c>
      <c r="O186"/>
    </row>
    <row r="187" spans="1:15" ht="14.25" customHeight="1">
      <c r="A187" s="96">
        <v>4</v>
      </c>
      <c r="B187" s="241"/>
      <c r="C187" s="4" t="s">
        <v>384</v>
      </c>
      <c r="D187" s="41">
        <v>200000</v>
      </c>
      <c r="E187" s="41">
        <v>26660</v>
      </c>
      <c r="F187" s="41">
        <f>SUM(D187:E187)</f>
        <v>226660</v>
      </c>
      <c r="G187" s="159">
        <v>40</v>
      </c>
      <c r="H187" s="167">
        <v>5666.5</v>
      </c>
      <c r="I187" s="96">
        <v>32</v>
      </c>
      <c r="J187" s="96">
        <f t="shared" si="23"/>
        <v>8</v>
      </c>
      <c r="K187" s="16">
        <f t="shared" si="25"/>
        <v>181328</v>
      </c>
      <c r="L187" s="41">
        <f t="shared" si="24"/>
        <v>45332</v>
      </c>
      <c r="M187" s="11"/>
      <c r="N187" s="180" t="e">
        <f>#REF!-H187</f>
        <v>#REF!</v>
      </c>
    </row>
    <row r="188" spans="1:15" ht="14.25" customHeight="1">
      <c r="A188" s="96">
        <v>10</v>
      </c>
      <c r="B188" s="241"/>
      <c r="C188" s="4" t="s">
        <v>388</v>
      </c>
      <c r="D188" s="15">
        <v>200000</v>
      </c>
      <c r="E188" s="15">
        <v>26660</v>
      </c>
      <c r="F188" s="15">
        <f>SUM(D188:E188)</f>
        <v>226660</v>
      </c>
      <c r="G188" s="14">
        <v>40</v>
      </c>
      <c r="H188" s="24">
        <v>5666.5</v>
      </c>
      <c r="I188" s="14">
        <v>38</v>
      </c>
      <c r="J188" s="97">
        <f t="shared" si="23"/>
        <v>2</v>
      </c>
      <c r="K188" s="91">
        <f t="shared" si="25"/>
        <v>215327</v>
      </c>
      <c r="L188" s="15">
        <f t="shared" si="24"/>
        <v>11333</v>
      </c>
      <c r="M188" s="8"/>
      <c r="N188" s="180" t="e">
        <f>#REF!-H188</f>
        <v>#REF!</v>
      </c>
    </row>
    <row r="189" spans="1:15" ht="14.25" customHeight="1">
      <c r="A189" s="96">
        <v>25</v>
      </c>
      <c r="B189" s="241"/>
      <c r="C189" s="4" t="s">
        <v>140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167">
        <v>5666.5</v>
      </c>
      <c r="I189" s="14">
        <v>34</v>
      </c>
      <c r="J189" s="97">
        <f t="shared" si="23"/>
        <v>6</v>
      </c>
      <c r="K189" s="91">
        <f t="shared" si="25"/>
        <v>192661</v>
      </c>
      <c r="L189" s="15">
        <f t="shared" si="24"/>
        <v>33999</v>
      </c>
      <c r="M189" s="8"/>
      <c r="N189" s="180" t="e">
        <f>#REF!-H189</f>
        <v>#REF!</v>
      </c>
    </row>
    <row r="190" spans="1:15" ht="14.25" customHeight="1">
      <c r="A190" s="96">
        <v>31</v>
      </c>
      <c r="B190" s="96"/>
      <c r="C190" s="2" t="s">
        <v>284</v>
      </c>
      <c r="D190" s="19">
        <v>500000</v>
      </c>
      <c r="E190" s="19">
        <v>66650</v>
      </c>
      <c r="F190" s="19">
        <v>566650</v>
      </c>
      <c r="G190" s="159">
        <v>50</v>
      </c>
      <c r="H190" s="167">
        <v>11333</v>
      </c>
      <c r="I190" s="97">
        <v>34</v>
      </c>
      <c r="J190" s="97">
        <f t="shared" si="23"/>
        <v>16</v>
      </c>
      <c r="K190" s="91">
        <f t="shared" si="25"/>
        <v>385322</v>
      </c>
      <c r="L190" s="91">
        <f t="shared" si="24"/>
        <v>181328</v>
      </c>
      <c r="M190" s="122"/>
      <c r="N190" s="180" t="e">
        <f>#REF!-H190</f>
        <v>#REF!</v>
      </c>
    </row>
    <row r="191" spans="1:15" ht="14.25" customHeight="1">
      <c r="A191" s="96">
        <v>122</v>
      </c>
      <c r="B191" s="241"/>
      <c r="C191" s="168" t="s">
        <v>382</v>
      </c>
      <c r="D191" s="12">
        <v>330000</v>
      </c>
      <c r="E191" s="12">
        <v>43989</v>
      </c>
      <c r="F191" s="15">
        <f>SUM(D191:E191)</f>
        <v>373989</v>
      </c>
      <c r="G191" s="14">
        <v>50</v>
      </c>
      <c r="H191" s="222">
        <v>7479.78</v>
      </c>
      <c r="I191" s="14">
        <v>32</v>
      </c>
      <c r="J191" s="97">
        <f t="shared" si="23"/>
        <v>18</v>
      </c>
      <c r="K191" s="91">
        <f t="shared" si="25"/>
        <v>239352.95999999999</v>
      </c>
      <c r="L191" s="15">
        <f t="shared" si="24"/>
        <v>134636.04</v>
      </c>
      <c r="M191" s="8"/>
    </row>
    <row r="192" spans="1:15" ht="14.25" customHeight="1">
      <c r="A192" s="114"/>
      <c r="B192" s="114"/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</row>
    <row r="193" spans="1:15" ht="14.25" customHeight="1">
      <c r="A193" s="96">
        <v>96</v>
      </c>
      <c r="B193" s="241"/>
      <c r="C193" s="4" t="s">
        <v>482</v>
      </c>
      <c r="D193" s="12">
        <v>60000</v>
      </c>
      <c r="E193" s="12">
        <v>7998</v>
      </c>
      <c r="F193" s="15">
        <f>SUM(D193:E193)</f>
        <v>67998</v>
      </c>
      <c r="G193" s="14">
        <v>40</v>
      </c>
      <c r="H193" s="172">
        <v>1699.95</v>
      </c>
      <c r="I193" s="97">
        <v>41</v>
      </c>
      <c r="J193" s="97">
        <f>G193-I193</f>
        <v>-1</v>
      </c>
      <c r="K193" s="91">
        <f>I193*H193</f>
        <v>69697.95</v>
      </c>
      <c r="L193" s="94">
        <f>F193-K193</f>
        <v>-1699.9499999999971</v>
      </c>
      <c r="M193" s="122"/>
      <c r="N193" s="114"/>
    </row>
    <row r="194" spans="1:15" ht="14.25" customHeight="1">
      <c r="A194" s="114"/>
      <c r="B194" s="114"/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21"/>
    </row>
    <row r="195" spans="1:15" ht="14.25" customHeight="1">
      <c r="A195" s="96">
        <v>121</v>
      </c>
      <c r="B195" s="241"/>
      <c r="C195" s="4" t="s">
        <v>429</v>
      </c>
      <c r="D195" s="16">
        <v>60000</v>
      </c>
      <c r="E195" s="16">
        <v>7998</v>
      </c>
      <c r="F195" s="41">
        <f>SUM(D195:E195)</f>
        <v>67998</v>
      </c>
      <c r="G195" s="159">
        <v>40</v>
      </c>
      <c r="H195" s="167">
        <v>1699.95</v>
      </c>
      <c r="I195" s="97">
        <v>40</v>
      </c>
      <c r="J195" s="97">
        <f>G195-I195</f>
        <v>0</v>
      </c>
      <c r="K195" s="91">
        <f>I195*H195</f>
        <v>67998</v>
      </c>
      <c r="L195" s="94">
        <f>F195-K195</f>
        <v>0</v>
      </c>
      <c r="M195" s="11"/>
      <c r="N195" s="180" t="e">
        <f>#REF!-H195</f>
        <v>#REF!</v>
      </c>
    </row>
    <row r="197" spans="1:15">
      <c r="A197" s="96">
        <v>12</v>
      </c>
      <c r="B197" s="96"/>
      <c r="C197" s="2" t="s">
        <v>373</v>
      </c>
      <c r="D197" s="16">
        <v>330000</v>
      </c>
      <c r="E197" s="16">
        <v>43989</v>
      </c>
      <c r="F197" s="41">
        <f>SUM(D197:E197)</f>
        <v>373989</v>
      </c>
      <c r="G197" s="33">
        <v>50</v>
      </c>
      <c r="H197" s="16">
        <v>7479.78</v>
      </c>
      <c r="I197" s="96">
        <v>26</v>
      </c>
      <c r="J197" s="96">
        <f>G197-I197</f>
        <v>24</v>
      </c>
      <c r="K197" s="16">
        <f>I197*H197</f>
        <v>194474.28</v>
      </c>
      <c r="L197" s="41">
        <f>F197-K197</f>
        <v>179514.72</v>
      </c>
      <c r="M197" s="11"/>
      <c r="N197" s="180" t="e">
        <f>#REF!-H197</f>
        <v>#REF!</v>
      </c>
    </row>
    <row r="198" spans="1:15">
      <c r="A198" s="96">
        <v>87</v>
      </c>
      <c r="B198" s="96"/>
      <c r="C198" s="2" t="s">
        <v>421</v>
      </c>
      <c r="D198" s="16">
        <v>132000</v>
      </c>
      <c r="E198" s="16">
        <v>17595.599999999999</v>
      </c>
      <c r="F198" s="16">
        <v>149595.6</v>
      </c>
      <c r="G198" s="45">
        <v>40</v>
      </c>
      <c r="H198" s="19">
        <v>3739.89</v>
      </c>
      <c r="I198" s="97">
        <v>46</v>
      </c>
      <c r="J198" s="97">
        <f>G198-I198</f>
        <v>-6</v>
      </c>
      <c r="K198" s="91">
        <f>I198*H198</f>
        <v>172034.94</v>
      </c>
      <c r="L198" s="94">
        <f>F198-K198</f>
        <v>-22439.339999999997</v>
      </c>
      <c r="M198" s="11"/>
      <c r="N198" s="180" t="e">
        <f>#REF!-H198</f>
        <v>#REF!</v>
      </c>
    </row>
    <row r="199" spans="1:15" s="121" customFormat="1">
      <c r="A199" s="96">
        <v>116</v>
      </c>
      <c r="B199" s="96"/>
      <c r="C199" s="2" t="s">
        <v>377</v>
      </c>
      <c r="D199" s="155">
        <v>330000</v>
      </c>
      <c r="E199" s="155">
        <v>43989</v>
      </c>
      <c r="F199" s="155">
        <f>SUM(D199:E199)</f>
        <v>373989</v>
      </c>
      <c r="G199" s="33">
        <v>50</v>
      </c>
      <c r="H199" s="154">
        <v>7479.78</v>
      </c>
      <c r="I199" s="97">
        <v>12</v>
      </c>
      <c r="J199" s="97">
        <f>G199-I199</f>
        <v>38</v>
      </c>
      <c r="K199" s="91">
        <f>I199*H199</f>
        <v>89757.36</v>
      </c>
      <c r="L199" s="91">
        <f>F199-K199</f>
        <v>284231.64</v>
      </c>
      <c r="M199" s="122"/>
      <c r="N199" s="180" t="e">
        <f>#REF!-H199</f>
        <v>#REF!</v>
      </c>
      <c r="O199"/>
    </row>
    <row r="201" spans="1:15">
      <c r="A201" s="96">
        <v>144</v>
      </c>
      <c r="B201" s="96"/>
      <c r="C201" s="2" t="s">
        <v>410</v>
      </c>
      <c r="D201" s="41">
        <v>200000</v>
      </c>
      <c r="E201" s="41">
        <v>26660</v>
      </c>
      <c r="F201" s="41">
        <f>SUM(D201:E201)</f>
        <v>226660</v>
      </c>
      <c r="G201" s="33">
        <v>40</v>
      </c>
      <c r="H201" s="41">
        <v>5666.5</v>
      </c>
      <c r="I201" s="97">
        <v>40</v>
      </c>
      <c r="J201" s="97">
        <f>G201-I201</f>
        <v>0</v>
      </c>
      <c r="K201" s="91">
        <f>I201*H201</f>
        <v>226660</v>
      </c>
      <c r="L201" s="94">
        <f>F201-K201</f>
        <v>0</v>
      </c>
      <c r="M201" s="11"/>
      <c r="N201" s="180" t="e">
        <f>#REF!-H201</f>
        <v>#REF!</v>
      </c>
    </row>
    <row r="202" spans="1:15">
      <c r="A202" s="96">
        <v>147</v>
      </c>
      <c r="B202" s="96"/>
      <c r="C202" s="2" t="s">
        <v>411</v>
      </c>
      <c r="D202" s="41">
        <v>200000</v>
      </c>
      <c r="E202" s="41">
        <v>26660</v>
      </c>
      <c r="F202" s="41">
        <v>226660</v>
      </c>
      <c r="G202" s="33">
        <v>40</v>
      </c>
      <c r="H202" s="19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148</v>
      </c>
      <c r="B203" s="96"/>
      <c r="C203" s="2" t="s">
        <v>412</v>
      </c>
      <c r="D203" s="41">
        <v>200000</v>
      </c>
      <c r="E203" s="41">
        <v>26660</v>
      </c>
      <c r="F203" s="41">
        <f>SUM(D203:E203)</f>
        <v>226660</v>
      </c>
      <c r="G203" s="33">
        <v>40</v>
      </c>
      <c r="H203" s="41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5" spans="1:15">
      <c r="A205" s="96">
        <v>6</v>
      </c>
      <c r="B205" s="96"/>
      <c r="C205" s="2" t="s">
        <v>418</v>
      </c>
      <c r="D205" s="16">
        <v>132000</v>
      </c>
      <c r="E205" s="16">
        <v>17595.599999999999</v>
      </c>
      <c r="F205" s="41">
        <f t="shared" ref="F205:F217" si="26">SUM(D205:E205)</f>
        <v>149595.6</v>
      </c>
      <c r="G205" s="33">
        <v>40</v>
      </c>
      <c r="H205" s="16">
        <v>3739.89</v>
      </c>
      <c r="I205" s="96">
        <v>40</v>
      </c>
      <c r="J205" s="96">
        <f t="shared" ref="J205:J225" si="27">G205-I205</f>
        <v>0</v>
      </c>
      <c r="K205" s="16">
        <f t="shared" ref="K205:K225" si="28">I205*H205</f>
        <v>149595.6</v>
      </c>
      <c r="L205" s="41">
        <f t="shared" ref="L205:L225" si="29">F205-K205</f>
        <v>0</v>
      </c>
      <c r="M205" s="11"/>
      <c r="N205" s="180" t="e">
        <f>#REF!-H205</f>
        <v>#REF!</v>
      </c>
    </row>
    <row r="206" spans="1:15">
      <c r="A206" s="96">
        <v>11</v>
      </c>
      <c r="B206" s="96"/>
      <c r="C206" s="2" t="s">
        <v>386</v>
      </c>
      <c r="D206" s="41">
        <v>200000</v>
      </c>
      <c r="E206" s="41">
        <v>26660</v>
      </c>
      <c r="F206" s="41">
        <f t="shared" si="26"/>
        <v>226660</v>
      </c>
      <c r="G206" s="33">
        <v>40</v>
      </c>
      <c r="H206" s="41">
        <v>5666.5</v>
      </c>
      <c r="I206" s="96">
        <v>40</v>
      </c>
      <c r="J206" s="96">
        <f t="shared" si="27"/>
        <v>0</v>
      </c>
      <c r="K206" s="16">
        <f t="shared" si="28"/>
        <v>226660</v>
      </c>
      <c r="L206" s="41">
        <f t="shared" si="29"/>
        <v>0</v>
      </c>
      <c r="M206" s="11"/>
      <c r="N206" s="180" t="e">
        <f>#REF!-H206</f>
        <v>#REF!</v>
      </c>
    </row>
    <row r="207" spans="1:15">
      <c r="A207" s="96">
        <v>13</v>
      </c>
      <c r="B207" s="96"/>
      <c r="C207" s="2" t="s">
        <v>387</v>
      </c>
      <c r="D207" s="41">
        <v>200000</v>
      </c>
      <c r="E207" s="41">
        <v>26660</v>
      </c>
      <c r="F207" s="41">
        <f t="shared" si="26"/>
        <v>226660</v>
      </c>
      <c r="G207" s="33">
        <v>40</v>
      </c>
      <c r="H207" s="41">
        <v>5666.5</v>
      </c>
      <c r="I207" s="96">
        <v>40</v>
      </c>
      <c r="J207" s="96">
        <f t="shared" si="27"/>
        <v>0</v>
      </c>
      <c r="K207" s="16">
        <f t="shared" si="28"/>
        <v>226660</v>
      </c>
      <c r="L207" s="41">
        <f t="shared" si="29"/>
        <v>0</v>
      </c>
      <c r="M207" s="11"/>
      <c r="N207" s="180" t="e">
        <f>#REF!-H207</f>
        <v>#REF!</v>
      </c>
    </row>
    <row r="208" spans="1:15">
      <c r="A208" s="96">
        <v>20</v>
      </c>
      <c r="B208" s="96"/>
      <c r="C208" s="2" t="s">
        <v>390</v>
      </c>
      <c r="D208" s="41">
        <v>200000</v>
      </c>
      <c r="E208" s="41">
        <v>26660</v>
      </c>
      <c r="F208" s="41">
        <f t="shared" si="26"/>
        <v>226660</v>
      </c>
      <c r="G208" s="33">
        <v>40</v>
      </c>
      <c r="H208" s="41">
        <v>5666.5</v>
      </c>
      <c r="I208" s="96">
        <v>40</v>
      </c>
      <c r="J208" s="96">
        <f t="shared" si="27"/>
        <v>0</v>
      </c>
      <c r="K208" s="16">
        <f t="shared" si="28"/>
        <v>226660</v>
      </c>
      <c r="L208" s="41">
        <f t="shared" si="29"/>
        <v>0</v>
      </c>
      <c r="M208" s="11"/>
      <c r="N208" s="180" t="e">
        <f>#REF!-H208</f>
        <v>#REF!</v>
      </c>
    </row>
    <row r="209" spans="1:15">
      <c r="A209" s="96">
        <v>29</v>
      </c>
      <c r="B209" s="96"/>
      <c r="C209" s="2" t="s">
        <v>391</v>
      </c>
      <c r="D209" s="41">
        <v>200000</v>
      </c>
      <c r="E209" s="41">
        <v>26660</v>
      </c>
      <c r="F209" s="41">
        <f t="shared" si="26"/>
        <v>226660</v>
      </c>
      <c r="G209" s="33">
        <v>40</v>
      </c>
      <c r="H209" s="41">
        <v>5666.5</v>
      </c>
      <c r="I209" s="97">
        <v>40</v>
      </c>
      <c r="J209" s="97">
        <f t="shared" si="27"/>
        <v>0</v>
      </c>
      <c r="K209" s="91">
        <f t="shared" si="28"/>
        <v>226660</v>
      </c>
      <c r="L209" s="94">
        <f t="shared" si="29"/>
        <v>0</v>
      </c>
      <c r="M209" s="11"/>
      <c r="N209" s="180" t="e">
        <f>#REF!-H209</f>
        <v>#REF!</v>
      </c>
    </row>
    <row r="210" spans="1:15">
      <c r="A210" s="96">
        <v>31</v>
      </c>
      <c r="B210" s="96"/>
      <c r="C210" s="2" t="s">
        <v>392</v>
      </c>
      <c r="D210" s="41">
        <v>200000</v>
      </c>
      <c r="E210" s="41">
        <v>26660</v>
      </c>
      <c r="F210" s="41">
        <f t="shared" si="26"/>
        <v>226660</v>
      </c>
      <c r="G210" s="33">
        <v>40</v>
      </c>
      <c r="H210" s="41">
        <v>5666.5</v>
      </c>
      <c r="I210" s="97">
        <v>40</v>
      </c>
      <c r="J210" s="97">
        <f t="shared" si="27"/>
        <v>0</v>
      </c>
      <c r="K210" s="91">
        <f t="shared" si="28"/>
        <v>226660</v>
      </c>
      <c r="L210" s="94">
        <f t="shared" si="29"/>
        <v>0</v>
      </c>
      <c r="M210" s="11"/>
      <c r="N210" s="180" t="e">
        <f>#REF!-H210</f>
        <v>#REF!</v>
      </c>
    </row>
    <row r="211" spans="1:15">
      <c r="A211" s="96">
        <v>34</v>
      </c>
      <c r="B211" s="96"/>
      <c r="C211" s="2" t="s">
        <v>393</v>
      </c>
      <c r="D211" s="41">
        <v>200000</v>
      </c>
      <c r="E211" s="41">
        <v>26660</v>
      </c>
      <c r="F211" s="41">
        <f t="shared" si="26"/>
        <v>226660</v>
      </c>
      <c r="G211" s="33">
        <v>40</v>
      </c>
      <c r="H211" s="41">
        <v>5666.5</v>
      </c>
      <c r="I211" s="97">
        <v>40</v>
      </c>
      <c r="J211" s="97">
        <f t="shared" si="27"/>
        <v>0</v>
      </c>
      <c r="K211" s="91">
        <f t="shared" si="28"/>
        <v>226660</v>
      </c>
      <c r="L211" s="94">
        <f t="shared" si="29"/>
        <v>0</v>
      </c>
      <c r="M211" s="11"/>
      <c r="N211" s="180" t="e">
        <f>#REF!-H211</f>
        <v>#REF!</v>
      </c>
    </row>
    <row r="212" spans="1:15">
      <c r="A212" s="96">
        <v>41</v>
      </c>
      <c r="B212" s="96"/>
      <c r="C212" s="2" t="s">
        <v>415</v>
      </c>
      <c r="D212" s="16">
        <v>180000</v>
      </c>
      <c r="E212" s="16">
        <v>23994</v>
      </c>
      <c r="F212" s="41">
        <f t="shared" si="26"/>
        <v>203994</v>
      </c>
      <c r="G212" s="33">
        <v>40</v>
      </c>
      <c r="H212" s="16">
        <v>5099.8500000000004</v>
      </c>
      <c r="I212" s="97">
        <v>40</v>
      </c>
      <c r="J212" s="97">
        <f t="shared" si="27"/>
        <v>0</v>
      </c>
      <c r="K212" s="91">
        <f t="shared" si="28"/>
        <v>203994</v>
      </c>
      <c r="L212" s="94">
        <f t="shared" si="29"/>
        <v>0</v>
      </c>
      <c r="M212" s="11"/>
      <c r="N212" s="180" t="e">
        <f>#REF!-H212</f>
        <v>#REF!</v>
      </c>
    </row>
    <row r="213" spans="1:15">
      <c r="A213" s="96">
        <v>45</v>
      </c>
      <c r="B213" s="96"/>
      <c r="C213" s="2" t="s">
        <v>394</v>
      </c>
      <c r="D213" s="41">
        <v>200000</v>
      </c>
      <c r="E213" s="41">
        <v>26660</v>
      </c>
      <c r="F213" s="41">
        <f t="shared" si="26"/>
        <v>226660</v>
      </c>
      <c r="G213" s="33">
        <v>40</v>
      </c>
      <c r="H213" s="41">
        <v>5666.5</v>
      </c>
      <c r="I213" s="97">
        <v>40</v>
      </c>
      <c r="J213" s="97">
        <f t="shared" si="27"/>
        <v>0</v>
      </c>
      <c r="K213" s="91">
        <f t="shared" si="28"/>
        <v>226660</v>
      </c>
      <c r="L213" s="94">
        <f t="shared" si="29"/>
        <v>0</v>
      </c>
      <c r="M213" s="11"/>
      <c r="N213" s="180" t="e">
        <f>#REF!-H213</f>
        <v>#REF!</v>
      </c>
    </row>
    <row r="214" spans="1:15">
      <c r="A214" s="96">
        <v>51</v>
      </c>
      <c r="B214" s="96"/>
      <c r="C214" s="2" t="s">
        <v>395</v>
      </c>
      <c r="D214" s="15">
        <v>200000</v>
      </c>
      <c r="E214" s="15">
        <v>26660</v>
      </c>
      <c r="F214" s="15">
        <f t="shared" si="26"/>
        <v>226660</v>
      </c>
      <c r="G214" s="31">
        <v>40</v>
      </c>
      <c r="H214" s="15">
        <v>5666.5</v>
      </c>
      <c r="I214" s="14">
        <v>38</v>
      </c>
      <c r="J214" s="97">
        <f t="shared" si="27"/>
        <v>2</v>
      </c>
      <c r="K214" s="91">
        <f t="shared" si="28"/>
        <v>215327</v>
      </c>
      <c r="L214" s="15">
        <f t="shared" si="29"/>
        <v>11333</v>
      </c>
      <c r="M214" s="8"/>
      <c r="N214" s="180" t="e">
        <f>#REF!-H214</f>
        <v>#REF!</v>
      </c>
    </row>
    <row r="215" spans="1:15">
      <c r="A215" s="96">
        <v>59</v>
      </c>
      <c r="B215" s="96"/>
      <c r="C215" s="2" t="s">
        <v>419</v>
      </c>
      <c r="D215" s="16">
        <v>132000</v>
      </c>
      <c r="E215" s="16">
        <v>17595.599999999999</v>
      </c>
      <c r="F215" s="41">
        <f t="shared" si="26"/>
        <v>149595.6</v>
      </c>
      <c r="G215" s="33">
        <v>40</v>
      </c>
      <c r="H215" s="16">
        <v>3739.89</v>
      </c>
      <c r="I215" s="97">
        <v>40</v>
      </c>
      <c r="J215" s="97">
        <f t="shared" si="27"/>
        <v>0</v>
      </c>
      <c r="K215" s="91">
        <f t="shared" si="28"/>
        <v>149595.6</v>
      </c>
      <c r="L215" s="94">
        <f t="shared" si="29"/>
        <v>0</v>
      </c>
      <c r="M215" s="11"/>
      <c r="N215" s="180" t="e">
        <f>#REF!-H215</f>
        <v>#REF!</v>
      </c>
    </row>
    <row r="216" spans="1:15">
      <c r="A216" s="96">
        <v>60</v>
      </c>
      <c r="B216" s="96"/>
      <c r="C216" s="2" t="s">
        <v>396</v>
      </c>
      <c r="D216" s="41">
        <v>200000</v>
      </c>
      <c r="E216" s="41">
        <v>26660</v>
      </c>
      <c r="F216" s="41">
        <f t="shared" si="26"/>
        <v>226660</v>
      </c>
      <c r="G216" s="33">
        <v>40</v>
      </c>
      <c r="H216" s="41">
        <v>5666.5</v>
      </c>
      <c r="I216" s="97">
        <v>40</v>
      </c>
      <c r="J216" s="97">
        <f t="shared" si="27"/>
        <v>0</v>
      </c>
      <c r="K216" s="91">
        <f t="shared" si="28"/>
        <v>226660</v>
      </c>
      <c r="L216" s="94">
        <f t="shared" si="29"/>
        <v>0</v>
      </c>
      <c r="M216" s="11"/>
      <c r="N216" s="180" t="e">
        <f>#REF!-H216</f>
        <v>#REF!</v>
      </c>
    </row>
    <row r="217" spans="1:15">
      <c r="A217" s="96">
        <v>65</v>
      </c>
      <c r="B217" s="96"/>
      <c r="C217" s="2" t="s">
        <v>420</v>
      </c>
      <c r="D217" s="16">
        <v>132000</v>
      </c>
      <c r="E217" s="16">
        <v>17595.599999999999</v>
      </c>
      <c r="F217" s="41">
        <f t="shared" si="26"/>
        <v>149595.6</v>
      </c>
      <c r="G217" s="33">
        <v>40</v>
      </c>
      <c r="H217" s="16">
        <v>3739.89</v>
      </c>
      <c r="I217" s="97">
        <v>40</v>
      </c>
      <c r="J217" s="97">
        <f t="shared" si="27"/>
        <v>0</v>
      </c>
      <c r="K217" s="91">
        <f t="shared" si="28"/>
        <v>149595.6</v>
      </c>
      <c r="L217" s="94">
        <f t="shared" si="29"/>
        <v>0</v>
      </c>
      <c r="M217" s="11"/>
      <c r="N217" s="180" t="e">
        <f>#REF!-H217</f>
        <v>#REF!</v>
      </c>
    </row>
    <row r="218" spans="1:15">
      <c r="A218" s="96">
        <v>67</v>
      </c>
      <c r="B218" s="96"/>
      <c r="C218" s="2" t="s">
        <v>397</v>
      </c>
      <c r="D218" s="41">
        <v>200000</v>
      </c>
      <c r="E218" s="41">
        <v>26660</v>
      </c>
      <c r="F218" s="41">
        <v>226660</v>
      </c>
      <c r="G218" s="33">
        <v>40</v>
      </c>
      <c r="H218" s="19">
        <v>5666.5</v>
      </c>
      <c r="I218" s="97">
        <v>40</v>
      </c>
      <c r="J218" s="97">
        <f t="shared" si="27"/>
        <v>0</v>
      </c>
      <c r="K218" s="91">
        <f t="shared" si="28"/>
        <v>226660</v>
      </c>
      <c r="L218" s="94">
        <f t="shared" si="29"/>
        <v>0</v>
      </c>
      <c r="M218" s="11"/>
      <c r="N218" s="180" t="e">
        <f>#REF!-H218</f>
        <v>#REF!</v>
      </c>
    </row>
    <row r="219" spans="1:15">
      <c r="A219" s="96">
        <v>69</v>
      </c>
      <c r="B219" s="96"/>
      <c r="C219" s="2" t="s">
        <v>398</v>
      </c>
      <c r="D219" s="41">
        <v>200000</v>
      </c>
      <c r="E219" s="41">
        <v>26660</v>
      </c>
      <c r="F219" s="41">
        <f>SUM(D219:E219)</f>
        <v>226660</v>
      </c>
      <c r="G219" s="33">
        <v>40</v>
      </c>
      <c r="H219" s="41">
        <v>5666.5</v>
      </c>
      <c r="I219" s="97">
        <v>40</v>
      </c>
      <c r="J219" s="97">
        <f t="shared" si="27"/>
        <v>0</v>
      </c>
      <c r="K219" s="91">
        <f t="shared" si="28"/>
        <v>226660</v>
      </c>
      <c r="L219" s="94">
        <f t="shared" si="29"/>
        <v>0</v>
      </c>
      <c r="M219" s="11"/>
      <c r="N219" s="180" t="e">
        <f>#REF!-H219</f>
        <v>#REF!</v>
      </c>
    </row>
    <row r="220" spans="1:15">
      <c r="A220" s="96">
        <v>72</v>
      </c>
      <c r="B220" s="96"/>
      <c r="C220" s="2" t="s">
        <v>399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27"/>
        <v>0</v>
      </c>
      <c r="K220" s="91">
        <f t="shared" si="28"/>
        <v>226660</v>
      </c>
      <c r="L220" s="94">
        <f t="shared" si="29"/>
        <v>0</v>
      </c>
      <c r="M220" s="11"/>
      <c r="N220" s="180" t="e">
        <f>#REF!-H220</f>
        <v>#REF!</v>
      </c>
    </row>
    <row r="221" spans="1:15">
      <c r="A221" s="96">
        <v>73</v>
      </c>
      <c r="B221" s="96"/>
      <c r="C221" s="2" t="s">
        <v>428</v>
      </c>
      <c r="D221" s="16">
        <v>60000</v>
      </c>
      <c r="E221" s="16">
        <v>7998</v>
      </c>
      <c r="F221" s="41">
        <f>SUM(D221:E221)</f>
        <v>67998</v>
      </c>
      <c r="G221" s="33">
        <v>40</v>
      </c>
      <c r="H221" s="16">
        <v>1699.95</v>
      </c>
      <c r="I221" s="97">
        <v>40</v>
      </c>
      <c r="J221" s="97">
        <f t="shared" si="27"/>
        <v>0</v>
      </c>
      <c r="K221" s="91">
        <f t="shared" si="28"/>
        <v>67998</v>
      </c>
      <c r="L221" s="94">
        <f t="shared" si="29"/>
        <v>0</v>
      </c>
      <c r="M221" s="11"/>
      <c r="N221" s="180" t="e">
        <f>#REF!-H221</f>
        <v>#REF!</v>
      </c>
      <c r="O221" s="114"/>
    </row>
    <row r="222" spans="1:15">
      <c r="A222" s="96">
        <v>77</v>
      </c>
      <c r="B222" s="96"/>
      <c r="C222" s="2" t="s">
        <v>401</v>
      </c>
      <c r="D222" s="41">
        <v>200000</v>
      </c>
      <c r="E222" s="41">
        <v>26660</v>
      </c>
      <c r="F222" s="41">
        <f>SUM(D222:E222)</f>
        <v>226660</v>
      </c>
      <c r="G222" s="33">
        <v>40</v>
      </c>
      <c r="H222" s="41">
        <v>5666.5</v>
      </c>
      <c r="I222" s="97">
        <v>40</v>
      </c>
      <c r="J222" s="97">
        <f t="shared" si="27"/>
        <v>0</v>
      </c>
      <c r="K222" s="91">
        <f t="shared" si="28"/>
        <v>226660</v>
      </c>
      <c r="L222" s="94">
        <f t="shared" si="29"/>
        <v>0</v>
      </c>
      <c r="M222" s="11"/>
      <c r="N222" s="180" t="e">
        <f>#REF!-H222</f>
        <v>#REF!</v>
      </c>
      <c r="O222" s="114"/>
    </row>
    <row r="223" spans="1:15">
      <c r="A223" s="96">
        <v>79</v>
      </c>
      <c r="B223" s="96"/>
      <c r="C223" s="2" t="s">
        <v>402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27"/>
        <v>0</v>
      </c>
      <c r="K223" s="91">
        <f t="shared" si="28"/>
        <v>226660</v>
      </c>
      <c r="L223" s="94">
        <f t="shared" si="29"/>
        <v>0</v>
      </c>
      <c r="M223" s="11"/>
      <c r="N223" s="180" t="e">
        <f>#REF!-H223</f>
        <v>#REF!</v>
      </c>
      <c r="O223" s="114"/>
    </row>
    <row r="224" spans="1:15">
      <c r="A224" s="96">
        <v>82</v>
      </c>
      <c r="B224" s="96"/>
      <c r="C224" s="2" t="s">
        <v>404</v>
      </c>
      <c r="D224" s="41">
        <v>200000</v>
      </c>
      <c r="E224" s="41">
        <v>26660</v>
      </c>
      <c r="F224" s="41">
        <v>226660</v>
      </c>
      <c r="G224" s="33">
        <v>40</v>
      </c>
      <c r="H224" s="19">
        <v>5666.5</v>
      </c>
      <c r="I224" s="97">
        <v>40</v>
      </c>
      <c r="J224" s="97">
        <f t="shared" si="27"/>
        <v>0</v>
      </c>
      <c r="K224" s="91">
        <f t="shared" si="28"/>
        <v>226660</v>
      </c>
      <c r="L224" s="94">
        <f t="shared" si="29"/>
        <v>0</v>
      </c>
      <c r="M224" s="11"/>
      <c r="N224" s="180" t="e">
        <f>#REF!-H224</f>
        <v>#REF!</v>
      </c>
    </row>
    <row r="225" spans="1:15">
      <c r="A225" s="96">
        <v>84</v>
      </c>
      <c r="B225" s="96"/>
      <c r="C225" s="2" t="s">
        <v>405</v>
      </c>
      <c r="D225" s="41">
        <v>200000</v>
      </c>
      <c r="E225" s="41">
        <v>26660</v>
      </c>
      <c r="F225" s="41">
        <f>SUM(D225:E225)</f>
        <v>226660</v>
      </c>
      <c r="G225" s="33">
        <v>40</v>
      </c>
      <c r="H225" s="41">
        <v>5666.5</v>
      </c>
      <c r="I225" s="97">
        <v>40</v>
      </c>
      <c r="J225" s="97">
        <f t="shared" si="27"/>
        <v>0</v>
      </c>
      <c r="K225" s="91">
        <f t="shared" si="28"/>
        <v>226660</v>
      </c>
      <c r="L225" s="94">
        <f t="shared" si="29"/>
        <v>0</v>
      </c>
      <c r="M225" s="11"/>
      <c r="N225" s="180" t="e">
        <f>#REF!-H225</f>
        <v>#REF!</v>
      </c>
      <c r="O225" s="114"/>
    </row>
    <row r="226" spans="1:15">
      <c r="O226" s="114"/>
    </row>
    <row r="227" spans="1:15">
      <c r="O227" s="114"/>
    </row>
    <row r="228" spans="1:15">
      <c r="C228" s="127" t="s">
        <v>226</v>
      </c>
      <c r="D228" s="129">
        <v>200000</v>
      </c>
      <c r="E228" s="129">
        <v>26660</v>
      </c>
      <c r="F228" s="129">
        <v>226660</v>
      </c>
      <c r="G228" s="130">
        <v>40</v>
      </c>
      <c r="H228" s="137">
        <v>5666.5</v>
      </c>
      <c r="I228" s="134">
        <v>40</v>
      </c>
      <c r="J228" s="134">
        <f t="shared" ref="J228:J248" si="30">G228-I228</f>
        <v>0</v>
      </c>
      <c r="K228" s="135">
        <f t="shared" ref="K228:K248" si="31">I228*H228</f>
        <v>226660</v>
      </c>
      <c r="L228" s="136">
        <f t="shared" ref="L228:L248" si="32">F228-K228</f>
        <v>0</v>
      </c>
      <c r="M228" s="132"/>
      <c r="N228" s="121"/>
    </row>
    <row r="229" spans="1:15">
      <c r="C229" s="127" t="s">
        <v>181</v>
      </c>
      <c r="D229" s="129">
        <v>200000</v>
      </c>
      <c r="E229" s="129">
        <v>26660</v>
      </c>
      <c r="F229" s="129">
        <f t="shared" ref="F229:F235" si="33">SUM(D229:E229)</f>
        <v>226660</v>
      </c>
      <c r="G229" s="130">
        <v>40</v>
      </c>
      <c r="H229" s="129">
        <v>5666.5</v>
      </c>
      <c r="I229" s="134">
        <v>40</v>
      </c>
      <c r="J229" s="134">
        <f t="shared" si="30"/>
        <v>0</v>
      </c>
      <c r="K229" s="135">
        <f t="shared" si="31"/>
        <v>226660</v>
      </c>
      <c r="L229" s="136">
        <f t="shared" si="32"/>
        <v>0</v>
      </c>
      <c r="M229" s="132"/>
    </row>
    <row r="230" spans="1:15">
      <c r="C230" s="127" t="s">
        <v>249</v>
      </c>
      <c r="D230" s="128">
        <v>180000</v>
      </c>
      <c r="E230" s="128">
        <v>23994</v>
      </c>
      <c r="F230" s="129">
        <f t="shared" si="33"/>
        <v>203994</v>
      </c>
      <c r="G230" s="130">
        <v>40</v>
      </c>
      <c r="H230" s="128">
        <v>5099.8500000000004</v>
      </c>
      <c r="I230" s="134">
        <v>45</v>
      </c>
      <c r="J230" s="134">
        <f t="shared" si="30"/>
        <v>-5</v>
      </c>
      <c r="K230" s="135">
        <f t="shared" si="31"/>
        <v>229493.25000000003</v>
      </c>
      <c r="L230" s="136">
        <f t="shared" si="32"/>
        <v>-25499.250000000029</v>
      </c>
      <c r="M230" s="132"/>
    </row>
    <row r="231" spans="1:15">
      <c r="C231" s="127" t="s">
        <v>188</v>
      </c>
      <c r="D231" s="128">
        <v>180000</v>
      </c>
      <c r="E231" s="128">
        <v>23994</v>
      </c>
      <c r="F231" s="129">
        <f t="shared" si="33"/>
        <v>203994</v>
      </c>
      <c r="G231" s="130">
        <v>40</v>
      </c>
      <c r="H231" s="128">
        <v>5099.8500000000004</v>
      </c>
      <c r="I231" s="131">
        <v>37</v>
      </c>
      <c r="J231" s="131">
        <f t="shared" si="30"/>
        <v>3</v>
      </c>
      <c r="K231" s="128">
        <f t="shared" si="31"/>
        <v>188694.45</v>
      </c>
      <c r="L231" s="129">
        <f t="shared" si="32"/>
        <v>15299.549999999988</v>
      </c>
      <c r="M231" s="132"/>
    </row>
    <row r="232" spans="1:15">
      <c r="C232" s="127" t="s">
        <v>124</v>
      </c>
      <c r="D232" s="129">
        <v>200000</v>
      </c>
      <c r="E232" s="129">
        <v>26660</v>
      </c>
      <c r="F232" s="129">
        <f t="shared" si="33"/>
        <v>226660</v>
      </c>
      <c r="G232" s="130">
        <v>40</v>
      </c>
      <c r="H232" s="129">
        <v>5666.5</v>
      </c>
      <c r="I232" s="131">
        <v>40</v>
      </c>
      <c r="J232" s="131">
        <f t="shared" si="30"/>
        <v>0</v>
      </c>
      <c r="K232" s="128">
        <f t="shared" si="31"/>
        <v>226660</v>
      </c>
      <c r="L232" s="129">
        <f t="shared" si="32"/>
        <v>0</v>
      </c>
      <c r="M232" s="132"/>
    </row>
    <row r="233" spans="1:15">
      <c r="C233" s="127" t="s">
        <v>129</v>
      </c>
      <c r="D233" s="129">
        <v>200000</v>
      </c>
      <c r="E233" s="129">
        <v>26660</v>
      </c>
      <c r="F233" s="129">
        <f t="shared" si="33"/>
        <v>226660</v>
      </c>
      <c r="G233" s="130">
        <v>40</v>
      </c>
      <c r="H233" s="129">
        <v>5666.5</v>
      </c>
      <c r="I233" s="131">
        <v>38</v>
      </c>
      <c r="J233" s="131">
        <f t="shared" si="30"/>
        <v>2</v>
      </c>
      <c r="K233" s="128">
        <f t="shared" si="31"/>
        <v>215327</v>
      </c>
      <c r="L233" s="129">
        <f t="shared" si="32"/>
        <v>11333</v>
      </c>
      <c r="M233" s="132"/>
    </row>
    <row r="234" spans="1:15">
      <c r="C234" s="127" t="s">
        <v>202</v>
      </c>
      <c r="D234" s="128">
        <v>132000</v>
      </c>
      <c r="E234" s="128">
        <v>17595.599999999999</v>
      </c>
      <c r="F234" s="129">
        <f t="shared" si="33"/>
        <v>149595.6</v>
      </c>
      <c r="G234" s="130">
        <v>40</v>
      </c>
      <c r="H234" s="128">
        <v>3739.89</v>
      </c>
      <c r="I234" s="131">
        <v>34</v>
      </c>
      <c r="J234" s="131">
        <f t="shared" si="30"/>
        <v>6</v>
      </c>
      <c r="K234" s="128">
        <f t="shared" si="31"/>
        <v>127156.26</v>
      </c>
      <c r="L234" s="129">
        <f t="shared" si="32"/>
        <v>22439.340000000011</v>
      </c>
      <c r="M234" s="132"/>
    </row>
    <row r="235" spans="1:15">
      <c r="A235" s="101">
        <v>135</v>
      </c>
      <c r="B235" s="244"/>
      <c r="C235" s="125" t="s">
        <v>138</v>
      </c>
      <c r="D235" s="129">
        <v>200000</v>
      </c>
      <c r="E235" s="129">
        <v>26660</v>
      </c>
      <c r="F235" s="129">
        <f t="shared" si="33"/>
        <v>226660</v>
      </c>
      <c r="G235" s="130">
        <v>40</v>
      </c>
      <c r="H235" s="129">
        <v>5666.5</v>
      </c>
      <c r="I235" s="134">
        <v>37</v>
      </c>
      <c r="J235" s="134">
        <f t="shared" si="30"/>
        <v>3</v>
      </c>
      <c r="K235" s="135">
        <f t="shared" si="31"/>
        <v>209660.5</v>
      </c>
      <c r="L235" s="136">
        <f t="shared" si="32"/>
        <v>16999.5</v>
      </c>
      <c r="M235" s="132"/>
    </row>
    <row r="236" spans="1:15">
      <c r="A236" s="101">
        <v>167.333333333333</v>
      </c>
      <c r="B236" s="101"/>
      <c r="C236" s="127" t="s">
        <v>236</v>
      </c>
      <c r="D236" s="128">
        <v>180000</v>
      </c>
      <c r="E236" s="128">
        <v>23994</v>
      </c>
      <c r="F236" s="128">
        <v>203994</v>
      </c>
      <c r="G236" s="139">
        <v>40</v>
      </c>
      <c r="H236" s="137">
        <v>5099.8500000000004</v>
      </c>
      <c r="I236" s="134">
        <v>46</v>
      </c>
      <c r="J236" s="134">
        <f t="shared" si="30"/>
        <v>-6</v>
      </c>
      <c r="K236" s="135">
        <f t="shared" si="31"/>
        <v>234593.1</v>
      </c>
      <c r="L236" s="136">
        <f t="shared" si="32"/>
        <v>-30599.100000000006</v>
      </c>
      <c r="M236" s="140"/>
    </row>
    <row r="237" spans="1:15">
      <c r="A237" s="101">
        <v>144.833333333333</v>
      </c>
      <c r="B237" s="101"/>
      <c r="C237" s="127" t="s">
        <v>234</v>
      </c>
      <c r="D237" s="129">
        <v>200000</v>
      </c>
      <c r="E237" s="129">
        <v>26660</v>
      </c>
      <c r="F237" s="129">
        <v>226660</v>
      </c>
      <c r="G237" s="130">
        <v>40</v>
      </c>
      <c r="H237" s="137">
        <v>5666.5</v>
      </c>
      <c r="I237" s="134">
        <v>40</v>
      </c>
      <c r="J237" s="134">
        <f t="shared" si="30"/>
        <v>0</v>
      </c>
      <c r="K237" s="135">
        <f t="shared" si="31"/>
        <v>226660</v>
      </c>
      <c r="L237" s="136">
        <f t="shared" si="32"/>
        <v>0</v>
      </c>
      <c r="M237" s="132"/>
    </row>
    <row r="238" spans="1:15">
      <c r="A238" s="101">
        <v>146.333333333333</v>
      </c>
      <c r="B238" s="245"/>
      <c r="C238" s="141" t="s">
        <v>187</v>
      </c>
      <c r="D238" s="129">
        <v>150000</v>
      </c>
      <c r="E238" s="129">
        <v>11997</v>
      </c>
      <c r="F238" s="129">
        <f t="shared" ref="F238:F245" si="34">SUM(D238:E238)</f>
        <v>161997</v>
      </c>
      <c r="G238" s="130">
        <v>30</v>
      </c>
      <c r="H238" s="129">
        <v>5399.9</v>
      </c>
      <c r="I238" s="134">
        <v>31</v>
      </c>
      <c r="J238" s="134">
        <f t="shared" si="30"/>
        <v>-1</v>
      </c>
      <c r="K238" s="135">
        <f t="shared" si="31"/>
        <v>167396.9</v>
      </c>
      <c r="L238" s="136">
        <f t="shared" si="32"/>
        <v>-5399.8999999999942</v>
      </c>
      <c r="M238" s="132"/>
    </row>
    <row r="239" spans="1:15">
      <c r="A239" s="101">
        <v>147.833333333333</v>
      </c>
      <c r="B239" s="101"/>
      <c r="C239" s="127" t="s">
        <v>150</v>
      </c>
      <c r="D239" s="129">
        <v>200000</v>
      </c>
      <c r="E239" s="129">
        <v>26660</v>
      </c>
      <c r="F239" s="129">
        <f t="shared" si="34"/>
        <v>226660</v>
      </c>
      <c r="G239" s="130">
        <v>40</v>
      </c>
      <c r="H239" s="129">
        <v>5666.5</v>
      </c>
      <c r="I239" s="134">
        <v>40</v>
      </c>
      <c r="J239" s="134">
        <f t="shared" si="30"/>
        <v>0</v>
      </c>
      <c r="K239" s="135">
        <f t="shared" si="31"/>
        <v>226660</v>
      </c>
      <c r="L239" s="136">
        <f t="shared" si="32"/>
        <v>0</v>
      </c>
      <c r="M239" s="132"/>
    </row>
    <row r="240" spans="1:15">
      <c r="A240" s="101">
        <v>149.333333333333</v>
      </c>
      <c r="B240" s="244"/>
      <c r="C240" s="125" t="s">
        <v>151</v>
      </c>
      <c r="D240" s="129">
        <v>200000</v>
      </c>
      <c r="E240" s="129">
        <v>26660</v>
      </c>
      <c r="F240" s="129">
        <f t="shared" si="34"/>
        <v>226660</v>
      </c>
      <c r="G240" s="130">
        <v>40</v>
      </c>
      <c r="H240" s="129">
        <v>5666.5</v>
      </c>
      <c r="I240" s="134">
        <v>38</v>
      </c>
      <c r="J240" s="134">
        <f t="shared" si="30"/>
        <v>2</v>
      </c>
      <c r="K240" s="135">
        <f t="shared" si="31"/>
        <v>215327</v>
      </c>
      <c r="L240" s="136">
        <f t="shared" si="32"/>
        <v>11333</v>
      </c>
      <c r="M240" s="132"/>
    </row>
    <row r="241" spans="1:14">
      <c r="A241" s="101">
        <v>150.833333333333</v>
      </c>
      <c r="B241" s="244"/>
      <c r="C241" s="186" t="s">
        <v>266</v>
      </c>
      <c r="D241" s="128">
        <v>330000</v>
      </c>
      <c r="E241" s="128">
        <v>43989</v>
      </c>
      <c r="F241" s="129">
        <f t="shared" si="34"/>
        <v>373989</v>
      </c>
      <c r="G241" s="130">
        <v>50</v>
      </c>
      <c r="H241" s="138">
        <v>7479</v>
      </c>
      <c r="I241" s="134">
        <v>8</v>
      </c>
      <c r="J241" s="134">
        <f t="shared" si="30"/>
        <v>42</v>
      </c>
      <c r="K241" s="135">
        <f t="shared" si="31"/>
        <v>59832</v>
      </c>
      <c r="L241" s="136">
        <f t="shared" si="32"/>
        <v>314157</v>
      </c>
      <c r="M241" s="124"/>
    </row>
    <row r="242" spans="1:14">
      <c r="A242" s="101">
        <v>152.333333333333</v>
      </c>
      <c r="B242" s="244"/>
      <c r="C242" s="125" t="s">
        <v>156</v>
      </c>
      <c r="D242" s="129">
        <v>200000</v>
      </c>
      <c r="E242" s="129">
        <v>26660</v>
      </c>
      <c r="F242" s="129">
        <f t="shared" si="34"/>
        <v>226660</v>
      </c>
      <c r="G242" s="130">
        <v>40</v>
      </c>
      <c r="H242" s="133">
        <v>3739.89</v>
      </c>
      <c r="I242" s="134">
        <v>40</v>
      </c>
      <c r="J242" s="134">
        <f t="shared" si="30"/>
        <v>0</v>
      </c>
      <c r="K242" s="135">
        <f t="shared" si="31"/>
        <v>149595.6</v>
      </c>
      <c r="L242" s="136">
        <f t="shared" si="32"/>
        <v>77064.399999999994</v>
      </c>
      <c r="M242" s="132"/>
    </row>
    <row r="243" spans="1:14">
      <c r="A243" s="101">
        <v>153.833333333333</v>
      </c>
      <c r="B243" s="244"/>
      <c r="C243" s="125" t="s">
        <v>157</v>
      </c>
      <c r="D243" s="129">
        <v>200000</v>
      </c>
      <c r="E243" s="129">
        <v>26660</v>
      </c>
      <c r="F243" s="129">
        <f t="shared" si="34"/>
        <v>226660</v>
      </c>
      <c r="G243" s="130">
        <v>40</v>
      </c>
      <c r="H243" s="129">
        <v>5666.5</v>
      </c>
      <c r="I243" s="134">
        <v>40</v>
      </c>
      <c r="J243" s="134">
        <f t="shared" si="30"/>
        <v>0</v>
      </c>
      <c r="K243" s="135">
        <f t="shared" si="31"/>
        <v>226660</v>
      </c>
      <c r="L243" s="136">
        <f t="shared" si="32"/>
        <v>0</v>
      </c>
      <c r="M243" s="132"/>
    </row>
    <row r="244" spans="1:14">
      <c r="A244" s="101">
        <v>155.333333333333</v>
      </c>
      <c r="B244" s="244"/>
      <c r="C244" s="125" t="s">
        <v>158</v>
      </c>
      <c r="D244" s="129">
        <v>200000</v>
      </c>
      <c r="E244" s="129">
        <v>26660</v>
      </c>
      <c r="F244" s="129">
        <f t="shared" si="34"/>
        <v>226660</v>
      </c>
      <c r="G244" s="130">
        <v>40</v>
      </c>
      <c r="H244" s="129">
        <v>5666.5</v>
      </c>
      <c r="I244" s="134">
        <v>40</v>
      </c>
      <c r="J244" s="134">
        <f t="shared" si="30"/>
        <v>0</v>
      </c>
      <c r="K244" s="135">
        <f t="shared" si="31"/>
        <v>226660</v>
      </c>
      <c r="L244" s="136">
        <f t="shared" si="32"/>
        <v>0</v>
      </c>
      <c r="M244" s="132"/>
    </row>
    <row r="245" spans="1:14">
      <c r="A245" s="101">
        <v>156.833333333333</v>
      </c>
      <c r="B245" s="244"/>
      <c r="C245" s="125" t="s">
        <v>159</v>
      </c>
      <c r="D245" s="129">
        <v>200000</v>
      </c>
      <c r="E245" s="129">
        <v>26660</v>
      </c>
      <c r="F245" s="129">
        <f t="shared" si="34"/>
        <v>226660</v>
      </c>
      <c r="G245" s="130">
        <v>40</v>
      </c>
      <c r="H245" s="129">
        <v>5666.5</v>
      </c>
      <c r="I245" s="134">
        <v>31</v>
      </c>
      <c r="J245" s="134">
        <f t="shared" si="30"/>
        <v>9</v>
      </c>
      <c r="K245" s="135">
        <f t="shared" si="31"/>
        <v>175661.5</v>
      </c>
      <c r="L245" s="136">
        <f t="shared" si="32"/>
        <v>50998.5</v>
      </c>
      <c r="M245" s="132"/>
    </row>
    <row r="246" spans="1:14">
      <c r="A246" s="101">
        <v>158.333333333333</v>
      </c>
      <c r="B246" s="101"/>
      <c r="C246" s="127" t="s">
        <v>233</v>
      </c>
      <c r="D246" s="129">
        <v>200000</v>
      </c>
      <c r="E246" s="129">
        <v>26660</v>
      </c>
      <c r="F246" s="129">
        <v>226660</v>
      </c>
      <c r="G246" s="130">
        <v>40</v>
      </c>
      <c r="H246" s="137">
        <v>5666.5</v>
      </c>
      <c r="I246" s="134">
        <v>40</v>
      </c>
      <c r="J246" s="134">
        <f t="shared" si="30"/>
        <v>0</v>
      </c>
      <c r="K246" s="135">
        <f t="shared" si="31"/>
        <v>226660</v>
      </c>
      <c r="L246" s="136">
        <f t="shared" si="32"/>
        <v>0</v>
      </c>
      <c r="M246" s="132"/>
    </row>
    <row r="247" spans="1:14">
      <c r="A247" s="101">
        <v>159.833333333333</v>
      </c>
      <c r="B247" s="101"/>
      <c r="C247" s="127" t="s">
        <v>160</v>
      </c>
      <c r="D247" s="129">
        <v>200000</v>
      </c>
      <c r="E247" s="129">
        <v>26660</v>
      </c>
      <c r="F247" s="129">
        <f>SUM(D247:E247)</f>
        <v>226660</v>
      </c>
      <c r="G247" s="130">
        <v>40</v>
      </c>
      <c r="H247" s="129">
        <v>5666.5</v>
      </c>
      <c r="I247" s="134">
        <v>40</v>
      </c>
      <c r="J247" s="134">
        <f t="shared" si="30"/>
        <v>0</v>
      </c>
      <c r="K247" s="135">
        <f t="shared" si="31"/>
        <v>226660</v>
      </c>
      <c r="L247" s="136">
        <f t="shared" si="32"/>
        <v>0</v>
      </c>
      <c r="M247" s="132"/>
    </row>
    <row r="248" spans="1:14">
      <c r="A248" s="101">
        <v>161.333333333333</v>
      </c>
      <c r="B248" s="101"/>
      <c r="C248" s="127" t="s">
        <v>205</v>
      </c>
      <c r="D248" s="128">
        <v>132000</v>
      </c>
      <c r="E248" s="128">
        <v>17595.599999999999</v>
      </c>
      <c r="F248" s="129">
        <f>SUM(D248:E248)</f>
        <v>149595.6</v>
      </c>
      <c r="G248" s="130">
        <v>40</v>
      </c>
      <c r="H248" s="128">
        <v>3739.89</v>
      </c>
      <c r="I248" s="134">
        <v>40</v>
      </c>
      <c r="J248" s="134">
        <f t="shared" si="30"/>
        <v>0</v>
      </c>
      <c r="K248" s="135">
        <f t="shared" si="31"/>
        <v>149595.6</v>
      </c>
      <c r="L248" s="136">
        <f t="shared" si="32"/>
        <v>0</v>
      </c>
      <c r="M248" s="132"/>
    </row>
    <row r="250" spans="1:14">
      <c r="A250" s="101">
        <v>173.333333333333</v>
      </c>
      <c r="B250" s="245"/>
    </row>
    <row r="251" spans="1:14">
      <c r="A251" s="101">
        <v>174.833333333333</v>
      </c>
      <c r="B251" s="245"/>
    </row>
    <row r="254" spans="1:14">
      <c r="A254" s="160">
        <v>47</v>
      </c>
      <c r="B254" s="160"/>
      <c r="C254" s="181" t="s">
        <v>432</v>
      </c>
      <c r="D254" s="16">
        <v>500000</v>
      </c>
      <c r="E254" s="16">
        <v>66650</v>
      </c>
      <c r="F254" s="41">
        <f>SUM(D254:E254)</f>
        <v>566650</v>
      </c>
      <c r="G254" s="33">
        <v>50</v>
      </c>
      <c r="H254" s="24">
        <v>5666.5</v>
      </c>
      <c r="I254" s="97">
        <v>33</v>
      </c>
      <c r="J254" s="97">
        <f>G254-I254</f>
        <v>17</v>
      </c>
      <c r="K254" s="91">
        <f>I254*H254</f>
        <v>186994.5</v>
      </c>
      <c r="L254" s="94">
        <f>F254-K254</f>
        <v>379655.5</v>
      </c>
      <c r="M254" s="11"/>
      <c r="N254" s="180" t="e">
        <f>#REF!-H254</f>
        <v>#REF!</v>
      </c>
    </row>
    <row r="255" spans="1:14">
      <c r="A255" s="160">
        <v>70</v>
      </c>
      <c r="B255" s="160"/>
      <c r="C255" s="181" t="s">
        <v>433</v>
      </c>
      <c r="D255" s="41">
        <v>200000</v>
      </c>
      <c r="E255" s="41">
        <v>26660</v>
      </c>
      <c r="F255" s="41">
        <f>SUM(D255:E255)</f>
        <v>226660</v>
      </c>
      <c r="G255" s="33">
        <v>40</v>
      </c>
      <c r="H255" s="41">
        <v>5666.5</v>
      </c>
      <c r="I255" s="97">
        <v>40</v>
      </c>
      <c r="J255" s="97">
        <f>G255-I255</f>
        <v>0</v>
      </c>
      <c r="K255" s="91">
        <f>I255*H255</f>
        <v>226660</v>
      </c>
      <c r="L255" s="94">
        <f>F255-K255</f>
        <v>0</v>
      </c>
      <c r="M255" s="11"/>
      <c r="N255" s="180" t="e">
        <f>#REF!-H255</f>
        <v>#REF!</v>
      </c>
    </row>
    <row r="256" spans="1:14">
      <c r="A256" s="160">
        <v>93</v>
      </c>
      <c r="B256" s="160"/>
      <c r="C256" s="181" t="s">
        <v>434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41</v>
      </c>
      <c r="J256" s="97">
        <f>G256-I256</f>
        <v>-1</v>
      </c>
      <c r="K256" s="91">
        <f>I256*H256</f>
        <v>232326.5</v>
      </c>
      <c r="L256" s="94">
        <f>F256-K256</f>
        <v>-5666.5</v>
      </c>
      <c r="M256" s="11"/>
      <c r="N256" s="180" t="e">
        <f>#REF!-H256</f>
        <v>#REF!</v>
      </c>
    </row>
    <row r="257" spans="1:14">
      <c r="A257" s="160">
        <v>10</v>
      </c>
      <c r="B257" s="160"/>
      <c r="C257" s="181" t="s">
        <v>431</v>
      </c>
      <c r="D257" s="16">
        <v>450000</v>
      </c>
      <c r="E257" s="16">
        <v>28792.799999999999</v>
      </c>
      <c r="F257" s="41">
        <f>SUM(D257:E257)</f>
        <v>478792.8</v>
      </c>
      <c r="G257" s="33">
        <v>24</v>
      </c>
      <c r="H257" s="16">
        <v>19949.7</v>
      </c>
      <c r="I257" s="96">
        <v>24</v>
      </c>
      <c r="J257" s="96">
        <f>G257-I257</f>
        <v>0</v>
      </c>
      <c r="K257" s="16">
        <f>I257*H257</f>
        <v>478792.80000000005</v>
      </c>
      <c r="L257" s="41">
        <f>F257-K257</f>
        <v>0</v>
      </c>
      <c r="M257" s="11"/>
      <c r="N257" s="180" t="e">
        <f>#REF!-H257</f>
        <v>#REF!</v>
      </c>
    </row>
    <row r="258" spans="1:14">
      <c r="A258" s="160">
        <v>6</v>
      </c>
      <c r="B258" s="160"/>
      <c r="C258" s="181" t="s">
        <v>430</v>
      </c>
      <c r="D258" s="16">
        <v>330000</v>
      </c>
      <c r="E258" s="16">
        <v>21114.720000000001</v>
      </c>
      <c r="F258" s="41">
        <f>SUM(D258:E258)</f>
        <v>351114.72</v>
      </c>
      <c r="G258" s="33">
        <v>24</v>
      </c>
      <c r="H258" s="24">
        <v>6649.9</v>
      </c>
      <c r="I258" s="96">
        <v>24</v>
      </c>
      <c r="J258" s="96">
        <f>G258-I258</f>
        <v>0</v>
      </c>
      <c r="K258" s="16">
        <f>I258*H258</f>
        <v>159597.59999999998</v>
      </c>
      <c r="L258" s="41">
        <f>F258-K258</f>
        <v>191517.12</v>
      </c>
      <c r="M258" s="11"/>
      <c r="N258" s="180" t="e">
        <f>#REF!-H258</f>
        <v>#REF!</v>
      </c>
    </row>
    <row r="260" spans="1:14">
      <c r="A260" s="96">
        <v>77</v>
      </c>
      <c r="B260" s="96"/>
      <c r="C260" s="170" t="s">
        <v>400</v>
      </c>
      <c r="D260" s="41">
        <v>200000</v>
      </c>
      <c r="E260" s="41">
        <v>26660</v>
      </c>
      <c r="F260" s="41">
        <f>SUM(D260:E260)</f>
        <v>226660</v>
      </c>
      <c r="G260" s="33">
        <v>40</v>
      </c>
      <c r="H260" s="41">
        <v>5666.5</v>
      </c>
      <c r="I260" s="97">
        <v>36</v>
      </c>
      <c r="J260" s="97">
        <f>G260-I260</f>
        <v>4</v>
      </c>
      <c r="K260" s="91">
        <f>I260*H260</f>
        <v>203994</v>
      </c>
      <c r="L260" s="94">
        <f>F260-K260</f>
        <v>22666</v>
      </c>
      <c r="M260" s="11"/>
      <c r="N260" s="180" t="e">
        <f>#REF!-H260</f>
        <v>#REF!</v>
      </c>
    </row>
    <row r="261" spans="1:14">
      <c r="A261" s="96">
        <v>109</v>
      </c>
      <c r="B261" s="96"/>
      <c r="C261" s="142" t="s">
        <v>406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39</v>
      </c>
      <c r="J261" s="97">
        <f>G261-I261</f>
        <v>1</v>
      </c>
      <c r="K261" s="91">
        <f>I261*H261</f>
        <v>220993.5</v>
      </c>
      <c r="L261" s="94">
        <f>F261-K261</f>
        <v>5666.5</v>
      </c>
      <c r="M261" s="11"/>
      <c r="N261" s="180" t="e">
        <f>#REF!-H261</f>
        <v>#REF!</v>
      </c>
    </row>
    <row r="262" spans="1:14">
      <c r="A262" s="96">
        <v>127</v>
      </c>
      <c r="B262" s="96"/>
      <c r="C262" s="142" t="s">
        <v>423</v>
      </c>
      <c r="D262" s="16">
        <v>132000</v>
      </c>
      <c r="E262" s="16">
        <v>17595.599999999999</v>
      </c>
      <c r="F262" s="41">
        <f>SUM(D262:E262)</f>
        <v>149595.6</v>
      </c>
      <c r="G262" s="33">
        <v>40</v>
      </c>
      <c r="H262" s="16">
        <v>3739.89</v>
      </c>
      <c r="I262" s="97">
        <v>40</v>
      </c>
      <c r="J262" s="97">
        <f>G262-I262</f>
        <v>0</v>
      </c>
      <c r="K262" s="91">
        <f>I262*H262</f>
        <v>149595.6</v>
      </c>
      <c r="L262" s="94">
        <f>F262-K262</f>
        <v>0</v>
      </c>
      <c r="M262" s="11"/>
      <c r="N262" s="180" t="e">
        <f>#REF!-H262</f>
        <v>#REF!</v>
      </c>
    </row>
    <row r="263" spans="1:14">
      <c r="A263" s="96">
        <v>125</v>
      </c>
      <c r="B263" s="96"/>
      <c r="C263" s="142" t="s">
        <v>427</v>
      </c>
      <c r="D263" s="155">
        <v>150000</v>
      </c>
      <c r="E263" s="155">
        <v>19995</v>
      </c>
      <c r="F263" s="155">
        <f>SUM(D263:E263)</f>
        <v>169995</v>
      </c>
      <c r="G263" s="33">
        <v>50</v>
      </c>
      <c r="H263" s="154">
        <v>3399.9</v>
      </c>
      <c r="I263" s="97">
        <v>9</v>
      </c>
      <c r="J263" s="97">
        <f>G263-I263</f>
        <v>41</v>
      </c>
      <c r="K263" s="91">
        <f>I263*H263</f>
        <v>30599.100000000002</v>
      </c>
      <c r="L263" s="91">
        <f>F263-K263</f>
        <v>139395.9</v>
      </c>
      <c r="M263" s="122"/>
      <c r="N263" s="180" t="e">
        <f>#REF!-H263</f>
        <v>#REF!</v>
      </c>
    </row>
    <row r="264" spans="1:14">
      <c r="A264" s="96">
        <v>5</v>
      </c>
      <c r="B264" s="96"/>
      <c r="C264" s="2" t="s">
        <v>385</v>
      </c>
      <c r="D264" s="41">
        <v>200000</v>
      </c>
      <c r="E264" s="41">
        <v>26660</v>
      </c>
      <c r="F264" s="41">
        <f>SUM(D264:E264)</f>
        <v>226660</v>
      </c>
      <c r="G264" s="33">
        <v>40</v>
      </c>
      <c r="H264" s="41">
        <v>5666.5</v>
      </c>
      <c r="I264" s="96">
        <v>40</v>
      </c>
      <c r="J264" s="96">
        <f>G264-I264</f>
        <v>0</v>
      </c>
      <c r="K264" s="16">
        <f>I264*H264</f>
        <v>226660</v>
      </c>
      <c r="L264" s="41">
        <f>F264-K264</f>
        <v>0</v>
      </c>
      <c r="M264" s="11"/>
      <c r="N264" s="180" t="e">
        <f>#REF!-H264</f>
        <v>#REF!</v>
      </c>
    </row>
  </sheetData>
  <mergeCells count="2">
    <mergeCell ref="A3:M3"/>
    <mergeCell ref="A4:M4"/>
  </mergeCells>
  <conditionalFormatting sqref="C258">
    <cfRule type="duplicateValues" dxfId="514" priority="134" stopIfTrue="1"/>
    <cfRule type="duplicateValues" dxfId="513" priority="135" stopIfTrue="1"/>
  </conditionalFormatting>
  <conditionalFormatting sqref="C258">
    <cfRule type="duplicateValues" dxfId="512" priority="133" stopIfTrue="1"/>
  </conditionalFormatting>
  <conditionalFormatting sqref="C205">
    <cfRule type="duplicateValues" dxfId="511" priority="131" stopIfTrue="1"/>
    <cfRule type="duplicateValues" dxfId="510" priority="132" stopIfTrue="1"/>
  </conditionalFormatting>
  <conditionalFormatting sqref="C205">
    <cfRule type="duplicateValues" dxfId="509" priority="130" stopIfTrue="1"/>
  </conditionalFormatting>
  <conditionalFormatting sqref="C257">
    <cfRule type="duplicateValues" dxfId="508" priority="128" stopIfTrue="1"/>
    <cfRule type="duplicateValues" dxfId="507" priority="129" stopIfTrue="1"/>
  </conditionalFormatting>
  <conditionalFormatting sqref="C257">
    <cfRule type="duplicateValues" dxfId="506" priority="127" stopIfTrue="1"/>
  </conditionalFormatting>
  <conditionalFormatting sqref="C207">
    <cfRule type="duplicateValues" dxfId="505" priority="125" stopIfTrue="1"/>
    <cfRule type="duplicateValues" dxfId="504" priority="126" stopIfTrue="1"/>
  </conditionalFormatting>
  <conditionalFormatting sqref="C207">
    <cfRule type="duplicateValues" dxfId="503" priority="124" stopIfTrue="1"/>
  </conditionalFormatting>
  <conditionalFormatting sqref="C208">
    <cfRule type="duplicateValues" dxfId="502" priority="122" stopIfTrue="1"/>
    <cfRule type="duplicateValues" dxfId="501" priority="123" stopIfTrue="1"/>
  </conditionalFormatting>
  <conditionalFormatting sqref="C208">
    <cfRule type="duplicateValues" dxfId="500" priority="121" stopIfTrue="1"/>
  </conditionalFormatting>
  <conditionalFormatting sqref="C210">
    <cfRule type="duplicateValues" dxfId="499" priority="119" stopIfTrue="1"/>
    <cfRule type="duplicateValues" dxfId="498" priority="120" stopIfTrue="1"/>
  </conditionalFormatting>
  <conditionalFormatting sqref="C210">
    <cfRule type="duplicateValues" dxfId="497" priority="118" stopIfTrue="1"/>
  </conditionalFormatting>
  <conditionalFormatting sqref="C211">
    <cfRule type="duplicateValues" dxfId="496" priority="116" stopIfTrue="1"/>
    <cfRule type="duplicateValues" dxfId="495" priority="117" stopIfTrue="1"/>
  </conditionalFormatting>
  <conditionalFormatting sqref="C211">
    <cfRule type="duplicateValues" dxfId="494" priority="115" stopIfTrue="1"/>
  </conditionalFormatting>
  <conditionalFormatting sqref="C254">
    <cfRule type="duplicateValues" dxfId="493" priority="113" stopIfTrue="1"/>
    <cfRule type="duplicateValues" dxfId="492" priority="114" stopIfTrue="1"/>
  </conditionalFormatting>
  <conditionalFormatting sqref="C254">
    <cfRule type="duplicateValues" dxfId="491" priority="112" stopIfTrue="1"/>
  </conditionalFormatting>
  <conditionalFormatting sqref="C213">
    <cfRule type="duplicateValues" dxfId="490" priority="110" stopIfTrue="1"/>
    <cfRule type="duplicateValues" dxfId="489" priority="111" stopIfTrue="1"/>
  </conditionalFormatting>
  <conditionalFormatting sqref="C213">
    <cfRule type="duplicateValues" dxfId="488" priority="109" stopIfTrue="1"/>
  </conditionalFormatting>
  <conditionalFormatting sqref="C214">
    <cfRule type="duplicateValues" dxfId="487" priority="107" stopIfTrue="1"/>
    <cfRule type="duplicateValues" dxfId="486" priority="108" stopIfTrue="1"/>
  </conditionalFormatting>
  <conditionalFormatting sqref="C214">
    <cfRule type="duplicateValues" dxfId="485" priority="106" stopIfTrue="1"/>
  </conditionalFormatting>
  <conditionalFormatting sqref="C215">
    <cfRule type="duplicateValues" dxfId="484" priority="104" stopIfTrue="1"/>
    <cfRule type="duplicateValues" dxfId="483" priority="105" stopIfTrue="1"/>
  </conditionalFormatting>
  <conditionalFormatting sqref="C215">
    <cfRule type="duplicateValues" dxfId="482" priority="103" stopIfTrue="1"/>
  </conditionalFormatting>
  <conditionalFormatting sqref="C230">
    <cfRule type="duplicateValues" dxfId="481" priority="101" stopIfTrue="1"/>
    <cfRule type="duplicateValues" dxfId="480" priority="102" stopIfTrue="1"/>
  </conditionalFormatting>
  <conditionalFormatting sqref="C230">
    <cfRule type="duplicateValues" dxfId="479" priority="100" stopIfTrue="1"/>
  </conditionalFormatting>
  <conditionalFormatting sqref="C217">
    <cfRule type="duplicateValues" dxfId="478" priority="98" stopIfTrue="1"/>
    <cfRule type="duplicateValues" dxfId="477" priority="99" stopIfTrue="1"/>
  </conditionalFormatting>
  <conditionalFormatting sqref="C217">
    <cfRule type="duplicateValues" dxfId="476" priority="97" stopIfTrue="1"/>
  </conditionalFormatting>
  <conditionalFormatting sqref="C255">
    <cfRule type="duplicateValues" dxfId="475" priority="95" stopIfTrue="1"/>
    <cfRule type="duplicateValues" dxfId="474" priority="96" stopIfTrue="1"/>
  </conditionalFormatting>
  <conditionalFormatting sqref="C255">
    <cfRule type="duplicateValues" dxfId="473" priority="94" stopIfTrue="1"/>
  </conditionalFormatting>
  <conditionalFormatting sqref="C218">
    <cfRule type="duplicateValues" dxfId="472" priority="92" stopIfTrue="1"/>
    <cfRule type="duplicateValues" dxfId="471" priority="93" stopIfTrue="1"/>
  </conditionalFormatting>
  <conditionalFormatting sqref="C218">
    <cfRule type="duplicateValues" dxfId="470" priority="91" stopIfTrue="1"/>
  </conditionalFormatting>
  <conditionalFormatting sqref="C219">
    <cfRule type="duplicateValues" dxfId="469" priority="89" stopIfTrue="1"/>
    <cfRule type="duplicateValues" dxfId="468" priority="90" stopIfTrue="1"/>
  </conditionalFormatting>
  <conditionalFormatting sqref="C219">
    <cfRule type="duplicateValues" dxfId="467" priority="88" stopIfTrue="1"/>
  </conditionalFormatting>
  <conditionalFormatting sqref="C260">
    <cfRule type="duplicateValues" dxfId="466" priority="86" stopIfTrue="1"/>
    <cfRule type="duplicateValues" dxfId="465" priority="87" stopIfTrue="1"/>
  </conditionalFormatting>
  <conditionalFormatting sqref="C260">
    <cfRule type="duplicateValues" dxfId="464" priority="85" stopIfTrue="1"/>
  </conditionalFormatting>
  <conditionalFormatting sqref="C222">
    <cfRule type="duplicateValues" dxfId="463" priority="83" stopIfTrue="1"/>
    <cfRule type="duplicateValues" dxfId="462" priority="84" stopIfTrue="1"/>
  </conditionalFormatting>
  <conditionalFormatting sqref="C222">
    <cfRule type="duplicateValues" dxfId="461" priority="82" stopIfTrue="1"/>
  </conditionalFormatting>
  <conditionalFormatting sqref="C225">
    <cfRule type="duplicateValues" dxfId="460" priority="80" stopIfTrue="1"/>
    <cfRule type="duplicateValues" dxfId="459" priority="81" stopIfTrue="1"/>
  </conditionalFormatting>
  <conditionalFormatting sqref="C225">
    <cfRule type="duplicateValues" dxfId="458" priority="79" stopIfTrue="1"/>
  </conditionalFormatting>
  <conditionalFormatting sqref="C198">
    <cfRule type="duplicateValues" dxfId="457" priority="77" stopIfTrue="1"/>
    <cfRule type="duplicateValues" dxfId="456" priority="78" stopIfTrue="1"/>
  </conditionalFormatting>
  <conditionalFormatting sqref="C198">
    <cfRule type="duplicateValues" dxfId="455" priority="76" stopIfTrue="1"/>
  </conditionalFormatting>
  <conditionalFormatting sqref="C256">
    <cfRule type="duplicateValues" dxfId="454" priority="74" stopIfTrue="1"/>
    <cfRule type="duplicateValues" dxfId="453" priority="75" stopIfTrue="1"/>
  </conditionalFormatting>
  <conditionalFormatting sqref="C256">
    <cfRule type="duplicateValues" dxfId="452" priority="73" stopIfTrue="1"/>
  </conditionalFormatting>
  <conditionalFormatting sqref="C248">
    <cfRule type="duplicateValues" dxfId="451" priority="71" stopIfTrue="1"/>
    <cfRule type="duplicateValues" dxfId="450" priority="72" stopIfTrue="1"/>
  </conditionalFormatting>
  <conditionalFormatting sqref="C248">
    <cfRule type="duplicateValues" dxfId="449" priority="70" stopIfTrue="1"/>
  </conditionalFormatting>
  <conditionalFormatting sqref="C220">
    <cfRule type="duplicateValues" dxfId="448" priority="68" stopIfTrue="1"/>
    <cfRule type="duplicateValues" dxfId="447" priority="69" stopIfTrue="1"/>
  </conditionalFormatting>
  <conditionalFormatting sqref="C220">
    <cfRule type="duplicateValues" dxfId="446" priority="67" stopIfTrue="1"/>
  </conditionalFormatting>
  <conditionalFormatting sqref="C235">
    <cfRule type="duplicateValues" dxfId="445" priority="65" stopIfTrue="1"/>
    <cfRule type="duplicateValues" dxfId="444" priority="66" stopIfTrue="1"/>
  </conditionalFormatting>
  <conditionalFormatting sqref="C235">
    <cfRule type="duplicateValues" dxfId="443" priority="64" stopIfTrue="1"/>
  </conditionalFormatting>
  <conditionalFormatting sqref="C237">
    <cfRule type="duplicateValues" dxfId="442" priority="62" stopIfTrue="1"/>
    <cfRule type="duplicateValues" dxfId="441" priority="63" stopIfTrue="1"/>
  </conditionalFormatting>
  <conditionalFormatting sqref="C237">
    <cfRule type="duplicateValues" dxfId="440" priority="61" stopIfTrue="1"/>
  </conditionalFormatting>
  <conditionalFormatting sqref="C239">
    <cfRule type="duplicateValues" dxfId="439" priority="59" stopIfTrue="1"/>
    <cfRule type="duplicateValues" dxfId="438" priority="60" stopIfTrue="1"/>
  </conditionalFormatting>
  <conditionalFormatting sqref="C239">
    <cfRule type="duplicateValues" dxfId="437" priority="58" stopIfTrue="1"/>
  </conditionalFormatting>
  <conditionalFormatting sqref="C240">
    <cfRule type="duplicateValues" dxfId="436" priority="56" stopIfTrue="1"/>
    <cfRule type="duplicateValues" dxfId="435" priority="57" stopIfTrue="1"/>
  </conditionalFormatting>
  <conditionalFormatting sqref="C240">
    <cfRule type="duplicateValues" dxfId="434" priority="55" stopIfTrue="1"/>
  </conditionalFormatting>
  <conditionalFormatting sqref="C241">
    <cfRule type="duplicateValues" dxfId="433" priority="53" stopIfTrue="1"/>
    <cfRule type="duplicateValues" dxfId="432" priority="54" stopIfTrue="1"/>
  </conditionalFormatting>
  <conditionalFormatting sqref="C241">
    <cfRule type="duplicateValues" dxfId="431" priority="52" stopIfTrue="1"/>
  </conditionalFormatting>
  <conditionalFormatting sqref="C242">
    <cfRule type="duplicateValues" dxfId="430" priority="50" stopIfTrue="1"/>
    <cfRule type="duplicateValues" dxfId="429" priority="51" stopIfTrue="1"/>
  </conditionalFormatting>
  <conditionalFormatting sqref="C242">
    <cfRule type="duplicateValues" dxfId="428" priority="49" stopIfTrue="1"/>
  </conditionalFormatting>
  <conditionalFormatting sqref="C243">
    <cfRule type="duplicateValues" dxfId="427" priority="47" stopIfTrue="1"/>
    <cfRule type="duplicateValues" dxfId="426" priority="48" stopIfTrue="1"/>
  </conditionalFormatting>
  <conditionalFormatting sqref="C243">
    <cfRule type="duplicateValues" dxfId="425" priority="46" stopIfTrue="1"/>
  </conditionalFormatting>
  <conditionalFormatting sqref="C244">
    <cfRule type="duplicateValues" dxfId="424" priority="44" stopIfTrue="1"/>
    <cfRule type="duplicateValues" dxfId="423" priority="45" stopIfTrue="1"/>
  </conditionalFormatting>
  <conditionalFormatting sqref="C244">
    <cfRule type="duplicateValues" dxfId="422" priority="43" stopIfTrue="1"/>
  </conditionalFormatting>
  <conditionalFormatting sqref="C3">
    <cfRule type="duplicateValues" dxfId="421" priority="42"/>
  </conditionalFormatting>
  <conditionalFormatting sqref="C245">
    <cfRule type="duplicateValues" dxfId="420" priority="40" stopIfTrue="1"/>
    <cfRule type="duplicateValues" dxfId="419" priority="41" stopIfTrue="1"/>
  </conditionalFormatting>
  <conditionalFormatting sqref="C245">
    <cfRule type="duplicateValues" dxfId="418" priority="39" stopIfTrue="1"/>
  </conditionalFormatting>
  <conditionalFormatting sqref="C197">
    <cfRule type="duplicateValues" dxfId="417" priority="37" stopIfTrue="1"/>
    <cfRule type="duplicateValues" dxfId="416" priority="38" stopIfTrue="1"/>
  </conditionalFormatting>
  <conditionalFormatting sqref="C197">
    <cfRule type="duplicateValues" dxfId="415" priority="36" stopIfTrue="1"/>
  </conditionalFormatting>
  <conditionalFormatting sqref="C209">
    <cfRule type="duplicateValues" dxfId="414" priority="35"/>
  </conditionalFormatting>
  <conditionalFormatting sqref="C185">
    <cfRule type="duplicateValues" dxfId="413" priority="34"/>
  </conditionalFormatting>
  <conditionalFormatting sqref="C250 C359:C1048576 C228:C248 C1:C5 C197:C199 C193 C201 C205:C225 C260:C264 C254:C258 C184:C185">
    <cfRule type="duplicateValues" dxfId="412" priority="33"/>
  </conditionalFormatting>
  <conditionalFormatting sqref="C254:C258 C260:C264 C197:C199 C193 C201 C205:C225 C184:C185">
    <cfRule type="duplicateValues" dxfId="411" priority="32"/>
  </conditionalFormatting>
  <conditionalFormatting sqref="C231:C232 C199 C261:C263">
    <cfRule type="duplicateValues" dxfId="410" priority="30" stopIfTrue="1"/>
    <cfRule type="duplicateValues" dxfId="409" priority="31" stopIfTrue="1"/>
  </conditionalFormatting>
  <conditionalFormatting sqref="C231:C232 C199 C261:C263">
    <cfRule type="duplicateValues" dxfId="408" priority="29" stopIfTrue="1"/>
  </conditionalFormatting>
  <conditionalFormatting sqref="C231:C232 C261:C263 C199">
    <cfRule type="duplicateValues" dxfId="407" priority="27" stopIfTrue="1"/>
    <cfRule type="duplicateValues" dxfId="406" priority="28" stopIfTrue="1"/>
  </conditionalFormatting>
  <conditionalFormatting sqref="C231:C232 C261:C263 C199">
    <cfRule type="duplicateValues" dxfId="405" priority="26" stopIfTrue="1"/>
  </conditionalFormatting>
  <conditionalFormatting sqref="C184">
    <cfRule type="duplicateValues" dxfId="404" priority="24" stopIfTrue="1"/>
    <cfRule type="duplicateValues" dxfId="403" priority="25" stopIfTrue="1"/>
  </conditionalFormatting>
  <conditionalFormatting sqref="C184">
    <cfRule type="duplicateValues" dxfId="402" priority="23" stopIfTrue="1"/>
  </conditionalFormatting>
  <conditionalFormatting sqref="C264 C195 C207:C209 C205 C197:C199 C211:C225 C201:C203 C193 C185">
    <cfRule type="duplicateValues" dxfId="401" priority="21" stopIfTrue="1"/>
    <cfRule type="duplicateValues" dxfId="400" priority="22" stopIfTrue="1"/>
  </conditionalFormatting>
  <conditionalFormatting sqref="C264 C195 C207:C209 C205 C197:C199 C211:C225 C201:C203 C193 C185">
    <cfRule type="duplicateValues" dxfId="399" priority="20" stopIfTrue="1"/>
  </conditionalFormatting>
  <conditionalFormatting sqref="C195 C193 C184:C185">
    <cfRule type="duplicateValues" dxfId="398" priority="18" stopIfTrue="1"/>
    <cfRule type="duplicateValues" dxfId="397" priority="19" stopIfTrue="1"/>
  </conditionalFormatting>
  <conditionalFormatting sqref="C195 C193 C184:C185">
    <cfRule type="duplicateValues" dxfId="396" priority="17" stopIfTrue="1"/>
  </conditionalFormatting>
  <conditionalFormatting sqref="C195 C193 C185">
    <cfRule type="duplicateValues" dxfId="395" priority="15" stopIfTrue="1"/>
    <cfRule type="duplicateValues" dxfId="394" priority="16" stopIfTrue="1"/>
  </conditionalFormatting>
  <conditionalFormatting sqref="C195 C193 C185">
    <cfRule type="duplicateValues" dxfId="393" priority="14" stopIfTrue="1"/>
  </conditionalFormatting>
  <conditionalFormatting sqref="C260:C264 C211:C225 C207:C209 C205 C197:C199 C195 C201:C203 C193 C184:C185">
    <cfRule type="duplicateValues" dxfId="392" priority="12" stopIfTrue="1"/>
    <cfRule type="duplicateValues" dxfId="391" priority="13" stopIfTrue="1"/>
  </conditionalFormatting>
  <conditionalFormatting sqref="C260:C264 C211:C225 C207:C209 C205 C197:C199 C195 C201:C203 C193 C184:C185">
    <cfRule type="duplicateValues" dxfId="390" priority="11" stopIfTrue="1"/>
  </conditionalFormatting>
  <conditionalFormatting sqref="C185">
    <cfRule type="duplicateValues" dxfId="389" priority="9" stopIfTrue="1"/>
    <cfRule type="duplicateValues" dxfId="388" priority="10" stopIfTrue="1"/>
  </conditionalFormatting>
  <conditionalFormatting sqref="C193 C239:C244 C228:C229 C235:C237 C185">
    <cfRule type="duplicateValues" dxfId="387" priority="7" stopIfTrue="1"/>
    <cfRule type="duplicateValues" dxfId="386" priority="8" stopIfTrue="1"/>
  </conditionalFormatting>
  <conditionalFormatting sqref="C193 C239:C244 C228:C229 C235:C237 C185">
    <cfRule type="duplicateValues" dxfId="385" priority="6" stopIfTrue="1"/>
  </conditionalFormatting>
  <conditionalFormatting sqref="C193 C239:C244 C359:C1048576 C246:C248 C197:C199 C1:C2 C4:C5 C210:C223 C260:C264 C254:C258 C205:C208 C225 C235:C237 C228:C232 C185">
    <cfRule type="duplicateValues" dxfId="384" priority="5"/>
  </conditionalFormatting>
  <conditionalFormatting sqref="C193 C260:C264 C359:C1048576 C1:C5 C254:C258 C197:C199 C205:C208 C228:C232 C235:C237 C210:C223 C239:C248 C225 C185">
    <cfRule type="duplicateValues" dxfId="383" priority="4"/>
  </conditionalFormatting>
  <conditionalFormatting sqref="C173:C174 C176:C182 C167:C171">
    <cfRule type="duplicateValues" dxfId="382" priority="2" stopIfTrue="1"/>
    <cfRule type="duplicateValues" dxfId="381" priority="3" stopIfTrue="1"/>
  </conditionalFormatting>
  <conditionalFormatting sqref="C173:C174 C176:C182 C167:C171">
    <cfRule type="duplicateValues" dxfId="380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C00000"/>
  </sheetPr>
  <dimension ref="A3:O265"/>
  <sheetViews>
    <sheetView topLeftCell="A105" workbookViewId="0">
      <selection activeCell="C139" sqref="C139"/>
    </sheetView>
  </sheetViews>
  <sheetFormatPr defaultRowHeight="15"/>
  <cols>
    <col min="1" max="1" width="4.5703125" style="44" customWidth="1"/>
    <col min="2" max="2" width="13.140625" style="298" customWidth="1"/>
    <col min="3" max="3" width="37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1109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291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92" t="s">
        <v>968</v>
      </c>
      <c r="C6" s="11" t="s">
        <v>490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287">
        <v>7479.78</v>
      </c>
      <c r="I6" s="159">
        <v>12</v>
      </c>
      <c r="J6" s="97">
        <f t="shared" ref="J6:J37" si="0">G6-I6</f>
        <v>38</v>
      </c>
      <c r="K6" s="91">
        <f t="shared" ref="K6:K15" si="1">I6*H6</f>
        <v>89757.36</v>
      </c>
      <c r="L6" s="94">
        <f t="shared" ref="L6:L37" si="2">F6-K6</f>
        <v>284231.64</v>
      </c>
      <c r="M6" s="11"/>
      <c r="N6" s="180" t="e">
        <f>#REF!-H6</f>
        <v>#REF!</v>
      </c>
    </row>
    <row r="7" spans="1:14" s="114" customFormat="1">
      <c r="A7" s="96">
        <v>2</v>
      </c>
      <c r="B7" s="293" t="s">
        <v>1072</v>
      </c>
      <c r="C7" s="123" t="s">
        <v>1073</v>
      </c>
      <c r="D7" s="19">
        <v>330000</v>
      </c>
      <c r="E7" s="19">
        <v>43989</v>
      </c>
      <c r="F7" s="19">
        <f>SUM(D7:E7)</f>
        <v>373989</v>
      </c>
      <c r="G7" s="159">
        <v>50</v>
      </c>
      <c r="H7" s="304">
        <v>37398.9</v>
      </c>
      <c r="I7" s="159">
        <v>6</v>
      </c>
      <c r="J7" s="159">
        <f t="shared" si="0"/>
        <v>44</v>
      </c>
      <c r="K7" s="16">
        <f t="shared" si="1"/>
        <v>224393.40000000002</v>
      </c>
      <c r="L7" s="94">
        <f t="shared" si="2"/>
        <v>149595.59999999998</v>
      </c>
      <c r="M7" s="11"/>
    </row>
    <row r="8" spans="1:14" s="114" customFormat="1">
      <c r="A8" s="96">
        <v>3</v>
      </c>
      <c r="B8" s="293" t="s">
        <v>975</v>
      </c>
      <c r="C8" s="123" t="s">
        <v>875</v>
      </c>
      <c r="D8" s="19">
        <v>450000</v>
      </c>
      <c r="E8" s="19">
        <v>59985</v>
      </c>
      <c r="F8" s="19">
        <v>509985</v>
      </c>
      <c r="G8" s="159">
        <v>50</v>
      </c>
      <c r="H8" s="304">
        <v>10199.700000000001</v>
      </c>
      <c r="I8" s="159">
        <v>7</v>
      </c>
      <c r="J8" s="159">
        <f t="shared" si="0"/>
        <v>43</v>
      </c>
      <c r="K8" s="16">
        <f t="shared" si="1"/>
        <v>71397.900000000009</v>
      </c>
      <c r="L8" s="94">
        <f t="shared" si="2"/>
        <v>438587.1</v>
      </c>
      <c r="M8" s="11"/>
    </row>
    <row r="9" spans="1:14" s="114" customFormat="1">
      <c r="A9" s="96">
        <v>4</v>
      </c>
      <c r="B9" s="294" t="s">
        <v>1018</v>
      </c>
      <c r="C9" s="123" t="s">
        <v>1019</v>
      </c>
      <c r="D9" s="19">
        <v>150000</v>
      </c>
      <c r="E9" s="19">
        <v>19995</v>
      </c>
      <c r="F9" s="19">
        <f>SUM(D9:E9)</f>
        <v>169995</v>
      </c>
      <c r="G9" s="159">
        <v>50</v>
      </c>
      <c r="H9" s="304">
        <v>3399.9</v>
      </c>
      <c r="I9" s="159">
        <v>5</v>
      </c>
      <c r="J9" s="97">
        <f t="shared" si="0"/>
        <v>45</v>
      </c>
      <c r="K9" s="91">
        <f t="shared" si="1"/>
        <v>16999.5</v>
      </c>
      <c r="L9" s="94">
        <f t="shared" si="2"/>
        <v>152995.5</v>
      </c>
      <c r="M9" s="11"/>
      <c r="N9" s="180" t="e">
        <f>#REF!-H9</f>
        <v>#REF!</v>
      </c>
    </row>
    <row r="10" spans="1:14" s="114" customFormat="1">
      <c r="A10" s="96">
        <v>5</v>
      </c>
      <c r="B10" s="293" t="s">
        <v>1055</v>
      </c>
      <c r="C10" s="11" t="s">
        <v>850</v>
      </c>
      <c r="D10" s="19">
        <v>330000</v>
      </c>
      <c r="E10" s="19">
        <v>43989</v>
      </c>
      <c r="F10" s="19">
        <f>SUM(D10:E10)</f>
        <v>373989</v>
      </c>
      <c r="G10" s="159">
        <v>50</v>
      </c>
      <c r="H10" s="304">
        <v>7479.78</v>
      </c>
      <c r="I10" s="96">
        <v>30</v>
      </c>
      <c r="J10" s="97">
        <f t="shared" si="0"/>
        <v>20</v>
      </c>
      <c r="K10" s="91">
        <f t="shared" si="1"/>
        <v>224393.4</v>
      </c>
      <c r="L10" s="94">
        <f t="shared" si="2"/>
        <v>149595.6</v>
      </c>
      <c r="M10" s="11"/>
      <c r="N10" s="180" t="e">
        <f>#REF!-H10</f>
        <v>#REF!</v>
      </c>
    </row>
    <row r="11" spans="1:14" s="114" customFormat="1">
      <c r="A11" s="96">
        <v>6</v>
      </c>
      <c r="B11" s="292" t="s">
        <v>976</v>
      </c>
      <c r="C11" s="11" t="s">
        <v>307</v>
      </c>
      <c r="D11" s="12">
        <v>500000</v>
      </c>
      <c r="E11" s="12">
        <v>66650</v>
      </c>
      <c r="F11" s="15">
        <f>SUM(D11:E11)</f>
        <v>566650</v>
      </c>
      <c r="G11" s="14">
        <v>50</v>
      </c>
      <c r="H11" s="305">
        <v>11333</v>
      </c>
      <c r="I11" s="14">
        <v>43</v>
      </c>
      <c r="J11" s="97">
        <f t="shared" si="0"/>
        <v>7</v>
      </c>
      <c r="K11" s="91">
        <f t="shared" si="1"/>
        <v>487319</v>
      </c>
      <c r="L11" s="15">
        <f t="shared" si="2"/>
        <v>79331</v>
      </c>
      <c r="M11" s="8"/>
      <c r="N11" s="180" t="e">
        <f>#REF!-H11</f>
        <v>#REF!</v>
      </c>
    </row>
    <row r="12" spans="1:14" s="114" customFormat="1">
      <c r="A12" s="96">
        <v>7</v>
      </c>
      <c r="B12" s="292" t="s">
        <v>1074</v>
      </c>
      <c r="C12" s="11" t="s">
        <v>1075</v>
      </c>
      <c r="D12" s="16">
        <v>330000</v>
      </c>
      <c r="E12" s="16">
        <v>43989</v>
      </c>
      <c r="F12" s="41">
        <f>SUM(D12:E12)</f>
        <v>373989</v>
      </c>
      <c r="G12" s="159">
        <v>50</v>
      </c>
      <c r="H12" s="305">
        <v>7478.78</v>
      </c>
      <c r="I12" s="159">
        <v>47</v>
      </c>
      <c r="J12" s="96">
        <f t="shared" si="0"/>
        <v>3</v>
      </c>
      <c r="K12" s="16">
        <f t="shared" si="1"/>
        <v>351502.66</v>
      </c>
      <c r="L12" s="41">
        <f t="shared" si="2"/>
        <v>22486.340000000026</v>
      </c>
      <c r="M12" s="11"/>
      <c r="N12" s="180" t="e">
        <f>#REF!-H12</f>
        <v>#REF!</v>
      </c>
    </row>
    <row r="13" spans="1:14" s="114" customFormat="1">
      <c r="A13" s="96">
        <v>8</v>
      </c>
      <c r="B13" s="292" t="s">
        <v>1039</v>
      </c>
      <c r="C13" s="11" t="s">
        <v>308</v>
      </c>
      <c r="D13" s="16">
        <v>500000</v>
      </c>
      <c r="E13" s="16">
        <v>66650</v>
      </c>
      <c r="F13" s="41">
        <f>SUM(D13:E13)</f>
        <v>566650</v>
      </c>
      <c r="G13" s="159">
        <v>50</v>
      </c>
      <c r="H13" s="305">
        <v>11333</v>
      </c>
      <c r="I13" s="96">
        <v>38</v>
      </c>
      <c r="J13" s="96">
        <f t="shared" si="0"/>
        <v>12</v>
      </c>
      <c r="K13" s="16">
        <f t="shared" si="1"/>
        <v>430654</v>
      </c>
      <c r="L13" s="41">
        <f t="shared" si="2"/>
        <v>135996</v>
      </c>
      <c r="M13" s="11"/>
      <c r="N13" s="180" t="e">
        <f>#REF!-H13</f>
        <v>#REF!</v>
      </c>
    </row>
    <row r="14" spans="1:14" s="114" customFormat="1">
      <c r="A14" s="96">
        <v>9</v>
      </c>
      <c r="B14" s="292" t="s">
        <v>1103</v>
      </c>
      <c r="C14" s="11" t="s">
        <v>310</v>
      </c>
      <c r="D14" s="19">
        <v>500000</v>
      </c>
      <c r="E14" s="19">
        <v>66650</v>
      </c>
      <c r="F14" s="19">
        <v>566650</v>
      </c>
      <c r="G14" s="159">
        <v>50</v>
      </c>
      <c r="H14" s="305">
        <v>11333</v>
      </c>
      <c r="I14" s="96">
        <v>24</v>
      </c>
      <c r="J14" s="96">
        <f t="shared" si="0"/>
        <v>26</v>
      </c>
      <c r="K14" s="16">
        <f t="shared" si="1"/>
        <v>271992</v>
      </c>
      <c r="L14" s="16">
        <f t="shared" si="2"/>
        <v>294658</v>
      </c>
      <c r="M14" s="11"/>
      <c r="N14" s="180" t="e">
        <f>#REF!-H14</f>
        <v>#REF!</v>
      </c>
    </row>
    <row r="15" spans="1:14" s="114" customFormat="1">
      <c r="A15" s="96">
        <v>10</v>
      </c>
      <c r="B15" s="292" t="s">
        <v>1077</v>
      </c>
      <c r="C15" s="11" t="s">
        <v>311</v>
      </c>
      <c r="D15" s="16">
        <v>500000</v>
      </c>
      <c r="E15" s="16">
        <v>66650</v>
      </c>
      <c r="F15" s="41">
        <f>SUM(D15:E15)</f>
        <v>566650</v>
      </c>
      <c r="G15" s="159">
        <v>50</v>
      </c>
      <c r="H15" s="305">
        <v>11333</v>
      </c>
      <c r="I15" s="96">
        <v>59</v>
      </c>
      <c r="J15" s="96">
        <f t="shared" si="0"/>
        <v>-9</v>
      </c>
      <c r="K15" s="16">
        <f t="shared" si="1"/>
        <v>668647</v>
      </c>
      <c r="L15" s="41">
        <f t="shared" si="2"/>
        <v>-101997</v>
      </c>
      <c r="M15" s="11"/>
      <c r="N15" s="180" t="e">
        <f>#REF!-H15</f>
        <v>#REF!</v>
      </c>
    </row>
    <row r="16" spans="1:14" s="114" customFormat="1">
      <c r="A16" s="96">
        <v>11</v>
      </c>
      <c r="B16" s="292" t="s">
        <v>1063</v>
      </c>
      <c r="C16" s="11" t="s">
        <v>1064</v>
      </c>
      <c r="D16" s="16">
        <v>330000</v>
      </c>
      <c r="E16" s="16">
        <v>43989</v>
      </c>
      <c r="F16" s="41">
        <f>SUM(D16:E16)</f>
        <v>373989</v>
      </c>
      <c r="G16" s="159">
        <v>50</v>
      </c>
      <c r="H16" s="287">
        <v>7479.78</v>
      </c>
      <c r="I16" s="159">
        <v>47</v>
      </c>
      <c r="J16" s="97">
        <f t="shared" si="0"/>
        <v>3</v>
      </c>
      <c r="K16" s="91">
        <f>(32*7479.78)</f>
        <v>239352.95999999999</v>
      </c>
      <c r="L16" s="94">
        <f t="shared" si="2"/>
        <v>134636.04</v>
      </c>
      <c r="M16" s="11"/>
      <c r="N16" s="180" t="e">
        <f>#REF!-H16</f>
        <v>#REF!</v>
      </c>
    </row>
    <row r="17" spans="1:14" s="114" customFormat="1">
      <c r="A17" s="96">
        <v>12</v>
      </c>
      <c r="B17" s="292" t="s">
        <v>972</v>
      </c>
      <c r="C17" s="11" t="s">
        <v>312</v>
      </c>
      <c r="D17" s="16">
        <v>500000</v>
      </c>
      <c r="E17" s="16">
        <v>66650</v>
      </c>
      <c r="F17" s="41">
        <f>SUM(D17:E17)</f>
        <v>566650</v>
      </c>
      <c r="G17" s="159">
        <v>50</v>
      </c>
      <c r="H17" s="305">
        <v>11333</v>
      </c>
      <c r="I17" s="97">
        <v>59</v>
      </c>
      <c r="J17" s="97">
        <f t="shared" si="0"/>
        <v>-9</v>
      </c>
      <c r="K17" s="91">
        <f t="shared" ref="K17:K36" si="3">I17*H17</f>
        <v>668647</v>
      </c>
      <c r="L17" s="94">
        <f t="shared" si="2"/>
        <v>-101997</v>
      </c>
      <c r="M17" s="11"/>
      <c r="N17" s="180" t="e">
        <f>#REF!-H17</f>
        <v>#REF!</v>
      </c>
    </row>
    <row r="18" spans="1:14" s="114" customFormat="1">
      <c r="A18" s="96">
        <v>13</v>
      </c>
      <c r="B18" s="293" t="s">
        <v>1034</v>
      </c>
      <c r="C18" s="123" t="s">
        <v>1035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304">
        <v>11333</v>
      </c>
      <c r="I18" s="159">
        <v>7</v>
      </c>
      <c r="J18" s="159">
        <f t="shared" si="0"/>
        <v>43</v>
      </c>
      <c r="K18" s="16">
        <f t="shared" si="3"/>
        <v>79331</v>
      </c>
      <c r="L18" s="94">
        <f t="shared" si="2"/>
        <v>487319</v>
      </c>
      <c r="M18" s="11"/>
    </row>
    <row r="19" spans="1:14" s="114" customFormat="1">
      <c r="A19" s="96">
        <v>14</v>
      </c>
      <c r="B19" s="295" t="s">
        <v>987</v>
      </c>
      <c r="C19" s="8" t="s">
        <v>866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306">
        <v>11333</v>
      </c>
      <c r="I19" s="159">
        <v>7</v>
      </c>
      <c r="J19" s="97">
        <f t="shared" si="0"/>
        <v>43</v>
      </c>
      <c r="K19" s="16">
        <f t="shared" si="3"/>
        <v>79331</v>
      </c>
      <c r="L19" s="94">
        <f t="shared" si="2"/>
        <v>487319</v>
      </c>
      <c r="M19" s="8"/>
      <c r="N19" s="180" t="e">
        <f>#REF!-H19</f>
        <v>#REF!</v>
      </c>
    </row>
    <row r="20" spans="1:14" s="114" customFormat="1">
      <c r="A20" s="96">
        <v>15</v>
      </c>
      <c r="B20" s="292" t="s">
        <v>1048</v>
      </c>
      <c r="C20" s="11" t="s">
        <v>1049</v>
      </c>
      <c r="D20" s="16">
        <v>450000</v>
      </c>
      <c r="E20" s="16">
        <v>59985</v>
      </c>
      <c r="F20" s="16">
        <v>509985</v>
      </c>
      <c r="G20" s="159">
        <v>50</v>
      </c>
      <c r="H20" s="305">
        <v>10199.700000000001</v>
      </c>
      <c r="I20" s="97">
        <v>23</v>
      </c>
      <c r="J20" s="97">
        <f t="shared" si="0"/>
        <v>27</v>
      </c>
      <c r="K20" s="91">
        <f t="shared" si="3"/>
        <v>234593.1</v>
      </c>
      <c r="L20" s="91">
        <f t="shared" si="2"/>
        <v>275391.90000000002</v>
      </c>
      <c r="M20" s="11"/>
      <c r="N20" s="180" t="e">
        <f>#REF!-H20</f>
        <v>#REF!</v>
      </c>
    </row>
    <row r="21" spans="1:14" s="114" customFormat="1">
      <c r="A21" s="96">
        <v>16</v>
      </c>
      <c r="B21" s="292" t="s">
        <v>1026</v>
      </c>
      <c r="C21" s="11" t="s">
        <v>361</v>
      </c>
      <c r="D21" s="16">
        <v>450000</v>
      </c>
      <c r="E21" s="16">
        <v>59985</v>
      </c>
      <c r="F21" s="16">
        <v>509985</v>
      </c>
      <c r="G21" s="159">
        <v>50</v>
      </c>
      <c r="H21" s="305">
        <v>10199.700000000001</v>
      </c>
      <c r="I21" s="97">
        <v>38</v>
      </c>
      <c r="J21" s="97">
        <f t="shared" si="0"/>
        <v>12</v>
      </c>
      <c r="K21" s="91">
        <f t="shared" si="3"/>
        <v>387588.60000000003</v>
      </c>
      <c r="L21" s="94">
        <f t="shared" si="2"/>
        <v>122396.39999999997</v>
      </c>
      <c r="M21" s="11"/>
      <c r="N21" s="180" t="e">
        <f>#REF!-H21</f>
        <v>#REF!</v>
      </c>
    </row>
    <row r="22" spans="1:14" s="114" customFormat="1">
      <c r="A22" s="96">
        <v>17</v>
      </c>
      <c r="B22" s="292" t="s">
        <v>973</v>
      </c>
      <c r="C22" s="11" t="s">
        <v>313</v>
      </c>
      <c r="D22" s="16">
        <v>500000</v>
      </c>
      <c r="E22" s="16">
        <v>66650</v>
      </c>
      <c r="F22" s="41">
        <f>SUM(D22:E22)</f>
        <v>566650</v>
      </c>
      <c r="G22" s="159">
        <v>50</v>
      </c>
      <c r="H22" s="305">
        <v>11333</v>
      </c>
      <c r="I22" s="97">
        <v>38</v>
      </c>
      <c r="J22" s="97">
        <f t="shared" si="0"/>
        <v>12</v>
      </c>
      <c r="K22" s="91">
        <f t="shared" si="3"/>
        <v>430654</v>
      </c>
      <c r="L22" s="94">
        <f t="shared" si="2"/>
        <v>135996</v>
      </c>
      <c r="M22" s="11"/>
      <c r="N22" s="180" t="e">
        <f>#REF!-H22</f>
        <v>#REF!</v>
      </c>
    </row>
    <row r="23" spans="1:14" s="114" customFormat="1">
      <c r="A23" s="96">
        <v>18</v>
      </c>
      <c r="B23" s="292" t="s">
        <v>1054</v>
      </c>
      <c r="C23" s="11" t="s">
        <v>299</v>
      </c>
      <c r="D23" s="16">
        <v>500000</v>
      </c>
      <c r="E23" s="16">
        <v>66650</v>
      </c>
      <c r="F23" s="41">
        <f>SUM(D23:E23)</f>
        <v>566650</v>
      </c>
      <c r="G23" s="159">
        <v>50</v>
      </c>
      <c r="H23" s="305">
        <v>11333</v>
      </c>
      <c r="I23" s="97">
        <v>48</v>
      </c>
      <c r="J23" s="97">
        <f t="shared" si="0"/>
        <v>2</v>
      </c>
      <c r="K23" s="91">
        <f t="shared" si="3"/>
        <v>543984</v>
      </c>
      <c r="L23" s="94">
        <f t="shared" si="2"/>
        <v>22666</v>
      </c>
      <c r="M23" s="11" t="s">
        <v>276</v>
      </c>
      <c r="N23" s="180" t="e">
        <f>#REF!-H23</f>
        <v>#REF!</v>
      </c>
    </row>
    <row r="24" spans="1:14" s="114" customFormat="1">
      <c r="A24" s="96">
        <v>19</v>
      </c>
      <c r="B24" s="292" t="s">
        <v>999</v>
      </c>
      <c r="C24" s="11" t="s">
        <v>441</v>
      </c>
      <c r="D24" s="16">
        <v>500000</v>
      </c>
      <c r="E24" s="16">
        <v>66650</v>
      </c>
      <c r="F24" s="16">
        <v>566650</v>
      </c>
      <c r="G24" s="159">
        <v>50</v>
      </c>
      <c r="H24" s="287">
        <v>11333</v>
      </c>
      <c r="I24" s="96">
        <v>12</v>
      </c>
      <c r="J24" s="97">
        <f t="shared" si="0"/>
        <v>38</v>
      </c>
      <c r="K24" s="91">
        <f t="shared" si="3"/>
        <v>135996</v>
      </c>
      <c r="L24" s="94">
        <f t="shared" si="2"/>
        <v>430654</v>
      </c>
      <c r="M24" s="123"/>
      <c r="N24" s="180" t="e">
        <f>#REF!-H24</f>
        <v>#REF!</v>
      </c>
    </row>
    <row r="25" spans="1:14" s="114" customFormat="1">
      <c r="A25" s="96">
        <v>20</v>
      </c>
      <c r="B25" s="292" t="s">
        <v>1071</v>
      </c>
      <c r="C25" s="11" t="s">
        <v>496</v>
      </c>
      <c r="D25" s="16">
        <v>500000</v>
      </c>
      <c r="E25" s="16">
        <v>66650</v>
      </c>
      <c r="F25" s="41">
        <f>SUM(D25:E25)</f>
        <v>566650</v>
      </c>
      <c r="G25" s="159">
        <v>50</v>
      </c>
      <c r="H25" s="305">
        <v>11333</v>
      </c>
      <c r="I25" s="159">
        <v>10</v>
      </c>
      <c r="J25" s="97">
        <f t="shared" si="0"/>
        <v>40</v>
      </c>
      <c r="K25" s="91">
        <f t="shared" si="3"/>
        <v>113330</v>
      </c>
      <c r="L25" s="94">
        <f t="shared" si="2"/>
        <v>453320</v>
      </c>
      <c r="M25" s="11"/>
      <c r="N25" s="180" t="e">
        <f>#REF!-H25</f>
        <v>#REF!</v>
      </c>
    </row>
    <row r="26" spans="1:14" s="114" customFormat="1">
      <c r="A26" s="96">
        <v>21</v>
      </c>
      <c r="B26" s="292" t="s">
        <v>1004</v>
      </c>
      <c r="C26" s="11" t="s">
        <v>107</v>
      </c>
      <c r="D26" s="16">
        <v>330000</v>
      </c>
      <c r="E26" s="16">
        <v>43989</v>
      </c>
      <c r="F26" s="41">
        <f>SUM(D26:E26)</f>
        <v>373989</v>
      </c>
      <c r="G26" s="159">
        <v>50</v>
      </c>
      <c r="H26" s="305">
        <v>7479.78</v>
      </c>
      <c r="I26" s="97">
        <v>59</v>
      </c>
      <c r="J26" s="97">
        <f t="shared" si="0"/>
        <v>-9</v>
      </c>
      <c r="K26" s="91">
        <f t="shared" si="3"/>
        <v>441307.01999999996</v>
      </c>
      <c r="L26" s="94">
        <f t="shared" si="2"/>
        <v>-67318.01999999996</v>
      </c>
      <c r="M26" s="11"/>
      <c r="N26" s="180" t="e">
        <f>#REF!-H26</f>
        <v>#REF!</v>
      </c>
    </row>
    <row r="27" spans="1:14" s="114" customFormat="1">
      <c r="A27" s="96">
        <v>22</v>
      </c>
      <c r="B27" s="292" t="s">
        <v>1032</v>
      </c>
      <c r="C27" s="11" t="s">
        <v>374</v>
      </c>
      <c r="D27" s="16">
        <v>330000</v>
      </c>
      <c r="E27" s="16">
        <v>43989</v>
      </c>
      <c r="F27" s="41">
        <f>SUM(D27:E27)</f>
        <v>373989</v>
      </c>
      <c r="G27" s="159">
        <v>50</v>
      </c>
      <c r="H27" s="305">
        <v>7479.78</v>
      </c>
      <c r="I27" s="97">
        <v>59</v>
      </c>
      <c r="J27" s="97">
        <f t="shared" si="0"/>
        <v>-9</v>
      </c>
      <c r="K27" s="91">
        <f t="shared" si="3"/>
        <v>441307.01999999996</v>
      </c>
      <c r="L27" s="94">
        <f t="shared" si="2"/>
        <v>-67318.01999999996</v>
      </c>
      <c r="M27" s="11"/>
    </row>
    <row r="28" spans="1:14" s="114" customFormat="1">
      <c r="A28" s="96">
        <v>23</v>
      </c>
      <c r="B28" s="295" t="s">
        <v>1021</v>
      </c>
      <c r="C28" s="8" t="s">
        <v>1022</v>
      </c>
      <c r="D28" s="19">
        <v>330000</v>
      </c>
      <c r="E28" s="19">
        <v>43989</v>
      </c>
      <c r="F28" s="19">
        <f>SUM(D28:E28)</f>
        <v>373989</v>
      </c>
      <c r="G28" s="159">
        <v>50</v>
      </c>
      <c r="H28" s="306">
        <v>7479.78</v>
      </c>
      <c r="I28" s="159">
        <v>4</v>
      </c>
      <c r="J28" s="159">
        <f t="shared" si="0"/>
        <v>46</v>
      </c>
      <c r="K28" s="16">
        <f t="shared" si="3"/>
        <v>29919.119999999999</v>
      </c>
      <c r="L28" s="94">
        <f t="shared" si="2"/>
        <v>344069.88</v>
      </c>
      <c r="M28" s="8"/>
      <c r="N28" s="180" t="e">
        <f>#REF!-H28</f>
        <v>#REF!</v>
      </c>
    </row>
    <row r="29" spans="1:14" s="114" customFormat="1">
      <c r="A29" s="96">
        <v>24</v>
      </c>
      <c r="B29" s="292" t="s">
        <v>1106</v>
      </c>
      <c r="C29" s="11" t="s">
        <v>314</v>
      </c>
      <c r="D29" s="19">
        <v>500000</v>
      </c>
      <c r="E29" s="19">
        <v>66650</v>
      </c>
      <c r="F29" s="19">
        <v>566650</v>
      </c>
      <c r="G29" s="159">
        <v>50</v>
      </c>
      <c r="H29" s="305">
        <v>11333</v>
      </c>
      <c r="I29" s="97">
        <v>24</v>
      </c>
      <c r="J29" s="97">
        <f t="shared" si="0"/>
        <v>26</v>
      </c>
      <c r="K29" s="91">
        <f t="shared" si="3"/>
        <v>271992</v>
      </c>
      <c r="L29" s="91">
        <f t="shared" si="2"/>
        <v>294658</v>
      </c>
      <c r="M29" s="11"/>
      <c r="N29" s="180" t="e">
        <f>#REF!-H29</f>
        <v>#REF!</v>
      </c>
    </row>
    <row r="30" spans="1:14" s="114" customFormat="1">
      <c r="A30" s="96">
        <v>25</v>
      </c>
      <c r="B30" s="292" t="s">
        <v>1080</v>
      </c>
      <c r="C30" s="11" t="s">
        <v>315</v>
      </c>
      <c r="D30" s="19">
        <v>500000</v>
      </c>
      <c r="E30" s="19">
        <v>66650</v>
      </c>
      <c r="F30" s="19">
        <v>566650</v>
      </c>
      <c r="G30" s="159">
        <v>50</v>
      </c>
      <c r="H30" s="305">
        <v>11333</v>
      </c>
      <c r="I30" s="97">
        <v>24</v>
      </c>
      <c r="J30" s="97">
        <f t="shared" si="0"/>
        <v>26</v>
      </c>
      <c r="K30" s="91">
        <f t="shared" si="3"/>
        <v>271992</v>
      </c>
      <c r="L30" s="91">
        <f t="shared" si="2"/>
        <v>294658</v>
      </c>
      <c r="M30" s="11"/>
      <c r="N30" s="180" t="e">
        <f>#REF!-H30</f>
        <v>#REF!</v>
      </c>
    </row>
    <row r="31" spans="1:14" s="114" customFormat="1">
      <c r="A31" s="96">
        <v>26</v>
      </c>
      <c r="B31" s="292" t="s">
        <v>1036</v>
      </c>
      <c r="C31" s="11" t="s">
        <v>216</v>
      </c>
      <c r="D31" s="16">
        <v>60000</v>
      </c>
      <c r="E31" s="16">
        <v>7998</v>
      </c>
      <c r="F31" s="41">
        <f t="shared" ref="F31:F36" si="4">SUM(D31:E31)</f>
        <v>67998</v>
      </c>
      <c r="G31" s="159">
        <v>40</v>
      </c>
      <c r="H31" s="305">
        <v>1699.95</v>
      </c>
      <c r="I31" s="97">
        <v>13</v>
      </c>
      <c r="J31" s="97">
        <f t="shared" si="0"/>
        <v>27</v>
      </c>
      <c r="K31" s="91">
        <f t="shared" si="3"/>
        <v>22099.350000000002</v>
      </c>
      <c r="L31" s="94">
        <f t="shared" si="2"/>
        <v>45898.649999999994</v>
      </c>
      <c r="M31" s="11"/>
      <c r="N31" s="180" t="e">
        <f>#REF!-H31</f>
        <v>#REF!</v>
      </c>
    </row>
    <row r="32" spans="1:14" s="114" customFormat="1">
      <c r="A32" s="96">
        <v>27</v>
      </c>
      <c r="B32" s="292" t="s">
        <v>1091</v>
      </c>
      <c r="C32" s="11" t="s">
        <v>1092</v>
      </c>
      <c r="D32" s="16">
        <v>500000</v>
      </c>
      <c r="E32" s="16">
        <v>66650</v>
      </c>
      <c r="F32" s="41">
        <f t="shared" si="4"/>
        <v>566650</v>
      </c>
      <c r="G32" s="159">
        <v>50</v>
      </c>
      <c r="H32" s="305">
        <v>11333</v>
      </c>
      <c r="I32" s="97">
        <v>37</v>
      </c>
      <c r="J32" s="97">
        <f t="shared" si="0"/>
        <v>13</v>
      </c>
      <c r="K32" s="91">
        <f t="shared" si="3"/>
        <v>419321</v>
      </c>
      <c r="L32" s="94">
        <f t="shared" si="2"/>
        <v>147329</v>
      </c>
      <c r="M32" s="11"/>
      <c r="N32" s="180" t="e">
        <f>#REF!-H32</f>
        <v>#REF!</v>
      </c>
    </row>
    <row r="33" spans="1:14" s="114" customFormat="1">
      <c r="A33" s="96">
        <v>28</v>
      </c>
      <c r="B33" s="292" t="s">
        <v>1013</v>
      </c>
      <c r="C33" s="11" t="s">
        <v>764</v>
      </c>
      <c r="D33" s="16">
        <v>500000</v>
      </c>
      <c r="E33" s="16">
        <v>66650</v>
      </c>
      <c r="F33" s="41">
        <f t="shared" si="4"/>
        <v>566650</v>
      </c>
      <c r="G33" s="159">
        <v>50</v>
      </c>
      <c r="H33" s="305">
        <v>11333</v>
      </c>
      <c r="I33" s="97">
        <v>47</v>
      </c>
      <c r="J33" s="97">
        <f t="shared" si="0"/>
        <v>3</v>
      </c>
      <c r="K33" s="91">
        <f t="shared" si="3"/>
        <v>532651</v>
      </c>
      <c r="L33" s="94">
        <f t="shared" si="2"/>
        <v>33999</v>
      </c>
      <c r="M33" s="11"/>
    </row>
    <row r="34" spans="1:14" s="114" customFormat="1">
      <c r="A34" s="96">
        <v>29</v>
      </c>
      <c r="B34" s="292" t="s">
        <v>1104</v>
      </c>
      <c r="C34" s="11" t="s">
        <v>318</v>
      </c>
      <c r="D34" s="16">
        <v>500000</v>
      </c>
      <c r="E34" s="16">
        <v>66650</v>
      </c>
      <c r="F34" s="41">
        <f t="shared" si="4"/>
        <v>566650</v>
      </c>
      <c r="G34" s="159">
        <v>50</v>
      </c>
      <c r="H34" s="305">
        <v>11333</v>
      </c>
      <c r="I34" s="97">
        <v>47</v>
      </c>
      <c r="J34" s="97">
        <f t="shared" si="0"/>
        <v>3</v>
      </c>
      <c r="K34" s="91">
        <f t="shared" si="3"/>
        <v>532651</v>
      </c>
      <c r="L34" s="94">
        <f t="shared" si="2"/>
        <v>33999</v>
      </c>
      <c r="M34" s="11"/>
    </row>
    <row r="35" spans="1:14" s="114" customFormat="1">
      <c r="A35" s="96">
        <v>30</v>
      </c>
      <c r="B35" s="292" t="s">
        <v>1044</v>
      </c>
      <c r="C35" s="11" t="s">
        <v>844</v>
      </c>
      <c r="D35" s="19">
        <v>150000</v>
      </c>
      <c r="E35" s="19">
        <v>19995</v>
      </c>
      <c r="F35" s="19">
        <f t="shared" si="4"/>
        <v>169995</v>
      </c>
      <c r="G35" s="159">
        <v>50</v>
      </c>
      <c r="H35" s="288">
        <v>3399.9</v>
      </c>
      <c r="I35" s="101">
        <v>12</v>
      </c>
      <c r="J35" s="97">
        <f t="shared" si="0"/>
        <v>38</v>
      </c>
      <c r="K35" s="91">
        <f t="shared" si="3"/>
        <v>40798.800000000003</v>
      </c>
      <c r="L35" s="94">
        <f t="shared" si="2"/>
        <v>129196.2</v>
      </c>
      <c r="M35" s="8"/>
    </row>
    <row r="36" spans="1:14" s="114" customFormat="1">
      <c r="A36" s="96">
        <v>31</v>
      </c>
      <c r="B36" s="295" t="s">
        <v>1094</v>
      </c>
      <c r="C36" s="8" t="s">
        <v>1095</v>
      </c>
      <c r="D36" s="16">
        <v>500000</v>
      </c>
      <c r="E36" s="16">
        <v>66650</v>
      </c>
      <c r="F36" s="41">
        <f t="shared" si="4"/>
        <v>566650</v>
      </c>
      <c r="G36" s="159">
        <v>50</v>
      </c>
      <c r="H36" s="306">
        <v>11333</v>
      </c>
      <c r="I36" s="159">
        <v>4</v>
      </c>
      <c r="J36" s="159">
        <f t="shared" si="0"/>
        <v>46</v>
      </c>
      <c r="K36" s="16">
        <f t="shared" si="3"/>
        <v>45332</v>
      </c>
      <c r="L36" s="94">
        <f t="shared" si="2"/>
        <v>521318</v>
      </c>
      <c r="M36" s="8"/>
      <c r="N36" s="180" t="e">
        <f>#REF!-H36</f>
        <v>#REF!</v>
      </c>
    </row>
    <row r="37" spans="1:14" s="114" customFormat="1">
      <c r="A37" s="96">
        <v>32</v>
      </c>
      <c r="B37" s="292" t="s">
        <v>998</v>
      </c>
      <c r="C37" s="11" t="s">
        <v>363</v>
      </c>
      <c r="D37" s="16">
        <v>450000</v>
      </c>
      <c r="E37" s="16">
        <v>59985</v>
      </c>
      <c r="F37" s="16">
        <v>509985</v>
      </c>
      <c r="G37" s="159">
        <v>50</v>
      </c>
      <c r="H37" s="305">
        <v>10199.700000000001</v>
      </c>
      <c r="I37" s="97">
        <v>16</v>
      </c>
      <c r="J37" s="97">
        <f t="shared" si="0"/>
        <v>34</v>
      </c>
      <c r="K37" s="91">
        <f>(1*10199.7)</f>
        <v>10199.700000000001</v>
      </c>
      <c r="L37" s="94">
        <f t="shared" si="2"/>
        <v>499785.3</v>
      </c>
      <c r="M37" s="11"/>
      <c r="N37" s="180" t="e">
        <f>#REF!-H37</f>
        <v>#REF!</v>
      </c>
    </row>
    <row r="38" spans="1:14" s="114" customFormat="1">
      <c r="A38" s="96">
        <v>33</v>
      </c>
      <c r="B38" s="292" t="s">
        <v>980</v>
      </c>
      <c r="C38" s="11" t="s">
        <v>497</v>
      </c>
      <c r="D38" s="16">
        <v>450000</v>
      </c>
      <c r="E38" s="16">
        <v>59985</v>
      </c>
      <c r="F38" s="41">
        <f>SUM(D38:E38)</f>
        <v>509985</v>
      </c>
      <c r="G38" s="159">
        <v>50</v>
      </c>
      <c r="H38" s="305">
        <v>11333</v>
      </c>
      <c r="I38" s="97">
        <v>27</v>
      </c>
      <c r="J38" s="97">
        <f t="shared" ref="J38:J69" si="5">G38-I38</f>
        <v>23</v>
      </c>
      <c r="K38" s="91">
        <f t="shared" ref="K38:K69" si="6">I38*H38</f>
        <v>305991</v>
      </c>
      <c r="L38" s="94">
        <f t="shared" ref="L38:L69" si="7">F38-K38</f>
        <v>203994</v>
      </c>
      <c r="M38" s="11"/>
      <c r="N38" s="180" t="e">
        <f>#REF!-H38</f>
        <v>#REF!</v>
      </c>
    </row>
    <row r="39" spans="1:14" s="114" customFormat="1">
      <c r="A39" s="96">
        <v>34</v>
      </c>
      <c r="B39" s="292" t="s">
        <v>1005</v>
      </c>
      <c r="C39" s="11" t="s">
        <v>424</v>
      </c>
      <c r="D39" s="12">
        <v>150000</v>
      </c>
      <c r="E39" s="12">
        <v>19995</v>
      </c>
      <c r="F39" s="15">
        <f>SUM(D39:E39)</f>
        <v>169995</v>
      </c>
      <c r="G39" s="14">
        <v>50</v>
      </c>
      <c r="H39" s="305">
        <v>3399.9</v>
      </c>
      <c r="I39" s="14">
        <v>43</v>
      </c>
      <c r="J39" s="97">
        <f t="shared" si="5"/>
        <v>7</v>
      </c>
      <c r="K39" s="91">
        <f t="shared" si="6"/>
        <v>146195.70000000001</v>
      </c>
      <c r="L39" s="15">
        <f t="shared" si="7"/>
        <v>23799.299999999988</v>
      </c>
      <c r="M39" s="8"/>
      <c r="N39" s="180" t="e">
        <f>#REF!-H39</f>
        <v>#REF!</v>
      </c>
    </row>
    <row r="40" spans="1:14" s="114" customFormat="1">
      <c r="A40" s="96">
        <v>35</v>
      </c>
      <c r="B40" s="292" t="s">
        <v>1038</v>
      </c>
      <c r="C40" s="11" t="s">
        <v>375</v>
      </c>
      <c r="D40" s="16">
        <v>330000</v>
      </c>
      <c r="E40" s="16">
        <v>43989</v>
      </c>
      <c r="F40" s="41">
        <f>SUM(D40:E40)</f>
        <v>373989</v>
      </c>
      <c r="G40" s="159">
        <v>50</v>
      </c>
      <c r="H40" s="305">
        <v>7479.78</v>
      </c>
      <c r="I40" s="97">
        <v>38</v>
      </c>
      <c r="J40" s="97">
        <f t="shared" si="5"/>
        <v>12</v>
      </c>
      <c r="K40" s="91">
        <f t="shared" si="6"/>
        <v>284231.64</v>
      </c>
      <c r="L40" s="94">
        <f t="shared" si="7"/>
        <v>89757.359999999986</v>
      </c>
      <c r="M40" s="11"/>
      <c r="N40" s="180" t="e">
        <f>#REF!-H40</f>
        <v>#REF!</v>
      </c>
    </row>
    <row r="41" spans="1:14" s="114" customFormat="1">
      <c r="A41" s="96">
        <v>36</v>
      </c>
      <c r="B41" s="292" t="s">
        <v>1108</v>
      </c>
      <c r="C41" s="11" t="s">
        <v>802</v>
      </c>
      <c r="D41" s="16">
        <v>500000</v>
      </c>
      <c r="E41" s="16">
        <v>66650</v>
      </c>
      <c r="F41" s="41">
        <f>SUM(D41:E41)</f>
        <v>566650</v>
      </c>
      <c r="G41" s="159">
        <v>50</v>
      </c>
      <c r="H41" s="305">
        <v>11333</v>
      </c>
      <c r="I41" s="159">
        <v>14</v>
      </c>
      <c r="J41" s="159">
        <f t="shared" si="5"/>
        <v>36</v>
      </c>
      <c r="K41" s="91">
        <f t="shared" si="6"/>
        <v>158662</v>
      </c>
      <c r="L41" s="94">
        <f t="shared" si="7"/>
        <v>407988</v>
      </c>
      <c r="M41" s="11"/>
    </row>
    <row r="42" spans="1:14" s="114" customFormat="1">
      <c r="A42" s="96">
        <v>37</v>
      </c>
      <c r="B42" s="292" t="s">
        <v>1029</v>
      </c>
      <c r="C42" s="123" t="s">
        <v>1030</v>
      </c>
      <c r="D42" s="19">
        <v>450000</v>
      </c>
      <c r="E42" s="19">
        <v>59985</v>
      </c>
      <c r="F42" s="19">
        <v>509985</v>
      </c>
      <c r="G42" s="159">
        <v>50</v>
      </c>
      <c r="H42" s="304">
        <v>10199.700000000001</v>
      </c>
      <c r="I42" s="159">
        <v>4</v>
      </c>
      <c r="J42" s="97">
        <f t="shared" si="5"/>
        <v>46</v>
      </c>
      <c r="K42" s="91">
        <f t="shared" si="6"/>
        <v>40798.800000000003</v>
      </c>
      <c r="L42" s="94">
        <f t="shared" si="7"/>
        <v>469186.2</v>
      </c>
      <c r="M42" s="11"/>
      <c r="N42" s="180" t="e">
        <f>#REF!-H42</f>
        <v>#REF!</v>
      </c>
    </row>
    <row r="43" spans="1:14" s="114" customFormat="1">
      <c r="A43" s="96">
        <v>38</v>
      </c>
      <c r="B43" s="292" t="s">
        <v>971</v>
      </c>
      <c r="C43" s="11" t="s">
        <v>112</v>
      </c>
      <c r="D43" s="16">
        <v>330000</v>
      </c>
      <c r="E43" s="16">
        <v>43989</v>
      </c>
      <c r="F43" s="41">
        <f t="shared" ref="F43:F49" si="8">SUM(D43:E43)</f>
        <v>373989</v>
      </c>
      <c r="G43" s="159">
        <v>50</v>
      </c>
      <c r="H43" s="287">
        <v>7479.78</v>
      </c>
      <c r="I43" s="97">
        <v>38</v>
      </c>
      <c r="J43" s="97">
        <f t="shared" si="5"/>
        <v>12</v>
      </c>
      <c r="K43" s="91">
        <f t="shared" si="6"/>
        <v>284231.64</v>
      </c>
      <c r="L43" s="94">
        <f t="shared" si="7"/>
        <v>89757.359999999986</v>
      </c>
      <c r="M43" s="11"/>
      <c r="N43" s="180" t="e">
        <f>#REF!-H43</f>
        <v>#REF!</v>
      </c>
    </row>
    <row r="44" spans="1:14" s="114" customFormat="1">
      <c r="A44" s="96">
        <v>39</v>
      </c>
      <c r="B44" s="292" t="s">
        <v>1023</v>
      </c>
      <c r="C44" s="11" t="s">
        <v>321</v>
      </c>
      <c r="D44" s="16">
        <v>500000</v>
      </c>
      <c r="E44" s="16">
        <v>66650</v>
      </c>
      <c r="F44" s="41">
        <f t="shared" si="8"/>
        <v>566650</v>
      </c>
      <c r="G44" s="159">
        <v>50</v>
      </c>
      <c r="H44" s="305">
        <v>11333</v>
      </c>
      <c r="I44" s="97">
        <v>37</v>
      </c>
      <c r="J44" s="97">
        <f t="shared" si="5"/>
        <v>13</v>
      </c>
      <c r="K44" s="91">
        <f t="shared" si="6"/>
        <v>419321</v>
      </c>
      <c r="L44" s="94">
        <f t="shared" si="7"/>
        <v>147329</v>
      </c>
      <c r="M44" s="11"/>
      <c r="N44" s="180" t="e">
        <f>#REF!-H44</f>
        <v>#REF!</v>
      </c>
    </row>
    <row r="45" spans="1:14" s="114" customFormat="1">
      <c r="A45" s="96">
        <v>40</v>
      </c>
      <c r="B45" s="292" t="s">
        <v>1041</v>
      </c>
      <c r="C45" s="11" t="s">
        <v>322</v>
      </c>
      <c r="D45" s="16">
        <v>500000</v>
      </c>
      <c r="E45" s="16">
        <v>66650</v>
      </c>
      <c r="F45" s="41">
        <f t="shared" si="8"/>
        <v>566650</v>
      </c>
      <c r="G45" s="159">
        <v>50</v>
      </c>
      <c r="H45" s="305">
        <v>11333</v>
      </c>
      <c r="I45" s="97">
        <v>38</v>
      </c>
      <c r="J45" s="97">
        <f t="shared" si="5"/>
        <v>12</v>
      </c>
      <c r="K45" s="91">
        <f t="shared" si="6"/>
        <v>430654</v>
      </c>
      <c r="L45" s="94">
        <f t="shared" si="7"/>
        <v>135996</v>
      </c>
      <c r="M45" s="11"/>
      <c r="N45" s="180" t="e">
        <f>#REF!-H45</f>
        <v>#REF!</v>
      </c>
    </row>
    <row r="46" spans="1:14" s="114" customFormat="1">
      <c r="A46" s="96">
        <v>41</v>
      </c>
      <c r="B46" s="292" t="s">
        <v>983</v>
      </c>
      <c r="C46" s="11" t="s">
        <v>323</v>
      </c>
      <c r="D46" s="16">
        <v>500000</v>
      </c>
      <c r="E46" s="16">
        <v>66650</v>
      </c>
      <c r="F46" s="41">
        <f t="shared" si="8"/>
        <v>566650</v>
      </c>
      <c r="G46" s="159">
        <v>50</v>
      </c>
      <c r="H46" s="305">
        <v>11333</v>
      </c>
      <c r="I46" s="97">
        <v>37</v>
      </c>
      <c r="J46" s="97">
        <f t="shared" si="5"/>
        <v>13</v>
      </c>
      <c r="K46" s="91">
        <f t="shared" si="6"/>
        <v>419321</v>
      </c>
      <c r="L46" s="94">
        <f t="shared" si="7"/>
        <v>147329</v>
      </c>
      <c r="M46" s="11"/>
      <c r="N46" s="180" t="e">
        <f>#REF!-H46</f>
        <v>#REF!</v>
      </c>
    </row>
    <row r="47" spans="1:14" s="114" customFormat="1">
      <c r="A47" s="96">
        <v>42</v>
      </c>
      <c r="B47" s="292" t="s">
        <v>1052</v>
      </c>
      <c r="C47" s="11" t="s">
        <v>324</v>
      </c>
      <c r="D47" s="12">
        <v>500000</v>
      </c>
      <c r="E47" s="12">
        <v>66650</v>
      </c>
      <c r="F47" s="15">
        <f t="shared" si="8"/>
        <v>566650</v>
      </c>
      <c r="G47" s="14">
        <v>50</v>
      </c>
      <c r="H47" s="287">
        <v>11333</v>
      </c>
      <c r="I47" s="14">
        <v>43</v>
      </c>
      <c r="J47" s="97">
        <f t="shared" si="5"/>
        <v>7</v>
      </c>
      <c r="K47" s="91">
        <f t="shared" si="6"/>
        <v>487319</v>
      </c>
      <c r="L47" s="15">
        <f t="shared" si="7"/>
        <v>79331</v>
      </c>
      <c r="M47" s="8"/>
      <c r="N47" s="180" t="e">
        <f>#REF!-H47</f>
        <v>#REF!</v>
      </c>
    </row>
    <row r="48" spans="1:14" s="114" customFormat="1">
      <c r="A48" s="96">
        <v>43</v>
      </c>
      <c r="B48" s="293" t="s">
        <v>1050</v>
      </c>
      <c r="C48" s="123" t="s">
        <v>1051</v>
      </c>
      <c r="D48" s="19">
        <v>330000</v>
      </c>
      <c r="E48" s="19">
        <v>43989</v>
      </c>
      <c r="F48" s="19">
        <f t="shared" si="8"/>
        <v>373989</v>
      </c>
      <c r="G48" s="159">
        <v>50</v>
      </c>
      <c r="H48" s="304">
        <v>7479.78</v>
      </c>
      <c r="I48" s="159">
        <v>7</v>
      </c>
      <c r="J48" s="159">
        <f t="shared" si="5"/>
        <v>43</v>
      </c>
      <c r="K48" s="16">
        <f t="shared" si="6"/>
        <v>52358.46</v>
      </c>
      <c r="L48" s="94">
        <f t="shared" si="7"/>
        <v>321630.53999999998</v>
      </c>
      <c r="M48" s="11"/>
      <c r="N48" s="180" t="e">
        <f>#REF!-H48</f>
        <v>#REF!</v>
      </c>
    </row>
    <row r="49" spans="1:14" s="114" customFormat="1">
      <c r="A49" s="96">
        <v>44</v>
      </c>
      <c r="B49" s="292" t="s">
        <v>1076</v>
      </c>
      <c r="C49" s="11" t="s">
        <v>376</v>
      </c>
      <c r="D49" s="16">
        <v>330000</v>
      </c>
      <c r="E49" s="16">
        <v>43989</v>
      </c>
      <c r="F49" s="41">
        <f t="shared" si="8"/>
        <v>373989</v>
      </c>
      <c r="G49" s="159">
        <v>50</v>
      </c>
      <c r="H49" s="305">
        <v>7479.78</v>
      </c>
      <c r="I49" s="97">
        <v>59</v>
      </c>
      <c r="J49" s="97">
        <f t="shared" si="5"/>
        <v>-9</v>
      </c>
      <c r="K49" s="91">
        <f t="shared" si="6"/>
        <v>441307.01999999996</v>
      </c>
      <c r="L49" s="94">
        <f t="shared" si="7"/>
        <v>-67318.01999999996</v>
      </c>
      <c r="M49" s="11"/>
      <c r="N49" s="180" t="e">
        <f>#REF!-H49</f>
        <v>#REF!</v>
      </c>
    </row>
    <row r="50" spans="1:14" s="114" customFormat="1">
      <c r="A50" s="96">
        <v>45</v>
      </c>
      <c r="B50" s="293" t="s">
        <v>974</v>
      </c>
      <c r="C50" s="123" t="s">
        <v>859</v>
      </c>
      <c r="D50" s="19">
        <v>450000</v>
      </c>
      <c r="E50" s="19">
        <v>59985</v>
      </c>
      <c r="F50" s="19">
        <v>509985</v>
      </c>
      <c r="G50" s="159">
        <v>50</v>
      </c>
      <c r="H50" s="304">
        <v>10199.700000000001</v>
      </c>
      <c r="I50" s="159">
        <v>7</v>
      </c>
      <c r="J50" s="159">
        <f t="shared" si="5"/>
        <v>43</v>
      </c>
      <c r="K50" s="16">
        <f t="shared" si="6"/>
        <v>71397.900000000009</v>
      </c>
      <c r="L50" s="94">
        <f t="shared" si="7"/>
        <v>438587.1</v>
      </c>
      <c r="M50" s="11"/>
      <c r="N50" s="180" t="e">
        <f>#REF!-H50</f>
        <v>#REF!</v>
      </c>
    </row>
    <row r="51" spans="1:14" s="114" customFormat="1">
      <c r="A51" s="96">
        <v>46</v>
      </c>
      <c r="B51" s="292" t="s">
        <v>1102</v>
      </c>
      <c r="C51" s="11" t="s">
        <v>485</v>
      </c>
      <c r="D51" s="19">
        <v>450000</v>
      </c>
      <c r="E51" s="19">
        <v>59985</v>
      </c>
      <c r="F51" s="19">
        <v>509985</v>
      </c>
      <c r="G51" s="159">
        <v>50</v>
      </c>
      <c r="H51" s="289">
        <v>10199.700000000001</v>
      </c>
      <c r="I51" s="97">
        <v>49</v>
      </c>
      <c r="J51" s="97">
        <f t="shared" si="5"/>
        <v>1</v>
      </c>
      <c r="K51" s="91">
        <f t="shared" si="6"/>
        <v>499785.30000000005</v>
      </c>
      <c r="L51" s="94">
        <f t="shared" si="7"/>
        <v>10199.699999999953</v>
      </c>
      <c r="M51" s="11"/>
    </row>
    <row r="52" spans="1:14" s="114" customFormat="1">
      <c r="A52" s="96">
        <v>47</v>
      </c>
      <c r="B52" s="292" t="s">
        <v>1096</v>
      </c>
      <c r="C52" s="11" t="s">
        <v>489</v>
      </c>
      <c r="D52" s="19">
        <v>450000</v>
      </c>
      <c r="E52" s="19">
        <v>59985</v>
      </c>
      <c r="F52" s="19">
        <v>509985</v>
      </c>
      <c r="G52" s="159">
        <v>50</v>
      </c>
      <c r="H52" s="305">
        <v>10199.700000000001</v>
      </c>
      <c r="I52" s="101">
        <v>12</v>
      </c>
      <c r="J52" s="97">
        <f t="shared" si="5"/>
        <v>38</v>
      </c>
      <c r="K52" s="91">
        <f t="shared" si="6"/>
        <v>122396.40000000001</v>
      </c>
      <c r="L52" s="94">
        <f t="shared" si="7"/>
        <v>387588.6</v>
      </c>
      <c r="M52" s="8"/>
      <c r="N52" s="180" t="e">
        <f>#REF!-H52</f>
        <v>#REF!</v>
      </c>
    </row>
    <row r="53" spans="1:14" s="114" customFormat="1">
      <c r="A53" s="96">
        <v>48</v>
      </c>
      <c r="B53" s="292" t="s">
        <v>1010</v>
      </c>
      <c r="C53" s="11" t="s">
        <v>325</v>
      </c>
      <c r="D53" s="16">
        <v>500000</v>
      </c>
      <c r="E53" s="16">
        <v>66650</v>
      </c>
      <c r="F53" s="41">
        <f>SUM(D53:E53)</f>
        <v>566650</v>
      </c>
      <c r="G53" s="159">
        <v>50</v>
      </c>
      <c r="H53" s="305">
        <v>11333</v>
      </c>
      <c r="I53" s="97">
        <v>59</v>
      </c>
      <c r="J53" s="97">
        <f t="shared" si="5"/>
        <v>-9</v>
      </c>
      <c r="K53" s="91">
        <f t="shared" si="6"/>
        <v>668647</v>
      </c>
      <c r="L53" s="94">
        <f t="shared" si="7"/>
        <v>-101997</v>
      </c>
      <c r="M53" s="11"/>
      <c r="N53" s="180" t="e">
        <f>#REF!-H53</f>
        <v>#REF!</v>
      </c>
    </row>
    <row r="54" spans="1:14" s="114" customFormat="1">
      <c r="A54" s="96">
        <v>49</v>
      </c>
      <c r="B54" s="292" t="s">
        <v>1037</v>
      </c>
      <c r="C54" s="11" t="s">
        <v>326</v>
      </c>
      <c r="D54" s="19">
        <v>500000</v>
      </c>
      <c r="E54" s="19">
        <v>66650</v>
      </c>
      <c r="F54" s="19">
        <v>566650</v>
      </c>
      <c r="G54" s="159">
        <v>50</v>
      </c>
      <c r="H54" s="305">
        <v>11333</v>
      </c>
      <c r="I54" s="97">
        <v>23</v>
      </c>
      <c r="J54" s="97">
        <f t="shared" si="5"/>
        <v>27</v>
      </c>
      <c r="K54" s="91">
        <f t="shared" si="6"/>
        <v>260659</v>
      </c>
      <c r="L54" s="91">
        <f t="shared" si="7"/>
        <v>305991</v>
      </c>
      <c r="M54" s="11"/>
      <c r="N54" s="180" t="e">
        <f>#REF!-H54</f>
        <v>#REF!</v>
      </c>
    </row>
    <row r="55" spans="1:14" s="114" customFormat="1">
      <c r="A55" s="96">
        <v>50</v>
      </c>
      <c r="B55" s="292" t="s">
        <v>1033</v>
      </c>
      <c r="C55" s="11" t="s">
        <v>212</v>
      </c>
      <c r="D55" s="16">
        <v>150000</v>
      </c>
      <c r="E55" s="16">
        <v>19995</v>
      </c>
      <c r="F55" s="41">
        <f>SUM(D55:E55)</f>
        <v>169995</v>
      </c>
      <c r="G55" s="159">
        <v>50</v>
      </c>
      <c r="H55" s="305">
        <v>3399.9</v>
      </c>
      <c r="I55" s="97">
        <v>47</v>
      </c>
      <c r="J55" s="97">
        <f t="shared" si="5"/>
        <v>3</v>
      </c>
      <c r="K55" s="91">
        <f t="shared" si="6"/>
        <v>159795.30000000002</v>
      </c>
      <c r="L55" s="94">
        <f t="shared" si="7"/>
        <v>10199.699999999983</v>
      </c>
      <c r="M55" s="11"/>
      <c r="N55" s="180" t="e">
        <f>#REF!-H55</f>
        <v>#REF!</v>
      </c>
    </row>
    <row r="56" spans="1:14" s="114" customFormat="1">
      <c r="A56" s="96">
        <v>51</v>
      </c>
      <c r="B56" s="293" t="s">
        <v>1011</v>
      </c>
      <c r="C56" s="123" t="s">
        <v>863</v>
      </c>
      <c r="D56" s="16">
        <v>500000</v>
      </c>
      <c r="E56" s="16">
        <v>66650</v>
      </c>
      <c r="F56" s="41">
        <f>SUM(D56:E56)</f>
        <v>566650</v>
      </c>
      <c r="G56" s="159">
        <v>50</v>
      </c>
      <c r="H56" s="304">
        <v>11333</v>
      </c>
      <c r="I56" s="159">
        <v>7</v>
      </c>
      <c r="J56" s="159">
        <f t="shared" si="5"/>
        <v>43</v>
      </c>
      <c r="K56" s="16">
        <f t="shared" si="6"/>
        <v>79331</v>
      </c>
      <c r="L56" s="94">
        <f t="shared" si="7"/>
        <v>487319</v>
      </c>
      <c r="M56" s="11"/>
      <c r="N56" s="180" t="e">
        <f>#REF!-H56</f>
        <v>#REF!</v>
      </c>
    </row>
    <row r="57" spans="1:14" s="114" customFormat="1">
      <c r="A57" s="96">
        <v>52</v>
      </c>
      <c r="B57" s="293" t="s">
        <v>1014</v>
      </c>
      <c r="C57" s="123" t="s">
        <v>1015</v>
      </c>
      <c r="D57" s="19">
        <v>450000</v>
      </c>
      <c r="E57" s="19">
        <v>59985</v>
      </c>
      <c r="F57" s="19">
        <v>509985</v>
      </c>
      <c r="G57" s="159">
        <v>50</v>
      </c>
      <c r="H57" s="304">
        <v>10199.700000000001</v>
      </c>
      <c r="I57" s="159">
        <v>7</v>
      </c>
      <c r="J57" s="159">
        <f t="shared" si="5"/>
        <v>43</v>
      </c>
      <c r="K57" s="16">
        <f t="shared" si="6"/>
        <v>71397.900000000009</v>
      </c>
      <c r="L57" s="94">
        <f t="shared" si="7"/>
        <v>438587.1</v>
      </c>
      <c r="M57" s="11"/>
      <c r="N57" s="180" t="e">
        <f>#REF!-H57</f>
        <v>#REF!</v>
      </c>
    </row>
    <row r="58" spans="1:14" s="114" customFormat="1">
      <c r="A58" s="96">
        <v>53</v>
      </c>
      <c r="B58" s="292" t="s">
        <v>1027</v>
      </c>
      <c r="C58" s="11" t="s">
        <v>327</v>
      </c>
      <c r="D58" s="16">
        <v>500000</v>
      </c>
      <c r="E58" s="16">
        <v>66650</v>
      </c>
      <c r="F58" s="16">
        <v>566650</v>
      </c>
      <c r="G58" s="159">
        <v>50</v>
      </c>
      <c r="H58" s="305">
        <v>11333</v>
      </c>
      <c r="I58" s="97">
        <v>38</v>
      </c>
      <c r="J58" s="97">
        <f t="shared" si="5"/>
        <v>12</v>
      </c>
      <c r="K58" s="91">
        <f t="shared" si="6"/>
        <v>430654</v>
      </c>
      <c r="L58" s="94">
        <f t="shared" si="7"/>
        <v>135996</v>
      </c>
      <c r="M58" s="11"/>
    </row>
    <row r="59" spans="1:14" s="114" customFormat="1">
      <c r="A59" s="96">
        <v>54</v>
      </c>
      <c r="B59" s="294" t="s">
        <v>1061</v>
      </c>
      <c r="C59" s="11" t="s">
        <v>854</v>
      </c>
      <c r="D59" s="19">
        <v>330000</v>
      </c>
      <c r="E59" s="19">
        <v>43989</v>
      </c>
      <c r="F59" s="19">
        <f>SUM(D59:E59)</f>
        <v>373989</v>
      </c>
      <c r="G59" s="159">
        <v>50</v>
      </c>
      <c r="H59" s="304">
        <v>7479.78</v>
      </c>
      <c r="I59" s="159">
        <v>5</v>
      </c>
      <c r="J59" s="97">
        <f t="shared" si="5"/>
        <v>45</v>
      </c>
      <c r="K59" s="91">
        <f t="shared" si="6"/>
        <v>37398.9</v>
      </c>
      <c r="L59" s="94">
        <f t="shared" si="7"/>
        <v>336590.1</v>
      </c>
      <c r="M59" s="11"/>
      <c r="N59" s="180" t="e">
        <f>#REF!-H59</f>
        <v>#REF!</v>
      </c>
    </row>
    <row r="60" spans="1:14" s="114" customFormat="1">
      <c r="A60" s="96">
        <v>55</v>
      </c>
      <c r="B60" s="292" t="s">
        <v>1001</v>
      </c>
      <c r="C60" s="11" t="s">
        <v>834</v>
      </c>
      <c r="D60" s="19">
        <v>330000</v>
      </c>
      <c r="E60" s="19">
        <v>43989</v>
      </c>
      <c r="F60" s="19">
        <f>SUM(D60:E60)</f>
        <v>373989</v>
      </c>
      <c r="G60" s="159">
        <v>50</v>
      </c>
      <c r="H60" s="288">
        <v>7479.78</v>
      </c>
      <c r="I60" s="101">
        <v>12</v>
      </c>
      <c r="J60" s="97">
        <f t="shared" si="5"/>
        <v>38</v>
      </c>
      <c r="K60" s="91">
        <f t="shared" si="6"/>
        <v>89757.36</v>
      </c>
      <c r="L60" s="94">
        <f t="shared" si="7"/>
        <v>284231.64</v>
      </c>
      <c r="M60" s="8"/>
      <c r="N60" s="180" t="e">
        <f>#REF!-H60</f>
        <v>#REF!</v>
      </c>
    </row>
    <row r="61" spans="1:14" s="114" customFormat="1">
      <c r="A61" s="96">
        <v>56</v>
      </c>
      <c r="B61" s="293" t="s">
        <v>1047</v>
      </c>
      <c r="C61" s="123" t="s">
        <v>873</v>
      </c>
      <c r="D61" s="19">
        <v>450000</v>
      </c>
      <c r="E61" s="19">
        <v>59985</v>
      </c>
      <c r="F61" s="19">
        <v>509985</v>
      </c>
      <c r="G61" s="159">
        <v>50</v>
      </c>
      <c r="H61" s="304">
        <v>10199.700000000001</v>
      </c>
      <c r="I61" s="159">
        <v>7</v>
      </c>
      <c r="J61" s="159">
        <f t="shared" si="5"/>
        <v>43</v>
      </c>
      <c r="K61" s="16">
        <f t="shared" si="6"/>
        <v>71397.900000000009</v>
      </c>
      <c r="L61" s="94">
        <f t="shared" si="7"/>
        <v>438587.1</v>
      </c>
      <c r="M61" s="11"/>
      <c r="N61" s="180" t="e">
        <f>#REF!-H61</f>
        <v>#REF!</v>
      </c>
    </row>
    <row r="62" spans="1:14" s="114" customFormat="1">
      <c r="A62" s="96">
        <v>57</v>
      </c>
      <c r="B62" s="292" t="s">
        <v>963</v>
      </c>
      <c r="C62" s="11" t="s">
        <v>328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287">
        <v>11333</v>
      </c>
      <c r="I62" s="97">
        <v>38</v>
      </c>
      <c r="J62" s="97">
        <f t="shared" si="5"/>
        <v>12</v>
      </c>
      <c r="K62" s="91">
        <f t="shared" si="6"/>
        <v>430654</v>
      </c>
      <c r="L62" s="94">
        <f t="shared" si="7"/>
        <v>135996</v>
      </c>
      <c r="M62" s="11"/>
      <c r="N62" s="180" t="e">
        <f>#REF!-H62</f>
        <v>#REF!</v>
      </c>
    </row>
    <row r="63" spans="1:14" s="114" customFormat="1">
      <c r="A63" s="96">
        <v>58</v>
      </c>
      <c r="B63" s="292" t="s">
        <v>959</v>
      </c>
      <c r="C63" s="11" t="s">
        <v>329</v>
      </c>
      <c r="D63" s="16">
        <v>500000</v>
      </c>
      <c r="E63" s="16">
        <v>66650</v>
      </c>
      <c r="F63" s="41">
        <f>SUM(D63:E63)</f>
        <v>566650</v>
      </c>
      <c r="G63" s="159">
        <v>50</v>
      </c>
      <c r="H63" s="305">
        <v>11333</v>
      </c>
      <c r="I63" s="97">
        <v>43</v>
      </c>
      <c r="J63" s="97">
        <f t="shared" si="5"/>
        <v>7</v>
      </c>
      <c r="K63" s="91">
        <f t="shared" si="6"/>
        <v>487319</v>
      </c>
      <c r="L63" s="94">
        <f t="shared" si="7"/>
        <v>79331</v>
      </c>
      <c r="M63" s="11"/>
      <c r="N63" s="180" t="e">
        <f>#REF!-H63</f>
        <v>#REF!</v>
      </c>
    </row>
    <row r="64" spans="1:14" s="114" customFormat="1">
      <c r="A64" s="96">
        <v>59</v>
      </c>
      <c r="B64" s="292" t="s">
        <v>1031</v>
      </c>
      <c r="C64" s="11" t="s">
        <v>330</v>
      </c>
      <c r="D64" s="16">
        <v>500000</v>
      </c>
      <c r="E64" s="16">
        <v>66650</v>
      </c>
      <c r="F64" s="41">
        <f>SUM(D64:E64)</f>
        <v>566650</v>
      </c>
      <c r="G64" s="159">
        <v>50</v>
      </c>
      <c r="H64" s="305">
        <v>11333</v>
      </c>
      <c r="I64" s="97">
        <v>59</v>
      </c>
      <c r="J64" s="97">
        <f t="shared" si="5"/>
        <v>-9</v>
      </c>
      <c r="K64" s="91">
        <f t="shared" si="6"/>
        <v>668647</v>
      </c>
      <c r="L64" s="94">
        <f t="shared" si="7"/>
        <v>-101997</v>
      </c>
      <c r="M64" s="11"/>
    </row>
    <row r="65" spans="1:14" s="114" customFormat="1">
      <c r="A65" s="96">
        <v>60</v>
      </c>
      <c r="B65" s="295" t="s">
        <v>1002</v>
      </c>
      <c r="C65" s="8" t="s">
        <v>1003</v>
      </c>
      <c r="D65" s="19">
        <v>150000</v>
      </c>
      <c r="E65" s="19">
        <v>19995</v>
      </c>
      <c r="F65" s="19">
        <f>SUM(D65:E65)</f>
        <v>169995</v>
      </c>
      <c r="G65" s="159">
        <v>50</v>
      </c>
      <c r="H65" s="306">
        <v>3399.9</v>
      </c>
      <c r="I65" s="159">
        <v>4</v>
      </c>
      <c r="J65" s="159">
        <f t="shared" si="5"/>
        <v>46</v>
      </c>
      <c r="K65" s="16">
        <f t="shared" si="6"/>
        <v>13599.6</v>
      </c>
      <c r="L65" s="94">
        <f t="shared" si="7"/>
        <v>156395.4</v>
      </c>
      <c r="M65" s="8"/>
      <c r="N65" s="180" t="e">
        <f>#REF!-H65</f>
        <v>#REF!</v>
      </c>
    </row>
    <row r="66" spans="1:14" s="114" customFormat="1">
      <c r="A66" s="96">
        <v>62</v>
      </c>
      <c r="B66" s="292" t="s">
        <v>1097</v>
      </c>
      <c r="C66" s="11" t="s">
        <v>286</v>
      </c>
      <c r="D66" s="16">
        <v>450000</v>
      </c>
      <c r="E66" s="16">
        <v>59985</v>
      </c>
      <c r="F66" s="16">
        <v>509985</v>
      </c>
      <c r="G66" s="159">
        <v>50</v>
      </c>
      <c r="H66" s="305">
        <v>10199.700000000001</v>
      </c>
      <c r="I66" s="97">
        <v>26</v>
      </c>
      <c r="J66" s="97">
        <f t="shared" si="5"/>
        <v>24</v>
      </c>
      <c r="K66" s="91">
        <f t="shared" si="6"/>
        <v>265192.2</v>
      </c>
      <c r="L66" s="94">
        <f t="shared" si="7"/>
        <v>244792.8</v>
      </c>
      <c r="M66" s="11"/>
      <c r="N66" s="180" t="e">
        <f>#REF!-H66</f>
        <v>#REF!</v>
      </c>
    </row>
    <row r="67" spans="1:14" s="114" customFormat="1">
      <c r="A67" s="96">
        <v>63</v>
      </c>
      <c r="B67" s="292" t="s">
        <v>1009</v>
      </c>
      <c r="C67" s="11" t="s">
        <v>332</v>
      </c>
      <c r="D67" s="19">
        <v>500000</v>
      </c>
      <c r="E67" s="19">
        <v>66650</v>
      </c>
      <c r="F67" s="19">
        <v>566650</v>
      </c>
      <c r="G67" s="159">
        <v>50</v>
      </c>
      <c r="H67" s="305">
        <v>11333</v>
      </c>
      <c r="I67" s="97">
        <v>24</v>
      </c>
      <c r="J67" s="97">
        <f t="shared" si="5"/>
        <v>26</v>
      </c>
      <c r="K67" s="91">
        <f t="shared" si="6"/>
        <v>271992</v>
      </c>
      <c r="L67" s="91">
        <f t="shared" si="7"/>
        <v>294658</v>
      </c>
      <c r="M67" s="11"/>
      <c r="N67" s="180" t="e">
        <f>#REF!-H67</f>
        <v>#REF!</v>
      </c>
    </row>
    <row r="68" spans="1:14" s="114" customFormat="1">
      <c r="A68" s="96">
        <v>64</v>
      </c>
      <c r="B68" s="292" t="s">
        <v>1093</v>
      </c>
      <c r="C68" s="11" t="s">
        <v>364</v>
      </c>
      <c r="D68" s="16">
        <v>450000</v>
      </c>
      <c r="E68" s="16">
        <v>59985</v>
      </c>
      <c r="F68" s="16">
        <v>509985</v>
      </c>
      <c r="G68" s="159">
        <v>50</v>
      </c>
      <c r="H68" s="305">
        <v>10199.700000000001</v>
      </c>
      <c r="I68" s="97">
        <v>23</v>
      </c>
      <c r="J68" s="97">
        <f t="shared" si="5"/>
        <v>27</v>
      </c>
      <c r="K68" s="91">
        <f t="shared" si="6"/>
        <v>234593.1</v>
      </c>
      <c r="L68" s="91">
        <f t="shared" si="7"/>
        <v>275391.90000000002</v>
      </c>
      <c r="M68" s="11"/>
      <c r="N68" s="180" t="e">
        <f>#REF!-H68</f>
        <v>#REF!</v>
      </c>
    </row>
    <row r="69" spans="1:14" s="114" customFormat="1">
      <c r="A69" s="96">
        <v>65</v>
      </c>
      <c r="B69" s="292" t="s">
        <v>1053</v>
      </c>
      <c r="C69" s="11" t="s">
        <v>845</v>
      </c>
      <c r="D69" s="19">
        <v>150000</v>
      </c>
      <c r="E69" s="19">
        <v>19995</v>
      </c>
      <c r="F69" s="19">
        <f>SUM(D69:E69)</f>
        <v>169995</v>
      </c>
      <c r="G69" s="159">
        <v>50</v>
      </c>
      <c r="H69" s="305">
        <v>3399.9</v>
      </c>
      <c r="I69" s="97">
        <v>24</v>
      </c>
      <c r="J69" s="97">
        <f t="shared" si="5"/>
        <v>26</v>
      </c>
      <c r="K69" s="91">
        <f t="shared" si="6"/>
        <v>81597.600000000006</v>
      </c>
      <c r="L69" s="91">
        <f t="shared" si="7"/>
        <v>88397.4</v>
      </c>
      <c r="M69" s="11"/>
      <c r="N69" s="180" t="e">
        <f>#REF!-H69</f>
        <v>#REF!</v>
      </c>
    </row>
    <row r="70" spans="1:14" s="114" customFormat="1">
      <c r="A70" s="96">
        <v>66</v>
      </c>
      <c r="B70" s="292" t="s">
        <v>1028</v>
      </c>
      <c r="C70" s="11" t="s">
        <v>73</v>
      </c>
      <c r="D70" s="16">
        <v>500000</v>
      </c>
      <c r="E70" s="16">
        <v>66650</v>
      </c>
      <c r="F70" s="41">
        <f>SUM(D70:E70)</f>
        <v>566650</v>
      </c>
      <c r="G70" s="159">
        <v>50</v>
      </c>
      <c r="H70" s="305">
        <v>11333</v>
      </c>
      <c r="I70" s="97">
        <v>47</v>
      </c>
      <c r="J70" s="97">
        <f t="shared" ref="J70:J101" si="9">G70-I70</f>
        <v>3</v>
      </c>
      <c r="K70" s="91">
        <f t="shared" ref="K70:K102" si="10">I70*H70</f>
        <v>532651</v>
      </c>
      <c r="L70" s="94">
        <f t="shared" ref="L70:L101" si="11">F70-K70</f>
        <v>33999</v>
      </c>
      <c r="M70" s="11"/>
      <c r="N70" s="180" t="e">
        <f>#REF!-H70</f>
        <v>#REF!</v>
      </c>
    </row>
    <row r="71" spans="1:14" s="114" customFormat="1">
      <c r="A71" s="96">
        <v>67</v>
      </c>
      <c r="B71" s="292" t="s">
        <v>1025</v>
      </c>
      <c r="C71" s="11" t="s">
        <v>333</v>
      </c>
      <c r="D71" s="16">
        <v>500000</v>
      </c>
      <c r="E71" s="16">
        <v>66650</v>
      </c>
      <c r="F71" s="41">
        <f>SUM(D71:E71)</f>
        <v>566650</v>
      </c>
      <c r="G71" s="159">
        <v>50</v>
      </c>
      <c r="H71" s="305">
        <v>11333</v>
      </c>
      <c r="I71" s="97">
        <v>59</v>
      </c>
      <c r="J71" s="97">
        <f t="shared" si="9"/>
        <v>-9</v>
      </c>
      <c r="K71" s="91">
        <f t="shared" si="10"/>
        <v>668647</v>
      </c>
      <c r="L71" s="94">
        <f t="shared" si="11"/>
        <v>-101997</v>
      </c>
      <c r="M71" s="11"/>
      <c r="N71" s="180" t="e">
        <f>#REF!-H71</f>
        <v>#REF!</v>
      </c>
    </row>
    <row r="72" spans="1:14" s="114" customFormat="1">
      <c r="A72" s="96">
        <v>68</v>
      </c>
      <c r="B72" s="292" t="s">
        <v>961</v>
      </c>
      <c r="C72" s="11" t="s">
        <v>426</v>
      </c>
      <c r="D72" s="16">
        <v>150000</v>
      </c>
      <c r="E72" s="16">
        <v>19995</v>
      </c>
      <c r="F72" s="41">
        <f>SUM(D72:E72)</f>
        <v>169995</v>
      </c>
      <c r="G72" s="159">
        <v>50</v>
      </c>
      <c r="H72" s="305">
        <v>3399.9</v>
      </c>
      <c r="I72" s="97">
        <v>47</v>
      </c>
      <c r="J72" s="97">
        <f t="shared" si="9"/>
        <v>3</v>
      </c>
      <c r="K72" s="91">
        <f t="shared" si="10"/>
        <v>159795.30000000002</v>
      </c>
      <c r="L72" s="94">
        <f t="shared" si="11"/>
        <v>10199.699999999983</v>
      </c>
      <c r="M72" s="11"/>
      <c r="N72" s="180" t="e">
        <f>#REF!-H72</f>
        <v>#REF!</v>
      </c>
    </row>
    <row r="73" spans="1:14" s="114" customFormat="1">
      <c r="A73" s="96">
        <v>69</v>
      </c>
      <c r="B73" s="292" t="s">
        <v>965</v>
      </c>
      <c r="C73" s="11" t="s">
        <v>334</v>
      </c>
      <c r="D73" s="19">
        <v>500000</v>
      </c>
      <c r="E73" s="19">
        <v>66650</v>
      </c>
      <c r="F73" s="19">
        <v>566650</v>
      </c>
      <c r="G73" s="159">
        <v>50</v>
      </c>
      <c r="H73" s="305">
        <v>11333</v>
      </c>
      <c r="I73" s="97">
        <v>24</v>
      </c>
      <c r="J73" s="97">
        <f t="shared" si="9"/>
        <v>26</v>
      </c>
      <c r="K73" s="91">
        <f t="shared" si="10"/>
        <v>271992</v>
      </c>
      <c r="L73" s="91">
        <f t="shared" si="11"/>
        <v>294658</v>
      </c>
      <c r="M73" s="11"/>
      <c r="N73" s="180" t="e">
        <f>#REF!-H73</f>
        <v>#REF!</v>
      </c>
    </row>
    <row r="74" spans="1:14" s="114" customFormat="1">
      <c r="A74" s="96">
        <v>70</v>
      </c>
      <c r="B74" s="292" t="s">
        <v>1059</v>
      </c>
      <c r="C74" s="11" t="s">
        <v>1060</v>
      </c>
      <c r="D74" s="19">
        <v>150000</v>
      </c>
      <c r="E74" s="19">
        <v>19995</v>
      </c>
      <c r="F74" s="19">
        <f>SUM(D74:E74)</f>
        <v>169995</v>
      </c>
      <c r="G74" s="159">
        <v>50</v>
      </c>
      <c r="H74" s="305">
        <v>3339.9</v>
      </c>
      <c r="I74" s="159">
        <v>10</v>
      </c>
      <c r="J74" s="97">
        <f t="shared" si="9"/>
        <v>40</v>
      </c>
      <c r="K74" s="91">
        <f t="shared" si="10"/>
        <v>33399</v>
      </c>
      <c r="L74" s="94">
        <f t="shared" si="11"/>
        <v>136596</v>
      </c>
      <c r="M74" s="11"/>
      <c r="N74" s="180" t="e">
        <f>#REF!-H74</f>
        <v>#REF!</v>
      </c>
    </row>
    <row r="75" spans="1:14" s="114" customFormat="1">
      <c r="A75" s="96">
        <v>71</v>
      </c>
      <c r="B75" s="293" t="s">
        <v>993</v>
      </c>
      <c r="C75" s="123" t="s">
        <v>994</v>
      </c>
      <c r="D75" s="19">
        <v>150000</v>
      </c>
      <c r="E75" s="19">
        <v>19995</v>
      </c>
      <c r="F75" s="19">
        <f>SUM(D75:E75)</f>
        <v>169995</v>
      </c>
      <c r="G75" s="159">
        <v>50</v>
      </c>
      <c r="H75" s="304">
        <v>3399.9</v>
      </c>
      <c r="I75" s="159">
        <v>7</v>
      </c>
      <c r="J75" s="159">
        <f t="shared" si="9"/>
        <v>43</v>
      </c>
      <c r="K75" s="16">
        <f t="shared" si="10"/>
        <v>23799.3</v>
      </c>
      <c r="L75" s="94">
        <f t="shared" si="11"/>
        <v>146195.70000000001</v>
      </c>
      <c r="M75" s="11"/>
      <c r="N75" s="180" t="e">
        <f>#REF!-H75</f>
        <v>#REF!</v>
      </c>
    </row>
    <row r="76" spans="1:14" s="114" customFormat="1">
      <c r="A76" s="96">
        <v>72</v>
      </c>
      <c r="B76" s="292" t="s">
        <v>1062</v>
      </c>
      <c r="C76" s="11" t="s">
        <v>335</v>
      </c>
      <c r="D76" s="16">
        <v>500000</v>
      </c>
      <c r="E76" s="16">
        <v>66650</v>
      </c>
      <c r="F76" s="41">
        <f>SUM(D76:E76)</f>
        <v>566650</v>
      </c>
      <c r="G76" s="159">
        <v>50</v>
      </c>
      <c r="H76" s="305">
        <v>11333</v>
      </c>
      <c r="I76" s="97">
        <v>37</v>
      </c>
      <c r="J76" s="97">
        <f t="shared" si="9"/>
        <v>13</v>
      </c>
      <c r="K76" s="91">
        <f t="shared" si="10"/>
        <v>419321</v>
      </c>
      <c r="L76" s="94">
        <f t="shared" si="11"/>
        <v>147329</v>
      </c>
      <c r="M76" s="11"/>
      <c r="N76" s="180" t="e">
        <f>#REF!-H76</f>
        <v>#REF!</v>
      </c>
    </row>
    <row r="77" spans="1:14" s="114" customFormat="1">
      <c r="A77" s="96">
        <v>73</v>
      </c>
      <c r="B77" s="293" t="s">
        <v>1090</v>
      </c>
      <c r="C77" s="123" t="s">
        <v>295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304">
        <v>11333</v>
      </c>
      <c r="I77" s="159">
        <v>7</v>
      </c>
      <c r="J77" s="159">
        <f t="shared" si="9"/>
        <v>43</v>
      </c>
      <c r="K77" s="16">
        <f t="shared" si="10"/>
        <v>79331</v>
      </c>
      <c r="L77" s="94">
        <f t="shared" si="11"/>
        <v>487319</v>
      </c>
      <c r="M77" s="11"/>
      <c r="N77" s="180" t="e">
        <f>#REF!-H77</f>
        <v>#REF!</v>
      </c>
    </row>
    <row r="78" spans="1:14" s="114" customFormat="1">
      <c r="A78" s="96">
        <v>74</v>
      </c>
      <c r="B78" s="292" t="s">
        <v>981</v>
      </c>
      <c r="C78" s="11" t="s">
        <v>336</v>
      </c>
      <c r="D78" s="16">
        <v>500000</v>
      </c>
      <c r="E78" s="16">
        <v>66650</v>
      </c>
      <c r="F78" s="16">
        <v>566650</v>
      </c>
      <c r="G78" s="159">
        <v>50</v>
      </c>
      <c r="H78" s="305">
        <v>11333</v>
      </c>
      <c r="I78" s="97">
        <v>37</v>
      </c>
      <c r="J78" s="97">
        <f t="shared" si="9"/>
        <v>13</v>
      </c>
      <c r="K78" s="91">
        <f t="shared" si="10"/>
        <v>419321</v>
      </c>
      <c r="L78" s="94">
        <f t="shared" si="11"/>
        <v>147329</v>
      </c>
      <c r="M78" s="11"/>
      <c r="N78" s="180" t="e">
        <f>#REF!-H78</f>
        <v>#REF!</v>
      </c>
    </row>
    <row r="79" spans="1:14" s="114" customFormat="1">
      <c r="A79" s="96">
        <v>75</v>
      </c>
      <c r="B79" s="292" t="s">
        <v>984</v>
      </c>
      <c r="C79" s="11" t="s">
        <v>287</v>
      </c>
      <c r="D79" s="16">
        <v>450000</v>
      </c>
      <c r="E79" s="16">
        <v>59985</v>
      </c>
      <c r="F79" s="16">
        <v>509985</v>
      </c>
      <c r="G79" s="159">
        <v>50</v>
      </c>
      <c r="H79" s="305">
        <v>10199.700000000001</v>
      </c>
      <c r="I79" s="97">
        <v>31</v>
      </c>
      <c r="J79" s="97">
        <f t="shared" si="9"/>
        <v>19</v>
      </c>
      <c r="K79" s="91">
        <f t="shared" si="10"/>
        <v>316190.7</v>
      </c>
      <c r="L79" s="94">
        <f t="shared" si="11"/>
        <v>193794.3</v>
      </c>
      <c r="M79" s="11"/>
      <c r="N79" s="180" t="e">
        <f>#REF!-H79</f>
        <v>#REF!</v>
      </c>
    </row>
    <row r="80" spans="1:14" s="114" customFormat="1">
      <c r="A80" s="96">
        <v>76</v>
      </c>
      <c r="B80" s="292" t="s">
        <v>1006</v>
      </c>
      <c r="C80" s="11" t="s">
        <v>865</v>
      </c>
      <c r="D80" s="16">
        <v>500000</v>
      </c>
      <c r="E80" s="16">
        <v>66650</v>
      </c>
      <c r="F80" s="41">
        <f>SUM(D80:E80)</f>
        <v>566650</v>
      </c>
      <c r="G80" s="159">
        <v>50</v>
      </c>
      <c r="H80" s="305">
        <v>11333</v>
      </c>
      <c r="I80" s="97">
        <v>38</v>
      </c>
      <c r="J80" s="97">
        <f t="shared" si="9"/>
        <v>12</v>
      </c>
      <c r="K80" s="91">
        <f t="shared" si="10"/>
        <v>430654</v>
      </c>
      <c r="L80" s="94">
        <f t="shared" si="11"/>
        <v>135996</v>
      </c>
      <c r="M80" s="11"/>
    </row>
    <row r="81" spans="1:14" s="114" customFormat="1">
      <c r="A81" s="96">
        <v>77</v>
      </c>
      <c r="B81" s="293" t="s">
        <v>1083</v>
      </c>
      <c r="C81" s="11" t="s">
        <v>855</v>
      </c>
      <c r="D81" s="16">
        <v>500000</v>
      </c>
      <c r="E81" s="16">
        <v>66650</v>
      </c>
      <c r="F81" s="16">
        <v>566650</v>
      </c>
      <c r="G81" s="159">
        <v>50</v>
      </c>
      <c r="H81" s="304">
        <v>11330</v>
      </c>
      <c r="I81" s="96">
        <v>37</v>
      </c>
      <c r="J81" s="97">
        <f t="shared" si="9"/>
        <v>13</v>
      </c>
      <c r="K81" s="91">
        <f t="shared" si="10"/>
        <v>419210</v>
      </c>
      <c r="L81" s="94">
        <f t="shared" si="11"/>
        <v>147440</v>
      </c>
      <c r="M81" s="11"/>
      <c r="N81" s="180" t="e">
        <f>#REF!-H81</f>
        <v>#REF!</v>
      </c>
    </row>
    <row r="82" spans="1:14" s="114" customFormat="1">
      <c r="A82" s="96">
        <v>78</v>
      </c>
      <c r="B82" s="292" t="s">
        <v>996</v>
      </c>
      <c r="C82" s="11" t="s">
        <v>338</v>
      </c>
      <c r="D82" s="16">
        <v>500000</v>
      </c>
      <c r="E82" s="16">
        <v>66650</v>
      </c>
      <c r="F82" s="41">
        <f>SUM(D82:E82)</f>
        <v>566650</v>
      </c>
      <c r="G82" s="159">
        <v>50</v>
      </c>
      <c r="H82" s="305">
        <v>11333</v>
      </c>
      <c r="I82" s="97">
        <v>59</v>
      </c>
      <c r="J82" s="97">
        <f t="shared" si="9"/>
        <v>-9</v>
      </c>
      <c r="K82" s="91">
        <f t="shared" si="10"/>
        <v>668647</v>
      </c>
      <c r="L82" s="94">
        <f t="shared" si="11"/>
        <v>-101997</v>
      </c>
      <c r="M82" s="11"/>
      <c r="N82" s="180" t="e">
        <f>#REF!-H82</f>
        <v>#REF!</v>
      </c>
    </row>
    <row r="83" spans="1:14" s="114" customFormat="1">
      <c r="A83" s="96">
        <v>79</v>
      </c>
      <c r="B83" s="292" t="s">
        <v>995</v>
      </c>
      <c r="C83" s="11" t="s">
        <v>339</v>
      </c>
      <c r="D83" s="19">
        <v>500000</v>
      </c>
      <c r="E83" s="19">
        <v>66650</v>
      </c>
      <c r="F83" s="19">
        <v>566650</v>
      </c>
      <c r="G83" s="159">
        <v>50</v>
      </c>
      <c r="H83" s="305">
        <v>11333</v>
      </c>
      <c r="I83" s="97">
        <v>24</v>
      </c>
      <c r="J83" s="97">
        <f t="shared" si="9"/>
        <v>26</v>
      </c>
      <c r="K83" s="91">
        <f t="shared" si="10"/>
        <v>271992</v>
      </c>
      <c r="L83" s="91">
        <f t="shared" si="11"/>
        <v>294658</v>
      </c>
      <c r="M83" s="11"/>
    </row>
    <row r="84" spans="1:14" s="114" customFormat="1">
      <c r="A84" s="96">
        <v>80</v>
      </c>
      <c r="B84" s="292" t="s">
        <v>1089</v>
      </c>
      <c r="C84" s="11" t="s">
        <v>340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305">
        <v>11333</v>
      </c>
      <c r="I84" s="97">
        <v>38</v>
      </c>
      <c r="J84" s="97">
        <f t="shared" si="9"/>
        <v>12</v>
      </c>
      <c r="K84" s="91">
        <f t="shared" si="10"/>
        <v>430654</v>
      </c>
      <c r="L84" s="94">
        <f t="shared" si="11"/>
        <v>135996</v>
      </c>
      <c r="M84" s="11"/>
      <c r="N84" s="180" t="e">
        <f>#REF!-H84</f>
        <v>#REF!</v>
      </c>
    </row>
    <row r="85" spans="1:14" s="114" customFormat="1">
      <c r="A85" s="96">
        <v>81</v>
      </c>
      <c r="B85" s="292" t="s">
        <v>964</v>
      </c>
      <c r="C85" s="11" t="s">
        <v>341</v>
      </c>
      <c r="D85" s="19">
        <v>500000</v>
      </c>
      <c r="E85" s="19">
        <v>66650</v>
      </c>
      <c r="F85" s="19">
        <v>566650</v>
      </c>
      <c r="G85" s="159">
        <v>50</v>
      </c>
      <c r="H85" s="305">
        <v>11333</v>
      </c>
      <c r="I85" s="97">
        <v>24</v>
      </c>
      <c r="J85" s="97">
        <f t="shared" si="9"/>
        <v>26</v>
      </c>
      <c r="K85" s="91">
        <f t="shared" si="10"/>
        <v>271992</v>
      </c>
      <c r="L85" s="91">
        <f t="shared" si="11"/>
        <v>294658</v>
      </c>
      <c r="M85" s="11"/>
    </row>
    <row r="86" spans="1:14" s="114" customFormat="1">
      <c r="A86" s="96">
        <v>82</v>
      </c>
      <c r="B86" s="295" t="s">
        <v>985</v>
      </c>
      <c r="C86" s="8" t="s">
        <v>986</v>
      </c>
      <c r="D86" s="16">
        <v>450000</v>
      </c>
      <c r="E86" s="16">
        <v>59985</v>
      </c>
      <c r="F86" s="41">
        <f>SUM(D86:E86)</f>
        <v>509985</v>
      </c>
      <c r="G86" s="159">
        <v>50</v>
      </c>
      <c r="H86" s="306">
        <v>10199.700000000001</v>
      </c>
      <c r="I86" s="159">
        <v>37</v>
      </c>
      <c r="J86" s="159">
        <f t="shared" si="9"/>
        <v>13</v>
      </c>
      <c r="K86" s="16">
        <f t="shared" si="10"/>
        <v>377388.9</v>
      </c>
      <c r="L86" s="94">
        <f t="shared" si="11"/>
        <v>132596.09999999998</v>
      </c>
      <c r="M86" s="8"/>
      <c r="N86" s="180" t="e">
        <f>#REF!-H86</f>
        <v>#REF!</v>
      </c>
    </row>
    <row r="87" spans="1:14" s="114" customFormat="1">
      <c r="A87" s="96">
        <v>83</v>
      </c>
      <c r="B87" s="292" t="s">
        <v>1056</v>
      </c>
      <c r="C87" s="11" t="s">
        <v>367</v>
      </c>
      <c r="D87" s="16">
        <v>450000</v>
      </c>
      <c r="E87" s="16">
        <v>59985</v>
      </c>
      <c r="F87" s="41">
        <f>SUM(D87:E87)</f>
        <v>509985</v>
      </c>
      <c r="G87" s="159">
        <v>50</v>
      </c>
      <c r="H87" s="305">
        <v>10199.700000000001</v>
      </c>
      <c r="I87" s="97">
        <v>38</v>
      </c>
      <c r="J87" s="97">
        <f t="shared" si="9"/>
        <v>12</v>
      </c>
      <c r="K87" s="91">
        <f t="shared" si="10"/>
        <v>387588.60000000003</v>
      </c>
      <c r="L87" s="94">
        <f t="shared" si="11"/>
        <v>122396.39999999997</v>
      </c>
      <c r="M87" s="11"/>
      <c r="N87" s="180" t="e">
        <f>#REF!-H87</f>
        <v>#REF!</v>
      </c>
    </row>
    <row r="88" spans="1:14" s="114" customFormat="1">
      <c r="A88" s="96">
        <v>84</v>
      </c>
      <c r="B88" s="292" t="s">
        <v>997</v>
      </c>
      <c r="C88" s="11" t="s">
        <v>342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305">
        <v>11333</v>
      </c>
      <c r="I88" s="97">
        <v>59</v>
      </c>
      <c r="J88" s="97">
        <f t="shared" si="9"/>
        <v>-9</v>
      </c>
      <c r="K88" s="91">
        <f t="shared" si="10"/>
        <v>668647</v>
      </c>
      <c r="L88" s="94">
        <f t="shared" si="11"/>
        <v>-101997</v>
      </c>
      <c r="M88" s="11"/>
      <c r="N88" s="180" t="e">
        <f>#REF!-H88</f>
        <v>#REF!</v>
      </c>
    </row>
    <row r="89" spans="1:14" s="114" customFormat="1">
      <c r="A89" s="96">
        <v>85</v>
      </c>
      <c r="B89" s="292" t="s">
        <v>958</v>
      </c>
      <c r="C89" s="11" t="s">
        <v>343</v>
      </c>
      <c r="D89" s="12">
        <v>500000</v>
      </c>
      <c r="E89" s="12">
        <v>66650</v>
      </c>
      <c r="F89" s="15">
        <f>SUM(D89:E89)</f>
        <v>566650</v>
      </c>
      <c r="G89" s="14">
        <v>50</v>
      </c>
      <c r="H89" s="290">
        <v>11333</v>
      </c>
      <c r="I89" s="14">
        <v>43</v>
      </c>
      <c r="J89" s="97">
        <f t="shared" si="9"/>
        <v>7</v>
      </c>
      <c r="K89" s="91">
        <f t="shared" si="10"/>
        <v>487319</v>
      </c>
      <c r="L89" s="15">
        <f t="shared" si="11"/>
        <v>79331</v>
      </c>
      <c r="M89" s="8"/>
      <c r="N89" s="180" t="e">
        <f>#REF!-H89</f>
        <v>#REF!</v>
      </c>
    </row>
    <row r="90" spans="1:14" s="114" customFormat="1">
      <c r="A90" s="96">
        <v>86</v>
      </c>
      <c r="B90" s="292" t="s">
        <v>1045</v>
      </c>
      <c r="C90" s="11" t="s">
        <v>867</v>
      </c>
      <c r="D90" s="16">
        <v>500000</v>
      </c>
      <c r="E90" s="16">
        <v>66650</v>
      </c>
      <c r="F90" s="41">
        <f>SUM(D90:E90)</f>
        <v>566650</v>
      </c>
      <c r="G90" s="159">
        <v>50</v>
      </c>
      <c r="H90" s="305">
        <v>11333</v>
      </c>
      <c r="I90" s="97">
        <v>46</v>
      </c>
      <c r="J90" s="97">
        <f t="shared" si="9"/>
        <v>4</v>
      </c>
      <c r="K90" s="91">
        <f t="shared" si="10"/>
        <v>521318</v>
      </c>
      <c r="L90" s="94">
        <f t="shared" si="11"/>
        <v>45332</v>
      </c>
      <c r="M90" s="11"/>
      <c r="N90" s="180" t="e">
        <f>#REF!-H90</f>
        <v>#REF!</v>
      </c>
    </row>
    <row r="91" spans="1:14" s="114" customFormat="1">
      <c r="A91" s="96">
        <v>87</v>
      </c>
      <c r="B91" s="292" t="s">
        <v>1098</v>
      </c>
      <c r="C91" s="11" t="s">
        <v>345</v>
      </c>
      <c r="D91" s="19">
        <v>500000</v>
      </c>
      <c r="E91" s="19">
        <v>66650</v>
      </c>
      <c r="F91" s="19">
        <v>566650</v>
      </c>
      <c r="G91" s="159">
        <v>50</v>
      </c>
      <c r="H91" s="305">
        <v>11333</v>
      </c>
      <c r="I91" s="97">
        <v>24</v>
      </c>
      <c r="J91" s="97">
        <f t="shared" si="9"/>
        <v>26</v>
      </c>
      <c r="K91" s="91">
        <f t="shared" si="10"/>
        <v>271992</v>
      </c>
      <c r="L91" s="91">
        <f t="shared" si="11"/>
        <v>294658</v>
      </c>
      <c r="M91" s="11"/>
      <c r="N91" s="180" t="e">
        <f>#REF!-H91</f>
        <v>#REF!</v>
      </c>
    </row>
    <row r="92" spans="1:14" s="114" customFormat="1">
      <c r="A92" s="96">
        <v>88</v>
      </c>
      <c r="B92" s="293" t="s">
        <v>989</v>
      </c>
      <c r="C92" s="123" t="s">
        <v>864</v>
      </c>
      <c r="D92" s="16">
        <v>500000</v>
      </c>
      <c r="E92" s="16">
        <v>66650</v>
      </c>
      <c r="F92" s="41">
        <f>SUM(D92:E92)</f>
        <v>566650</v>
      </c>
      <c r="G92" s="159">
        <v>50</v>
      </c>
      <c r="H92" s="304">
        <v>11333</v>
      </c>
      <c r="I92" s="159">
        <v>7</v>
      </c>
      <c r="J92" s="159">
        <f t="shared" si="9"/>
        <v>43</v>
      </c>
      <c r="K92" s="16">
        <f t="shared" si="10"/>
        <v>79331</v>
      </c>
      <c r="L92" s="94">
        <f t="shared" si="11"/>
        <v>487319</v>
      </c>
      <c r="M92" s="11"/>
      <c r="N92" s="180" t="e">
        <f>#REF!-H92</f>
        <v>#REF!</v>
      </c>
    </row>
    <row r="93" spans="1:14" s="114" customFormat="1">
      <c r="A93" s="96">
        <v>89</v>
      </c>
      <c r="B93" s="292" t="s">
        <v>1020</v>
      </c>
      <c r="C93" s="11" t="s">
        <v>99</v>
      </c>
      <c r="D93" s="16">
        <v>450000</v>
      </c>
      <c r="E93" s="16">
        <v>59985</v>
      </c>
      <c r="F93" s="41">
        <f>SUM(D93:E93)</f>
        <v>509985</v>
      </c>
      <c r="G93" s="159">
        <v>50</v>
      </c>
      <c r="H93" s="305">
        <v>10199.700000000001</v>
      </c>
      <c r="I93" s="159">
        <v>47</v>
      </c>
      <c r="J93" s="97">
        <f t="shared" si="9"/>
        <v>3</v>
      </c>
      <c r="K93" s="91">
        <f t="shared" si="10"/>
        <v>479385.9</v>
      </c>
      <c r="L93" s="94">
        <f t="shared" si="11"/>
        <v>30599.099999999977</v>
      </c>
      <c r="M93" s="11"/>
      <c r="N93" s="180" t="e">
        <f>#REF!-H93</f>
        <v>#REF!</v>
      </c>
    </row>
    <row r="94" spans="1:14" s="114" customFormat="1">
      <c r="A94" s="96">
        <v>90</v>
      </c>
      <c r="B94" s="294" t="s">
        <v>969</v>
      </c>
      <c r="C94" s="11" t="s">
        <v>851</v>
      </c>
      <c r="D94" s="19">
        <v>150000</v>
      </c>
      <c r="E94" s="19">
        <v>19995</v>
      </c>
      <c r="F94" s="19">
        <f>SUM(D94:E94)</f>
        <v>169995</v>
      </c>
      <c r="G94" s="159">
        <v>50</v>
      </c>
      <c r="H94" s="304">
        <v>3399.9</v>
      </c>
      <c r="I94" s="159">
        <v>8</v>
      </c>
      <c r="J94" s="97">
        <f t="shared" si="9"/>
        <v>42</v>
      </c>
      <c r="K94" s="91">
        <f t="shared" si="10"/>
        <v>27199.200000000001</v>
      </c>
      <c r="L94" s="94">
        <f t="shared" si="11"/>
        <v>142795.79999999999</v>
      </c>
      <c r="M94" s="11"/>
      <c r="N94" s="180" t="e">
        <f>#REF!-H94</f>
        <v>#REF!</v>
      </c>
    </row>
    <row r="95" spans="1:14" s="114" customFormat="1">
      <c r="A95" s="96">
        <v>91</v>
      </c>
      <c r="B95" s="292" t="s">
        <v>1043</v>
      </c>
      <c r="C95" s="11" t="s">
        <v>444</v>
      </c>
      <c r="D95" s="16">
        <v>500000</v>
      </c>
      <c r="E95" s="16">
        <v>66650</v>
      </c>
      <c r="F95" s="16">
        <v>566650</v>
      </c>
      <c r="G95" s="159">
        <v>50</v>
      </c>
      <c r="H95" s="288">
        <v>11333</v>
      </c>
      <c r="I95" s="101">
        <v>12</v>
      </c>
      <c r="J95" s="97">
        <f t="shared" si="9"/>
        <v>38</v>
      </c>
      <c r="K95" s="91">
        <f t="shared" si="10"/>
        <v>135996</v>
      </c>
      <c r="L95" s="94">
        <f t="shared" si="11"/>
        <v>430654</v>
      </c>
      <c r="M95" s="8"/>
      <c r="N95" s="180" t="e">
        <f>#REF!-H95</f>
        <v>#REF!</v>
      </c>
    </row>
    <row r="96" spans="1:14" s="114" customFormat="1">
      <c r="A96" s="96">
        <v>92</v>
      </c>
      <c r="B96" s="292" t="s">
        <v>1058</v>
      </c>
      <c r="C96" s="11" t="s">
        <v>346</v>
      </c>
      <c r="D96" s="19">
        <v>500000</v>
      </c>
      <c r="E96" s="19">
        <v>66650</v>
      </c>
      <c r="F96" s="19">
        <v>566650</v>
      </c>
      <c r="G96" s="159">
        <v>50</v>
      </c>
      <c r="H96" s="305">
        <v>11333</v>
      </c>
      <c r="I96" s="97">
        <v>23</v>
      </c>
      <c r="J96" s="97">
        <f t="shared" si="9"/>
        <v>27</v>
      </c>
      <c r="K96" s="91">
        <f t="shared" si="10"/>
        <v>260659</v>
      </c>
      <c r="L96" s="91">
        <f t="shared" si="11"/>
        <v>305991</v>
      </c>
      <c r="M96" s="11"/>
    </row>
    <row r="97" spans="1:14" s="114" customFormat="1">
      <c r="A97" s="96">
        <v>93</v>
      </c>
      <c r="B97" s="294" t="s">
        <v>1105</v>
      </c>
      <c r="C97" s="11" t="s">
        <v>861</v>
      </c>
      <c r="D97" s="16">
        <v>500000</v>
      </c>
      <c r="E97" s="16">
        <v>66650</v>
      </c>
      <c r="F97" s="41">
        <f>SUM(D97:E97)</f>
        <v>566650</v>
      </c>
      <c r="G97" s="159">
        <v>50</v>
      </c>
      <c r="H97" s="304">
        <v>11333</v>
      </c>
      <c r="I97" s="159">
        <v>5</v>
      </c>
      <c r="J97" s="97">
        <f t="shared" si="9"/>
        <v>45</v>
      </c>
      <c r="K97" s="91">
        <f t="shared" si="10"/>
        <v>56665</v>
      </c>
      <c r="L97" s="94">
        <f t="shared" si="11"/>
        <v>509985</v>
      </c>
      <c r="M97" s="11"/>
      <c r="N97" s="180" t="e">
        <f>#REF!-H97</f>
        <v>#REF!</v>
      </c>
    </row>
    <row r="98" spans="1:14" s="114" customFormat="1">
      <c r="A98" s="96">
        <v>94</v>
      </c>
      <c r="B98" s="292" t="s">
        <v>1099</v>
      </c>
      <c r="C98" s="11" t="s">
        <v>487</v>
      </c>
      <c r="D98" s="16">
        <v>500000</v>
      </c>
      <c r="E98" s="16">
        <v>66650</v>
      </c>
      <c r="F98" s="16">
        <v>566650</v>
      </c>
      <c r="G98" s="159">
        <v>50</v>
      </c>
      <c r="H98" s="305">
        <v>11333</v>
      </c>
      <c r="I98" s="101">
        <v>12</v>
      </c>
      <c r="J98" s="97">
        <f t="shared" si="9"/>
        <v>38</v>
      </c>
      <c r="K98" s="91">
        <f t="shared" si="10"/>
        <v>135996</v>
      </c>
      <c r="L98" s="94">
        <f t="shared" si="11"/>
        <v>430654</v>
      </c>
      <c r="M98" s="8"/>
      <c r="N98" s="180" t="e">
        <f>#REF!-H98</f>
        <v>#REF!</v>
      </c>
    </row>
    <row r="99" spans="1:14" s="114" customFormat="1">
      <c r="A99" s="96">
        <v>95</v>
      </c>
      <c r="B99" s="292" t="s">
        <v>1067</v>
      </c>
      <c r="C99" s="11" t="s">
        <v>368</v>
      </c>
      <c r="D99" s="16">
        <v>450000</v>
      </c>
      <c r="E99" s="16">
        <v>59985</v>
      </c>
      <c r="F99" s="16">
        <v>509985</v>
      </c>
      <c r="G99" s="159">
        <v>50</v>
      </c>
      <c r="H99" s="305">
        <v>10199.700000000001</v>
      </c>
      <c r="I99" s="97">
        <v>23</v>
      </c>
      <c r="J99" s="97">
        <f t="shared" si="9"/>
        <v>27</v>
      </c>
      <c r="K99" s="91">
        <f t="shared" si="10"/>
        <v>234593.1</v>
      </c>
      <c r="L99" s="91">
        <f t="shared" si="11"/>
        <v>275391.90000000002</v>
      </c>
      <c r="M99" s="11"/>
      <c r="N99" s="180" t="e">
        <f>#REF!-H99</f>
        <v>#REF!</v>
      </c>
    </row>
    <row r="100" spans="1:14" s="114" customFormat="1">
      <c r="A100" s="96">
        <v>96</v>
      </c>
      <c r="B100" s="292" t="s">
        <v>1070</v>
      </c>
      <c r="C100" s="11" t="s">
        <v>347</v>
      </c>
      <c r="D100" s="16">
        <v>500000</v>
      </c>
      <c r="E100" s="16">
        <v>66650</v>
      </c>
      <c r="F100" s="41">
        <f t="shared" ref="F100:F113" si="12">SUM(D100:E100)</f>
        <v>566650</v>
      </c>
      <c r="G100" s="159">
        <v>50</v>
      </c>
      <c r="H100" s="305">
        <v>11333</v>
      </c>
      <c r="I100" s="97">
        <v>38</v>
      </c>
      <c r="J100" s="97">
        <f t="shared" si="9"/>
        <v>12</v>
      </c>
      <c r="K100" s="91">
        <f t="shared" si="10"/>
        <v>430654</v>
      </c>
      <c r="L100" s="94">
        <f t="shared" si="11"/>
        <v>135996</v>
      </c>
      <c r="M100" s="11"/>
      <c r="N100" s="180" t="e">
        <f>#REF!-H100</f>
        <v>#REF!</v>
      </c>
    </row>
    <row r="101" spans="1:14" s="114" customFormat="1">
      <c r="A101" s="96">
        <v>97</v>
      </c>
      <c r="B101" s="292" t="s">
        <v>1085</v>
      </c>
      <c r="C101" s="11" t="s">
        <v>1086</v>
      </c>
      <c r="D101" s="161">
        <v>500000</v>
      </c>
      <c r="E101" s="161">
        <v>66650</v>
      </c>
      <c r="F101" s="162">
        <f t="shared" si="12"/>
        <v>566650</v>
      </c>
      <c r="G101" s="96">
        <v>50</v>
      </c>
      <c r="H101" s="305">
        <v>11333</v>
      </c>
      <c r="I101" s="97">
        <v>38</v>
      </c>
      <c r="J101" s="97">
        <f t="shared" si="9"/>
        <v>12</v>
      </c>
      <c r="K101" s="146">
        <f t="shared" si="10"/>
        <v>430654</v>
      </c>
      <c r="L101" s="164">
        <f t="shared" si="11"/>
        <v>135996</v>
      </c>
      <c r="M101" s="123"/>
      <c r="N101" s="180" t="e">
        <f>#REF!-H101</f>
        <v>#REF!</v>
      </c>
    </row>
    <row r="102" spans="1:14" s="114" customFormat="1">
      <c r="A102" s="96">
        <v>98</v>
      </c>
      <c r="B102" s="293" t="s">
        <v>1012</v>
      </c>
      <c r="C102" s="123" t="s">
        <v>852</v>
      </c>
      <c r="D102" s="19">
        <v>330000</v>
      </c>
      <c r="E102" s="19">
        <v>43989</v>
      </c>
      <c r="F102" s="19">
        <f t="shared" si="12"/>
        <v>373989</v>
      </c>
      <c r="G102" s="159">
        <v>50</v>
      </c>
      <c r="H102" s="304">
        <v>7479.78</v>
      </c>
      <c r="I102" s="159">
        <v>7</v>
      </c>
      <c r="J102" s="159">
        <f>G102-I102</f>
        <v>43</v>
      </c>
      <c r="K102" s="16">
        <f t="shared" si="10"/>
        <v>52358.46</v>
      </c>
      <c r="L102" s="94">
        <f t="shared" ref="L102:L133" si="13">F102-K102</f>
        <v>321630.53999999998</v>
      </c>
      <c r="M102" s="11"/>
    </row>
    <row r="103" spans="1:14" s="114" customFormat="1">
      <c r="A103" s="96">
        <v>99</v>
      </c>
      <c r="B103" s="292" t="s">
        <v>1046</v>
      </c>
      <c r="C103" s="11" t="s">
        <v>349</v>
      </c>
      <c r="D103" s="16">
        <v>500000</v>
      </c>
      <c r="E103" s="16">
        <v>66650</v>
      </c>
      <c r="F103" s="41">
        <f t="shared" si="12"/>
        <v>566650</v>
      </c>
      <c r="G103" s="159">
        <v>50</v>
      </c>
      <c r="H103" s="305">
        <v>11333</v>
      </c>
      <c r="I103" s="97">
        <v>16</v>
      </c>
      <c r="J103" s="97">
        <f>G103-I103</f>
        <v>34</v>
      </c>
      <c r="K103" s="91">
        <f>(1*11333)</f>
        <v>11333</v>
      </c>
      <c r="L103" s="91">
        <f t="shared" si="13"/>
        <v>555317</v>
      </c>
      <c r="M103" s="11"/>
    </row>
    <row r="104" spans="1:14" s="114" customFormat="1">
      <c r="A104" s="96">
        <v>100</v>
      </c>
      <c r="B104" s="293" t="s">
        <v>978</v>
      </c>
      <c r="C104" s="11" t="s">
        <v>979</v>
      </c>
      <c r="D104" s="16">
        <v>500000</v>
      </c>
      <c r="E104" s="16">
        <v>66650</v>
      </c>
      <c r="F104" s="41">
        <f t="shared" si="12"/>
        <v>566650</v>
      </c>
      <c r="G104" s="159">
        <v>50</v>
      </c>
      <c r="H104" s="304">
        <v>11333</v>
      </c>
      <c r="I104" s="159">
        <v>37</v>
      </c>
      <c r="J104" s="159">
        <f>G104-I104</f>
        <v>13</v>
      </c>
      <c r="K104" s="16">
        <f>I104*H104</f>
        <v>419321</v>
      </c>
      <c r="L104" s="94">
        <f t="shared" si="13"/>
        <v>147329</v>
      </c>
      <c r="M104" s="11"/>
    </row>
    <row r="105" spans="1:14" s="114" customFormat="1">
      <c r="A105" s="96">
        <v>101</v>
      </c>
      <c r="B105" s="295" t="s">
        <v>1065</v>
      </c>
      <c r="C105" s="8" t="s">
        <v>1066</v>
      </c>
      <c r="D105" s="19">
        <v>330000</v>
      </c>
      <c r="E105" s="19">
        <v>43989</v>
      </c>
      <c r="F105" s="19">
        <f t="shared" si="12"/>
        <v>373989</v>
      </c>
      <c r="G105" s="159">
        <v>50</v>
      </c>
      <c r="H105" s="306">
        <v>7479.78</v>
      </c>
      <c r="I105" s="159">
        <v>4</v>
      </c>
      <c r="J105" s="159">
        <f>G105-I105</f>
        <v>46</v>
      </c>
      <c r="K105" s="16">
        <f>I105*H105</f>
        <v>29919.119999999999</v>
      </c>
      <c r="L105" s="94">
        <f t="shared" si="13"/>
        <v>344069.88</v>
      </c>
      <c r="M105" s="8"/>
    </row>
    <row r="106" spans="1:14" s="114" customFormat="1">
      <c r="A106" s="96">
        <v>102</v>
      </c>
      <c r="B106" s="292" t="s">
        <v>1024</v>
      </c>
      <c r="C106" s="11" t="s">
        <v>810</v>
      </c>
      <c r="D106" s="16">
        <v>450000</v>
      </c>
      <c r="E106" s="16">
        <v>59985</v>
      </c>
      <c r="F106" s="41">
        <f t="shared" si="12"/>
        <v>509985</v>
      </c>
      <c r="G106" s="159">
        <v>50</v>
      </c>
      <c r="H106" s="305">
        <v>10199.700000000001</v>
      </c>
      <c r="I106" s="97">
        <v>37</v>
      </c>
      <c r="J106" s="97">
        <f>G106-I106</f>
        <v>13</v>
      </c>
      <c r="K106" s="91">
        <f>I106*H106</f>
        <v>377388.9</v>
      </c>
      <c r="L106" s="94">
        <f t="shared" si="13"/>
        <v>132596.09999999998</v>
      </c>
      <c r="M106" s="11"/>
    </row>
    <row r="107" spans="1:14" s="114" customFormat="1">
      <c r="A107" s="96">
        <v>103</v>
      </c>
      <c r="B107" s="295" t="s">
        <v>991</v>
      </c>
      <c r="C107" s="8" t="s">
        <v>992</v>
      </c>
      <c r="D107" s="19">
        <v>330000</v>
      </c>
      <c r="E107" s="19">
        <v>31672.200000000012</v>
      </c>
      <c r="F107" s="19">
        <f t="shared" si="12"/>
        <v>361672.2</v>
      </c>
      <c r="G107" s="159">
        <v>36</v>
      </c>
      <c r="H107" s="306">
        <v>10046.450000000001</v>
      </c>
      <c r="I107" s="159"/>
      <c r="J107" s="34"/>
      <c r="K107" s="16">
        <f>I107*H107</f>
        <v>0</v>
      </c>
      <c r="L107" s="94">
        <f t="shared" si="13"/>
        <v>361672.2</v>
      </c>
      <c r="M107" s="8"/>
    </row>
    <row r="108" spans="1:14" s="114" customFormat="1">
      <c r="A108" s="96">
        <v>104</v>
      </c>
      <c r="B108" s="292" t="s">
        <v>988</v>
      </c>
      <c r="C108" s="11" t="s">
        <v>296</v>
      </c>
      <c r="D108" s="19">
        <v>330000</v>
      </c>
      <c r="E108" s="19">
        <v>43989</v>
      </c>
      <c r="F108" s="19">
        <f t="shared" si="12"/>
        <v>373989</v>
      </c>
      <c r="G108" s="159">
        <v>40</v>
      </c>
      <c r="H108" s="305">
        <v>9129.7800000000007</v>
      </c>
      <c r="I108" s="159">
        <v>12</v>
      </c>
      <c r="J108" s="97">
        <f t="shared" ref="J108:J133" si="14">G108-I108</f>
        <v>28</v>
      </c>
      <c r="K108" s="91">
        <f>I108*H108</f>
        <v>109557.36000000002</v>
      </c>
      <c r="L108" s="94">
        <f t="shared" si="13"/>
        <v>264431.64</v>
      </c>
      <c r="M108" s="11"/>
      <c r="N108" s="120"/>
    </row>
    <row r="109" spans="1:14" s="114" customFormat="1">
      <c r="A109" s="96">
        <v>105</v>
      </c>
      <c r="B109" s="292" t="s">
        <v>982</v>
      </c>
      <c r="C109" s="11" t="s">
        <v>350</v>
      </c>
      <c r="D109" s="16">
        <v>500000</v>
      </c>
      <c r="E109" s="16">
        <v>66650</v>
      </c>
      <c r="F109" s="41">
        <f t="shared" si="12"/>
        <v>566650</v>
      </c>
      <c r="G109" s="159">
        <v>50</v>
      </c>
      <c r="H109" s="305">
        <v>11333</v>
      </c>
      <c r="I109" s="97">
        <v>16</v>
      </c>
      <c r="J109" s="97">
        <f t="shared" si="14"/>
        <v>34</v>
      </c>
      <c r="K109" s="91">
        <f>(1*11333)</f>
        <v>11333</v>
      </c>
      <c r="L109" s="91">
        <f t="shared" si="13"/>
        <v>555317</v>
      </c>
      <c r="M109" s="11"/>
      <c r="N109"/>
    </row>
    <row r="110" spans="1:14" s="114" customFormat="1">
      <c r="A110" s="96">
        <v>106</v>
      </c>
      <c r="B110" s="292" t="s">
        <v>1040</v>
      </c>
      <c r="C110" s="11" t="s">
        <v>378</v>
      </c>
      <c r="D110" s="12">
        <v>330000</v>
      </c>
      <c r="E110" s="12">
        <v>43989</v>
      </c>
      <c r="F110" s="15">
        <f t="shared" si="12"/>
        <v>373989</v>
      </c>
      <c r="G110" s="14">
        <v>50</v>
      </c>
      <c r="H110" s="287">
        <v>7479.78</v>
      </c>
      <c r="I110" s="14">
        <v>43</v>
      </c>
      <c r="J110" s="97">
        <f t="shared" si="14"/>
        <v>7</v>
      </c>
      <c r="K110" s="91">
        <f t="shared" ref="K110:K133" si="15">I110*H110</f>
        <v>321630.53999999998</v>
      </c>
      <c r="L110" s="15">
        <f t="shared" si="13"/>
        <v>52358.460000000021</v>
      </c>
      <c r="M110" s="8"/>
      <c r="N110"/>
    </row>
    <row r="111" spans="1:14" s="114" customFormat="1">
      <c r="A111" s="96">
        <v>107</v>
      </c>
      <c r="B111" s="292" t="s">
        <v>1100</v>
      </c>
      <c r="C111" s="11" t="s">
        <v>351</v>
      </c>
      <c r="D111" s="16">
        <v>500000</v>
      </c>
      <c r="E111" s="16">
        <v>66650</v>
      </c>
      <c r="F111" s="41">
        <f t="shared" si="12"/>
        <v>566650</v>
      </c>
      <c r="G111" s="159">
        <v>50</v>
      </c>
      <c r="H111" s="305">
        <v>11333</v>
      </c>
      <c r="I111" s="97">
        <v>37</v>
      </c>
      <c r="J111" s="97">
        <f t="shared" si="14"/>
        <v>13</v>
      </c>
      <c r="K111" s="91">
        <f t="shared" si="15"/>
        <v>419321</v>
      </c>
      <c r="L111" s="94">
        <f t="shared" si="13"/>
        <v>147329</v>
      </c>
      <c r="M111" s="11"/>
      <c r="N111"/>
    </row>
    <row r="112" spans="1:14" s="114" customFormat="1">
      <c r="A112" s="96">
        <v>108</v>
      </c>
      <c r="B112" s="292" t="s">
        <v>990</v>
      </c>
      <c r="C112" s="11" t="s">
        <v>379</v>
      </c>
      <c r="D112" s="12">
        <v>330000</v>
      </c>
      <c r="E112" s="12">
        <v>43989</v>
      </c>
      <c r="F112" s="15">
        <f t="shared" si="12"/>
        <v>373989</v>
      </c>
      <c r="G112" s="14">
        <v>50</v>
      </c>
      <c r="H112" s="287">
        <v>7479.78</v>
      </c>
      <c r="I112" s="14">
        <v>43</v>
      </c>
      <c r="J112" s="97">
        <f t="shared" si="14"/>
        <v>7</v>
      </c>
      <c r="K112" s="91">
        <f t="shared" si="15"/>
        <v>321630.53999999998</v>
      </c>
      <c r="L112" s="15">
        <f t="shared" si="13"/>
        <v>52358.460000000021</v>
      </c>
      <c r="M112" s="8"/>
      <c r="N112"/>
    </row>
    <row r="113" spans="1:15" s="114" customFormat="1">
      <c r="A113" s="96">
        <v>109</v>
      </c>
      <c r="B113" s="293" t="s">
        <v>1079</v>
      </c>
      <c r="C113" s="123" t="s">
        <v>302</v>
      </c>
      <c r="D113" s="16">
        <v>500000</v>
      </c>
      <c r="E113" s="16">
        <v>66650</v>
      </c>
      <c r="F113" s="41">
        <f t="shared" si="12"/>
        <v>566650</v>
      </c>
      <c r="G113" s="159">
        <v>50</v>
      </c>
      <c r="H113" s="304">
        <v>15222</v>
      </c>
      <c r="I113" s="159">
        <v>7</v>
      </c>
      <c r="J113" s="159">
        <f t="shared" si="14"/>
        <v>43</v>
      </c>
      <c r="K113" s="16">
        <f t="shared" si="15"/>
        <v>106554</v>
      </c>
      <c r="L113" s="94">
        <f t="shared" si="13"/>
        <v>460096</v>
      </c>
      <c r="M113" s="11"/>
      <c r="N113"/>
    </row>
    <row r="114" spans="1:15" s="114" customFormat="1">
      <c r="A114" s="96">
        <v>110</v>
      </c>
      <c r="B114" s="292" t="s">
        <v>960</v>
      </c>
      <c r="C114" s="11" t="s">
        <v>488</v>
      </c>
      <c r="D114" s="16">
        <v>500000</v>
      </c>
      <c r="E114" s="16">
        <v>66650</v>
      </c>
      <c r="F114" s="16">
        <v>566650</v>
      </c>
      <c r="G114" s="159">
        <v>50</v>
      </c>
      <c r="H114" s="287">
        <v>11333</v>
      </c>
      <c r="I114" s="159">
        <v>12</v>
      </c>
      <c r="J114" s="97">
        <f t="shared" si="14"/>
        <v>38</v>
      </c>
      <c r="K114" s="91">
        <f t="shared" si="15"/>
        <v>135996</v>
      </c>
      <c r="L114" s="94">
        <f t="shared" si="13"/>
        <v>430654</v>
      </c>
      <c r="M114" s="11"/>
      <c r="N114"/>
    </row>
    <row r="115" spans="1:15" s="114" customFormat="1">
      <c r="A115" s="96">
        <v>111</v>
      </c>
      <c r="B115" s="292" t="s">
        <v>962</v>
      </c>
      <c r="C115" s="11" t="s">
        <v>87</v>
      </c>
      <c r="D115" s="16">
        <v>500000</v>
      </c>
      <c r="E115" s="16">
        <v>66650</v>
      </c>
      <c r="F115" s="41">
        <f>SUM(D115:E115)</f>
        <v>566650</v>
      </c>
      <c r="G115" s="159">
        <v>50</v>
      </c>
      <c r="H115" s="305">
        <v>11333</v>
      </c>
      <c r="I115" s="97">
        <v>59</v>
      </c>
      <c r="J115" s="97">
        <f t="shared" si="14"/>
        <v>-9</v>
      </c>
      <c r="K115" s="91">
        <f t="shared" si="15"/>
        <v>668647</v>
      </c>
      <c r="L115" s="94">
        <f t="shared" si="13"/>
        <v>-101997</v>
      </c>
      <c r="M115" s="11"/>
    </row>
    <row r="116" spans="1:15" s="114" customFormat="1">
      <c r="A116" s="96">
        <v>112</v>
      </c>
      <c r="B116" s="292" t="s">
        <v>967</v>
      </c>
      <c r="C116" s="11" t="s">
        <v>370</v>
      </c>
      <c r="D116" s="16">
        <v>450000</v>
      </c>
      <c r="E116" s="16">
        <v>59985</v>
      </c>
      <c r="F116" s="41">
        <f>SUM(D116:E116)</f>
        <v>509985</v>
      </c>
      <c r="G116" s="159">
        <v>50</v>
      </c>
      <c r="H116" s="305">
        <v>10199.700000000001</v>
      </c>
      <c r="I116" s="97">
        <v>38</v>
      </c>
      <c r="J116" s="97">
        <f t="shared" si="14"/>
        <v>12</v>
      </c>
      <c r="K116" s="91">
        <f t="shared" si="15"/>
        <v>387588.60000000003</v>
      </c>
      <c r="L116" s="94">
        <f t="shared" si="13"/>
        <v>122396.39999999997</v>
      </c>
      <c r="M116" s="11"/>
    </row>
    <row r="117" spans="1:15" s="114" customFormat="1">
      <c r="A117" s="96">
        <v>113</v>
      </c>
      <c r="B117" s="292" t="s">
        <v>1007</v>
      </c>
      <c r="C117" s="11" t="s">
        <v>352</v>
      </c>
      <c r="D117" s="16">
        <v>500000</v>
      </c>
      <c r="E117" s="16">
        <v>66650</v>
      </c>
      <c r="F117" s="41">
        <f>SUM(D117:E117)</f>
        <v>566650</v>
      </c>
      <c r="G117" s="159">
        <v>50</v>
      </c>
      <c r="H117" s="305">
        <v>11333</v>
      </c>
      <c r="I117" s="97">
        <v>38</v>
      </c>
      <c r="J117" s="97">
        <f t="shared" si="14"/>
        <v>12</v>
      </c>
      <c r="K117" s="91">
        <f t="shared" si="15"/>
        <v>430654</v>
      </c>
      <c r="L117" s="94">
        <f t="shared" si="13"/>
        <v>135996</v>
      </c>
      <c r="M117" s="11"/>
    </row>
    <row r="118" spans="1:15" s="114" customFormat="1">
      <c r="A118" s="96">
        <v>114</v>
      </c>
      <c r="B118" s="292" t="s">
        <v>1000</v>
      </c>
      <c r="C118" s="11" t="s">
        <v>371</v>
      </c>
      <c r="D118" s="16">
        <v>450000</v>
      </c>
      <c r="E118" s="16">
        <v>59985</v>
      </c>
      <c r="F118" s="41">
        <f>SUM(D118:E118)</f>
        <v>509985</v>
      </c>
      <c r="G118" s="159">
        <v>50</v>
      </c>
      <c r="H118" s="305">
        <v>10199.700000000001</v>
      </c>
      <c r="I118" s="97">
        <v>38</v>
      </c>
      <c r="J118" s="97">
        <f t="shared" si="14"/>
        <v>12</v>
      </c>
      <c r="K118" s="91">
        <f t="shared" si="15"/>
        <v>387588.60000000003</v>
      </c>
      <c r="L118" s="94">
        <f t="shared" si="13"/>
        <v>122396.39999999997</v>
      </c>
      <c r="M118" s="11"/>
    </row>
    <row r="119" spans="1:15" s="114" customFormat="1">
      <c r="A119" s="96">
        <v>115</v>
      </c>
      <c r="B119" s="292" t="s">
        <v>1084</v>
      </c>
      <c r="C119" s="11" t="s">
        <v>353</v>
      </c>
      <c r="D119" s="19">
        <v>500000</v>
      </c>
      <c r="E119" s="19">
        <v>66650</v>
      </c>
      <c r="F119" s="19">
        <v>566650</v>
      </c>
      <c r="G119" s="159">
        <v>50</v>
      </c>
      <c r="H119" s="305">
        <v>11333</v>
      </c>
      <c r="I119" s="97">
        <v>24</v>
      </c>
      <c r="J119" s="97">
        <f t="shared" si="14"/>
        <v>26</v>
      </c>
      <c r="K119" s="91">
        <f t="shared" si="15"/>
        <v>271992</v>
      </c>
      <c r="L119" s="91">
        <f t="shared" si="13"/>
        <v>294658</v>
      </c>
      <c r="M119" s="11"/>
    </row>
    <row r="120" spans="1:15" s="114" customFormat="1">
      <c r="A120" s="96">
        <v>116</v>
      </c>
      <c r="B120" s="292" t="s">
        <v>1068</v>
      </c>
      <c r="C120" s="11" t="s">
        <v>380</v>
      </c>
      <c r="D120" s="16">
        <v>330000</v>
      </c>
      <c r="E120" s="16">
        <v>43989</v>
      </c>
      <c r="F120" s="41">
        <f>SUM(D120:E120)</f>
        <v>373989</v>
      </c>
      <c r="G120" s="159">
        <v>50</v>
      </c>
      <c r="H120" s="305">
        <v>7479.78</v>
      </c>
      <c r="I120" s="159">
        <v>46</v>
      </c>
      <c r="J120" s="97">
        <f t="shared" si="14"/>
        <v>4</v>
      </c>
      <c r="K120" s="91">
        <f t="shared" si="15"/>
        <v>344069.88</v>
      </c>
      <c r="L120" s="94">
        <f t="shared" si="13"/>
        <v>29919.119999999995</v>
      </c>
      <c r="M120" s="11"/>
    </row>
    <row r="121" spans="1:15" s="114" customFormat="1">
      <c r="A121" s="96">
        <v>117</v>
      </c>
      <c r="B121" s="293" t="s">
        <v>1078</v>
      </c>
      <c r="C121" s="123" t="s">
        <v>446</v>
      </c>
      <c r="D121" s="19">
        <v>330000</v>
      </c>
      <c r="E121" s="19">
        <v>43989</v>
      </c>
      <c r="F121" s="19">
        <f>SUM(D121:E121)</f>
        <v>373989</v>
      </c>
      <c r="G121" s="159">
        <v>50</v>
      </c>
      <c r="H121" s="304">
        <v>7479.78</v>
      </c>
      <c r="I121" s="159">
        <v>7</v>
      </c>
      <c r="J121" s="159">
        <f t="shared" si="14"/>
        <v>43</v>
      </c>
      <c r="K121" s="16">
        <f t="shared" si="15"/>
        <v>52358.46</v>
      </c>
      <c r="L121" s="94">
        <f t="shared" si="13"/>
        <v>321630.53999999998</v>
      </c>
      <c r="M121" s="11"/>
    </row>
    <row r="122" spans="1:15" s="114" customFormat="1">
      <c r="A122" s="96">
        <v>118</v>
      </c>
      <c r="B122" s="292" t="s">
        <v>966</v>
      </c>
      <c r="C122" s="11" t="s">
        <v>29</v>
      </c>
      <c r="D122" s="19">
        <v>450000</v>
      </c>
      <c r="E122" s="19">
        <v>59985</v>
      </c>
      <c r="F122" s="19">
        <v>509985</v>
      </c>
      <c r="G122" s="159">
        <v>50</v>
      </c>
      <c r="H122" s="305">
        <v>10199.700000000001</v>
      </c>
      <c r="I122" s="97">
        <v>24</v>
      </c>
      <c r="J122" s="97">
        <f t="shared" si="14"/>
        <v>26</v>
      </c>
      <c r="K122" s="91">
        <f t="shared" si="15"/>
        <v>244792.80000000002</v>
      </c>
      <c r="L122" s="91">
        <f t="shared" si="13"/>
        <v>265192.19999999995</v>
      </c>
      <c r="M122" s="11"/>
    </row>
    <row r="123" spans="1:15" s="114" customFormat="1">
      <c r="A123" s="96">
        <v>119</v>
      </c>
      <c r="B123" s="295" t="s">
        <v>1016</v>
      </c>
      <c r="C123" s="8" t="s">
        <v>1017</v>
      </c>
      <c r="D123" s="16">
        <v>500000</v>
      </c>
      <c r="E123" s="16">
        <v>47988.040000000037</v>
      </c>
      <c r="F123" s="41">
        <f>SUM(D123:E123)</f>
        <v>547988.04</v>
      </c>
      <c r="G123" s="159">
        <v>36</v>
      </c>
      <c r="H123" s="306">
        <v>15221.89</v>
      </c>
      <c r="I123" s="159">
        <v>22</v>
      </c>
      <c r="J123" s="159">
        <f t="shared" si="14"/>
        <v>14</v>
      </c>
      <c r="K123" s="16">
        <f t="shared" si="15"/>
        <v>334881.57999999996</v>
      </c>
      <c r="L123" s="94">
        <f t="shared" si="13"/>
        <v>213106.46000000008</v>
      </c>
      <c r="M123" s="8"/>
    </row>
    <row r="124" spans="1:15" s="114" customFormat="1">
      <c r="A124" s="96">
        <v>120</v>
      </c>
      <c r="B124" s="292" t="s">
        <v>1008</v>
      </c>
      <c r="C124" s="11" t="s">
        <v>355</v>
      </c>
      <c r="D124" s="16">
        <v>500000</v>
      </c>
      <c r="E124" s="16">
        <v>66650</v>
      </c>
      <c r="F124" s="41">
        <f>SUM(D124:E124)</f>
        <v>566650</v>
      </c>
      <c r="G124" s="159">
        <v>50</v>
      </c>
      <c r="H124" s="305">
        <v>11333</v>
      </c>
      <c r="I124" s="97">
        <v>58</v>
      </c>
      <c r="J124" s="97">
        <f t="shared" si="14"/>
        <v>-8</v>
      </c>
      <c r="K124" s="91">
        <f t="shared" si="15"/>
        <v>657314</v>
      </c>
      <c r="L124" s="94">
        <f t="shared" si="13"/>
        <v>-90664</v>
      </c>
      <c r="M124" s="11"/>
      <c r="O124" s="120"/>
    </row>
    <row r="125" spans="1:15" s="114" customFormat="1">
      <c r="A125" s="96">
        <v>121</v>
      </c>
      <c r="B125" s="292" t="s">
        <v>1087</v>
      </c>
      <c r="C125" s="11" t="s">
        <v>1088</v>
      </c>
      <c r="D125" s="16">
        <v>500000</v>
      </c>
      <c r="E125" s="16">
        <v>66650</v>
      </c>
      <c r="F125" s="41">
        <f>SUM(D125:E125)</f>
        <v>566650</v>
      </c>
      <c r="G125" s="159">
        <v>50</v>
      </c>
      <c r="H125" s="305">
        <v>11333</v>
      </c>
      <c r="I125" s="97">
        <v>37</v>
      </c>
      <c r="J125" s="97">
        <f t="shared" si="14"/>
        <v>13</v>
      </c>
      <c r="K125" s="91">
        <f t="shared" si="15"/>
        <v>419321</v>
      </c>
      <c r="L125" s="94">
        <f t="shared" si="13"/>
        <v>147329</v>
      </c>
      <c r="M125" s="11"/>
    </row>
    <row r="126" spans="1:15" s="114" customFormat="1">
      <c r="A126" s="96">
        <v>122</v>
      </c>
      <c r="B126" s="292" t="s">
        <v>977</v>
      </c>
      <c r="C126" s="11" t="s">
        <v>357</v>
      </c>
      <c r="D126" s="12">
        <v>500000</v>
      </c>
      <c r="E126" s="12">
        <v>66650</v>
      </c>
      <c r="F126" s="15">
        <f>SUM(D126:E126)</f>
        <v>566650</v>
      </c>
      <c r="G126" s="14">
        <v>50</v>
      </c>
      <c r="H126" s="287">
        <v>11333</v>
      </c>
      <c r="I126" s="14">
        <v>43</v>
      </c>
      <c r="J126" s="97">
        <f t="shared" si="14"/>
        <v>7</v>
      </c>
      <c r="K126" s="91">
        <f t="shared" si="15"/>
        <v>487319</v>
      </c>
      <c r="L126" s="15">
        <f t="shared" si="13"/>
        <v>79331</v>
      </c>
      <c r="M126" s="8"/>
    </row>
    <row r="127" spans="1:15" s="114" customFormat="1">
      <c r="A127" s="96">
        <v>123</v>
      </c>
      <c r="B127" s="292" t="s">
        <v>1069</v>
      </c>
      <c r="C127" s="11" t="s">
        <v>358</v>
      </c>
      <c r="D127" s="16">
        <v>500000</v>
      </c>
      <c r="E127" s="16">
        <v>66650</v>
      </c>
      <c r="F127" s="16">
        <v>566650</v>
      </c>
      <c r="G127" s="159">
        <v>50</v>
      </c>
      <c r="H127" s="305">
        <v>11333</v>
      </c>
      <c r="I127" s="97">
        <v>24</v>
      </c>
      <c r="J127" s="97">
        <f t="shared" si="14"/>
        <v>26</v>
      </c>
      <c r="K127" s="91">
        <f t="shared" si="15"/>
        <v>271992</v>
      </c>
      <c r="L127" s="91">
        <f t="shared" si="13"/>
        <v>294658</v>
      </c>
      <c r="M127" s="11"/>
    </row>
    <row r="128" spans="1:15" s="114" customFormat="1">
      <c r="A128" s="96">
        <v>124</v>
      </c>
      <c r="B128" s="292" t="s">
        <v>1107</v>
      </c>
      <c r="C128" s="11" t="s">
        <v>734</v>
      </c>
      <c r="D128" s="16">
        <v>500000</v>
      </c>
      <c r="E128" s="16">
        <v>47992</v>
      </c>
      <c r="F128" s="41">
        <f t="shared" ref="F128:F133" si="16">SUM(D128:E128)</f>
        <v>547992</v>
      </c>
      <c r="G128" s="159">
        <v>36</v>
      </c>
      <c r="H128" s="287">
        <v>15222</v>
      </c>
      <c r="I128" s="97">
        <v>37</v>
      </c>
      <c r="J128" s="97">
        <f t="shared" si="14"/>
        <v>-1</v>
      </c>
      <c r="K128" s="91">
        <f t="shared" si="15"/>
        <v>563214</v>
      </c>
      <c r="L128" s="94">
        <f t="shared" si="13"/>
        <v>-15222</v>
      </c>
      <c r="M128" s="11"/>
    </row>
    <row r="129" spans="1:15" s="114" customFormat="1">
      <c r="A129" s="96">
        <v>125</v>
      </c>
      <c r="B129" s="303" t="s">
        <v>1081</v>
      </c>
      <c r="C129" s="123" t="s">
        <v>1082</v>
      </c>
      <c r="D129" s="16">
        <v>500000</v>
      </c>
      <c r="E129" s="16">
        <v>66650</v>
      </c>
      <c r="F129" s="41">
        <f t="shared" si="16"/>
        <v>566650</v>
      </c>
      <c r="G129" s="240">
        <v>50</v>
      </c>
      <c r="H129" s="304">
        <v>11333</v>
      </c>
      <c r="I129" s="247">
        <v>7</v>
      </c>
      <c r="J129" s="159">
        <f t="shared" si="14"/>
        <v>43</v>
      </c>
      <c r="K129" s="16">
        <f t="shared" si="15"/>
        <v>79331</v>
      </c>
      <c r="L129" s="94">
        <f t="shared" si="13"/>
        <v>487319</v>
      </c>
      <c r="M129" s="11"/>
    </row>
    <row r="130" spans="1:15" s="114" customFormat="1">
      <c r="A130" s="96">
        <v>126</v>
      </c>
      <c r="B130" s="292" t="s">
        <v>1101</v>
      </c>
      <c r="C130" s="11" t="s">
        <v>290</v>
      </c>
      <c r="D130" s="19">
        <v>150000</v>
      </c>
      <c r="E130" s="19">
        <v>19995</v>
      </c>
      <c r="F130" s="19">
        <f t="shared" si="16"/>
        <v>169995</v>
      </c>
      <c r="G130" s="159">
        <v>50</v>
      </c>
      <c r="H130" s="287">
        <v>3399.9</v>
      </c>
      <c r="I130" s="97">
        <v>37</v>
      </c>
      <c r="J130" s="97">
        <f t="shared" si="14"/>
        <v>13</v>
      </c>
      <c r="K130" s="91">
        <f t="shared" si="15"/>
        <v>125796.3</v>
      </c>
      <c r="L130" s="94">
        <f t="shared" si="13"/>
        <v>44198.7</v>
      </c>
      <c r="M130" s="11"/>
    </row>
    <row r="131" spans="1:15" s="114" customFormat="1">
      <c r="A131" s="96">
        <v>127</v>
      </c>
      <c r="B131" s="292" t="s">
        <v>1042</v>
      </c>
      <c r="C131" s="11" t="s">
        <v>359</v>
      </c>
      <c r="D131" s="16">
        <v>500000</v>
      </c>
      <c r="E131" s="16">
        <v>66650</v>
      </c>
      <c r="F131" s="41">
        <f t="shared" si="16"/>
        <v>566650</v>
      </c>
      <c r="G131" s="159">
        <v>50</v>
      </c>
      <c r="H131" s="305">
        <v>11333</v>
      </c>
      <c r="I131" s="159">
        <v>59</v>
      </c>
      <c r="J131" s="97">
        <f t="shared" si="14"/>
        <v>-9</v>
      </c>
      <c r="K131" s="91">
        <f t="shared" si="15"/>
        <v>668647</v>
      </c>
      <c r="L131" s="94">
        <f t="shared" si="13"/>
        <v>-101997</v>
      </c>
      <c r="M131" s="11"/>
      <c r="N131" s="120"/>
    </row>
    <row r="132" spans="1:15" s="114" customFormat="1">
      <c r="A132" s="96">
        <v>128</v>
      </c>
      <c r="B132" s="293" t="s">
        <v>970</v>
      </c>
      <c r="C132" s="123" t="s">
        <v>878</v>
      </c>
      <c r="D132" s="19">
        <v>330000</v>
      </c>
      <c r="E132" s="19">
        <v>43989</v>
      </c>
      <c r="F132" s="19">
        <f t="shared" si="16"/>
        <v>373989</v>
      </c>
      <c r="G132" s="159">
        <v>50</v>
      </c>
      <c r="H132" s="304">
        <v>3136.68</v>
      </c>
      <c r="I132" s="159">
        <v>7</v>
      </c>
      <c r="J132" s="159">
        <f t="shared" si="14"/>
        <v>43</v>
      </c>
      <c r="K132" s="16">
        <f t="shared" si="15"/>
        <v>21956.76</v>
      </c>
      <c r="L132" s="94">
        <f t="shared" si="13"/>
        <v>352032.24</v>
      </c>
      <c r="M132" s="11"/>
    </row>
    <row r="133" spans="1:15" s="114" customFormat="1">
      <c r="A133" s="96">
        <v>129</v>
      </c>
      <c r="B133" s="293" t="s">
        <v>1057</v>
      </c>
      <c r="C133" s="123" t="s">
        <v>412</v>
      </c>
      <c r="D133" s="16">
        <v>500000</v>
      </c>
      <c r="E133" s="16">
        <v>66650</v>
      </c>
      <c r="F133" s="41">
        <f t="shared" si="16"/>
        <v>566650</v>
      </c>
      <c r="G133" s="159">
        <v>50</v>
      </c>
      <c r="H133" s="304">
        <v>11333</v>
      </c>
      <c r="I133" s="159">
        <v>7</v>
      </c>
      <c r="J133" s="159">
        <f t="shared" si="14"/>
        <v>43</v>
      </c>
      <c r="K133" s="16">
        <f t="shared" si="15"/>
        <v>79331</v>
      </c>
      <c r="L133" s="94">
        <f t="shared" si="13"/>
        <v>487319</v>
      </c>
      <c r="M133" s="11"/>
    </row>
    <row r="134" spans="1:15" s="120" customFormat="1">
      <c r="A134" s="126"/>
      <c r="B134" s="295"/>
      <c r="C134" s="8"/>
      <c r="D134" s="34">
        <f>SUM(D6:D132)</f>
        <v>54200000</v>
      </c>
      <c r="E134" s="34">
        <f>SUM(E6:E132)</f>
        <v>7175223.2400000002</v>
      </c>
      <c r="F134" s="34">
        <f>SUM(F6:F132)</f>
        <v>61375223.240000002</v>
      </c>
      <c r="G134" s="34"/>
      <c r="H134" s="307">
        <f>SUM(H6:H133)</f>
        <v>1282699.0699999998</v>
      </c>
      <c r="I134" s="34"/>
      <c r="J134" s="34"/>
      <c r="K134" s="34">
        <f>SUM(K6:K133)</f>
        <v>36512158.509999998</v>
      </c>
      <c r="L134" s="34">
        <f>SUM(L6:L133)</f>
        <v>25429714.729999997</v>
      </c>
      <c r="M134" s="8"/>
      <c r="N134" s="114"/>
      <c r="O134" s="114"/>
    </row>
    <row r="135" spans="1:15" s="114" customFormat="1">
      <c r="A135" s="270"/>
      <c r="B135" s="297"/>
      <c r="C135" s="69"/>
      <c r="D135" s="67"/>
      <c r="E135" s="67"/>
      <c r="F135" s="67"/>
      <c r="G135" s="67"/>
      <c r="H135" s="276"/>
      <c r="I135" s="67"/>
      <c r="J135" s="67"/>
      <c r="K135" s="67"/>
      <c r="L135" s="67"/>
      <c r="M135" s="69"/>
    </row>
    <row r="136" spans="1:15" s="114" customFormat="1">
      <c r="A136" s="270"/>
      <c r="B136" s="297"/>
      <c r="C136" s="69"/>
      <c r="D136" s="67"/>
      <c r="E136" s="67"/>
      <c r="F136" s="67"/>
      <c r="G136" s="67"/>
      <c r="H136" s="67"/>
      <c r="I136" s="67"/>
      <c r="J136" s="67"/>
      <c r="K136" s="67"/>
      <c r="L136" s="67"/>
      <c r="M136" s="69"/>
    </row>
    <row r="137" spans="1:15" s="114" customFormat="1">
      <c r="A137" s="44"/>
      <c r="B137" s="298"/>
      <c r="C137" s="184"/>
      <c r="D137"/>
      <c r="E137"/>
      <c r="F137"/>
      <c r="G137" s="43"/>
      <c r="H137" s="39"/>
      <c r="I137" s="99"/>
      <c r="J137" s="99"/>
      <c r="K137"/>
      <c r="L137"/>
      <c r="M137"/>
      <c r="N137" s="180"/>
    </row>
    <row r="138" spans="1:15" s="114" customFormat="1">
      <c r="A138" s="96">
        <v>7</v>
      </c>
      <c r="B138" s="296" t="s">
        <v>674</v>
      </c>
      <c r="C138" s="11" t="s">
        <v>675</v>
      </c>
      <c r="D138" s="16">
        <v>500000</v>
      </c>
      <c r="E138" s="16">
        <v>53320</v>
      </c>
      <c r="F138" s="41">
        <f>SUM(D138:E138)</f>
        <v>553320</v>
      </c>
      <c r="G138" s="240">
        <v>40</v>
      </c>
      <c r="H138" s="209">
        <v>13833</v>
      </c>
      <c r="I138" s="243">
        <v>53</v>
      </c>
      <c r="J138" s="96">
        <f t="shared" ref="J138:J157" si="17">G138-I138</f>
        <v>-13</v>
      </c>
      <c r="K138" s="16">
        <f t="shared" ref="K138:K153" si="18">I138*H138</f>
        <v>733149</v>
      </c>
      <c r="L138" s="41">
        <f t="shared" ref="L138:L158" si="19">F138-K138</f>
        <v>-179829</v>
      </c>
      <c r="M138" s="11"/>
      <c r="N138" s="180" t="e">
        <f>#REF!-H130</f>
        <v>#REF!</v>
      </c>
    </row>
    <row r="139" spans="1:15" s="114" customFormat="1">
      <c r="A139" s="96">
        <v>9</v>
      </c>
      <c r="B139" s="292" t="s">
        <v>602</v>
      </c>
      <c r="C139" s="11" t="s">
        <v>603</v>
      </c>
      <c r="D139" s="16">
        <v>330000</v>
      </c>
      <c r="E139" s="16">
        <v>43989</v>
      </c>
      <c r="F139" s="41">
        <f>SUM(D139:E139)</f>
        <v>373989</v>
      </c>
      <c r="G139" s="159">
        <v>50</v>
      </c>
      <c r="H139" s="203">
        <v>7479.78</v>
      </c>
      <c r="I139" s="96">
        <v>41</v>
      </c>
      <c r="J139" s="96">
        <f t="shared" si="17"/>
        <v>9</v>
      </c>
      <c r="K139" s="16">
        <f t="shared" si="18"/>
        <v>306670.98</v>
      </c>
      <c r="L139" s="41">
        <f t="shared" si="19"/>
        <v>67318.020000000019</v>
      </c>
      <c r="M139" s="11"/>
    </row>
    <row r="140" spans="1:15" s="114" customFormat="1">
      <c r="A140" s="96">
        <v>18</v>
      </c>
      <c r="B140" s="292" t="s">
        <v>672</v>
      </c>
      <c r="C140" s="11" t="s">
        <v>673</v>
      </c>
      <c r="D140" s="16">
        <v>500000</v>
      </c>
      <c r="E140" s="16">
        <v>53320</v>
      </c>
      <c r="F140" s="41">
        <f>SUM(D140:E140)</f>
        <v>553320</v>
      </c>
      <c r="G140" s="159">
        <v>40</v>
      </c>
      <c r="H140" s="209">
        <v>13833</v>
      </c>
      <c r="I140" s="97">
        <v>53</v>
      </c>
      <c r="J140" s="97">
        <f t="shared" si="17"/>
        <v>-13</v>
      </c>
      <c r="K140" s="91">
        <f t="shared" si="18"/>
        <v>733149</v>
      </c>
      <c r="L140" s="94">
        <f t="shared" si="19"/>
        <v>-179829</v>
      </c>
      <c r="M140" s="11"/>
      <c r="N140" s="180" t="e">
        <f>#REF!-H138</f>
        <v>#REF!</v>
      </c>
    </row>
    <row r="141" spans="1:15" s="114" customFormat="1">
      <c r="A141" s="96">
        <v>56</v>
      </c>
      <c r="B141" s="292" t="s">
        <v>592</v>
      </c>
      <c r="C141" s="11" t="s">
        <v>593</v>
      </c>
      <c r="D141" s="16">
        <v>500000</v>
      </c>
      <c r="E141" s="16">
        <v>53320</v>
      </c>
      <c r="F141" s="41">
        <f>SUM(D141:E141)</f>
        <v>553320</v>
      </c>
      <c r="G141" s="159">
        <v>40</v>
      </c>
      <c r="H141" s="209">
        <v>13833</v>
      </c>
      <c r="I141" s="97">
        <v>53</v>
      </c>
      <c r="J141" s="97">
        <f t="shared" si="17"/>
        <v>-13</v>
      </c>
      <c r="K141" s="91">
        <f t="shared" si="18"/>
        <v>733149</v>
      </c>
      <c r="L141" s="94">
        <f t="shared" si="19"/>
        <v>-179829</v>
      </c>
      <c r="M141" s="11"/>
      <c r="N141" s="180" t="e">
        <f>#REF!-H139</f>
        <v>#REF!</v>
      </c>
    </row>
    <row r="142" spans="1:15" s="114" customFormat="1">
      <c r="A142" s="96">
        <v>82</v>
      </c>
      <c r="B142" s="292" t="s">
        <v>555</v>
      </c>
      <c r="C142" s="11" t="s">
        <v>556</v>
      </c>
      <c r="D142" s="16">
        <v>500000</v>
      </c>
      <c r="E142" s="16">
        <v>66650</v>
      </c>
      <c r="F142" s="41">
        <f>SUM(D142:E142)</f>
        <v>566650</v>
      </c>
      <c r="G142" s="159">
        <v>50</v>
      </c>
      <c r="H142" s="209">
        <v>11333</v>
      </c>
      <c r="I142" s="97">
        <v>32</v>
      </c>
      <c r="J142" s="97">
        <f t="shared" si="17"/>
        <v>18</v>
      </c>
      <c r="K142" s="91">
        <f t="shared" si="18"/>
        <v>362656</v>
      </c>
      <c r="L142" s="94">
        <f t="shared" si="19"/>
        <v>203994</v>
      </c>
      <c r="M142" s="11"/>
      <c r="N142" s="180" t="e">
        <f>#REF!-H140</f>
        <v>#REF!</v>
      </c>
    </row>
    <row r="143" spans="1:15" s="114" customFormat="1">
      <c r="A143" s="96">
        <v>129</v>
      </c>
      <c r="B143" s="292" t="s">
        <v>705</v>
      </c>
      <c r="C143" s="11" t="s">
        <v>706</v>
      </c>
      <c r="D143" s="19">
        <v>450000</v>
      </c>
      <c r="E143" s="19">
        <v>59985</v>
      </c>
      <c r="F143" s="19">
        <v>509985</v>
      </c>
      <c r="G143" s="159">
        <v>50</v>
      </c>
      <c r="H143" s="209">
        <v>10199.700000000001</v>
      </c>
      <c r="I143" s="159">
        <v>7</v>
      </c>
      <c r="J143" s="97">
        <f t="shared" si="17"/>
        <v>43</v>
      </c>
      <c r="K143" s="91">
        <f t="shared" si="18"/>
        <v>71397.900000000009</v>
      </c>
      <c r="L143" s="94">
        <f t="shared" si="19"/>
        <v>438587.1</v>
      </c>
      <c r="M143" s="11"/>
      <c r="N143" s="180" t="e">
        <f>#REF!-H141</f>
        <v>#REF!</v>
      </c>
    </row>
    <row r="144" spans="1:15" s="114" customFormat="1">
      <c r="A144" s="96">
        <v>103</v>
      </c>
      <c r="B144" s="292" t="s">
        <v>540</v>
      </c>
      <c r="C144" s="11" t="s">
        <v>541</v>
      </c>
      <c r="D144" s="16">
        <v>500000</v>
      </c>
      <c r="E144" s="16">
        <v>66650</v>
      </c>
      <c r="F144" s="41">
        <f>SUM(D144:E144)</f>
        <v>566650</v>
      </c>
      <c r="G144" s="159">
        <v>50</v>
      </c>
      <c r="H144" s="209">
        <v>11333</v>
      </c>
      <c r="I144" s="97">
        <v>37</v>
      </c>
      <c r="J144" s="97">
        <f t="shared" si="17"/>
        <v>13</v>
      </c>
      <c r="K144" s="91">
        <f t="shared" si="18"/>
        <v>419321</v>
      </c>
      <c r="L144" s="94">
        <f t="shared" si="19"/>
        <v>147329</v>
      </c>
      <c r="M144" s="11"/>
      <c r="N144" s="180" t="e">
        <f>#REF!-H142</f>
        <v>#REF!</v>
      </c>
    </row>
    <row r="145" spans="1:14" s="114" customFormat="1">
      <c r="A145" s="96">
        <v>33</v>
      </c>
      <c r="B145" s="299" t="s">
        <v>897</v>
      </c>
      <c r="C145" s="123" t="s">
        <v>920</v>
      </c>
      <c r="D145" s="19">
        <v>450000</v>
      </c>
      <c r="E145" s="19">
        <v>59985</v>
      </c>
      <c r="F145" s="19">
        <v>509985</v>
      </c>
      <c r="G145" s="159">
        <v>50</v>
      </c>
      <c r="H145" s="254">
        <v>10199.700000000001</v>
      </c>
      <c r="I145" s="188">
        <v>2</v>
      </c>
      <c r="J145" s="188">
        <f t="shared" si="17"/>
        <v>48</v>
      </c>
      <c r="K145" s="257">
        <f t="shared" si="18"/>
        <v>20399.400000000001</v>
      </c>
      <c r="L145" s="94">
        <f t="shared" si="19"/>
        <v>489585.6</v>
      </c>
      <c r="M145" s="122" t="s">
        <v>251</v>
      </c>
      <c r="N145"/>
    </row>
    <row r="146" spans="1:14" s="114" customFormat="1">
      <c r="A146" s="96">
        <v>41</v>
      </c>
      <c r="B146" s="299" t="s">
        <v>881</v>
      </c>
      <c r="C146" s="123" t="s">
        <v>903</v>
      </c>
      <c r="D146" s="16">
        <v>500000</v>
      </c>
      <c r="E146" s="16">
        <v>66650</v>
      </c>
      <c r="F146" s="41">
        <f>SUM(D146:E146)</f>
        <v>566650</v>
      </c>
      <c r="G146" s="159">
        <v>50</v>
      </c>
      <c r="H146" s="254">
        <v>13833</v>
      </c>
      <c r="I146" s="188">
        <v>2</v>
      </c>
      <c r="J146" s="188">
        <f t="shared" si="17"/>
        <v>48</v>
      </c>
      <c r="K146" s="257">
        <f t="shared" si="18"/>
        <v>27666</v>
      </c>
      <c r="L146" s="94">
        <f t="shared" si="19"/>
        <v>538984</v>
      </c>
      <c r="M146" s="122" t="s">
        <v>251</v>
      </c>
    </row>
    <row r="147" spans="1:14" s="114" customFormat="1">
      <c r="A147" s="96">
        <v>63</v>
      </c>
      <c r="B147" s="292" t="s">
        <v>891</v>
      </c>
      <c r="C147" s="11" t="s">
        <v>913</v>
      </c>
      <c r="D147" s="12">
        <v>450000</v>
      </c>
      <c r="E147" s="12">
        <v>59985</v>
      </c>
      <c r="F147" s="15">
        <f>SUM(D147:E147)</f>
        <v>509985</v>
      </c>
      <c r="G147" s="14">
        <v>50</v>
      </c>
      <c r="H147" s="203">
        <v>10199.9</v>
      </c>
      <c r="I147" s="14">
        <v>39</v>
      </c>
      <c r="J147" s="97">
        <f t="shared" si="17"/>
        <v>11</v>
      </c>
      <c r="K147" s="91">
        <f t="shared" si="18"/>
        <v>397796.1</v>
      </c>
      <c r="L147" s="15">
        <f t="shared" si="19"/>
        <v>112188.90000000002</v>
      </c>
      <c r="M147" s="8"/>
      <c r="N147" s="180" t="e">
        <f>#REF!-H146</f>
        <v>#REF!</v>
      </c>
    </row>
    <row r="148" spans="1:14" s="114" customFormat="1">
      <c r="A148" s="96">
        <v>94</v>
      </c>
      <c r="B148" s="299" t="s">
        <v>892</v>
      </c>
      <c r="C148" s="123" t="s">
        <v>914</v>
      </c>
      <c r="D148" s="19">
        <v>450000</v>
      </c>
      <c r="E148" s="19">
        <v>59985</v>
      </c>
      <c r="F148" s="19">
        <v>509985</v>
      </c>
      <c r="G148" s="159">
        <v>50</v>
      </c>
      <c r="H148" s="254">
        <v>10199.700000000001</v>
      </c>
      <c r="I148" s="188">
        <v>2</v>
      </c>
      <c r="J148" s="188">
        <f t="shared" si="17"/>
        <v>48</v>
      </c>
      <c r="K148" s="257">
        <f t="shared" si="18"/>
        <v>20399.400000000001</v>
      </c>
      <c r="L148" s="94">
        <f t="shared" si="19"/>
        <v>489585.6</v>
      </c>
      <c r="M148" s="122" t="s">
        <v>251</v>
      </c>
      <c r="N148" s="180" t="e">
        <f>#REF!-H147</f>
        <v>#REF!</v>
      </c>
    </row>
    <row r="149" spans="1:14" s="114" customFormat="1">
      <c r="A149" s="96">
        <v>106</v>
      </c>
      <c r="B149" s="294" t="s">
        <v>628</v>
      </c>
      <c r="C149" s="11" t="s">
        <v>917</v>
      </c>
      <c r="D149" s="19">
        <v>450000</v>
      </c>
      <c r="E149" s="19">
        <v>59985</v>
      </c>
      <c r="F149" s="19">
        <v>509985</v>
      </c>
      <c r="G149" s="159">
        <v>50</v>
      </c>
      <c r="H149" s="254">
        <v>10199.700000000001</v>
      </c>
      <c r="I149" s="159">
        <v>3</v>
      </c>
      <c r="J149" s="97">
        <f t="shared" si="17"/>
        <v>47</v>
      </c>
      <c r="K149" s="91">
        <f t="shared" si="18"/>
        <v>30599.100000000002</v>
      </c>
      <c r="L149" s="94">
        <f t="shared" si="19"/>
        <v>479385.9</v>
      </c>
      <c r="M149" s="11"/>
      <c r="N149" s="180" t="e">
        <f>#REF!-H148</f>
        <v>#REF!</v>
      </c>
    </row>
    <row r="150" spans="1:14" s="114" customFormat="1">
      <c r="A150" s="96">
        <v>115</v>
      </c>
      <c r="B150" s="299" t="s">
        <v>882</v>
      </c>
      <c r="C150" s="123" t="s">
        <v>904</v>
      </c>
      <c r="D150" s="19">
        <v>450000</v>
      </c>
      <c r="E150" s="19">
        <v>59985</v>
      </c>
      <c r="F150" s="19">
        <v>509985</v>
      </c>
      <c r="G150" s="159">
        <v>50</v>
      </c>
      <c r="H150" s="254">
        <v>13699.7</v>
      </c>
      <c r="I150" s="188">
        <v>2</v>
      </c>
      <c r="J150" s="188">
        <f t="shared" si="17"/>
        <v>48</v>
      </c>
      <c r="K150" s="257">
        <f t="shared" si="18"/>
        <v>27399.4</v>
      </c>
      <c r="L150" s="94">
        <f t="shared" si="19"/>
        <v>482585.59999999998</v>
      </c>
      <c r="M150" s="122" t="s">
        <v>251</v>
      </c>
      <c r="N150"/>
    </row>
    <row r="151" spans="1:14" s="114" customFormat="1">
      <c r="A151" s="96">
        <v>120</v>
      </c>
      <c r="B151" s="292" t="s">
        <v>577</v>
      </c>
      <c r="C151" s="11" t="s">
        <v>578</v>
      </c>
      <c r="D151" s="19">
        <v>330000</v>
      </c>
      <c r="E151" s="19">
        <v>43989</v>
      </c>
      <c r="F151" s="19">
        <f t="shared" ref="F151:F157" si="20">SUM(D151:E151)</f>
        <v>373989</v>
      </c>
      <c r="G151" s="159">
        <v>50</v>
      </c>
      <c r="H151" s="209">
        <v>7479.78</v>
      </c>
      <c r="I151" s="159">
        <v>7</v>
      </c>
      <c r="J151" s="97">
        <f t="shared" si="17"/>
        <v>43</v>
      </c>
      <c r="K151" s="91">
        <f t="shared" si="18"/>
        <v>52358.46</v>
      </c>
      <c r="L151" s="94">
        <f t="shared" si="19"/>
        <v>321630.53999999998</v>
      </c>
      <c r="M151" s="214"/>
    </row>
    <row r="152" spans="1:14" s="114" customFormat="1">
      <c r="A152" s="96">
        <v>2</v>
      </c>
      <c r="B152" s="296" t="s">
        <v>615</v>
      </c>
      <c r="C152" s="11" t="s">
        <v>616</v>
      </c>
      <c r="D152" s="16">
        <v>132000</v>
      </c>
      <c r="E152" s="16">
        <v>17595.599999999999</v>
      </c>
      <c r="F152" s="41">
        <f t="shared" si="20"/>
        <v>149595.6</v>
      </c>
      <c r="G152" s="240">
        <v>40</v>
      </c>
      <c r="H152" s="278">
        <v>3739.89</v>
      </c>
      <c r="I152" s="243">
        <v>40</v>
      </c>
      <c r="J152" s="96">
        <f t="shared" si="17"/>
        <v>0</v>
      </c>
      <c r="K152" s="16">
        <f t="shared" si="18"/>
        <v>149595.6</v>
      </c>
      <c r="L152" s="41">
        <f t="shared" si="19"/>
        <v>0</v>
      </c>
      <c r="M152" s="11"/>
    </row>
    <row r="153" spans="1:14" s="114" customFormat="1">
      <c r="A153" s="96">
        <v>74</v>
      </c>
      <c r="B153" s="292" t="s">
        <v>651</v>
      </c>
      <c r="C153" s="11" t="s">
        <v>652</v>
      </c>
      <c r="D153" s="16">
        <v>450000</v>
      </c>
      <c r="E153" s="16">
        <v>59985</v>
      </c>
      <c r="F153" s="41">
        <f t="shared" si="20"/>
        <v>509985</v>
      </c>
      <c r="G153" s="159">
        <v>50</v>
      </c>
      <c r="H153" s="278">
        <v>10199.700000000001</v>
      </c>
      <c r="I153" s="97">
        <v>39</v>
      </c>
      <c r="J153" s="97">
        <f t="shared" si="17"/>
        <v>11</v>
      </c>
      <c r="K153" s="91">
        <f t="shared" si="18"/>
        <v>397788.30000000005</v>
      </c>
      <c r="L153" s="94">
        <f t="shared" si="19"/>
        <v>112196.69999999995</v>
      </c>
      <c r="M153" s="11"/>
      <c r="N153" s="180" t="e">
        <f>#REF!-H152</f>
        <v>#REF!</v>
      </c>
    </row>
    <row r="154" spans="1:14" s="114" customFormat="1">
      <c r="A154" s="96">
        <v>16</v>
      </c>
      <c r="B154" s="292" t="s">
        <v>565</v>
      </c>
      <c r="C154" s="11" t="s">
        <v>566</v>
      </c>
      <c r="D154" s="16">
        <v>60000</v>
      </c>
      <c r="E154" s="16">
        <v>7998</v>
      </c>
      <c r="F154" s="41">
        <f t="shared" si="20"/>
        <v>67998</v>
      </c>
      <c r="G154" s="159">
        <v>40</v>
      </c>
      <c r="H154" s="278">
        <v>1699.95</v>
      </c>
      <c r="I154" s="97">
        <v>10</v>
      </c>
      <c r="J154" s="97">
        <f t="shared" si="17"/>
        <v>30</v>
      </c>
      <c r="K154" s="91"/>
      <c r="L154" s="94">
        <f t="shared" si="19"/>
        <v>67998</v>
      </c>
      <c r="M154" s="11"/>
      <c r="N154" s="180" t="e">
        <f>#REF!-H153</f>
        <v>#REF!</v>
      </c>
    </row>
    <row r="155" spans="1:14" s="114" customFormat="1">
      <c r="A155" s="96">
        <v>33</v>
      </c>
      <c r="B155" s="292" t="s">
        <v>499</v>
      </c>
      <c r="C155" s="11" t="s">
        <v>500</v>
      </c>
      <c r="D155" s="16">
        <v>500000</v>
      </c>
      <c r="E155" s="16">
        <v>66650</v>
      </c>
      <c r="F155" s="41">
        <f t="shared" si="20"/>
        <v>566650</v>
      </c>
      <c r="G155" s="159">
        <v>50</v>
      </c>
      <c r="H155" s="277">
        <v>11333</v>
      </c>
      <c r="I155" s="159">
        <v>7</v>
      </c>
      <c r="J155" s="97">
        <f t="shared" si="17"/>
        <v>43</v>
      </c>
      <c r="K155" s="91">
        <f>I155*H155</f>
        <v>79331</v>
      </c>
      <c r="L155" s="94">
        <f t="shared" si="19"/>
        <v>487319</v>
      </c>
      <c r="M155" s="11"/>
    </row>
    <row r="156" spans="1:14" s="114" customFormat="1">
      <c r="A156" s="96">
        <v>113</v>
      </c>
      <c r="B156" s="292" t="s">
        <v>611</v>
      </c>
      <c r="C156" s="11" t="s">
        <v>612</v>
      </c>
      <c r="D156" s="12">
        <v>500000</v>
      </c>
      <c r="E156" s="12">
        <v>66650</v>
      </c>
      <c r="F156" s="15">
        <f t="shared" si="20"/>
        <v>566650</v>
      </c>
      <c r="G156" s="14">
        <v>50</v>
      </c>
      <c r="H156" s="277">
        <v>11333</v>
      </c>
      <c r="I156" s="14">
        <v>40</v>
      </c>
      <c r="J156" s="97">
        <f t="shared" si="17"/>
        <v>10</v>
      </c>
      <c r="K156" s="91">
        <f>I156*H156</f>
        <v>453320</v>
      </c>
      <c r="L156" s="15">
        <f t="shared" si="19"/>
        <v>113330</v>
      </c>
      <c r="M156" s="8"/>
      <c r="N156" s="180" t="e">
        <f>#REF!-H155</f>
        <v>#REF!</v>
      </c>
    </row>
    <row r="157" spans="1:14" s="114" customFormat="1">
      <c r="A157" s="96">
        <v>116</v>
      </c>
      <c r="B157" s="292" t="s">
        <v>563</v>
      </c>
      <c r="C157" s="11" t="s">
        <v>564</v>
      </c>
      <c r="D157" s="19">
        <v>330000</v>
      </c>
      <c r="E157" s="19">
        <v>43989</v>
      </c>
      <c r="F157" s="19">
        <f t="shared" si="20"/>
        <v>373989</v>
      </c>
      <c r="G157" s="159">
        <v>50</v>
      </c>
      <c r="H157" s="277">
        <v>7479.78</v>
      </c>
      <c r="I157" s="97">
        <v>21</v>
      </c>
      <c r="J157" s="97">
        <f t="shared" si="17"/>
        <v>29</v>
      </c>
      <c r="K157" s="91">
        <f>I157*H157</f>
        <v>157075.38</v>
      </c>
      <c r="L157" s="91">
        <f t="shared" si="19"/>
        <v>216913.62</v>
      </c>
      <c r="M157" s="11"/>
    </row>
    <row r="158" spans="1:14" s="114" customFormat="1">
      <c r="A158" s="96">
        <v>61</v>
      </c>
      <c r="B158" s="292" t="s">
        <v>579</v>
      </c>
      <c r="C158" s="11" t="s">
        <v>580</v>
      </c>
      <c r="D158" s="16">
        <v>500000</v>
      </c>
      <c r="E158" s="16">
        <v>33325</v>
      </c>
      <c r="F158" s="41">
        <f>SUM(D158:E158)</f>
        <v>533325</v>
      </c>
      <c r="G158" s="159">
        <v>25</v>
      </c>
      <c r="H158" s="209">
        <v>21333</v>
      </c>
      <c r="I158" s="97">
        <v>27</v>
      </c>
      <c r="J158" s="97">
        <f>G158-I158</f>
        <v>-2</v>
      </c>
      <c r="K158" s="91">
        <f>I158*H158</f>
        <v>575991</v>
      </c>
      <c r="L158" s="94">
        <f t="shared" si="19"/>
        <v>-42666</v>
      </c>
      <c r="M158" s="11"/>
      <c r="N158" s="180" t="e">
        <f>#REF!-H158</f>
        <v>#REF!</v>
      </c>
    </row>
    <row r="159" spans="1:14" s="114" customFormat="1" ht="18" customHeight="1">
      <c r="A159" s="44"/>
      <c r="B159" s="298"/>
      <c r="C159" s="184"/>
      <c r="D159"/>
      <c r="E159"/>
      <c r="F159"/>
      <c r="G159" s="43"/>
      <c r="H159" s="39"/>
      <c r="I159" s="99"/>
      <c r="J159" s="99"/>
      <c r="K159"/>
      <c r="L159"/>
      <c r="M159"/>
    </row>
    <row r="160" spans="1:14" s="114" customFormat="1" ht="18" customHeight="1">
      <c r="A160" s="44"/>
      <c r="B160" s="298"/>
      <c r="C160" s="184"/>
      <c r="D160"/>
      <c r="E160"/>
      <c r="F160"/>
      <c r="G160" s="43"/>
      <c r="H160" s="39">
        <f>H137-H134</f>
        <v>-1282699.0699999998</v>
      </c>
      <c r="I160" s="99"/>
      <c r="J160" s="99"/>
      <c r="K160"/>
      <c r="L160"/>
      <c r="M160"/>
    </row>
    <row r="161" spans="1:14" s="114" customFormat="1" ht="18" customHeight="1">
      <c r="A161" s="44"/>
      <c r="B161" s="298"/>
      <c r="C161" s="184"/>
      <c r="D161"/>
      <c r="E161"/>
      <c r="F161"/>
      <c r="G161" s="43"/>
      <c r="H161" s="39"/>
      <c r="I161" s="99"/>
      <c r="J161" s="99"/>
      <c r="K161"/>
      <c r="L161"/>
      <c r="M161"/>
    </row>
    <row r="162" spans="1:14" s="114" customFormat="1" ht="18" customHeight="1">
      <c r="A162" s="44"/>
      <c r="B162" s="298"/>
      <c r="C162" s="184"/>
      <c r="D162"/>
      <c r="E162"/>
      <c r="F162"/>
      <c r="G162" s="43"/>
      <c r="H162" s="39"/>
      <c r="I162" s="99"/>
      <c r="J162" s="99"/>
      <c r="K162"/>
      <c r="L162"/>
      <c r="M162"/>
    </row>
    <row r="163" spans="1:14" s="114" customFormat="1" ht="18" customHeight="1">
      <c r="A163" s="44"/>
      <c r="B163" s="298"/>
      <c r="C163" s="184"/>
      <c r="D163"/>
      <c r="E163"/>
      <c r="F163"/>
      <c r="G163" s="43"/>
      <c r="H163" s="39"/>
      <c r="I163" s="99"/>
      <c r="J163" s="99"/>
      <c r="K163"/>
      <c r="L163"/>
      <c r="M163"/>
    </row>
    <row r="164" spans="1:14" s="114" customFormat="1" ht="18" customHeight="1">
      <c r="A164" s="44"/>
      <c r="B164" s="298"/>
      <c r="C164" s="184"/>
      <c r="D164"/>
      <c r="E164"/>
      <c r="F164"/>
      <c r="G164" s="43"/>
      <c r="H164" s="39"/>
      <c r="I164" s="99"/>
      <c r="J164" s="99"/>
      <c r="K164"/>
      <c r="L164"/>
      <c r="M164"/>
    </row>
    <row r="165" spans="1:14" s="114" customFormat="1" ht="18" customHeight="1">
      <c r="A165" s="44"/>
      <c r="B165" s="298"/>
      <c r="C165" s="184"/>
      <c r="D165"/>
      <c r="E165"/>
      <c r="F165"/>
      <c r="G165" s="43"/>
      <c r="H165" s="39"/>
      <c r="I165" s="99"/>
      <c r="J165" s="99"/>
      <c r="K165"/>
      <c r="L165"/>
      <c r="M165"/>
    </row>
    <row r="166" spans="1:14" s="114" customFormat="1" ht="18" customHeight="1">
      <c r="A166" s="44"/>
      <c r="B166" s="298"/>
      <c r="C166" s="184"/>
      <c r="D166"/>
      <c r="E166"/>
      <c r="F166"/>
      <c r="G166" s="43"/>
      <c r="H166" s="39"/>
      <c r="I166" s="99"/>
      <c r="J166" s="99"/>
      <c r="K166"/>
      <c r="L166"/>
      <c r="M166"/>
    </row>
    <row r="167" spans="1:14" s="114" customFormat="1" ht="18" customHeight="1">
      <c r="A167" s="44"/>
      <c r="B167" s="298"/>
      <c r="C167" s="184"/>
      <c r="D167"/>
      <c r="E167"/>
      <c r="F167"/>
      <c r="G167" s="43"/>
      <c r="H167" s="39"/>
      <c r="I167" s="99"/>
      <c r="J167" s="99"/>
      <c r="K167"/>
      <c r="L167"/>
      <c r="M167"/>
    </row>
    <row r="168" spans="1:14" s="114" customFormat="1">
      <c r="A168" s="96">
        <v>9</v>
      </c>
      <c r="B168" s="292" t="s">
        <v>704</v>
      </c>
      <c r="C168" s="2" t="s">
        <v>794</v>
      </c>
      <c r="D168" s="16">
        <v>500000</v>
      </c>
      <c r="E168" s="16">
        <v>66650</v>
      </c>
      <c r="F168" s="41">
        <f>SUM(D168:E168)</f>
        <v>566650</v>
      </c>
      <c r="G168" s="159">
        <v>50</v>
      </c>
      <c r="H168" s="209">
        <v>11333</v>
      </c>
      <c r="I168" s="96">
        <v>40</v>
      </c>
      <c r="J168" s="96">
        <f>G168-I168</f>
        <v>10</v>
      </c>
      <c r="K168" s="16">
        <f>I168*H168</f>
        <v>453320</v>
      </c>
      <c r="L168" s="41">
        <f>F168-K168</f>
        <v>113330</v>
      </c>
      <c r="M168" s="11"/>
      <c r="N168" s="180" t="e">
        <f>#REF!-H168</f>
        <v>#REF!</v>
      </c>
    </row>
    <row r="169" spans="1:14" s="114" customFormat="1">
      <c r="A169" s="96">
        <v>38</v>
      </c>
      <c r="B169" s="292" t="s">
        <v>511</v>
      </c>
      <c r="C169" s="173" t="s">
        <v>837</v>
      </c>
      <c r="D169" s="41">
        <v>200000</v>
      </c>
      <c r="E169" s="41">
        <v>26660</v>
      </c>
      <c r="F169" s="41">
        <f>SUM(D169:E169)</f>
        <v>226660</v>
      </c>
      <c r="G169" s="159">
        <v>40</v>
      </c>
      <c r="H169" s="203">
        <v>7479</v>
      </c>
      <c r="I169" s="97">
        <v>17</v>
      </c>
      <c r="J169" s="97">
        <f>G169-I169</f>
        <v>23</v>
      </c>
      <c r="K169" s="91">
        <f>I169*H169</f>
        <v>127143</v>
      </c>
      <c r="L169" s="94">
        <f>F169-K169</f>
        <v>99517</v>
      </c>
      <c r="M169" s="11"/>
      <c r="N169" s="180" t="e">
        <f>#REF!-H169</f>
        <v>#REF!</v>
      </c>
    </row>
    <row r="170" spans="1:14" s="114" customFormat="1">
      <c r="A170" s="96">
        <v>56</v>
      </c>
      <c r="B170" s="292" t="s">
        <v>637</v>
      </c>
      <c r="C170" s="23" t="s">
        <v>776</v>
      </c>
      <c r="D170" s="16">
        <v>500000</v>
      </c>
      <c r="E170" s="16">
        <v>66650</v>
      </c>
      <c r="F170" s="41">
        <f>SUM(D170:E170)</f>
        <v>566650</v>
      </c>
      <c r="G170" s="159">
        <v>50</v>
      </c>
      <c r="H170" s="209">
        <v>11333</v>
      </c>
      <c r="I170" s="97">
        <v>39</v>
      </c>
      <c r="J170" s="97">
        <f>G170-I170</f>
        <v>11</v>
      </c>
      <c r="K170" s="91">
        <f>I170*H170</f>
        <v>441987</v>
      </c>
      <c r="L170" s="94">
        <f>F170-K170</f>
        <v>124663</v>
      </c>
      <c r="M170" s="11"/>
      <c r="N170" s="180" t="e">
        <f>#REF!-H170</f>
        <v>#REF!</v>
      </c>
    </row>
    <row r="171" spans="1:14" s="114" customFormat="1">
      <c r="A171" s="96">
        <v>91</v>
      </c>
      <c r="B171" s="292" t="s">
        <v>587</v>
      </c>
      <c r="C171" s="2" t="s">
        <v>763</v>
      </c>
      <c r="D171" s="12">
        <v>500000</v>
      </c>
      <c r="E171" s="12">
        <v>66650</v>
      </c>
      <c r="F171" s="15">
        <f>SUM(D171:E171)</f>
        <v>566650</v>
      </c>
      <c r="G171" s="14">
        <v>50</v>
      </c>
      <c r="H171" s="143">
        <v>11333</v>
      </c>
      <c r="I171" s="14">
        <v>34</v>
      </c>
      <c r="J171" s="97">
        <f>G171-I171</f>
        <v>16</v>
      </c>
      <c r="K171" s="91">
        <f>I171*H171</f>
        <v>385322</v>
      </c>
      <c r="L171" s="15">
        <f>F171-K171</f>
        <v>181328</v>
      </c>
      <c r="M171" s="8"/>
      <c r="N171" s="180" t="e">
        <f>#REF!-H171</f>
        <v>#REF!</v>
      </c>
    </row>
    <row r="172" spans="1:14" s="114" customFormat="1">
      <c r="A172" s="96">
        <v>105</v>
      </c>
      <c r="B172" s="292" t="s">
        <v>678</v>
      </c>
      <c r="C172" s="23" t="s">
        <v>733</v>
      </c>
      <c r="D172" s="16">
        <v>500000</v>
      </c>
      <c r="E172" s="16">
        <v>47992</v>
      </c>
      <c r="F172" s="41">
        <f>SUM(D172:E172)</f>
        <v>547992</v>
      </c>
      <c r="G172" s="159">
        <v>36</v>
      </c>
      <c r="H172" s="203">
        <v>15222</v>
      </c>
      <c r="I172" s="97">
        <v>30</v>
      </c>
      <c r="J172" s="97">
        <f>G172-I172</f>
        <v>6</v>
      </c>
      <c r="K172" s="91">
        <f>I172*H172</f>
        <v>456660</v>
      </c>
      <c r="L172" s="94">
        <f>F172-K172</f>
        <v>91332</v>
      </c>
      <c r="M172" s="11"/>
      <c r="N172" s="180" t="e">
        <f>#REF!-H172</f>
        <v>#REF!</v>
      </c>
    </row>
    <row r="173" spans="1:14" s="114" customFormat="1">
      <c r="B173" s="300"/>
    </row>
    <row r="174" spans="1:14" s="114" customFormat="1">
      <c r="A174" s="96">
        <v>1</v>
      </c>
      <c r="B174" s="296"/>
      <c r="C174" s="4" t="s">
        <v>383</v>
      </c>
      <c r="D174" s="41">
        <v>200000</v>
      </c>
      <c r="E174" s="41">
        <v>26660</v>
      </c>
      <c r="F174" s="41">
        <f t="shared" ref="F174:F179" si="21">SUM(D174:E174)</f>
        <v>226660</v>
      </c>
      <c r="G174" s="159">
        <v>40</v>
      </c>
      <c r="H174" s="208">
        <v>5666.5</v>
      </c>
      <c r="I174" s="96">
        <v>42</v>
      </c>
      <c r="J174" s="96">
        <f t="shared" ref="J174:J183" si="22">G174-I174</f>
        <v>-2</v>
      </c>
      <c r="K174" s="16">
        <f t="shared" ref="K174:K183" si="23">I174*H174</f>
        <v>237993</v>
      </c>
      <c r="L174" s="41">
        <f t="shared" ref="L174:L183" si="24">F174-K174</f>
        <v>-11333</v>
      </c>
      <c r="M174" s="11"/>
      <c r="N174" s="180" t="e">
        <f>#REF!-H174</f>
        <v>#REF!</v>
      </c>
    </row>
    <row r="175" spans="1:14" s="114" customFormat="1">
      <c r="A175" s="96">
        <v>5</v>
      </c>
      <c r="B175" s="296"/>
      <c r="C175" s="4" t="s">
        <v>413</v>
      </c>
      <c r="D175" s="12">
        <v>180000</v>
      </c>
      <c r="E175" s="12">
        <v>23994</v>
      </c>
      <c r="F175" s="15">
        <f t="shared" si="21"/>
        <v>203994</v>
      </c>
      <c r="G175" s="14">
        <v>40</v>
      </c>
      <c r="H175" s="208">
        <v>5099.8500000000004</v>
      </c>
      <c r="I175" s="159">
        <v>38</v>
      </c>
      <c r="J175" s="97">
        <f t="shared" si="22"/>
        <v>2</v>
      </c>
      <c r="K175" s="91">
        <f t="shared" si="23"/>
        <v>193794.30000000002</v>
      </c>
      <c r="L175" s="15">
        <f t="shared" si="24"/>
        <v>10199.699999999983</v>
      </c>
      <c r="M175" s="8"/>
      <c r="N175" s="180" t="e">
        <f>#REF!-H175</f>
        <v>#REF!</v>
      </c>
    </row>
    <row r="176" spans="1:14" s="114" customFormat="1">
      <c r="A176" s="96">
        <v>12</v>
      </c>
      <c r="B176" s="292"/>
      <c r="C176" s="2" t="s">
        <v>389</v>
      </c>
      <c r="D176" s="41">
        <v>200000</v>
      </c>
      <c r="E176" s="41">
        <v>26660</v>
      </c>
      <c r="F176" s="41">
        <f t="shared" si="21"/>
        <v>226660</v>
      </c>
      <c r="G176" s="220">
        <v>40</v>
      </c>
      <c r="H176" s="208">
        <v>5666.5</v>
      </c>
      <c r="I176" s="96">
        <v>53</v>
      </c>
      <c r="J176" s="96">
        <f t="shared" si="22"/>
        <v>-13</v>
      </c>
      <c r="K176" s="16">
        <f t="shared" si="23"/>
        <v>300324.5</v>
      </c>
      <c r="L176" s="41">
        <f t="shared" si="24"/>
        <v>-73664.5</v>
      </c>
      <c r="M176" s="152"/>
      <c r="N176" s="180" t="e">
        <f>#REF!-H176</f>
        <v>#REF!</v>
      </c>
    </row>
    <row r="177" spans="1:15" s="114" customFormat="1">
      <c r="A177" s="96">
        <v>29</v>
      </c>
      <c r="B177" s="296"/>
      <c r="C177" s="4" t="s">
        <v>414</v>
      </c>
      <c r="D177" s="16">
        <v>180000</v>
      </c>
      <c r="E177" s="16">
        <v>23994</v>
      </c>
      <c r="F177" s="41">
        <f t="shared" si="21"/>
        <v>203994</v>
      </c>
      <c r="G177" s="159">
        <v>40</v>
      </c>
      <c r="H177" s="208">
        <v>5099.8500000000004</v>
      </c>
      <c r="I177" s="97">
        <v>40</v>
      </c>
      <c r="J177" s="97">
        <f t="shared" si="22"/>
        <v>0</v>
      </c>
      <c r="K177" s="91">
        <f t="shared" si="23"/>
        <v>203994</v>
      </c>
      <c r="L177" s="94">
        <f t="shared" si="24"/>
        <v>0</v>
      </c>
      <c r="M177" s="11"/>
      <c r="N177" s="180" t="e">
        <f>#REF!-H177</f>
        <v>#REF!</v>
      </c>
    </row>
    <row r="178" spans="1:15" s="114" customFormat="1">
      <c r="A178" s="96">
        <v>64</v>
      </c>
      <c r="B178" s="296"/>
      <c r="C178" s="4" t="s">
        <v>403</v>
      </c>
      <c r="D178" s="41">
        <v>200000</v>
      </c>
      <c r="E178" s="41">
        <v>26660</v>
      </c>
      <c r="F178" s="41">
        <f t="shared" si="21"/>
        <v>226660</v>
      </c>
      <c r="G178" s="159">
        <v>40</v>
      </c>
      <c r="H178" s="208">
        <v>5666.5</v>
      </c>
      <c r="I178" s="97">
        <v>42</v>
      </c>
      <c r="J178" s="97">
        <f t="shared" si="22"/>
        <v>-2</v>
      </c>
      <c r="K178" s="91">
        <f t="shared" si="23"/>
        <v>237993</v>
      </c>
      <c r="L178" s="94">
        <f t="shared" si="24"/>
        <v>-11333</v>
      </c>
      <c r="M178" s="11"/>
      <c r="N178" s="180" t="e">
        <f>#REF!-H178</f>
        <v>#REF!</v>
      </c>
    </row>
    <row r="179" spans="1:15" s="114" customFormat="1">
      <c r="A179" s="96">
        <v>68</v>
      </c>
      <c r="B179" s="296"/>
      <c r="C179" s="4" t="s">
        <v>422</v>
      </c>
      <c r="D179" s="16">
        <v>132000</v>
      </c>
      <c r="E179" s="16">
        <v>17595.599999999999</v>
      </c>
      <c r="F179" s="41">
        <f t="shared" si="21"/>
        <v>149595.6</v>
      </c>
      <c r="G179" s="159">
        <v>40</v>
      </c>
      <c r="H179" s="208">
        <v>3739.89</v>
      </c>
      <c r="I179" s="97">
        <v>42</v>
      </c>
      <c r="J179" s="97">
        <f t="shared" si="22"/>
        <v>-2</v>
      </c>
      <c r="K179" s="91">
        <f t="shared" si="23"/>
        <v>157075.38</v>
      </c>
      <c r="L179" s="94">
        <f t="shared" si="24"/>
        <v>-7479.7799999999988</v>
      </c>
      <c r="M179" s="11"/>
      <c r="N179" s="180" t="e">
        <f>#REF!-H179</f>
        <v>#REF!</v>
      </c>
    </row>
    <row r="180" spans="1:15" s="114" customFormat="1">
      <c r="A180" s="96">
        <v>86</v>
      </c>
      <c r="B180" s="296"/>
      <c r="C180" s="4" t="s">
        <v>407</v>
      </c>
      <c r="D180" s="41">
        <v>200000</v>
      </c>
      <c r="E180" s="41">
        <v>26660</v>
      </c>
      <c r="F180" s="41">
        <v>226660</v>
      </c>
      <c r="G180" s="159">
        <v>40</v>
      </c>
      <c r="H180" s="208">
        <v>5666.5</v>
      </c>
      <c r="I180" s="97">
        <v>42</v>
      </c>
      <c r="J180" s="97">
        <f t="shared" si="22"/>
        <v>-2</v>
      </c>
      <c r="K180" s="91">
        <f t="shared" si="23"/>
        <v>237993</v>
      </c>
      <c r="L180" s="94">
        <f t="shared" si="24"/>
        <v>-11333</v>
      </c>
      <c r="M180" s="11"/>
      <c r="N180" s="180" t="e">
        <f>#REF!-H180</f>
        <v>#REF!</v>
      </c>
    </row>
    <row r="181" spans="1:15" s="114" customFormat="1">
      <c r="A181" s="96">
        <v>94</v>
      </c>
      <c r="B181" s="296"/>
      <c r="C181" s="4" t="s">
        <v>408</v>
      </c>
      <c r="D181" s="41">
        <v>200000</v>
      </c>
      <c r="E181" s="41">
        <v>26660</v>
      </c>
      <c r="F181" s="41">
        <v>226660</v>
      </c>
      <c r="G181" s="159">
        <v>40</v>
      </c>
      <c r="H181" s="208">
        <v>5666.5</v>
      </c>
      <c r="I181" s="97">
        <v>42</v>
      </c>
      <c r="J181" s="97">
        <f t="shared" si="22"/>
        <v>-2</v>
      </c>
      <c r="K181" s="91">
        <f t="shared" si="23"/>
        <v>237993</v>
      </c>
      <c r="L181" s="94">
        <f t="shared" si="24"/>
        <v>-11333</v>
      </c>
      <c r="M181" s="11"/>
      <c r="N181" s="180" t="e">
        <f>#REF!-H181</f>
        <v>#REF!</v>
      </c>
    </row>
    <row r="182" spans="1:15" s="114" customFormat="1">
      <c r="A182" s="96">
        <v>99</v>
      </c>
      <c r="B182" s="296"/>
      <c r="C182" s="4" t="s">
        <v>409</v>
      </c>
      <c r="D182" s="41">
        <v>200000</v>
      </c>
      <c r="E182" s="41">
        <v>26660</v>
      </c>
      <c r="F182" s="41">
        <f>SUM(D182:E182)</f>
        <v>226660</v>
      </c>
      <c r="G182" s="159">
        <v>40</v>
      </c>
      <c r="H182" s="208">
        <v>5666.5</v>
      </c>
      <c r="I182" s="97">
        <v>42</v>
      </c>
      <c r="J182" s="97">
        <f t="shared" si="22"/>
        <v>-2</v>
      </c>
      <c r="K182" s="91">
        <f t="shared" si="23"/>
        <v>237993</v>
      </c>
      <c r="L182" s="94">
        <f t="shared" si="24"/>
        <v>-11333</v>
      </c>
      <c r="M182" s="11"/>
      <c r="N182" s="180" t="e">
        <f>#REF!-H182</f>
        <v>#REF!</v>
      </c>
      <c r="O182"/>
    </row>
    <row r="183" spans="1:15" s="114" customFormat="1">
      <c r="A183" s="96">
        <v>107</v>
      </c>
      <c r="B183" s="296"/>
      <c r="C183" s="4" t="s">
        <v>35</v>
      </c>
      <c r="D183" s="155">
        <v>150000</v>
      </c>
      <c r="E183" s="155">
        <v>19995</v>
      </c>
      <c r="F183" s="155">
        <f>SUM(D183:E183)</f>
        <v>169995</v>
      </c>
      <c r="G183" s="159">
        <v>50</v>
      </c>
      <c r="H183" s="208">
        <v>3399.9</v>
      </c>
      <c r="I183" s="97">
        <v>14</v>
      </c>
      <c r="J183" s="97">
        <f t="shared" si="22"/>
        <v>36</v>
      </c>
      <c r="K183" s="91">
        <f t="shared" si="23"/>
        <v>47598.6</v>
      </c>
      <c r="L183" s="91">
        <f t="shared" si="24"/>
        <v>122396.4</v>
      </c>
      <c r="M183" s="122"/>
      <c r="N183" s="180" t="e">
        <f>#REF!-H183</f>
        <v>#REF!</v>
      </c>
      <c r="O183"/>
    </row>
    <row r="184" spans="1:15" s="114" customFormat="1">
      <c r="B184" s="300"/>
      <c r="O184"/>
    </row>
    <row r="185" spans="1:15" s="114" customFormat="1">
      <c r="A185" s="96">
        <v>30</v>
      </c>
      <c r="B185" s="292"/>
      <c r="C185" s="25" t="s">
        <v>362</v>
      </c>
      <c r="D185" s="12">
        <v>450000</v>
      </c>
      <c r="E185" s="12">
        <v>59985</v>
      </c>
      <c r="F185" s="15">
        <f>SUM(D185:E185)</f>
        <v>509985</v>
      </c>
      <c r="G185" s="14">
        <v>50</v>
      </c>
      <c r="H185" s="212">
        <v>10199.700000000001</v>
      </c>
      <c r="I185" s="14">
        <v>30</v>
      </c>
      <c r="J185" s="97">
        <f t="shared" ref="J185:J192" si="25">G185-I185</f>
        <v>20</v>
      </c>
      <c r="K185" s="91">
        <f>I185*H185</f>
        <v>305991</v>
      </c>
      <c r="L185" s="15">
        <f t="shared" ref="L185:L192" si="26">F185-K185</f>
        <v>203994</v>
      </c>
      <c r="M185" s="8"/>
      <c r="N185" s="180" t="e">
        <f>#REF!-H185</f>
        <v>#REF!</v>
      </c>
      <c r="O185"/>
    </row>
    <row r="186" spans="1:15" s="114" customFormat="1" ht="14.25" customHeight="1">
      <c r="A186" s="96">
        <v>102</v>
      </c>
      <c r="B186" s="296"/>
      <c r="C186" s="46" t="s">
        <v>289</v>
      </c>
      <c r="D186" s="16">
        <v>180000</v>
      </c>
      <c r="E186" s="16">
        <v>23994</v>
      </c>
      <c r="F186" s="16">
        <v>203994</v>
      </c>
      <c r="G186" s="221">
        <v>40</v>
      </c>
      <c r="H186" s="167">
        <v>5099.8500000000004</v>
      </c>
      <c r="I186" s="97">
        <v>40</v>
      </c>
      <c r="J186" s="97">
        <f t="shared" si="25"/>
        <v>0</v>
      </c>
      <c r="K186" s="156">
        <f>(36*5099.85)</f>
        <v>183594.6</v>
      </c>
      <c r="L186" s="91">
        <f t="shared" si="26"/>
        <v>20399.399999999994</v>
      </c>
      <c r="M186" s="122"/>
      <c r="N186" s="180" t="e">
        <f>#REF!-H186</f>
        <v>#REF!</v>
      </c>
      <c r="O186"/>
    </row>
    <row r="187" spans="1:15" s="114" customFormat="1" ht="14.25" customHeight="1">
      <c r="A187" s="96">
        <v>90</v>
      </c>
      <c r="B187" s="296"/>
      <c r="C187" s="4" t="s">
        <v>416</v>
      </c>
      <c r="D187" s="12">
        <v>180000</v>
      </c>
      <c r="E187" s="12">
        <v>23994</v>
      </c>
      <c r="F187" s="15">
        <f>SUM(D187:E187)</f>
        <v>203994</v>
      </c>
      <c r="G187" s="21">
        <v>40</v>
      </c>
      <c r="H187" s="167">
        <v>5099.8500000000004</v>
      </c>
      <c r="I187" s="14">
        <v>47</v>
      </c>
      <c r="J187" s="97">
        <f t="shared" si="25"/>
        <v>-7</v>
      </c>
      <c r="K187" s="91">
        <f t="shared" ref="K187:K192" si="27">I187*H187</f>
        <v>239692.95</v>
      </c>
      <c r="L187" s="15">
        <f t="shared" si="26"/>
        <v>-35698.950000000012</v>
      </c>
      <c r="M187" s="10"/>
      <c r="N187" s="180" t="e">
        <f>#REF!-H187</f>
        <v>#REF!</v>
      </c>
      <c r="O187"/>
    </row>
    <row r="188" spans="1:15" ht="14.25" customHeight="1">
      <c r="A188" s="96">
        <v>4</v>
      </c>
      <c r="B188" s="296"/>
      <c r="C188" s="4" t="s">
        <v>384</v>
      </c>
      <c r="D188" s="41">
        <v>200000</v>
      </c>
      <c r="E188" s="41">
        <v>26660</v>
      </c>
      <c r="F188" s="41">
        <f>SUM(D188:E188)</f>
        <v>226660</v>
      </c>
      <c r="G188" s="159">
        <v>40</v>
      </c>
      <c r="H188" s="167">
        <v>5666.5</v>
      </c>
      <c r="I188" s="96">
        <v>32</v>
      </c>
      <c r="J188" s="96">
        <f t="shared" si="25"/>
        <v>8</v>
      </c>
      <c r="K188" s="16">
        <f t="shared" si="27"/>
        <v>181328</v>
      </c>
      <c r="L188" s="41">
        <f t="shared" si="26"/>
        <v>45332</v>
      </c>
      <c r="M188" s="11"/>
      <c r="N188" s="180" t="e">
        <f>#REF!-H188</f>
        <v>#REF!</v>
      </c>
    </row>
    <row r="189" spans="1:15" ht="14.25" customHeight="1">
      <c r="A189" s="96">
        <v>10</v>
      </c>
      <c r="B189" s="296"/>
      <c r="C189" s="4" t="s">
        <v>388</v>
      </c>
      <c r="D189" s="15">
        <v>200000</v>
      </c>
      <c r="E189" s="15">
        <v>26660</v>
      </c>
      <c r="F189" s="15">
        <f>SUM(D189:E189)</f>
        <v>226660</v>
      </c>
      <c r="G189" s="14">
        <v>40</v>
      </c>
      <c r="H189" s="24">
        <v>5666.5</v>
      </c>
      <c r="I189" s="14">
        <v>38</v>
      </c>
      <c r="J189" s="97">
        <f t="shared" si="25"/>
        <v>2</v>
      </c>
      <c r="K189" s="91">
        <f t="shared" si="27"/>
        <v>215327</v>
      </c>
      <c r="L189" s="15">
        <f t="shared" si="26"/>
        <v>11333</v>
      </c>
      <c r="M189" s="8"/>
      <c r="N189" s="180" t="e">
        <f>#REF!-H189</f>
        <v>#REF!</v>
      </c>
    </row>
    <row r="190" spans="1:15" ht="14.25" customHeight="1">
      <c r="A190" s="96">
        <v>25</v>
      </c>
      <c r="B190" s="296"/>
      <c r="C190" s="4" t="s">
        <v>140</v>
      </c>
      <c r="D190" s="15">
        <v>200000</v>
      </c>
      <c r="E190" s="15">
        <v>26660</v>
      </c>
      <c r="F190" s="15">
        <f>SUM(D190:E190)</f>
        <v>226660</v>
      </c>
      <c r="G190" s="14">
        <v>40</v>
      </c>
      <c r="H190" s="167">
        <v>5666.5</v>
      </c>
      <c r="I190" s="14">
        <v>34</v>
      </c>
      <c r="J190" s="97">
        <f t="shared" si="25"/>
        <v>6</v>
      </c>
      <c r="K190" s="91">
        <f t="shared" si="27"/>
        <v>192661</v>
      </c>
      <c r="L190" s="15">
        <f t="shared" si="26"/>
        <v>33999</v>
      </c>
      <c r="M190" s="8"/>
      <c r="N190" s="180" t="e">
        <f>#REF!-H190</f>
        <v>#REF!</v>
      </c>
    </row>
    <row r="191" spans="1:15" ht="14.25" customHeight="1">
      <c r="A191" s="96">
        <v>31</v>
      </c>
      <c r="B191" s="292"/>
      <c r="C191" s="2" t="s">
        <v>284</v>
      </c>
      <c r="D191" s="19">
        <v>500000</v>
      </c>
      <c r="E191" s="19">
        <v>66650</v>
      </c>
      <c r="F191" s="19">
        <v>566650</v>
      </c>
      <c r="G191" s="159">
        <v>50</v>
      </c>
      <c r="H191" s="167">
        <v>11333</v>
      </c>
      <c r="I191" s="97">
        <v>34</v>
      </c>
      <c r="J191" s="97">
        <f t="shared" si="25"/>
        <v>16</v>
      </c>
      <c r="K191" s="91">
        <f t="shared" si="27"/>
        <v>385322</v>
      </c>
      <c r="L191" s="91">
        <f t="shared" si="26"/>
        <v>181328</v>
      </c>
      <c r="M191" s="122"/>
      <c r="N191" s="180" t="e">
        <f>#REF!-H191</f>
        <v>#REF!</v>
      </c>
    </row>
    <row r="192" spans="1:15" ht="14.25" customHeight="1">
      <c r="A192" s="96">
        <v>122</v>
      </c>
      <c r="B192" s="296"/>
      <c r="C192" s="168" t="s">
        <v>382</v>
      </c>
      <c r="D192" s="12">
        <v>330000</v>
      </c>
      <c r="E192" s="12">
        <v>43989</v>
      </c>
      <c r="F192" s="15">
        <f>SUM(D192:E192)</f>
        <v>373989</v>
      </c>
      <c r="G192" s="14">
        <v>50</v>
      </c>
      <c r="H192" s="222">
        <v>7479.78</v>
      </c>
      <c r="I192" s="14">
        <v>32</v>
      </c>
      <c r="J192" s="97">
        <f t="shared" si="25"/>
        <v>18</v>
      </c>
      <c r="K192" s="91">
        <f t="shared" si="27"/>
        <v>239352.95999999999</v>
      </c>
      <c r="L192" s="15">
        <f t="shared" si="26"/>
        <v>134636.04</v>
      </c>
      <c r="M192" s="8"/>
    </row>
    <row r="193" spans="1:15" ht="14.25" customHeight="1">
      <c r="A193" s="114"/>
      <c r="B193" s="300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</row>
    <row r="194" spans="1:15" ht="14.25" customHeight="1">
      <c r="A194" s="96">
        <v>96</v>
      </c>
      <c r="B194" s="296"/>
      <c r="C194" s="4" t="s">
        <v>482</v>
      </c>
      <c r="D194" s="12">
        <v>60000</v>
      </c>
      <c r="E194" s="12">
        <v>7998</v>
      </c>
      <c r="F194" s="15">
        <f>SUM(D194:E194)</f>
        <v>67998</v>
      </c>
      <c r="G194" s="14">
        <v>40</v>
      </c>
      <c r="H194" s="172">
        <v>1699.95</v>
      </c>
      <c r="I194" s="97">
        <v>41</v>
      </c>
      <c r="J194" s="97">
        <f>G194-I194</f>
        <v>-1</v>
      </c>
      <c r="K194" s="91">
        <f>I194*H194</f>
        <v>69697.95</v>
      </c>
      <c r="L194" s="94">
        <f>F194-K194</f>
        <v>-1699.9499999999971</v>
      </c>
      <c r="M194" s="122"/>
      <c r="N194" s="114"/>
    </row>
    <row r="195" spans="1:15" ht="14.25" customHeight="1">
      <c r="A195" s="114"/>
      <c r="B195" s="300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21"/>
    </row>
    <row r="196" spans="1:15" ht="14.25" customHeight="1">
      <c r="A196" s="96">
        <v>121</v>
      </c>
      <c r="B196" s="296"/>
      <c r="C196" s="4" t="s">
        <v>429</v>
      </c>
      <c r="D196" s="16">
        <v>60000</v>
      </c>
      <c r="E196" s="16">
        <v>7998</v>
      </c>
      <c r="F196" s="41">
        <f>SUM(D196:E196)</f>
        <v>67998</v>
      </c>
      <c r="G196" s="159">
        <v>40</v>
      </c>
      <c r="H196" s="167">
        <v>1699.95</v>
      </c>
      <c r="I196" s="97">
        <v>40</v>
      </c>
      <c r="J196" s="97">
        <f>G196-I196</f>
        <v>0</v>
      </c>
      <c r="K196" s="91">
        <f>I196*H196</f>
        <v>67998</v>
      </c>
      <c r="L196" s="94">
        <f>F196-K196</f>
        <v>0</v>
      </c>
      <c r="M196" s="11"/>
      <c r="N196" s="180" t="e">
        <f>#REF!-H196</f>
        <v>#REF!</v>
      </c>
    </row>
    <row r="198" spans="1:15">
      <c r="A198" s="96">
        <v>12</v>
      </c>
      <c r="B198" s="292"/>
      <c r="C198" s="2" t="s">
        <v>373</v>
      </c>
      <c r="D198" s="16">
        <v>330000</v>
      </c>
      <c r="E198" s="16">
        <v>43989</v>
      </c>
      <c r="F198" s="41">
        <f>SUM(D198:E198)</f>
        <v>373989</v>
      </c>
      <c r="G198" s="33">
        <v>50</v>
      </c>
      <c r="H198" s="16">
        <v>7479.78</v>
      </c>
      <c r="I198" s="96">
        <v>26</v>
      </c>
      <c r="J198" s="96">
        <f>G198-I198</f>
        <v>24</v>
      </c>
      <c r="K198" s="16">
        <f>I198*H198</f>
        <v>194474.28</v>
      </c>
      <c r="L198" s="41">
        <f>F198-K198</f>
        <v>179514.72</v>
      </c>
      <c r="M198" s="11"/>
      <c r="N198" s="180" t="e">
        <f>#REF!-H198</f>
        <v>#REF!</v>
      </c>
    </row>
    <row r="199" spans="1:15">
      <c r="A199" s="96">
        <v>87</v>
      </c>
      <c r="B199" s="292"/>
      <c r="C199" s="2" t="s">
        <v>421</v>
      </c>
      <c r="D199" s="16">
        <v>132000</v>
      </c>
      <c r="E199" s="16">
        <v>17595.599999999999</v>
      </c>
      <c r="F199" s="16">
        <v>149595.6</v>
      </c>
      <c r="G199" s="45">
        <v>40</v>
      </c>
      <c r="H199" s="19">
        <v>3739.89</v>
      </c>
      <c r="I199" s="97">
        <v>46</v>
      </c>
      <c r="J199" s="97">
        <f>G199-I199</f>
        <v>-6</v>
      </c>
      <c r="K199" s="91">
        <f>I199*H199</f>
        <v>172034.94</v>
      </c>
      <c r="L199" s="94">
        <f>F199-K199</f>
        <v>-22439.339999999997</v>
      </c>
      <c r="M199" s="11"/>
      <c r="N199" s="180" t="e">
        <f>#REF!-H199</f>
        <v>#REF!</v>
      </c>
    </row>
    <row r="200" spans="1:15" s="121" customFormat="1">
      <c r="A200" s="96">
        <v>116</v>
      </c>
      <c r="B200" s="292"/>
      <c r="C200" s="2" t="s">
        <v>377</v>
      </c>
      <c r="D200" s="155">
        <v>330000</v>
      </c>
      <c r="E200" s="155">
        <v>43989</v>
      </c>
      <c r="F200" s="155">
        <f>SUM(D200:E200)</f>
        <v>373989</v>
      </c>
      <c r="G200" s="33">
        <v>50</v>
      </c>
      <c r="H200" s="154">
        <v>7479.78</v>
      </c>
      <c r="I200" s="97">
        <v>12</v>
      </c>
      <c r="J200" s="97">
        <f>G200-I200</f>
        <v>38</v>
      </c>
      <c r="K200" s="91">
        <f>I200*H200</f>
        <v>89757.36</v>
      </c>
      <c r="L200" s="91">
        <f>F200-K200</f>
        <v>284231.64</v>
      </c>
      <c r="M200" s="122"/>
      <c r="N200" s="180" t="e">
        <f>#REF!-H200</f>
        <v>#REF!</v>
      </c>
      <c r="O200"/>
    </row>
    <row r="202" spans="1:15">
      <c r="A202" s="96">
        <v>144</v>
      </c>
      <c r="B202" s="292"/>
      <c r="C202" s="2" t="s">
        <v>410</v>
      </c>
      <c r="D202" s="41">
        <v>200000</v>
      </c>
      <c r="E202" s="41">
        <v>26660</v>
      </c>
      <c r="F202" s="41">
        <f>SUM(D202:E202)</f>
        <v>226660</v>
      </c>
      <c r="G202" s="33">
        <v>40</v>
      </c>
      <c r="H202" s="41">
        <v>5666.5</v>
      </c>
      <c r="I202" s="97">
        <v>40</v>
      </c>
      <c r="J202" s="97">
        <f>G202-I202</f>
        <v>0</v>
      </c>
      <c r="K202" s="91">
        <f>I202*H202</f>
        <v>226660</v>
      </c>
      <c r="L202" s="94">
        <f>F202-K202</f>
        <v>0</v>
      </c>
      <c r="M202" s="11"/>
      <c r="N202" s="180" t="e">
        <f>#REF!-H202</f>
        <v>#REF!</v>
      </c>
    </row>
    <row r="203" spans="1:15">
      <c r="A203" s="96">
        <v>147</v>
      </c>
      <c r="B203" s="292"/>
      <c r="C203" s="2" t="s">
        <v>411</v>
      </c>
      <c r="D203" s="41">
        <v>200000</v>
      </c>
      <c r="E203" s="41">
        <v>26660</v>
      </c>
      <c r="F203" s="41">
        <v>226660</v>
      </c>
      <c r="G203" s="33">
        <v>40</v>
      </c>
      <c r="H203" s="19">
        <v>5666.5</v>
      </c>
      <c r="I203" s="97">
        <v>40</v>
      </c>
      <c r="J203" s="97">
        <f>G203-I203</f>
        <v>0</v>
      </c>
      <c r="K203" s="91">
        <f>I203*H203</f>
        <v>226660</v>
      </c>
      <c r="L203" s="94">
        <f>F203-K203</f>
        <v>0</v>
      </c>
      <c r="M203" s="11"/>
      <c r="N203" s="180" t="e">
        <f>#REF!-H203</f>
        <v>#REF!</v>
      </c>
    </row>
    <row r="204" spans="1:15">
      <c r="A204" s="96">
        <v>148</v>
      </c>
      <c r="B204" s="292"/>
      <c r="C204" s="2" t="s">
        <v>412</v>
      </c>
      <c r="D204" s="41">
        <v>200000</v>
      </c>
      <c r="E204" s="41">
        <v>26660</v>
      </c>
      <c r="F204" s="41">
        <f>SUM(D204:E204)</f>
        <v>226660</v>
      </c>
      <c r="G204" s="33">
        <v>40</v>
      </c>
      <c r="H204" s="41">
        <v>5666.5</v>
      </c>
      <c r="I204" s="97">
        <v>40</v>
      </c>
      <c r="J204" s="97">
        <f>G204-I204</f>
        <v>0</v>
      </c>
      <c r="K204" s="91">
        <f>I204*H204</f>
        <v>226660</v>
      </c>
      <c r="L204" s="94">
        <f>F204-K204</f>
        <v>0</v>
      </c>
      <c r="M204" s="11"/>
      <c r="N204" s="180" t="e">
        <f>#REF!-H204</f>
        <v>#REF!</v>
      </c>
    </row>
    <row r="206" spans="1:15">
      <c r="A206" s="96">
        <v>6</v>
      </c>
      <c r="B206" s="292"/>
      <c r="C206" s="2" t="s">
        <v>418</v>
      </c>
      <c r="D206" s="16">
        <v>132000</v>
      </c>
      <c r="E206" s="16">
        <v>17595.599999999999</v>
      </c>
      <c r="F206" s="41">
        <f t="shared" ref="F206:F218" si="28">SUM(D206:E206)</f>
        <v>149595.6</v>
      </c>
      <c r="G206" s="33">
        <v>40</v>
      </c>
      <c r="H206" s="16">
        <v>3739.89</v>
      </c>
      <c r="I206" s="96">
        <v>40</v>
      </c>
      <c r="J206" s="96">
        <f t="shared" ref="J206:J226" si="29">G206-I206</f>
        <v>0</v>
      </c>
      <c r="K206" s="16">
        <f t="shared" ref="K206:K226" si="30">I206*H206</f>
        <v>149595.6</v>
      </c>
      <c r="L206" s="41">
        <f t="shared" ref="L206:L226" si="31">F206-K206</f>
        <v>0</v>
      </c>
      <c r="M206" s="11"/>
      <c r="N206" s="180" t="e">
        <f>#REF!-H206</f>
        <v>#REF!</v>
      </c>
    </row>
    <row r="207" spans="1:15">
      <c r="A207" s="96">
        <v>11</v>
      </c>
      <c r="B207" s="292"/>
      <c r="C207" s="2" t="s">
        <v>386</v>
      </c>
      <c r="D207" s="41">
        <v>200000</v>
      </c>
      <c r="E207" s="41">
        <v>26660</v>
      </c>
      <c r="F207" s="41">
        <f t="shared" si="28"/>
        <v>226660</v>
      </c>
      <c r="G207" s="33">
        <v>40</v>
      </c>
      <c r="H207" s="41">
        <v>5666.5</v>
      </c>
      <c r="I207" s="96">
        <v>40</v>
      </c>
      <c r="J207" s="96">
        <f t="shared" si="29"/>
        <v>0</v>
      </c>
      <c r="K207" s="16">
        <f t="shared" si="30"/>
        <v>226660</v>
      </c>
      <c r="L207" s="41">
        <f t="shared" si="31"/>
        <v>0</v>
      </c>
      <c r="M207" s="11"/>
      <c r="N207" s="180" t="e">
        <f>#REF!-H207</f>
        <v>#REF!</v>
      </c>
    </row>
    <row r="208" spans="1:15">
      <c r="A208" s="96">
        <v>13</v>
      </c>
      <c r="B208" s="292"/>
      <c r="C208" s="2" t="s">
        <v>387</v>
      </c>
      <c r="D208" s="41">
        <v>200000</v>
      </c>
      <c r="E208" s="41">
        <v>26660</v>
      </c>
      <c r="F208" s="41">
        <f t="shared" si="28"/>
        <v>226660</v>
      </c>
      <c r="G208" s="33">
        <v>40</v>
      </c>
      <c r="H208" s="41">
        <v>5666.5</v>
      </c>
      <c r="I208" s="96">
        <v>40</v>
      </c>
      <c r="J208" s="96">
        <f t="shared" si="29"/>
        <v>0</v>
      </c>
      <c r="K208" s="16">
        <f t="shared" si="30"/>
        <v>226660</v>
      </c>
      <c r="L208" s="41">
        <f t="shared" si="31"/>
        <v>0</v>
      </c>
      <c r="M208" s="11"/>
      <c r="N208" s="180" t="e">
        <f>#REF!-H208</f>
        <v>#REF!</v>
      </c>
    </row>
    <row r="209" spans="1:15">
      <c r="A209" s="96">
        <v>20</v>
      </c>
      <c r="B209" s="292"/>
      <c r="C209" s="2" t="s">
        <v>390</v>
      </c>
      <c r="D209" s="41">
        <v>200000</v>
      </c>
      <c r="E209" s="41">
        <v>26660</v>
      </c>
      <c r="F209" s="41">
        <f t="shared" si="28"/>
        <v>226660</v>
      </c>
      <c r="G209" s="33">
        <v>40</v>
      </c>
      <c r="H209" s="41">
        <v>5666.5</v>
      </c>
      <c r="I209" s="96">
        <v>40</v>
      </c>
      <c r="J209" s="96">
        <f t="shared" si="29"/>
        <v>0</v>
      </c>
      <c r="K209" s="16">
        <f t="shared" si="30"/>
        <v>226660</v>
      </c>
      <c r="L209" s="41">
        <f t="shared" si="31"/>
        <v>0</v>
      </c>
      <c r="M209" s="11"/>
      <c r="N209" s="180" t="e">
        <f>#REF!-H209</f>
        <v>#REF!</v>
      </c>
    </row>
    <row r="210" spans="1:15">
      <c r="A210" s="96">
        <v>29</v>
      </c>
      <c r="B210" s="292"/>
      <c r="C210" s="2" t="s">
        <v>391</v>
      </c>
      <c r="D210" s="41">
        <v>200000</v>
      </c>
      <c r="E210" s="41">
        <v>26660</v>
      </c>
      <c r="F210" s="41">
        <f t="shared" si="28"/>
        <v>226660</v>
      </c>
      <c r="G210" s="33">
        <v>40</v>
      </c>
      <c r="H210" s="41">
        <v>5666.5</v>
      </c>
      <c r="I210" s="97">
        <v>40</v>
      </c>
      <c r="J210" s="97">
        <f t="shared" si="29"/>
        <v>0</v>
      </c>
      <c r="K210" s="91">
        <f t="shared" si="30"/>
        <v>226660</v>
      </c>
      <c r="L210" s="94">
        <f t="shared" si="31"/>
        <v>0</v>
      </c>
      <c r="M210" s="11"/>
      <c r="N210" s="180" t="e">
        <f>#REF!-H210</f>
        <v>#REF!</v>
      </c>
    </row>
    <row r="211" spans="1:15">
      <c r="A211" s="96">
        <v>31</v>
      </c>
      <c r="B211" s="292"/>
      <c r="C211" s="2" t="s">
        <v>392</v>
      </c>
      <c r="D211" s="41">
        <v>200000</v>
      </c>
      <c r="E211" s="41">
        <v>26660</v>
      </c>
      <c r="F211" s="41">
        <f t="shared" si="28"/>
        <v>226660</v>
      </c>
      <c r="G211" s="33">
        <v>40</v>
      </c>
      <c r="H211" s="41">
        <v>5666.5</v>
      </c>
      <c r="I211" s="97">
        <v>40</v>
      </c>
      <c r="J211" s="97">
        <f t="shared" si="29"/>
        <v>0</v>
      </c>
      <c r="K211" s="91">
        <f t="shared" si="30"/>
        <v>226660</v>
      </c>
      <c r="L211" s="94">
        <f t="shared" si="31"/>
        <v>0</v>
      </c>
      <c r="M211" s="11"/>
      <c r="N211" s="180" t="e">
        <f>#REF!-H211</f>
        <v>#REF!</v>
      </c>
    </row>
    <row r="212" spans="1:15">
      <c r="A212" s="96">
        <v>34</v>
      </c>
      <c r="B212" s="292"/>
      <c r="C212" s="2" t="s">
        <v>393</v>
      </c>
      <c r="D212" s="41">
        <v>200000</v>
      </c>
      <c r="E212" s="41">
        <v>26660</v>
      </c>
      <c r="F212" s="41">
        <f t="shared" si="28"/>
        <v>226660</v>
      </c>
      <c r="G212" s="33">
        <v>40</v>
      </c>
      <c r="H212" s="41">
        <v>5666.5</v>
      </c>
      <c r="I212" s="97">
        <v>40</v>
      </c>
      <c r="J212" s="97">
        <f t="shared" si="29"/>
        <v>0</v>
      </c>
      <c r="K212" s="91">
        <f t="shared" si="30"/>
        <v>226660</v>
      </c>
      <c r="L212" s="94">
        <f t="shared" si="31"/>
        <v>0</v>
      </c>
      <c r="M212" s="11"/>
      <c r="N212" s="180" t="e">
        <f>#REF!-H212</f>
        <v>#REF!</v>
      </c>
    </row>
    <row r="213" spans="1:15">
      <c r="A213" s="96">
        <v>41</v>
      </c>
      <c r="B213" s="292"/>
      <c r="C213" s="2" t="s">
        <v>415</v>
      </c>
      <c r="D213" s="16">
        <v>180000</v>
      </c>
      <c r="E213" s="16">
        <v>23994</v>
      </c>
      <c r="F213" s="41">
        <f t="shared" si="28"/>
        <v>203994</v>
      </c>
      <c r="G213" s="33">
        <v>40</v>
      </c>
      <c r="H213" s="16">
        <v>5099.8500000000004</v>
      </c>
      <c r="I213" s="97">
        <v>40</v>
      </c>
      <c r="J213" s="97">
        <f t="shared" si="29"/>
        <v>0</v>
      </c>
      <c r="K213" s="91">
        <f t="shared" si="30"/>
        <v>203994</v>
      </c>
      <c r="L213" s="94">
        <f t="shared" si="31"/>
        <v>0</v>
      </c>
      <c r="M213" s="11"/>
      <c r="N213" s="180" t="e">
        <f>#REF!-H213</f>
        <v>#REF!</v>
      </c>
    </row>
    <row r="214" spans="1:15">
      <c r="A214" s="96">
        <v>45</v>
      </c>
      <c r="B214" s="292"/>
      <c r="C214" s="2" t="s">
        <v>394</v>
      </c>
      <c r="D214" s="41">
        <v>200000</v>
      </c>
      <c r="E214" s="41">
        <v>26660</v>
      </c>
      <c r="F214" s="41">
        <f t="shared" si="28"/>
        <v>226660</v>
      </c>
      <c r="G214" s="33">
        <v>40</v>
      </c>
      <c r="H214" s="41">
        <v>5666.5</v>
      </c>
      <c r="I214" s="97">
        <v>40</v>
      </c>
      <c r="J214" s="97">
        <f t="shared" si="29"/>
        <v>0</v>
      </c>
      <c r="K214" s="91">
        <f t="shared" si="30"/>
        <v>226660</v>
      </c>
      <c r="L214" s="94">
        <f t="shared" si="31"/>
        <v>0</v>
      </c>
      <c r="M214" s="11"/>
      <c r="N214" s="180" t="e">
        <f>#REF!-H214</f>
        <v>#REF!</v>
      </c>
    </row>
    <row r="215" spans="1:15">
      <c r="A215" s="96">
        <v>51</v>
      </c>
      <c r="B215" s="292"/>
      <c r="C215" s="2" t="s">
        <v>395</v>
      </c>
      <c r="D215" s="15">
        <v>200000</v>
      </c>
      <c r="E215" s="15">
        <v>26660</v>
      </c>
      <c r="F215" s="15">
        <f t="shared" si="28"/>
        <v>226660</v>
      </c>
      <c r="G215" s="31">
        <v>40</v>
      </c>
      <c r="H215" s="15">
        <v>5666.5</v>
      </c>
      <c r="I215" s="14">
        <v>38</v>
      </c>
      <c r="J215" s="97">
        <f t="shared" si="29"/>
        <v>2</v>
      </c>
      <c r="K215" s="91">
        <f t="shared" si="30"/>
        <v>215327</v>
      </c>
      <c r="L215" s="15">
        <f t="shared" si="31"/>
        <v>11333</v>
      </c>
      <c r="M215" s="8"/>
      <c r="N215" s="180" t="e">
        <f>#REF!-H215</f>
        <v>#REF!</v>
      </c>
    </row>
    <row r="216" spans="1:15">
      <c r="A216" s="96">
        <v>59</v>
      </c>
      <c r="B216" s="292"/>
      <c r="C216" s="2" t="s">
        <v>419</v>
      </c>
      <c r="D216" s="16">
        <v>132000</v>
      </c>
      <c r="E216" s="16">
        <v>17595.599999999999</v>
      </c>
      <c r="F216" s="41">
        <f t="shared" si="28"/>
        <v>149595.6</v>
      </c>
      <c r="G216" s="33">
        <v>40</v>
      </c>
      <c r="H216" s="16">
        <v>3739.89</v>
      </c>
      <c r="I216" s="97">
        <v>40</v>
      </c>
      <c r="J216" s="97">
        <f t="shared" si="29"/>
        <v>0</v>
      </c>
      <c r="K216" s="91">
        <f t="shared" si="30"/>
        <v>149595.6</v>
      </c>
      <c r="L216" s="94">
        <f t="shared" si="31"/>
        <v>0</v>
      </c>
      <c r="M216" s="11"/>
      <c r="N216" s="180" t="e">
        <f>#REF!-H216</f>
        <v>#REF!</v>
      </c>
    </row>
    <row r="217" spans="1:15">
      <c r="A217" s="96">
        <v>60</v>
      </c>
      <c r="B217" s="292"/>
      <c r="C217" s="2" t="s">
        <v>396</v>
      </c>
      <c r="D217" s="41">
        <v>200000</v>
      </c>
      <c r="E217" s="41">
        <v>26660</v>
      </c>
      <c r="F217" s="41">
        <f t="shared" si="28"/>
        <v>226660</v>
      </c>
      <c r="G217" s="33">
        <v>40</v>
      </c>
      <c r="H217" s="41">
        <v>5666.5</v>
      </c>
      <c r="I217" s="97">
        <v>40</v>
      </c>
      <c r="J217" s="97">
        <f t="shared" si="29"/>
        <v>0</v>
      </c>
      <c r="K217" s="91">
        <f t="shared" si="30"/>
        <v>226660</v>
      </c>
      <c r="L217" s="94">
        <f t="shared" si="31"/>
        <v>0</v>
      </c>
      <c r="M217" s="11"/>
      <c r="N217" s="180" t="e">
        <f>#REF!-H217</f>
        <v>#REF!</v>
      </c>
    </row>
    <row r="218" spans="1:15">
      <c r="A218" s="96">
        <v>65</v>
      </c>
      <c r="B218" s="292"/>
      <c r="C218" s="2" t="s">
        <v>420</v>
      </c>
      <c r="D218" s="16">
        <v>132000</v>
      </c>
      <c r="E218" s="16">
        <v>17595.599999999999</v>
      </c>
      <c r="F218" s="41">
        <f t="shared" si="28"/>
        <v>149595.6</v>
      </c>
      <c r="G218" s="33">
        <v>40</v>
      </c>
      <c r="H218" s="16">
        <v>3739.89</v>
      </c>
      <c r="I218" s="97">
        <v>40</v>
      </c>
      <c r="J218" s="97">
        <f t="shared" si="29"/>
        <v>0</v>
      </c>
      <c r="K218" s="91">
        <f t="shared" si="30"/>
        <v>149595.6</v>
      </c>
      <c r="L218" s="94">
        <f t="shared" si="31"/>
        <v>0</v>
      </c>
      <c r="M218" s="11"/>
      <c r="N218" s="180" t="e">
        <f>#REF!-H218</f>
        <v>#REF!</v>
      </c>
    </row>
    <row r="219" spans="1:15">
      <c r="A219" s="96">
        <v>67</v>
      </c>
      <c r="B219" s="292"/>
      <c r="C219" s="2" t="s">
        <v>397</v>
      </c>
      <c r="D219" s="41">
        <v>200000</v>
      </c>
      <c r="E219" s="41">
        <v>26660</v>
      </c>
      <c r="F219" s="41">
        <v>226660</v>
      </c>
      <c r="G219" s="33">
        <v>40</v>
      </c>
      <c r="H219" s="19">
        <v>5666.5</v>
      </c>
      <c r="I219" s="97">
        <v>40</v>
      </c>
      <c r="J219" s="97">
        <f t="shared" si="29"/>
        <v>0</v>
      </c>
      <c r="K219" s="91">
        <f t="shared" si="30"/>
        <v>226660</v>
      </c>
      <c r="L219" s="94">
        <f t="shared" si="31"/>
        <v>0</v>
      </c>
      <c r="M219" s="11"/>
      <c r="N219" s="180" t="e">
        <f>#REF!-H219</f>
        <v>#REF!</v>
      </c>
    </row>
    <row r="220" spans="1:15">
      <c r="A220" s="96">
        <v>69</v>
      </c>
      <c r="B220" s="292"/>
      <c r="C220" s="2" t="s">
        <v>398</v>
      </c>
      <c r="D220" s="41">
        <v>200000</v>
      </c>
      <c r="E220" s="41">
        <v>26660</v>
      </c>
      <c r="F220" s="41">
        <f>SUM(D220:E220)</f>
        <v>226660</v>
      </c>
      <c r="G220" s="33">
        <v>40</v>
      </c>
      <c r="H220" s="41">
        <v>5666.5</v>
      </c>
      <c r="I220" s="97">
        <v>40</v>
      </c>
      <c r="J220" s="97">
        <f t="shared" si="29"/>
        <v>0</v>
      </c>
      <c r="K220" s="91">
        <f t="shared" si="30"/>
        <v>226660</v>
      </c>
      <c r="L220" s="94">
        <f t="shared" si="31"/>
        <v>0</v>
      </c>
      <c r="M220" s="11"/>
      <c r="N220" s="180" t="e">
        <f>#REF!-H220</f>
        <v>#REF!</v>
      </c>
    </row>
    <row r="221" spans="1:15">
      <c r="A221" s="96">
        <v>72</v>
      </c>
      <c r="B221" s="292"/>
      <c r="C221" s="2" t="s">
        <v>399</v>
      </c>
      <c r="D221" s="41">
        <v>200000</v>
      </c>
      <c r="E221" s="41">
        <v>26660</v>
      </c>
      <c r="F221" s="41">
        <f>SUM(D221:E221)</f>
        <v>226660</v>
      </c>
      <c r="G221" s="33">
        <v>40</v>
      </c>
      <c r="H221" s="41">
        <v>5666.5</v>
      </c>
      <c r="I221" s="97">
        <v>40</v>
      </c>
      <c r="J221" s="97">
        <f t="shared" si="29"/>
        <v>0</v>
      </c>
      <c r="K221" s="91">
        <f t="shared" si="30"/>
        <v>226660</v>
      </c>
      <c r="L221" s="94">
        <f t="shared" si="31"/>
        <v>0</v>
      </c>
      <c r="M221" s="11"/>
      <c r="N221" s="180" t="e">
        <f>#REF!-H221</f>
        <v>#REF!</v>
      </c>
    </row>
    <row r="222" spans="1:15">
      <c r="A222" s="96">
        <v>73</v>
      </c>
      <c r="B222" s="292"/>
      <c r="C222" s="2" t="s">
        <v>428</v>
      </c>
      <c r="D222" s="16">
        <v>60000</v>
      </c>
      <c r="E222" s="16">
        <v>7998</v>
      </c>
      <c r="F222" s="41">
        <f>SUM(D222:E222)</f>
        <v>67998</v>
      </c>
      <c r="G222" s="33">
        <v>40</v>
      </c>
      <c r="H222" s="16">
        <v>1699.95</v>
      </c>
      <c r="I222" s="97">
        <v>40</v>
      </c>
      <c r="J222" s="97">
        <f t="shared" si="29"/>
        <v>0</v>
      </c>
      <c r="K222" s="91">
        <f t="shared" si="30"/>
        <v>67998</v>
      </c>
      <c r="L222" s="94">
        <f t="shared" si="31"/>
        <v>0</v>
      </c>
      <c r="M222" s="11"/>
      <c r="N222" s="180" t="e">
        <f>#REF!-H222</f>
        <v>#REF!</v>
      </c>
      <c r="O222" s="114"/>
    </row>
    <row r="223" spans="1:15">
      <c r="A223" s="96">
        <v>77</v>
      </c>
      <c r="B223" s="292"/>
      <c r="C223" s="2" t="s">
        <v>401</v>
      </c>
      <c r="D223" s="41">
        <v>200000</v>
      </c>
      <c r="E223" s="41">
        <v>26660</v>
      </c>
      <c r="F223" s="41">
        <f>SUM(D223:E223)</f>
        <v>226660</v>
      </c>
      <c r="G223" s="33">
        <v>40</v>
      </c>
      <c r="H223" s="41">
        <v>5666.5</v>
      </c>
      <c r="I223" s="97">
        <v>40</v>
      </c>
      <c r="J223" s="97">
        <f t="shared" si="29"/>
        <v>0</v>
      </c>
      <c r="K223" s="91">
        <f t="shared" si="30"/>
        <v>226660</v>
      </c>
      <c r="L223" s="94">
        <f t="shared" si="31"/>
        <v>0</v>
      </c>
      <c r="M223" s="11"/>
      <c r="N223" s="180" t="e">
        <f>#REF!-H223</f>
        <v>#REF!</v>
      </c>
      <c r="O223" s="114"/>
    </row>
    <row r="224" spans="1:15">
      <c r="A224" s="96">
        <v>79</v>
      </c>
      <c r="B224" s="292"/>
      <c r="C224" s="2" t="s">
        <v>402</v>
      </c>
      <c r="D224" s="41">
        <v>200000</v>
      </c>
      <c r="E224" s="41">
        <v>26660</v>
      </c>
      <c r="F224" s="41">
        <f>SUM(D224:E224)</f>
        <v>226660</v>
      </c>
      <c r="G224" s="33">
        <v>40</v>
      </c>
      <c r="H224" s="41">
        <v>5666.5</v>
      </c>
      <c r="I224" s="97">
        <v>40</v>
      </c>
      <c r="J224" s="97">
        <f t="shared" si="29"/>
        <v>0</v>
      </c>
      <c r="K224" s="91">
        <f t="shared" si="30"/>
        <v>226660</v>
      </c>
      <c r="L224" s="94">
        <f t="shared" si="31"/>
        <v>0</v>
      </c>
      <c r="M224" s="11"/>
      <c r="N224" s="180" t="e">
        <f>#REF!-H224</f>
        <v>#REF!</v>
      </c>
      <c r="O224" s="114"/>
    </row>
    <row r="225" spans="1:15">
      <c r="A225" s="96">
        <v>82</v>
      </c>
      <c r="B225" s="292"/>
      <c r="C225" s="2" t="s">
        <v>404</v>
      </c>
      <c r="D225" s="41">
        <v>200000</v>
      </c>
      <c r="E225" s="41">
        <v>26660</v>
      </c>
      <c r="F225" s="41">
        <v>226660</v>
      </c>
      <c r="G225" s="33">
        <v>40</v>
      </c>
      <c r="H225" s="19">
        <v>5666.5</v>
      </c>
      <c r="I225" s="97">
        <v>40</v>
      </c>
      <c r="J225" s="97">
        <f t="shared" si="29"/>
        <v>0</v>
      </c>
      <c r="K225" s="91">
        <f t="shared" si="30"/>
        <v>226660</v>
      </c>
      <c r="L225" s="94">
        <f t="shared" si="31"/>
        <v>0</v>
      </c>
      <c r="M225" s="11"/>
      <c r="N225" s="180" t="e">
        <f>#REF!-H225</f>
        <v>#REF!</v>
      </c>
    </row>
    <row r="226" spans="1:15">
      <c r="A226" s="96">
        <v>84</v>
      </c>
      <c r="B226" s="292"/>
      <c r="C226" s="2" t="s">
        <v>405</v>
      </c>
      <c r="D226" s="41">
        <v>200000</v>
      </c>
      <c r="E226" s="41">
        <v>26660</v>
      </c>
      <c r="F226" s="41">
        <f>SUM(D226:E226)</f>
        <v>226660</v>
      </c>
      <c r="G226" s="33">
        <v>40</v>
      </c>
      <c r="H226" s="41">
        <v>5666.5</v>
      </c>
      <c r="I226" s="97">
        <v>40</v>
      </c>
      <c r="J226" s="97">
        <f t="shared" si="29"/>
        <v>0</v>
      </c>
      <c r="K226" s="91">
        <f t="shared" si="30"/>
        <v>226660</v>
      </c>
      <c r="L226" s="94">
        <f t="shared" si="31"/>
        <v>0</v>
      </c>
      <c r="M226" s="11"/>
      <c r="N226" s="180" t="e">
        <f>#REF!-H226</f>
        <v>#REF!</v>
      </c>
      <c r="O226" s="114"/>
    </row>
    <row r="227" spans="1:15">
      <c r="O227" s="114"/>
    </row>
    <row r="228" spans="1:15">
      <c r="O228" s="114"/>
    </row>
    <row r="229" spans="1:15">
      <c r="C229" s="127" t="s">
        <v>226</v>
      </c>
      <c r="D229" s="129">
        <v>200000</v>
      </c>
      <c r="E229" s="129">
        <v>26660</v>
      </c>
      <c r="F229" s="129">
        <v>226660</v>
      </c>
      <c r="G229" s="130">
        <v>40</v>
      </c>
      <c r="H229" s="137">
        <v>5666.5</v>
      </c>
      <c r="I229" s="134">
        <v>40</v>
      </c>
      <c r="J229" s="134">
        <f t="shared" ref="J229:J249" si="32">G229-I229</f>
        <v>0</v>
      </c>
      <c r="K229" s="135">
        <f t="shared" ref="K229:K249" si="33">I229*H229</f>
        <v>226660</v>
      </c>
      <c r="L229" s="136">
        <f t="shared" ref="L229:L249" si="34">F229-K229</f>
        <v>0</v>
      </c>
      <c r="M229" s="132"/>
      <c r="N229" s="121"/>
    </row>
    <row r="230" spans="1:15">
      <c r="C230" s="127" t="s">
        <v>181</v>
      </c>
      <c r="D230" s="129">
        <v>200000</v>
      </c>
      <c r="E230" s="129">
        <v>26660</v>
      </c>
      <c r="F230" s="129">
        <f t="shared" ref="F230:F236" si="35">SUM(D230:E230)</f>
        <v>226660</v>
      </c>
      <c r="G230" s="130">
        <v>40</v>
      </c>
      <c r="H230" s="129">
        <v>5666.5</v>
      </c>
      <c r="I230" s="134">
        <v>40</v>
      </c>
      <c r="J230" s="134">
        <f t="shared" si="32"/>
        <v>0</v>
      </c>
      <c r="K230" s="135">
        <f t="shared" si="33"/>
        <v>226660</v>
      </c>
      <c r="L230" s="136">
        <f t="shared" si="34"/>
        <v>0</v>
      </c>
      <c r="M230" s="132"/>
    </row>
    <row r="231" spans="1:15">
      <c r="C231" s="127" t="s">
        <v>249</v>
      </c>
      <c r="D231" s="128">
        <v>180000</v>
      </c>
      <c r="E231" s="128">
        <v>23994</v>
      </c>
      <c r="F231" s="129">
        <f t="shared" si="35"/>
        <v>203994</v>
      </c>
      <c r="G231" s="130">
        <v>40</v>
      </c>
      <c r="H231" s="128">
        <v>5099.8500000000004</v>
      </c>
      <c r="I231" s="134">
        <v>45</v>
      </c>
      <c r="J231" s="134">
        <f t="shared" si="32"/>
        <v>-5</v>
      </c>
      <c r="K231" s="135">
        <f t="shared" si="33"/>
        <v>229493.25000000003</v>
      </c>
      <c r="L231" s="136">
        <f t="shared" si="34"/>
        <v>-25499.250000000029</v>
      </c>
      <c r="M231" s="132"/>
    </row>
    <row r="232" spans="1:15">
      <c r="C232" s="127" t="s">
        <v>188</v>
      </c>
      <c r="D232" s="128">
        <v>180000</v>
      </c>
      <c r="E232" s="128">
        <v>23994</v>
      </c>
      <c r="F232" s="129">
        <f t="shared" si="35"/>
        <v>203994</v>
      </c>
      <c r="G232" s="130">
        <v>40</v>
      </c>
      <c r="H232" s="128">
        <v>5099.8500000000004</v>
      </c>
      <c r="I232" s="131">
        <v>37</v>
      </c>
      <c r="J232" s="131">
        <f t="shared" si="32"/>
        <v>3</v>
      </c>
      <c r="K232" s="128">
        <f t="shared" si="33"/>
        <v>188694.45</v>
      </c>
      <c r="L232" s="129">
        <f t="shared" si="34"/>
        <v>15299.549999999988</v>
      </c>
      <c r="M232" s="132"/>
    </row>
    <row r="233" spans="1:15">
      <c r="C233" s="127" t="s">
        <v>124</v>
      </c>
      <c r="D233" s="129">
        <v>200000</v>
      </c>
      <c r="E233" s="129">
        <v>26660</v>
      </c>
      <c r="F233" s="129">
        <f t="shared" si="35"/>
        <v>226660</v>
      </c>
      <c r="G233" s="130">
        <v>40</v>
      </c>
      <c r="H233" s="129">
        <v>5666.5</v>
      </c>
      <c r="I233" s="131">
        <v>40</v>
      </c>
      <c r="J233" s="131">
        <f t="shared" si="32"/>
        <v>0</v>
      </c>
      <c r="K233" s="128">
        <f t="shared" si="33"/>
        <v>226660</v>
      </c>
      <c r="L233" s="129">
        <f t="shared" si="34"/>
        <v>0</v>
      </c>
      <c r="M233" s="132"/>
    </row>
    <row r="234" spans="1:15">
      <c r="C234" s="127" t="s">
        <v>129</v>
      </c>
      <c r="D234" s="129">
        <v>200000</v>
      </c>
      <c r="E234" s="129">
        <v>26660</v>
      </c>
      <c r="F234" s="129">
        <f t="shared" si="35"/>
        <v>226660</v>
      </c>
      <c r="G234" s="130">
        <v>40</v>
      </c>
      <c r="H234" s="129">
        <v>5666.5</v>
      </c>
      <c r="I234" s="131">
        <v>38</v>
      </c>
      <c r="J234" s="131">
        <f t="shared" si="32"/>
        <v>2</v>
      </c>
      <c r="K234" s="128">
        <f t="shared" si="33"/>
        <v>215327</v>
      </c>
      <c r="L234" s="129">
        <f t="shared" si="34"/>
        <v>11333</v>
      </c>
      <c r="M234" s="132"/>
    </row>
    <row r="235" spans="1:15">
      <c r="C235" s="127" t="s">
        <v>202</v>
      </c>
      <c r="D235" s="128">
        <v>132000</v>
      </c>
      <c r="E235" s="128">
        <v>17595.599999999999</v>
      </c>
      <c r="F235" s="129">
        <f t="shared" si="35"/>
        <v>149595.6</v>
      </c>
      <c r="G235" s="130">
        <v>40</v>
      </c>
      <c r="H235" s="128">
        <v>3739.89</v>
      </c>
      <c r="I235" s="131">
        <v>34</v>
      </c>
      <c r="J235" s="131">
        <f t="shared" si="32"/>
        <v>6</v>
      </c>
      <c r="K235" s="128">
        <f t="shared" si="33"/>
        <v>127156.26</v>
      </c>
      <c r="L235" s="129">
        <f t="shared" si="34"/>
        <v>22439.340000000011</v>
      </c>
      <c r="M235" s="132"/>
    </row>
    <row r="236" spans="1:15">
      <c r="A236" s="101">
        <v>135</v>
      </c>
      <c r="B236" s="301"/>
      <c r="C236" s="125" t="s">
        <v>138</v>
      </c>
      <c r="D236" s="129">
        <v>200000</v>
      </c>
      <c r="E236" s="129">
        <v>26660</v>
      </c>
      <c r="F236" s="129">
        <f t="shared" si="35"/>
        <v>226660</v>
      </c>
      <c r="G236" s="130">
        <v>40</v>
      </c>
      <c r="H236" s="129">
        <v>5666.5</v>
      </c>
      <c r="I236" s="134">
        <v>37</v>
      </c>
      <c r="J236" s="134">
        <f t="shared" si="32"/>
        <v>3</v>
      </c>
      <c r="K236" s="135">
        <f t="shared" si="33"/>
        <v>209660.5</v>
      </c>
      <c r="L236" s="136">
        <f t="shared" si="34"/>
        <v>16999.5</v>
      </c>
      <c r="M236" s="132"/>
    </row>
    <row r="237" spans="1:15">
      <c r="A237" s="101">
        <v>167.333333333333</v>
      </c>
      <c r="B237" s="295"/>
      <c r="C237" s="127" t="s">
        <v>236</v>
      </c>
      <c r="D237" s="128">
        <v>180000</v>
      </c>
      <c r="E237" s="128">
        <v>23994</v>
      </c>
      <c r="F237" s="128">
        <v>203994</v>
      </c>
      <c r="G237" s="139">
        <v>40</v>
      </c>
      <c r="H237" s="137">
        <v>5099.8500000000004</v>
      </c>
      <c r="I237" s="134">
        <v>46</v>
      </c>
      <c r="J237" s="134">
        <f t="shared" si="32"/>
        <v>-6</v>
      </c>
      <c r="K237" s="135">
        <f t="shared" si="33"/>
        <v>234593.1</v>
      </c>
      <c r="L237" s="136">
        <f t="shared" si="34"/>
        <v>-30599.100000000006</v>
      </c>
      <c r="M237" s="140"/>
    </row>
    <row r="238" spans="1:15">
      <c r="A238" s="101">
        <v>144.833333333333</v>
      </c>
      <c r="B238" s="295"/>
      <c r="C238" s="127" t="s">
        <v>234</v>
      </c>
      <c r="D238" s="129">
        <v>200000</v>
      </c>
      <c r="E238" s="129">
        <v>26660</v>
      </c>
      <c r="F238" s="129">
        <v>226660</v>
      </c>
      <c r="G238" s="130">
        <v>40</v>
      </c>
      <c r="H238" s="137">
        <v>5666.5</v>
      </c>
      <c r="I238" s="134">
        <v>40</v>
      </c>
      <c r="J238" s="134">
        <f t="shared" si="32"/>
        <v>0</v>
      </c>
      <c r="K238" s="135">
        <f t="shared" si="33"/>
        <v>226660</v>
      </c>
      <c r="L238" s="136">
        <f t="shared" si="34"/>
        <v>0</v>
      </c>
      <c r="M238" s="132"/>
    </row>
    <row r="239" spans="1:15">
      <c r="A239" s="101">
        <v>146.333333333333</v>
      </c>
      <c r="B239" s="297"/>
      <c r="C239" s="141" t="s">
        <v>187</v>
      </c>
      <c r="D239" s="129">
        <v>150000</v>
      </c>
      <c r="E239" s="129">
        <v>11997</v>
      </c>
      <c r="F239" s="129">
        <f t="shared" ref="F239:F246" si="36">SUM(D239:E239)</f>
        <v>161997</v>
      </c>
      <c r="G239" s="130">
        <v>30</v>
      </c>
      <c r="H239" s="129">
        <v>5399.9</v>
      </c>
      <c r="I239" s="134">
        <v>31</v>
      </c>
      <c r="J239" s="134">
        <f t="shared" si="32"/>
        <v>-1</v>
      </c>
      <c r="K239" s="135">
        <f t="shared" si="33"/>
        <v>167396.9</v>
      </c>
      <c r="L239" s="136">
        <f t="shared" si="34"/>
        <v>-5399.8999999999942</v>
      </c>
      <c r="M239" s="132"/>
    </row>
    <row r="240" spans="1:15">
      <c r="A240" s="101">
        <v>147.833333333333</v>
      </c>
      <c r="B240" s="295"/>
      <c r="C240" s="127" t="s">
        <v>150</v>
      </c>
      <c r="D240" s="129">
        <v>200000</v>
      </c>
      <c r="E240" s="129">
        <v>26660</v>
      </c>
      <c r="F240" s="129">
        <f t="shared" si="36"/>
        <v>226660</v>
      </c>
      <c r="G240" s="130">
        <v>40</v>
      </c>
      <c r="H240" s="129">
        <v>5666.5</v>
      </c>
      <c r="I240" s="134">
        <v>40</v>
      </c>
      <c r="J240" s="134">
        <f t="shared" si="32"/>
        <v>0</v>
      </c>
      <c r="K240" s="135">
        <f t="shared" si="33"/>
        <v>226660</v>
      </c>
      <c r="L240" s="136">
        <f t="shared" si="34"/>
        <v>0</v>
      </c>
      <c r="M240" s="132"/>
    </row>
    <row r="241" spans="1:14">
      <c r="A241" s="101">
        <v>149.333333333333</v>
      </c>
      <c r="B241" s="301"/>
      <c r="C241" s="125" t="s">
        <v>151</v>
      </c>
      <c r="D241" s="129">
        <v>200000</v>
      </c>
      <c r="E241" s="129">
        <v>26660</v>
      </c>
      <c r="F241" s="129">
        <f t="shared" si="36"/>
        <v>226660</v>
      </c>
      <c r="G241" s="130">
        <v>40</v>
      </c>
      <c r="H241" s="129">
        <v>5666.5</v>
      </c>
      <c r="I241" s="134">
        <v>38</v>
      </c>
      <c r="J241" s="134">
        <f t="shared" si="32"/>
        <v>2</v>
      </c>
      <c r="K241" s="135">
        <f t="shared" si="33"/>
        <v>215327</v>
      </c>
      <c r="L241" s="136">
        <f t="shared" si="34"/>
        <v>11333</v>
      </c>
      <c r="M241" s="132"/>
    </row>
    <row r="242" spans="1:14">
      <c r="A242" s="101">
        <v>150.833333333333</v>
      </c>
      <c r="B242" s="301"/>
      <c r="C242" s="186" t="s">
        <v>266</v>
      </c>
      <c r="D242" s="128">
        <v>330000</v>
      </c>
      <c r="E242" s="128">
        <v>43989</v>
      </c>
      <c r="F242" s="129">
        <f t="shared" si="36"/>
        <v>373989</v>
      </c>
      <c r="G242" s="130">
        <v>50</v>
      </c>
      <c r="H242" s="138">
        <v>7479</v>
      </c>
      <c r="I242" s="134">
        <v>8</v>
      </c>
      <c r="J242" s="134">
        <f t="shared" si="32"/>
        <v>42</v>
      </c>
      <c r="K242" s="135">
        <f t="shared" si="33"/>
        <v>59832</v>
      </c>
      <c r="L242" s="136">
        <f t="shared" si="34"/>
        <v>314157</v>
      </c>
      <c r="M242" s="124"/>
    </row>
    <row r="243" spans="1:14">
      <c r="A243" s="101">
        <v>152.333333333333</v>
      </c>
      <c r="B243" s="301"/>
      <c r="C243" s="125" t="s">
        <v>156</v>
      </c>
      <c r="D243" s="129">
        <v>200000</v>
      </c>
      <c r="E243" s="129">
        <v>26660</v>
      </c>
      <c r="F243" s="129">
        <f t="shared" si="36"/>
        <v>226660</v>
      </c>
      <c r="G243" s="130">
        <v>40</v>
      </c>
      <c r="H243" s="133">
        <v>3739.89</v>
      </c>
      <c r="I243" s="134">
        <v>40</v>
      </c>
      <c r="J243" s="134">
        <f t="shared" si="32"/>
        <v>0</v>
      </c>
      <c r="K243" s="135">
        <f t="shared" si="33"/>
        <v>149595.6</v>
      </c>
      <c r="L243" s="136">
        <f t="shared" si="34"/>
        <v>77064.399999999994</v>
      </c>
      <c r="M243" s="132"/>
    </row>
    <row r="244" spans="1:14">
      <c r="A244" s="101">
        <v>153.833333333333</v>
      </c>
      <c r="B244" s="301"/>
      <c r="C244" s="125" t="s">
        <v>157</v>
      </c>
      <c r="D244" s="129">
        <v>200000</v>
      </c>
      <c r="E244" s="129">
        <v>26660</v>
      </c>
      <c r="F244" s="129">
        <f t="shared" si="36"/>
        <v>226660</v>
      </c>
      <c r="G244" s="130">
        <v>40</v>
      </c>
      <c r="H244" s="129">
        <v>5666.5</v>
      </c>
      <c r="I244" s="134">
        <v>40</v>
      </c>
      <c r="J244" s="134">
        <f t="shared" si="32"/>
        <v>0</v>
      </c>
      <c r="K244" s="135">
        <f t="shared" si="33"/>
        <v>226660</v>
      </c>
      <c r="L244" s="136">
        <f t="shared" si="34"/>
        <v>0</v>
      </c>
      <c r="M244" s="132"/>
    </row>
    <row r="245" spans="1:14">
      <c r="A245" s="101">
        <v>155.333333333333</v>
      </c>
      <c r="B245" s="301"/>
      <c r="C245" s="125" t="s">
        <v>158</v>
      </c>
      <c r="D245" s="129">
        <v>200000</v>
      </c>
      <c r="E245" s="129">
        <v>26660</v>
      </c>
      <c r="F245" s="129">
        <f t="shared" si="36"/>
        <v>226660</v>
      </c>
      <c r="G245" s="130">
        <v>40</v>
      </c>
      <c r="H245" s="129">
        <v>5666.5</v>
      </c>
      <c r="I245" s="134">
        <v>40</v>
      </c>
      <c r="J245" s="134">
        <f t="shared" si="32"/>
        <v>0</v>
      </c>
      <c r="K245" s="135">
        <f t="shared" si="33"/>
        <v>226660</v>
      </c>
      <c r="L245" s="136">
        <f t="shared" si="34"/>
        <v>0</v>
      </c>
      <c r="M245" s="132"/>
    </row>
    <row r="246" spans="1:14">
      <c r="A246" s="101">
        <v>156.833333333333</v>
      </c>
      <c r="B246" s="301"/>
      <c r="C246" s="125" t="s">
        <v>159</v>
      </c>
      <c r="D246" s="129">
        <v>200000</v>
      </c>
      <c r="E246" s="129">
        <v>26660</v>
      </c>
      <c r="F246" s="129">
        <f t="shared" si="36"/>
        <v>226660</v>
      </c>
      <c r="G246" s="130">
        <v>40</v>
      </c>
      <c r="H246" s="129">
        <v>5666.5</v>
      </c>
      <c r="I246" s="134">
        <v>31</v>
      </c>
      <c r="J246" s="134">
        <f t="shared" si="32"/>
        <v>9</v>
      </c>
      <c r="K246" s="135">
        <f t="shared" si="33"/>
        <v>175661.5</v>
      </c>
      <c r="L246" s="136">
        <f t="shared" si="34"/>
        <v>50998.5</v>
      </c>
      <c r="M246" s="132"/>
    </row>
    <row r="247" spans="1:14">
      <c r="A247" s="101">
        <v>158.333333333333</v>
      </c>
      <c r="B247" s="295"/>
      <c r="C247" s="127" t="s">
        <v>233</v>
      </c>
      <c r="D247" s="129">
        <v>200000</v>
      </c>
      <c r="E247" s="129">
        <v>26660</v>
      </c>
      <c r="F247" s="129">
        <v>226660</v>
      </c>
      <c r="G247" s="130">
        <v>40</v>
      </c>
      <c r="H247" s="137">
        <v>5666.5</v>
      </c>
      <c r="I247" s="134">
        <v>40</v>
      </c>
      <c r="J247" s="134">
        <f t="shared" si="32"/>
        <v>0</v>
      </c>
      <c r="K247" s="135">
        <f t="shared" si="33"/>
        <v>226660</v>
      </c>
      <c r="L247" s="136">
        <f t="shared" si="34"/>
        <v>0</v>
      </c>
      <c r="M247" s="132"/>
    </row>
    <row r="248" spans="1:14">
      <c r="A248" s="101">
        <v>159.833333333333</v>
      </c>
      <c r="B248" s="295"/>
      <c r="C248" s="127" t="s">
        <v>160</v>
      </c>
      <c r="D248" s="129">
        <v>200000</v>
      </c>
      <c r="E248" s="129">
        <v>26660</v>
      </c>
      <c r="F248" s="129">
        <f>SUM(D248:E248)</f>
        <v>226660</v>
      </c>
      <c r="G248" s="130">
        <v>40</v>
      </c>
      <c r="H248" s="129">
        <v>5666.5</v>
      </c>
      <c r="I248" s="134">
        <v>40</v>
      </c>
      <c r="J248" s="134">
        <f t="shared" si="32"/>
        <v>0</v>
      </c>
      <c r="K248" s="135">
        <f t="shared" si="33"/>
        <v>226660</v>
      </c>
      <c r="L248" s="136">
        <f t="shared" si="34"/>
        <v>0</v>
      </c>
      <c r="M248" s="132"/>
    </row>
    <row r="249" spans="1:14">
      <c r="A249" s="101">
        <v>161.333333333333</v>
      </c>
      <c r="B249" s="295"/>
      <c r="C249" s="127" t="s">
        <v>205</v>
      </c>
      <c r="D249" s="128">
        <v>132000</v>
      </c>
      <c r="E249" s="128">
        <v>17595.599999999999</v>
      </c>
      <c r="F249" s="129">
        <f>SUM(D249:E249)</f>
        <v>149595.6</v>
      </c>
      <c r="G249" s="130">
        <v>40</v>
      </c>
      <c r="H249" s="128">
        <v>3739.89</v>
      </c>
      <c r="I249" s="134">
        <v>40</v>
      </c>
      <c r="J249" s="134">
        <f t="shared" si="32"/>
        <v>0</v>
      </c>
      <c r="K249" s="135">
        <f t="shared" si="33"/>
        <v>149595.6</v>
      </c>
      <c r="L249" s="136">
        <f t="shared" si="34"/>
        <v>0</v>
      </c>
      <c r="M249" s="132"/>
    </row>
    <row r="251" spans="1:14">
      <c r="A251" s="101">
        <v>173.333333333333</v>
      </c>
      <c r="B251" s="297"/>
    </row>
    <row r="252" spans="1:14">
      <c r="A252" s="101">
        <v>174.833333333333</v>
      </c>
      <c r="B252" s="297"/>
    </row>
    <row r="255" spans="1:14">
      <c r="A255" s="160">
        <v>47</v>
      </c>
      <c r="B255" s="302"/>
      <c r="C255" s="181" t="s">
        <v>432</v>
      </c>
      <c r="D255" s="16">
        <v>500000</v>
      </c>
      <c r="E255" s="16">
        <v>66650</v>
      </c>
      <c r="F255" s="41">
        <f>SUM(D255:E255)</f>
        <v>566650</v>
      </c>
      <c r="G255" s="33">
        <v>50</v>
      </c>
      <c r="H255" s="24">
        <v>5666.5</v>
      </c>
      <c r="I255" s="97">
        <v>33</v>
      </c>
      <c r="J255" s="97">
        <f>G255-I255</f>
        <v>17</v>
      </c>
      <c r="K255" s="91">
        <f>I255*H255</f>
        <v>186994.5</v>
      </c>
      <c r="L255" s="94">
        <f>F255-K255</f>
        <v>379655.5</v>
      </c>
      <c r="M255" s="11"/>
      <c r="N255" s="180" t="e">
        <f>#REF!-H255</f>
        <v>#REF!</v>
      </c>
    </row>
    <row r="256" spans="1:14">
      <c r="A256" s="160">
        <v>70</v>
      </c>
      <c r="B256" s="302"/>
      <c r="C256" s="181" t="s">
        <v>433</v>
      </c>
      <c r="D256" s="41">
        <v>200000</v>
      </c>
      <c r="E256" s="41">
        <v>26660</v>
      </c>
      <c r="F256" s="41">
        <f>SUM(D256:E256)</f>
        <v>226660</v>
      </c>
      <c r="G256" s="33">
        <v>40</v>
      </c>
      <c r="H256" s="41">
        <v>5666.5</v>
      </c>
      <c r="I256" s="97">
        <v>40</v>
      </c>
      <c r="J256" s="97">
        <f>G256-I256</f>
        <v>0</v>
      </c>
      <c r="K256" s="91">
        <f>I256*H256</f>
        <v>226660</v>
      </c>
      <c r="L256" s="94">
        <f>F256-K256</f>
        <v>0</v>
      </c>
      <c r="M256" s="11"/>
      <c r="N256" s="180" t="e">
        <f>#REF!-H256</f>
        <v>#REF!</v>
      </c>
    </row>
    <row r="257" spans="1:14">
      <c r="A257" s="160">
        <v>93</v>
      </c>
      <c r="B257" s="302"/>
      <c r="C257" s="181" t="s">
        <v>434</v>
      </c>
      <c r="D257" s="41">
        <v>200000</v>
      </c>
      <c r="E257" s="41">
        <v>26660</v>
      </c>
      <c r="F257" s="41">
        <f>SUM(D257:E257)</f>
        <v>226660</v>
      </c>
      <c r="G257" s="33">
        <v>40</v>
      </c>
      <c r="H257" s="41">
        <v>5666.5</v>
      </c>
      <c r="I257" s="97">
        <v>41</v>
      </c>
      <c r="J257" s="97">
        <f>G257-I257</f>
        <v>-1</v>
      </c>
      <c r="K257" s="91">
        <f>I257*H257</f>
        <v>232326.5</v>
      </c>
      <c r="L257" s="94">
        <f>F257-K257</f>
        <v>-5666.5</v>
      </c>
      <c r="M257" s="11"/>
      <c r="N257" s="180" t="e">
        <f>#REF!-H257</f>
        <v>#REF!</v>
      </c>
    </row>
    <row r="258" spans="1:14">
      <c r="A258" s="160">
        <v>10</v>
      </c>
      <c r="B258" s="302"/>
      <c r="C258" s="181" t="s">
        <v>431</v>
      </c>
      <c r="D258" s="16">
        <v>450000</v>
      </c>
      <c r="E258" s="16">
        <v>28792.799999999999</v>
      </c>
      <c r="F258" s="41">
        <f>SUM(D258:E258)</f>
        <v>478792.8</v>
      </c>
      <c r="G258" s="33">
        <v>24</v>
      </c>
      <c r="H258" s="16">
        <v>19949.7</v>
      </c>
      <c r="I258" s="96">
        <v>24</v>
      </c>
      <c r="J258" s="96">
        <f>G258-I258</f>
        <v>0</v>
      </c>
      <c r="K258" s="16">
        <f>I258*H258</f>
        <v>478792.80000000005</v>
      </c>
      <c r="L258" s="41">
        <f>F258-K258</f>
        <v>0</v>
      </c>
      <c r="M258" s="11"/>
      <c r="N258" s="180" t="e">
        <f>#REF!-H258</f>
        <v>#REF!</v>
      </c>
    </row>
    <row r="259" spans="1:14">
      <c r="A259" s="160">
        <v>6</v>
      </c>
      <c r="B259" s="302"/>
      <c r="C259" s="181" t="s">
        <v>430</v>
      </c>
      <c r="D259" s="16">
        <v>330000</v>
      </c>
      <c r="E259" s="16">
        <v>21114.720000000001</v>
      </c>
      <c r="F259" s="41">
        <f>SUM(D259:E259)</f>
        <v>351114.72</v>
      </c>
      <c r="G259" s="33">
        <v>24</v>
      </c>
      <c r="H259" s="24">
        <v>6649.9</v>
      </c>
      <c r="I259" s="96">
        <v>24</v>
      </c>
      <c r="J259" s="96">
        <f>G259-I259</f>
        <v>0</v>
      </c>
      <c r="K259" s="16">
        <f>I259*H259</f>
        <v>159597.59999999998</v>
      </c>
      <c r="L259" s="41">
        <f>F259-K259</f>
        <v>191517.12</v>
      </c>
      <c r="M259" s="11"/>
      <c r="N259" s="180" t="e">
        <f>#REF!-H259</f>
        <v>#REF!</v>
      </c>
    </row>
    <row r="261" spans="1:14">
      <c r="A261" s="96">
        <v>77</v>
      </c>
      <c r="B261" s="292"/>
      <c r="C261" s="170" t="s">
        <v>400</v>
      </c>
      <c r="D261" s="41">
        <v>200000</v>
      </c>
      <c r="E261" s="41">
        <v>26660</v>
      </c>
      <c r="F261" s="41">
        <f>SUM(D261:E261)</f>
        <v>226660</v>
      </c>
      <c r="G261" s="33">
        <v>40</v>
      </c>
      <c r="H261" s="41">
        <v>5666.5</v>
      </c>
      <c r="I261" s="97">
        <v>36</v>
      </c>
      <c r="J261" s="97">
        <f>G261-I261</f>
        <v>4</v>
      </c>
      <c r="K261" s="91">
        <f>I261*H261</f>
        <v>203994</v>
      </c>
      <c r="L261" s="94">
        <f>F261-K261</f>
        <v>22666</v>
      </c>
      <c r="M261" s="11"/>
      <c r="N261" s="180" t="e">
        <f>#REF!-H261</f>
        <v>#REF!</v>
      </c>
    </row>
    <row r="262" spans="1:14">
      <c r="A262" s="96">
        <v>109</v>
      </c>
      <c r="B262" s="292"/>
      <c r="C262" s="142" t="s">
        <v>406</v>
      </c>
      <c r="D262" s="41">
        <v>200000</v>
      </c>
      <c r="E262" s="41">
        <v>26660</v>
      </c>
      <c r="F262" s="41">
        <f>SUM(D262:E262)</f>
        <v>226660</v>
      </c>
      <c r="G262" s="33">
        <v>40</v>
      </c>
      <c r="H262" s="41">
        <v>5666.5</v>
      </c>
      <c r="I262" s="97">
        <v>39</v>
      </c>
      <c r="J262" s="97">
        <f>G262-I262</f>
        <v>1</v>
      </c>
      <c r="K262" s="91">
        <f>I262*H262</f>
        <v>220993.5</v>
      </c>
      <c r="L262" s="94">
        <f>F262-K262</f>
        <v>5666.5</v>
      </c>
      <c r="M262" s="11"/>
      <c r="N262" s="180" t="e">
        <f>#REF!-H262</f>
        <v>#REF!</v>
      </c>
    </row>
    <row r="263" spans="1:14">
      <c r="A263" s="96">
        <v>127</v>
      </c>
      <c r="B263" s="292"/>
      <c r="C263" s="142" t="s">
        <v>423</v>
      </c>
      <c r="D263" s="16">
        <v>132000</v>
      </c>
      <c r="E263" s="16">
        <v>17595.599999999999</v>
      </c>
      <c r="F263" s="41">
        <f>SUM(D263:E263)</f>
        <v>149595.6</v>
      </c>
      <c r="G263" s="33">
        <v>40</v>
      </c>
      <c r="H263" s="16">
        <v>3739.89</v>
      </c>
      <c r="I263" s="97">
        <v>40</v>
      </c>
      <c r="J263" s="97">
        <f>G263-I263</f>
        <v>0</v>
      </c>
      <c r="K263" s="91">
        <f>I263*H263</f>
        <v>149595.6</v>
      </c>
      <c r="L263" s="94">
        <f>F263-K263</f>
        <v>0</v>
      </c>
      <c r="M263" s="11"/>
      <c r="N263" s="180" t="e">
        <f>#REF!-H263</f>
        <v>#REF!</v>
      </c>
    </row>
    <row r="264" spans="1:14">
      <c r="A264" s="96">
        <v>125</v>
      </c>
      <c r="B264" s="292"/>
      <c r="C264" s="142" t="s">
        <v>427</v>
      </c>
      <c r="D264" s="155">
        <v>150000</v>
      </c>
      <c r="E264" s="155">
        <v>19995</v>
      </c>
      <c r="F264" s="155">
        <f>SUM(D264:E264)</f>
        <v>169995</v>
      </c>
      <c r="G264" s="33">
        <v>50</v>
      </c>
      <c r="H264" s="154">
        <v>3399.9</v>
      </c>
      <c r="I264" s="97">
        <v>9</v>
      </c>
      <c r="J264" s="97">
        <f>G264-I264</f>
        <v>41</v>
      </c>
      <c r="K264" s="91">
        <f>I264*H264</f>
        <v>30599.100000000002</v>
      </c>
      <c r="L264" s="91">
        <f>F264-K264</f>
        <v>139395.9</v>
      </c>
      <c r="M264" s="122"/>
      <c r="N264" s="180" t="e">
        <f>#REF!-H264</f>
        <v>#REF!</v>
      </c>
    </row>
    <row r="265" spans="1:14">
      <c r="A265" s="96">
        <v>5</v>
      </c>
      <c r="B265" s="292"/>
      <c r="C265" s="2" t="s">
        <v>385</v>
      </c>
      <c r="D265" s="41">
        <v>200000</v>
      </c>
      <c r="E265" s="41">
        <v>26660</v>
      </c>
      <c r="F265" s="41">
        <f>SUM(D265:E265)</f>
        <v>226660</v>
      </c>
      <c r="G265" s="33">
        <v>40</v>
      </c>
      <c r="H265" s="41">
        <v>5666.5</v>
      </c>
      <c r="I265" s="96">
        <v>40</v>
      </c>
      <c r="J265" s="96">
        <f>G265-I265</f>
        <v>0</v>
      </c>
      <c r="K265" s="16">
        <f>I265*H265</f>
        <v>226660</v>
      </c>
      <c r="L265" s="41">
        <f>F265-K265</f>
        <v>0</v>
      </c>
      <c r="M265" s="11"/>
      <c r="N265" s="180" t="e">
        <f>#REF!-H265</f>
        <v>#REF!</v>
      </c>
    </row>
  </sheetData>
  <sortState ref="B6:M133">
    <sortCondition ref="C6:C133"/>
  </sortState>
  <mergeCells count="2">
    <mergeCell ref="A3:M3"/>
    <mergeCell ref="A4:M4"/>
  </mergeCells>
  <conditionalFormatting sqref="C259">
    <cfRule type="duplicateValues" dxfId="379" priority="134" stopIfTrue="1"/>
    <cfRule type="duplicateValues" dxfId="378" priority="135" stopIfTrue="1"/>
  </conditionalFormatting>
  <conditionalFormatting sqref="C259">
    <cfRule type="duplicateValues" dxfId="377" priority="133" stopIfTrue="1"/>
  </conditionalFormatting>
  <conditionalFormatting sqref="C206">
    <cfRule type="duplicateValues" dxfId="376" priority="131" stopIfTrue="1"/>
    <cfRule type="duplicateValues" dxfId="375" priority="132" stopIfTrue="1"/>
  </conditionalFormatting>
  <conditionalFormatting sqref="C206">
    <cfRule type="duplicateValues" dxfId="374" priority="130" stopIfTrue="1"/>
  </conditionalFormatting>
  <conditionalFormatting sqref="C258">
    <cfRule type="duplicateValues" dxfId="373" priority="128" stopIfTrue="1"/>
    <cfRule type="duplicateValues" dxfId="372" priority="129" stopIfTrue="1"/>
  </conditionalFormatting>
  <conditionalFormatting sqref="C258">
    <cfRule type="duplicateValues" dxfId="371" priority="127" stopIfTrue="1"/>
  </conditionalFormatting>
  <conditionalFormatting sqref="C208">
    <cfRule type="duplicateValues" dxfId="370" priority="125" stopIfTrue="1"/>
    <cfRule type="duplicateValues" dxfId="369" priority="126" stopIfTrue="1"/>
  </conditionalFormatting>
  <conditionalFormatting sqref="C208">
    <cfRule type="duplicateValues" dxfId="368" priority="124" stopIfTrue="1"/>
  </conditionalFormatting>
  <conditionalFormatting sqref="C209">
    <cfRule type="duplicateValues" dxfId="367" priority="122" stopIfTrue="1"/>
    <cfRule type="duplicateValues" dxfId="366" priority="123" stopIfTrue="1"/>
  </conditionalFormatting>
  <conditionalFormatting sqref="C209">
    <cfRule type="duplicateValues" dxfId="365" priority="121" stopIfTrue="1"/>
  </conditionalFormatting>
  <conditionalFormatting sqref="C211">
    <cfRule type="duplicateValues" dxfId="364" priority="119" stopIfTrue="1"/>
    <cfRule type="duplicateValues" dxfId="363" priority="120" stopIfTrue="1"/>
  </conditionalFormatting>
  <conditionalFormatting sqref="C211">
    <cfRule type="duplicateValues" dxfId="362" priority="118" stopIfTrue="1"/>
  </conditionalFormatting>
  <conditionalFormatting sqref="C212">
    <cfRule type="duplicateValues" dxfId="361" priority="116" stopIfTrue="1"/>
    <cfRule type="duplicateValues" dxfId="360" priority="117" stopIfTrue="1"/>
  </conditionalFormatting>
  <conditionalFormatting sqref="C212">
    <cfRule type="duplicateValues" dxfId="359" priority="115" stopIfTrue="1"/>
  </conditionalFormatting>
  <conditionalFormatting sqref="C255">
    <cfRule type="duplicateValues" dxfId="358" priority="113" stopIfTrue="1"/>
    <cfRule type="duplicateValues" dxfId="357" priority="114" stopIfTrue="1"/>
  </conditionalFormatting>
  <conditionalFormatting sqref="C255">
    <cfRule type="duplicateValues" dxfId="356" priority="112" stopIfTrue="1"/>
  </conditionalFormatting>
  <conditionalFormatting sqref="C214">
    <cfRule type="duplicateValues" dxfId="355" priority="110" stopIfTrue="1"/>
    <cfRule type="duplicateValues" dxfId="354" priority="111" stopIfTrue="1"/>
  </conditionalFormatting>
  <conditionalFormatting sqref="C214">
    <cfRule type="duplicateValues" dxfId="353" priority="109" stopIfTrue="1"/>
  </conditionalFormatting>
  <conditionalFormatting sqref="C215">
    <cfRule type="duplicateValues" dxfId="352" priority="107" stopIfTrue="1"/>
    <cfRule type="duplicateValues" dxfId="351" priority="108" stopIfTrue="1"/>
  </conditionalFormatting>
  <conditionalFormatting sqref="C215">
    <cfRule type="duplicateValues" dxfId="350" priority="106" stopIfTrue="1"/>
  </conditionalFormatting>
  <conditionalFormatting sqref="C216">
    <cfRule type="duplicateValues" dxfId="349" priority="104" stopIfTrue="1"/>
    <cfRule type="duplicateValues" dxfId="348" priority="105" stopIfTrue="1"/>
  </conditionalFormatting>
  <conditionalFormatting sqref="C216">
    <cfRule type="duplicateValues" dxfId="347" priority="103" stopIfTrue="1"/>
  </conditionalFormatting>
  <conditionalFormatting sqref="C231">
    <cfRule type="duplicateValues" dxfId="346" priority="101" stopIfTrue="1"/>
    <cfRule type="duplicateValues" dxfId="345" priority="102" stopIfTrue="1"/>
  </conditionalFormatting>
  <conditionalFormatting sqref="C231">
    <cfRule type="duplicateValues" dxfId="344" priority="100" stopIfTrue="1"/>
  </conditionalFormatting>
  <conditionalFormatting sqref="C218">
    <cfRule type="duplicateValues" dxfId="343" priority="98" stopIfTrue="1"/>
    <cfRule type="duplicateValues" dxfId="342" priority="99" stopIfTrue="1"/>
  </conditionalFormatting>
  <conditionalFormatting sqref="C218">
    <cfRule type="duplicateValues" dxfId="341" priority="97" stopIfTrue="1"/>
  </conditionalFormatting>
  <conditionalFormatting sqref="C256">
    <cfRule type="duplicateValues" dxfId="340" priority="95" stopIfTrue="1"/>
    <cfRule type="duplicateValues" dxfId="339" priority="96" stopIfTrue="1"/>
  </conditionalFormatting>
  <conditionalFormatting sqref="C256">
    <cfRule type="duplicateValues" dxfId="338" priority="94" stopIfTrue="1"/>
  </conditionalFormatting>
  <conditionalFormatting sqref="C219">
    <cfRule type="duplicateValues" dxfId="337" priority="92" stopIfTrue="1"/>
    <cfRule type="duplicateValues" dxfId="336" priority="93" stopIfTrue="1"/>
  </conditionalFormatting>
  <conditionalFormatting sqref="C219">
    <cfRule type="duplicateValues" dxfId="335" priority="91" stopIfTrue="1"/>
  </conditionalFormatting>
  <conditionalFormatting sqref="C220">
    <cfRule type="duplicateValues" dxfId="334" priority="89" stopIfTrue="1"/>
    <cfRule type="duplicateValues" dxfId="333" priority="90" stopIfTrue="1"/>
  </conditionalFormatting>
  <conditionalFormatting sqref="C220">
    <cfRule type="duplicateValues" dxfId="332" priority="88" stopIfTrue="1"/>
  </conditionalFormatting>
  <conditionalFormatting sqref="C261">
    <cfRule type="duplicateValues" dxfId="331" priority="86" stopIfTrue="1"/>
    <cfRule type="duplicateValues" dxfId="330" priority="87" stopIfTrue="1"/>
  </conditionalFormatting>
  <conditionalFormatting sqref="C261">
    <cfRule type="duplicateValues" dxfId="329" priority="85" stopIfTrue="1"/>
  </conditionalFormatting>
  <conditionalFormatting sqref="C223">
    <cfRule type="duplicateValues" dxfId="328" priority="83" stopIfTrue="1"/>
    <cfRule type="duplicateValues" dxfId="327" priority="84" stopIfTrue="1"/>
  </conditionalFormatting>
  <conditionalFormatting sqref="C223">
    <cfRule type="duplicateValues" dxfId="326" priority="82" stopIfTrue="1"/>
  </conditionalFormatting>
  <conditionalFormatting sqref="C226">
    <cfRule type="duplicateValues" dxfId="325" priority="80" stopIfTrue="1"/>
    <cfRule type="duplicateValues" dxfId="324" priority="81" stopIfTrue="1"/>
  </conditionalFormatting>
  <conditionalFormatting sqref="C226">
    <cfRule type="duplicateValues" dxfId="323" priority="79" stopIfTrue="1"/>
  </conditionalFormatting>
  <conditionalFormatting sqref="C199">
    <cfRule type="duplicateValues" dxfId="322" priority="77" stopIfTrue="1"/>
    <cfRule type="duplicateValues" dxfId="321" priority="78" stopIfTrue="1"/>
  </conditionalFormatting>
  <conditionalFormatting sqref="C199">
    <cfRule type="duplicateValues" dxfId="320" priority="76" stopIfTrue="1"/>
  </conditionalFormatting>
  <conditionalFormatting sqref="C257">
    <cfRule type="duplicateValues" dxfId="319" priority="74" stopIfTrue="1"/>
    <cfRule type="duplicateValues" dxfId="318" priority="75" stopIfTrue="1"/>
  </conditionalFormatting>
  <conditionalFormatting sqref="C257">
    <cfRule type="duplicateValues" dxfId="317" priority="73" stopIfTrue="1"/>
  </conditionalFormatting>
  <conditionalFormatting sqref="C249">
    <cfRule type="duplicateValues" dxfId="316" priority="71" stopIfTrue="1"/>
    <cfRule type="duplicateValues" dxfId="315" priority="72" stopIfTrue="1"/>
  </conditionalFormatting>
  <conditionalFormatting sqref="C249">
    <cfRule type="duplicateValues" dxfId="314" priority="70" stopIfTrue="1"/>
  </conditionalFormatting>
  <conditionalFormatting sqref="C221">
    <cfRule type="duplicateValues" dxfId="313" priority="68" stopIfTrue="1"/>
    <cfRule type="duplicateValues" dxfId="312" priority="69" stopIfTrue="1"/>
  </conditionalFormatting>
  <conditionalFormatting sqref="C221">
    <cfRule type="duplicateValues" dxfId="311" priority="67" stopIfTrue="1"/>
  </conditionalFormatting>
  <conditionalFormatting sqref="C236">
    <cfRule type="duplicateValues" dxfId="310" priority="65" stopIfTrue="1"/>
    <cfRule type="duplicateValues" dxfId="309" priority="66" stopIfTrue="1"/>
  </conditionalFormatting>
  <conditionalFormatting sqref="C236">
    <cfRule type="duplicateValues" dxfId="308" priority="64" stopIfTrue="1"/>
  </conditionalFormatting>
  <conditionalFormatting sqref="C238">
    <cfRule type="duplicateValues" dxfId="307" priority="62" stopIfTrue="1"/>
    <cfRule type="duplicateValues" dxfId="306" priority="63" stopIfTrue="1"/>
  </conditionalFormatting>
  <conditionalFormatting sqref="C238">
    <cfRule type="duplicateValues" dxfId="305" priority="61" stopIfTrue="1"/>
  </conditionalFormatting>
  <conditionalFormatting sqref="C240">
    <cfRule type="duplicateValues" dxfId="304" priority="59" stopIfTrue="1"/>
    <cfRule type="duplicateValues" dxfId="303" priority="60" stopIfTrue="1"/>
  </conditionalFormatting>
  <conditionalFormatting sqref="C240">
    <cfRule type="duplicateValues" dxfId="302" priority="58" stopIfTrue="1"/>
  </conditionalFormatting>
  <conditionalFormatting sqref="C241">
    <cfRule type="duplicateValues" dxfId="301" priority="56" stopIfTrue="1"/>
    <cfRule type="duplicateValues" dxfId="300" priority="57" stopIfTrue="1"/>
  </conditionalFormatting>
  <conditionalFormatting sqref="C241">
    <cfRule type="duplicateValues" dxfId="299" priority="55" stopIfTrue="1"/>
  </conditionalFormatting>
  <conditionalFormatting sqref="C242">
    <cfRule type="duplicateValues" dxfId="298" priority="53" stopIfTrue="1"/>
    <cfRule type="duplicateValues" dxfId="297" priority="54" stopIfTrue="1"/>
  </conditionalFormatting>
  <conditionalFormatting sqref="C242">
    <cfRule type="duplicateValues" dxfId="296" priority="52" stopIfTrue="1"/>
  </conditionalFormatting>
  <conditionalFormatting sqref="C243">
    <cfRule type="duplicateValues" dxfId="295" priority="50" stopIfTrue="1"/>
    <cfRule type="duplicateValues" dxfId="294" priority="51" stopIfTrue="1"/>
  </conditionalFormatting>
  <conditionalFormatting sqref="C243">
    <cfRule type="duplicateValues" dxfId="293" priority="49" stopIfTrue="1"/>
  </conditionalFormatting>
  <conditionalFormatting sqref="C244">
    <cfRule type="duplicateValues" dxfId="292" priority="47" stopIfTrue="1"/>
    <cfRule type="duplicateValues" dxfId="291" priority="48" stopIfTrue="1"/>
  </conditionalFormatting>
  <conditionalFormatting sqref="C244">
    <cfRule type="duplicateValues" dxfId="290" priority="46" stopIfTrue="1"/>
  </conditionalFormatting>
  <conditionalFormatting sqref="C245">
    <cfRule type="duplicateValues" dxfId="289" priority="44" stopIfTrue="1"/>
    <cfRule type="duplicateValues" dxfId="288" priority="45" stopIfTrue="1"/>
  </conditionalFormatting>
  <conditionalFormatting sqref="C245">
    <cfRule type="duplicateValues" dxfId="287" priority="43" stopIfTrue="1"/>
  </conditionalFormatting>
  <conditionalFormatting sqref="C3">
    <cfRule type="duplicateValues" dxfId="286" priority="42"/>
  </conditionalFormatting>
  <conditionalFormatting sqref="C246">
    <cfRule type="duplicateValues" dxfId="285" priority="40" stopIfTrue="1"/>
    <cfRule type="duplicateValues" dxfId="284" priority="41" stopIfTrue="1"/>
  </conditionalFormatting>
  <conditionalFormatting sqref="C246">
    <cfRule type="duplicateValues" dxfId="283" priority="39" stopIfTrue="1"/>
  </conditionalFormatting>
  <conditionalFormatting sqref="C198">
    <cfRule type="duplicateValues" dxfId="282" priority="37" stopIfTrue="1"/>
    <cfRule type="duplicateValues" dxfId="281" priority="38" stopIfTrue="1"/>
  </conditionalFormatting>
  <conditionalFormatting sqref="C198">
    <cfRule type="duplicateValues" dxfId="280" priority="36" stopIfTrue="1"/>
  </conditionalFormatting>
  <conditionalFormatting sqref="C210">
    <cfRule type="duplicateValues" dxfId="279" priority="35"/>
  </conditionalFormatting>
  <conditionalFormatting sqref="C186">
    <cfRule type="duplicateValues" dxfId="278" priority="34"/>
  </conditionalFormatting>
  <conditionalFormatting sqref="C251 C360:C1048576 C229:C249 C1:C5 C198:C200 C194 C202 C206:C226 C261:C265 C255:C259 C185:C186">
    <cfRule type="duplicateValues" dxfId="277" priority="33"/>
  </conditionalFormatting>
  <conditionalFormatting sqref="C255:C259 C261:C265 C198:C200 C194 C202 C206:C226 C185:C186">
    <cfRule type="duplicateValues" dxfId="276" priority="32"/>
  </conditionalFormatting>
  <conditionalFormatting sqref="C232:C233 C200 C262:C264">
    <cfRule type="duplicateValues" dxfId="275" priority="30" stopIfTrue="1"/>
    <cfRule type="duplicateValues" dxfId="274" priority="31" stopIfTrue="1"/>
  </conditionalFormatting>
  <conditionalFormatting sqref="C232:C233 C200 C262:C264">
    <cfRule type="duplicateValues" dxfId="273" priority="29" stopIfTrue="1"/>
  </conditionalFormatting>
  <conditionalFormatting sqref="C232:C233 C262:C264 C200">
    <cfRule type="duplicateValues" dxfId="272" priority="27" stopIfTrue="1"/>
    <cfRule type="duplicateValues" dxfId="271" priority="28" stopIfTrue="1"/>
  </conditionalFormatting>
  <conditionalFormatting sqref="C232:C233 C262:C264 C200">
    <cfRule type="duplicateValues" dxfId="270" priority="26" stopIfTrue="1"/>
  </conditionalFormatting>
  <conditionalFormatting sqref="C185">
    <cfRule type="duplicateValues" dxfId="269" priority="24" stopIfTrue="1"/>
    <cfRule type="duplicateValues" dxfId="268" priority="25" stopIfTrue="1"/>
  </conditionalFormatting>
  <conditionalFormatting sqref="C185">
    <cfRule type="duplicateValues" dxfId="267" priority="23" stopIfTrue="1"/>
  </conditionalFormatting>
  <conditionalFormatting sqref="C265 C196 C208:C210 C206 C198:C200 C212:C226 C202:C204 C194 C186">
    <cfRule type="duplicateValues" dxfId="266" priority="21" stopIfTrue="1"/>
    <cfRule type="duplicateValues" dxfId="265" priority="22" stopIfTrue="1"/>
  </conditionalFormatting>
  <conditionalFormatting sqref="C265 C196 C208:C210 C206 C198:C200 C212:C226 C202:C204 C194 C186">
    <cfRule type="duplicateValues" dxfId="264" priority="20" stopIfTrue="1"/>
  </conditionalFormatting>
  <conditionalFormatting sqref="C196 C194 C185:C186">
    <cfRule type="duplicateValues" dxfId="263" priority="18" stopIfTrue="1"/>
    <cfRule type="duplicateValues" dxfId="262" priority="19" stopIfTrue="1"/>
  </conditionalFormatting>
  <conditionalFormatting sqref="C196 C194 C185:C186">
    <cfRule type="duplicateValues" dxfId="261" priority="17" stopIfTrue="1"/>
  </conditionalFormatting>
  <conditionalFormatting sqref="C196 C194 C186">
    <cfRule type="duplicateValues" dxfId="260" priority="15" stopIfTrue="1"/>
    <cfRule type="duplicateValues" dxfId="259" priority="16" stopIfTrue="1"/>
  </conditionalFormatting>
  <conditionalFormatting sqref="C196 C194 C186">
    <cfRule type="duplicateValues" dxfId="258" priority="14" stopIfTrue="1"/>
  </conditionalFormatting>
  <conditionalFormatting sqref="C261:C265 C212:C226 C208:C210 C206 C198:C200 C196 C202:C204 C194 C185:C186">
    <cfRule type="duplicateValues" dxfId="257" priority="12" stopIfTrue="1"/>
    <cfRule type="duplicateValues" dxfId="256" priority="13" stopIfTrue="1"/>
  </conditionalFormatting>
  <conditionalFormatting sqref="C261:C265 C212:C226 C208:C210 C206 C198:C200 C196 C202:C204 C194 C185:C186">
    <cfRule type="duplicateValues" dxfId="255" priority="11" stopIfTrue="1"/>
  </conditionalFormatting>
  <conditionalFormatting sqref="C186">
    <cfRule type="duplicateValues" dxfId="254" priority="9" stopIfTrue="1"/>
    <cfRule type="duplicateValues" dxfId="253" priority="10" stopIfTrue="1"/>
  </conditionalFormatting>
  <conditionalFormatting sqref="C194 C240:C245 C229:C230 C236:C238 C186">
    <cfRule type="duplicateValues" dxfId="252" priority="7" stopIfTrue="1"/>
    <cfRule type="duplicateValues" dxfId="251" priority="8" stopIfTrue="1"/>
  </conditionalFormatting>
  <conditionalFormatting sqref="C194 C240:C245 C229:C230 C236:C238 C186">
    <cfRule type="duplicateValues" dxfId="250" priority="6" stopIfTrue="1"/>
  </conditionalFormatting>
  <conditionalFormatting sqref="C194 C240:C245 C360:C1048576 C247:C249 C198:C200 C1:C2 C4:C5 C211:C224 C261:C265 C255:C259 C206:C209 C226 C236:C238 C229:C233 C186">
    <cfRule type="duplicateValues" dxfId="249" priority="5"/>
  </conditionalFormatting>
  <conditionalFormatting sqref="C194 C261:C265 C360:C1048576 C1:C5 C255:C259 C198:C200 C206:C209 C229:C233 C236:C238 C211:C224 C240:C249 C226 C186">
    <cfRule type="duplicateValues" dxfId="248" priority="4"/>
  </conditionalFormatting>
  <conditionalFormatting sqref="C174:C175 C177:C183 C168:C172">
    <cfRule type="duplicateValues" dxfId="247" priority="2" stopIfTrue="1"/>
    <cfRule type="duplicateValues" dxfId="246" priority="3" stopIfTrue="1"/>
  </conditionalFormatting>
  <conditionalFormatting sqref="C174:C175 C177:C183 C168:C172">
    <cfRule type="duplicateValues" dxfId="245" priority="1" stopIfTrue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3:O153"/>
  <sheetViews>
    <sheetView topLeftCell="A79" workbookViewId="0">
      <selection activeCell="D99" sqref="D99"/>
    </sheetView>
  </sheetViews>
  <sheetFormatPr defaultRowHeight="15"/>
  <cols>
    <col min="1" max="1" width="4.5703125" style="44" customWidth="1"/>
    <col min="2" max="2" width="13.140625" style="298" customWidth="1"/>
    <col min="3" max="3" width="37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1143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291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93" t="s">
        <v>1072</v>
      </c>
      <c r="C6" s="123" t="s">
        <v>1073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304">
        <v>7479.78</v>
      </c>
      <c r="I6" s="159">
        <v>7</v>
      </c>
      <c r="J6" s="159">
        <f t="shared" ref="J6:J20" si="0">G6-I6</f>
        <v>43</v>
      </c>
      <c r="K6" s="16">
        <f t="shared" ref="K6:K29" si="1">I6*H6</f>
        <v>52358.46</v>
      </c>
      <c r="L6" s="94">
        <f t="shared" ref="L6:L37" si="2">F6-K6</f>
        <v>321630.53999999998</v>
      </c>
      <c r="M6" s="11"/>
      <c r="N6" s="180" t="e">
        <f>#REF!-H6</f>
        <v>#REF!</v>
      </c>
    </row>
    <row r="7" spans="1:14" s="114" customFormat="1">
      <c r="A7" s="96">
        <v>2</v>
      </c>
      <c r="B7" s="295" t="s">
        <v>1016</v>
      </c>
      <c r="C7" s="8" t="s">
        <v>1017</v>
      </c>
      <c r="D7" s="16">
        <v>500000</v>
      </c>
      <c r="E7" s="16">
        <v>47988.040000000037</v>
      </c>
      <c r="F7" s="41">
        <f>SUM(D7:E7)</f>
        <v>547988.04</v>
      </c>
      <c r="G7" s="159">
        <v>36</v>
      </c>
      <c r="H7" s="306">
        <v>15221.89</v>
      </c>
      <c r="I7" s="159">
        <v>23</v>
      </c>
      <c r="J7" s="159">
        <f t="shared" si="0"/>
        <v>13</v>
      </c>
      <c r="K7" s="16">
        <f t="shared" si="1"/>
        <v>350103.47</v>
      </c>
      <c r="L7" s="94">
        <f t="shared" si="2"/>
        <v>197884.57000000007</v>
      </c>
      <c r="M7" s="8"/>
    </row>
    <row r="8" spans="1:14" s="114" customFormat="1">
      <c r="A8" s="96">
        <v>3</v>
      </c>
      <c r="B8" s="293" t="s">
        <v>1014</v>
      </c>
      <c r="C8" s="123" t="s">
        <v>1015</v>
      </c>
      <c r="D8" s="19">
        <v>450000</v>
      </c>
      <c r="E8" s="19">
        <v>59985</v>
      </c>
      <c r="F8" s="19">
        <v>509985</v>
      </c>
      <c r="G8" s="159">
        <v>50</v>
      </c>
      <c r="H8" s="304">
        <v>10199.700000000001</v>
      </c>
      <c r="I8" s="159">
        <v>8</v>
      </c>
      <c r="J8" s="159">
        <f t="shared" si="0"/>
        <v>42</v>
      </c>
      <c r="K8" s="16">
        <f t="shared" si="1"/>
        <v>81597.600000000006</v>
      </c>
      <c r="L8" s="94">
        <f t="shared" si="2"/>
        <v>428387.4</v>
      </c>
      <c r="M8" s="11"/>
    </row>
    <row r="9" spans="1:14" s="114" customFormat="1">
      <c r="A9" s="96">
        <v>4</v>
      </c>
      <c r="B9" s="292" t="s">
        <v>1059</v>
      </c>
      <c r="C9" s="11" t="s">
        <v>1060</v>
      </c>
      <c r="D9" s="19">
        <v>150000</v>
      </c>
      <c r="E9" s="19">
        <v>19995</v>
      </c>
      <c r="F9" s="19">
        <f>SUM(D9:E9)</f>
        <v>169995</v>
      </c>
      <c r="G9" s="159">
        <v>50</v>
      </c>
      <c r="H9" s="305">
        <v>3339.9</v>
      </c>
      <c r="I9" s="159">
        <v>11</v>
      </c>
      <c r="J9" s="97">
        <f t="shared" si="0"/>
        <v>39</v>
      </c>
      <c r="K9" s="91">
        <f t="shared" si="1"/>
        <v>36738.9</v>
      </c>
      <c r="L9" s="94">
        <f t="shared" si="2"/>
        <v>133256.1</v>
      </c>
      <c r="M9" s="11"/>
      <c r="N9" s="180" t="e">
        <f>#REF!-H9</f>
        <v>#REF!</v>
      </c>
    </row>
    <row r="10" spans="1:14" s="114" customFormat="1">
      <c r="A10" s="96">
        <v>5</v>
      </c>
      <c r="B10" s="293" t="s">
        <v>1047</v>
      </c>
      <c r="C10" s="123" t="s">
        <v>873</v>
      </c>
      <c r="D10" s="19">
        <v>450000</v>
      </c>
      <c r="E10" s="19">
        <v>59985</v>
      </c>
      <c r="F10" s="19">
        <v>509985</v>
      </c>
      <c r="G10" s="159">
        <v>50</v>
      </c>
      <c r="H10" s="304">
        <v>10199.700000000001</v>
      </c>
      <c r="I10" s="159">
        <v>8</v>
      </c>
      <c r="J10" s="159">
        <f t="shared" si="0"/>
        <v>42</v>
      </c>
      <c r="K10" s="16">
        <f t="shared" si="1"/>
        <v>81597.600000000006</v>
      </c>
      <c r="L10" s="94">
        <f t="shared" si="2"/>
        <v>428387.4</v>
      </c>
      <c r="M10" s="11"/>
      <c r="N10" s="180" t="e">
        <f>#REF!-H10</f>
        <v>#REF!</v>
      </c>
    </row>
    <row r="11" spans="1:14" s="114" customFormat="1">
      <c r="A11" s="96">
        <v>6</v>
      </c>
      <c r="B11" s="293" t="s">
        <v>1034</v>
      </c>
      <c r="C11" s="123" t="s">
        <v>1035</v>
      </c>
      <c r="D11" s="16">
        <v>500000</v>
      </c>
      <c r="E11" s="16">
        <v>66650</v>
      </c>
      <c r="F11" s="41">
        <f>SUM(D11:E11)</f>
        <v>566650</v>
      </c>
      <c r="G11" s="159">
        <v>50</v>
      </c>
      <c r="H11" s="304">
        <v>11333</v>
      </c>
      <c r="I11" s="159">
        <v>8</v>
      </c>
      <c r="J11" s="159">
        <f t="shared" si="0"/>
        <v>42</v>
      </c>
      <c r="K11" s="16">
        <f t="shared" si="1"/>
        <v>90664</v>
      </c>
      <c r="L11" s="94">
        <f t="shared" si="2"/>
        <v>475986</v>
      </c>
      <c r="M11" s="11"/>
      <c r="N11" s="180" t="e">
        <f>#REF!-H11</f>
        <v>#REF!</v>
      </c>
    </row>
    <row r="12" spans="1:14" s="114" customFormat="1">
      <c r="A12" s="96">
        <v>7</v>
      </c>
      <c r="B12" s="292" t="s">
        <v>981</v>
      </c>
      <c r="C12" s="11" t="s">
        <v>336</v>
      </c>
      <c r="D12" s="16">
        <v>500000</v>
      </c>
      <c r="E12" s="16">
        <v>66650</v>
      </c>
      <c r="F12" s="16">
        <v>566650</v>
      </c>
      <c r="G12" s="159">
        <v>50</v>
      </c>
      <c r="H12" s="305">
        <v>11333</v>
      </c>
      <c r="I12" s="97">
        <v>38</v>
      </c>
      <c r="J12" s="97">
        <f t="shared" si="0"/>
        <v>12</v>
      </c>
      <c r="K12" s="91">
        <f t="shared" si="1"/>
        <v>430654</v>
      </c>
      <c r="L12" s="94">
        <f t="shared" si="2"/>
        <v>135996</v>
      </c>
      <c r="M12" s="11"/>
      <c r="N12" s="180" t="e">
        <f>#REF!-H12</f>
        <v>#REF!</v>
      </c>
    </row>
    <row r="13" spans="1:14" s="114" customFormat="1">
      <c r="A13" s="96">
        <v>8</v>
      </c>
      <c r="B13" s="292" t="s">
        <v>1101</v>
      </c>
      <c r="C13" s="11" t="s">
        <v>290</v>
      </c>
      <c r="D13" s="19">
        <v>150000</v>
      </c>
      <c r="E13" s="19">
        <v>19995</v>
      </c>
      <c r="F13" s="19">
        <f>SUM(D13:E13)</f>
        <v>169995</v>
      </c>
      <c r="G13" s="159">
        <v>50</v>
      </c>
      <c r="H13" s="287">
        <v>3399.9</v>
      </c>
      <c r="I13" s="97">
        <v>38</v>
      </c>
      <c r="J13" s="97">
        <f t="shared" si="0"/>
        <v>12</v>
      </c>
      <c r="K13" s="91">
        <f t="shared" si="1"/>
        <v>129196.2</v>
      </c>
      <c r="L13" s="94">
        <f t="shared" si="2"/>
        <v>40798.800000000003</v>
      </c>
      <c r="M13" s="11"/>
      <c r="N13" s="180" t="e">
        <f>#REF!-H13</f>
        <v>#REF!</v>
      </c>
    </row>
    <row r="14" spans="1:14" s="114" customFormat="1">
      <c r="A14" s="96">
        <v>9</v>
      </c>
      <c r="B14" s="293" t="s">
        <v>978</v>
      </c>
      <c r="C14" s="11" t="s">
        <v>979</v>
      </c>
      <c r="D14" s="16">
        <v>500000</v>
      </c>
      <c r="E14" s="16">
        <v>66650</v>
      </c>
      <c r="F14" s="41">
        <f>SUM(D14:E14)</f>
        <v>566650</v>
      </c>
      <c r="G14" s="159">
        <v>50</v>
      </c>
      <c r="H14" s="304">
        <v>11333</v>
      </c>
      <c r="I14" s="159">
        <v>38</v>
      </c>
      <c r="J14" s="159">
        <f t="shared" si="0"/>
        <v>12</v>
      </c>
      <c r="K14" s="16">
        <f t="shared" si="1"/>
        <v>430654</v>
      </c>
      <c r="L14" s="94">
        <f t="shared" si="2"/>
        <v>135996</v>
      </c>
      <c r="M14" s="11"/>
      <c r="N14" s="180" t="e">
        <f>#REF!-H14</f>
        <v>#REF!</v>
      </c>
    </row>
    <row r="15" spans="1:14" s="114" customFormat="1">
      <c r="A15" s="96">
        <v>10</v>
      </c>
      <c r="B15" s="292" t="s">
        <v>1071</v>
      </c>
      <c r="C15" s="11" t="s">
        <v>496</v>
      </c>
      <c r="D15" s="16">
        <v>500000</v>
      </c>
      <c r="E15" s="16">
        <v>66650</v>
      </c>
      <c r="F15" s="41">
        <f>SUM(D15:E15)</f>
        <v>566650</v>
      </c>
      <c r="G15" s="159">
        <v>50</v>
      </c>
      <c r="H15" s="305">
        <v>11333</v>
      </c>
      <c r="I15" s="159">
        <v>11</v>
      </c>
      <c r="J15" s="97">
        <f t="shared" si="0"/>
        <v>39</v>
      </c>
      <c r="K15" s="91">
        <f t="shared" si="1"/>
        <v>124663</v>
      </c>
      <c r="L15" s="94">
        <f t="shared" si="2"/>
        <v>441987</v>
      </c>
      <c r="M15" s="11"/>
      <c r="N15" s="180" t="e">
        <f>#REF!-H15</f>
        <v>#REF!</v>
      </c>
    </row>
    <row r="16" spans="1:14" s="114" customFormat="1">
      <c r="A16" s="96">
        <v>11</v>
      </c>
      <c r="B16" s="292" t="s">
        <v>1107</v>
      </c>
      <c r="C16" s="11" t="s">
        <v>734</v>
      </c>
      <c r="D16" s="16">
        <v>500000</v>
      </c>
      <c r="E16" s="16">
        <v>47992</v>
      </c>
      <c r="F16" s="41">
        <f>SUM(D16:E16)</f>
        <v>547992</v>
      </c>
      <c r="G16" s="159">
        <v>36</v>
      </c>
      <c r="H16" s="287">
        <v>15222</v>
      </c>
      <c r="I16" s="97">
        <v>38</v>
      </c>
      <c r="J16" s="97">
        <f t="shared" si="0"/>
        <v>-2</v>
      </c>
      <c r="K16" s="91">
        <f t="shared" si="1"/>
        <v>578436</v>
      </c>
      <c r="L16" s="94">
        <f t="shared" si="2"/>
        <v>-30444</v>
      </c>
      <c r="M16" s="11"/>
      <c r="N16" s="180" t="e">
        <f>#REF!-H16</f>
        <v>#REF!</v>
      </c>
    </row>
    <row r="17" spans="1:14" s="114" customFormat="1">
      <c r="A17" s="96">
        <v>12</v>
      </c>
      <c r="B17" s="292" t="s">
        <v>984</v>
      </c>
      <c r="C17" s="11" t="s">
        <v>287</v>
      </c>
      <c r="D17" s="16">
        <v>450000</v>
      </c>
      <c r="E17" s="16">
        <v>59985</v>
      </c>
      <c r="F17" s="16">
        <v>509985</v>
      </c>
      <c r="G17" s="159">
        <v>50</v>
      </c>
      <c r="H17" s="305">
        <v>10199.700000000001</v>
      </c>
      <c r="I17" s="97">
        <v>32</v>
      </c>
      <c r="J17" s="97">
        <f t="shared" si="0"/>
        <v>18</v>
      </c>
      <c r="K17" s="91">
        <f t="shared" si="1"/>
        <v>326390.40000000002</v>
      </c>
      <c r="L17" s="94">
        <f t="shared" si="2"/>
        <v>183594.59999999998</v>
      </c>
      <c r="M17" s="11"/>
      <c r="N17" s="180" t="e">
        <f>#REF!-H17</f>
        <v>#REF!</v>
      </c>
    </row>
    <row r="18" spans="1:14" s="114" customFormat="1">
      <c r="A18" s="96">
        <v>13</v>
      </c>
      <c r="B18" s="292" t="s">
        <v>1100</v>
      </c>
      <c r="C18" s="11" t="s">
        <v>351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305">
        <v>11333</v>
      </c>
      <c r="I18" s="97">
        <v>38</v>
      </c>
      <c r="J18" s="97">
        <f t="shared" si="0"/>
        <v>12</v>
      </c>
      <c r="K18" s="91">
        <f t="shared" si="1"/>
        <v>430654</v>
      </c>
      <c r="L18" s="94">
        <f t="shared" si="2"/>
        <v>135996</v>
      </c>
      <c r="M18" s="11"/>
    </row>
    <row r="19" spans="1:14" s="114" customFormat="1">
      <c r="A19" s="96">
        <v>14</v>
      </c>
      <c r="B19" s="293" t="s">
        <v>989</v>
      </c>
      <c r="C19" s="123" t="s">
        <v>864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304">
        <v>11333</v>
      </c>
      <c r="I19" s="159">
        <v>8</v>
      </c>
      <c r="J19" s="159">
        <f t="shared" si="0"/>
        <v>42</v>
      </c>
      <c r="K19" s="16">
        <f t="shared" si="1"/>
        <v>90664</v>
      </c>
      <c r="L19" s="94">
        <f t="shared" si="2"/>
        <v>475986</v>
      </c>
      <c r="M19" s="11"/>
      <c r="N19" s="180" t="e">
        <f>#REF!-H19</f>
        <v>#REF!</v>
      </c>
    </row>
    <row r="20" spans="1:14" s="114" customFormat="1">
      <c r="A20" s="96">
        <v>15</v>
      </c>
      <c r="B20" s="295" t="s">
        <v>991</v>
      </c>
      <c r="C20" s="8" t="s">
        <v>992</v>
      </c>
      <c r="D20" s="19">
        <v>330000</v>
      </c>
      <c r="E20" s="19">
        <v>31672.200000000012</v>
      </c>
      <c r="F20" s="19">
        <f>SUM(D20:E20)</f>
        <v>361672.2</v>
      </c>
      <c r="G20" s="159">
        <v>36</v>
      </c>
      <c r="H20" s="306">
        <v>10046.450000000001</v>
      </c>
      <c r="I20" s="159">
        <v>12</v>
      </c>
      <c r="J20" s="159">
        <f t="shared" si="0"/>
        <v>24</v>
      </c>
      <c r="K20" s="16">
        <f t="shared" si="1"/>
        <v>120557.40000000001</v>
      </c>
      <c r="L20" s="94">
        <f t="shared" si="2"/>
        <v>241114.8</v>
      </c>
      <c r="M20" s="8"/>
      <c r="N20" s="180" t="e">
        <f>#REF!-H20</f>
        <v>#REF!</v>
      </c>
    </row>
    <row r="21" spans="1:14" s="114" customFormat="1">
      <c r="A21" s="96">
        <v>16</v>
      </c>
      <c r="B21" s="292" t="s">
        <v>1038</v>
      </c>
      <c r="C21" s="11" t="s">
        <v>375</v>
      </c>
      <c r="D21" s="16">
        <v>330000</v>
      </c>
      <c r="E21" s="16">
        <v>43989</v>
      </c>
      <c r="F21" s="41">
        <f>SUM(D21:E21)</f>
        <v>373989</v>
      </c>
      <c r="G21" s="159">
        <v>50</v>
      </c>
      <c r="H21" s="305">
        <v>7479.78</v>
      </c>
      <c r="I21" s="97">
        <v>39</v>
      </c>
      <c r="J21" s="97">
        <f t="shared" ref="J21:J52" si="3">G21-I21</f>
        <v>11</v>
      </c>
      <c r="K21" s="91">
        <f t="shared" si="1"/>
        <v>291711.42</v>
      </c>
      <c r="L21" s="94">
        <f t="shared" si="2"/>
        <v>82277.580000000016</v>
      </c>
      <c r="M21" s="11"/>
      <c r="N21" s="180" t="e">
        <f>#REF!-H21</f>
        <v>#REF!</v>
      </c>
    </row>
    <row r="22" spans="1:14" s="114" customFormat="1">
      <c r="A22" s="96">
        <v>17</v>
      </c>
      <c r="B22" s="292" t="s">
        <v>1026</v>
      </c>
      <c r="C22" s="11" t="s">
        <v>361</v>
      </c>
      <c r="D22" s="16">
        <v>450000</v>
      </c>
      <c r="E22" s="16">
        <v>59985</v>
      </c>
      <c r="F22" s="16">
        <v>509985</v>
      </c>
      <c r="G22" s="159">
        <v>50</v>
      </c>
      <c r="H22" s="305">
        <v>10199.700000000001</v>
      </c>
      <c r="I22" s="97">
        <v>39</v>
      </c>
      <c r="J22" s="97">
        <f t="shared" si="3"/>
        <v>11</v>
      </c>
      <c r="K22" s="91">
        <f t="shared" si="1"/>
        <v>397788.30000000005</v>
      </c>
      <c r="L22" s="94">
        <f t="shared" si="2"/>
        <v>112196.69999999995</v>
      </c>
      <c r="M22" s="11"/>
      <c r="N22" s="180" t="e">
        <f>#REF!-H22</f>
        <v>#REF!</v>
      </c>
    </row>
    <row r="23" spans="1:14" s="114" customFormat="1">
      <c r="A23" s="96">
        <v>18</v>
      </c>
      <c r="B23" s="292" t="s">
        <v>972</v>
      </c>
      <c r="C23" s="11" t="s">
        <v>312</v>
      </c>
      <c r="D23" s="16">
        <v>500000</v>
      </c>
      <c r="E23" s="16">
        <v>66650</v>
      </c>
      <c r="F23" s="41">
        <f>SUM(D23:E23)</f>
        <v>566650</v>
      </c>
      <c r="G23" s="159">
        <v>50</v>
      </c>
      <c r="H23" s="305">
        <v>11333</v>
      </c>
      <c r="I23" s="97">
        <v>60</v>
      </c>
      <c r="J23" s="97">
        <f t="shared" si="3"/>
        <v>-10</v>
      </c>
      <c r="K23" s="91">
        <f t="shared" si="1"/>
        <v>679980</v>
      </c>
      <c r="L23" s="94">
        <f t="shared" si="2"/>
        <v>-113330</v>
      </c>
      <c r="M23" s="11"/>
      <c r="N23" s="180" t="e">
        <f>#REF!-H23</f>
        <v>#REF!</v>
      </c>
    </row>
    <row r="24" spans="1:14" s="114" customFormat="1">
      <c r="A24" s="96">
        <v>19</v>
      </c>
      <c r="B24" s="292" t="s">
        <v>966</v>
      </c>
      <c r="C24" s="11" t="s">
        <v>29</v>
      </c>
      <c r="D24" s="19">
        <v>450000</v>
      </c>
      <c r="E24" s="19">
        <v>59985</v>
      </c>
      <c r="F24" s="19">
        <v>509985</v>
      </c>
      <c r="G24" s="159">
        <v>50</v>
      </c>
      <c r="H24" s="305">
        <v>10199.700000000001</v>
      </c>
      <c r="I24" s="97">
        <v>25</v>
      </c>
      <c r="J24" s="97">
        <f t="shared" si="3"/>
        <v>25</v>
      </c>
      <c r="K24" s="91">
        <f t="shared" si="1"/>
        <v>254992.50000000003</v>
      </c>
      <c r="L24" s="91">
        <f t="shared" si="2"/>
        <v>254992.49999999997</v>
      </c>
      <c r="M24" s="11"/>
      <c r="N24" s="180" t="e">
        <f>#REF!-H24</f>
        <v>#REF!</v>
      </c>
    </row>
    <row r="25" spans="1:14" s="114" customFormat="1">
      <c r="A25" s="96">
        <v>20</v>
      </c>
      <c r="B25" s="293" t="s">
        <v>993</v>
      </c>
      <c r="C25" s="123" t="s">
        <v>994</v>
      </c>
      <c r="D25" s="19">
        <v>150000</v>
      </c>
      <c r="E25" s="19">
        <v>19995</v>
      </c>
      <c r="F25" s="19">
        <f>SUM(D25:E25)</f>
        <v>169995</v>
      </c>
      <c r="G25" s="159">
        <v>50</v>
      </c>
      <c r="H25" s="304">
        <v>3399.9</v>
      </c>
      <c r="I25" s="159">
        <v>8</v>
      </c>
      <c r="J25" s="159">
        <f t="shared" si="3"/>
        <v>42</v>
      </c>
      <c r="K25" s="16">
        <f t="shared" si="1"/>
        <v>27199.200000000001</v>
      </c>
      <c r="L25" s="94">
        <f t="shared" si="2"/>
        <v>142795.79999999999</v>
      </c>
      <c r="M25" s="11"/>
      <c r="N25" s="180" t="e">
        <f>#REF!-H25</f>
        <v>#REF!</v>
      </c>
    </row>
    <row r="26" spans="1:14" s="114" customFormat="1">
      <c r="A26" s="96">
        <v>21</v>
      </c>
      <c r="B26" s="292" t="s">
        <v>1099</v>
      </c>
      <c r="C26" s="11" t="s">
        <v>487</v>
      </c>
      <c r="D26" s="16">
        <v>500000</v>
      </c>
      <c r="E26" s="16">
        <v>66650</v>
      </c>
      <c r="F26" s="16">
        <v>566650</v>
      </c>
      <c r="G26" s="159">
        <v>50</v>
      </c>
      <c r="H26" s="305">
        <v>11333</v>
      </c>
      <c r="I26" s="101">
        <v>13</v>
      </c>
      <c r="J26" s="97">
        <f t="shared" si="3"/>
        <v>37</v>
      </c>
      <c r="K26" s="91">
        <f t="shared" si="1"/>
        <v>147329</v>
      </c>
      <c r="L26" s="94">
        <f t="shared" si="2"/>
        <v>419321</v>
      </c>
      <c r="M26" s="8"/>
      <c r="N26" s="180" t="e">
        <f>#REF!-H26</f>
        <v>#REF!</v>
      </c>
    </row>
    <row r="27" spans="1:14" s="114" customFormat="1">
      <c r="A27" s="96">
        <v>22</v>
      </c>
      <c r="B27" s="292" t="s">
        <v>1027</v>
      </c>
      <c r="C27" s="11" t="s">
        <v>327</v>
      </c>
      <c r="D27" s="16">
        <v>500000</v>
      </c>
      <c r="E27" s="16">
        <v>66650</v>
      </c>
      <c r="F27" s="16">
        <v>566650</v>
      </c>
      <c r="G27" s="159">
        <v>50</v>
      </c>
      <c r="H27" s="305">
        <v>11333</v>
      </c>
      <c r="I27" s="97">
        <v>39</v>
      </c>
      <c r="J27" s="97">
        <f t="shared" si="3"/>
        <v>11</v>
      </c>
      <c r="K27" s="91">
        <f t="shared" si="1"/>
        <v>441987</v>
      </c>
      <c r="L27" s="94">
        <f t="shared" si="2"/>
        <v>124663</v>
      </c>
      <c r="M27" s="11"/>
    </row>
    <row r="28" spans="1:14" s="114" customFormat="1">
      <c r="A28" s="96">
        <v>23</v>
      </c>
      <c r="B28" s="292" t="s">
        <v>1069</v>
      </c>
      <c r="C28" s="11" t="s">
        <v>358</v>
      </c>
      <c r="D28" s="16">
        <v>500000</v>
      </c>
      <c r="E28" s="16">
        <v>66650</v>
      </c>
      <c r="F28" s="16">
        <v>566650</v>
      </c>
      <c r="G28" s="159">
        <v>50</v>
      </c>
      <c r="H28" s="305">
        <v>11333</v>
      </c>
      <c r="I28" s="97">
        <v>25</v>
      </c>
      <c r="J28" s="97">
        <f t="shared" si="3"/>
        <v>25</v>
      </c>
      <c r="K28" s="91">
        <f t="shared" si="1"/>
        <v>283325</v>
      </c>
      <c r="L28" s="91">
        <f t="shared" si="2"/>
        <v>283325</v>
      </c>
      <c r="M28" s="11"/>
      <c r="N28" s="180" t="e">
        <f>#REF!-H28</f>
        <v>#REF!</v>
      </c>
    </row>
    <row r="29" spans="1:14" s="114" customFormat="1">
      <c r="A29" s="96">
        <v>24</v>
      </c>
      <c r="B29" s="292" t="s">
        <v>1106</v>
      </c>
      <c r="C29" s="11" t="s">
        <v>314</v>
      </c>
      <c r="D29" s="19">
        <v>500000</v>
      </c>
      <c r="E29" s="19">
        <v>66650</v>
      </c>
      <c r="F29" s="19">
        <v>566650</v>
      </c>
      <c r="G29" s="159">
        <v>50</v>
      </c>
      <c r="H29" s="305">
        <v>11333</v>
      </c>
      <c r="I29" s="97">
        <v>25</v>
      </c>
      <c r="J29" s="97">
        <f t="shared" si="3"/>
        <v>25</v>
      </c>
      <c r="K29" s="91">
        <f t="shared" si="1"/>
        <v>283325</v>
      </c>
      <c r="L29" s="91">
        <f t="shared" si="2"/>
        <v>283325</v>
      </c>
      <c r="M29" s="11"/>
      <c r="N29" s="180" t="e">
        <f>#REF!-H29</f>
        <v>#REF!</v>
      </c>
    </row>
    <row r="30" spans="1:14" s="114" customFormat="1">
      <c r="A30" s="96">
        <v>25</v>
      </c>
      <c r="B30" s="292" t="s">
        <v>1046</v>
      </c>
      <c r="C30" s="11" t="s">
        <v>349</v>
      </c>
      <c r="D30" s="16">
        <v>500000</v>
      </c>
      <c r="E30" s="16">
        <v>66650</v>
      </c>
      <c r="F30" s="41">
        <f>SUM(D30:E30)</f>
        <v>566650</v>
      </c>
      <c r="G30" s="159">
        <v>50</v>
      </c>
      <c r="H30" s="305">
        <v>11333</v>
      </c>
      <c r="I30" s="97">
        <v>17</v>
      </c>
      <c r="J30" s="97">
        <f t="shared" si="3"/>
        <v>33</v>
      </c>
      <c r="K30" s="91">
        <f>(1*11333)</f>
        <v>11333</v>
      </c>
      <c r="L30" s="91">
        <f t="shared" si="2"/>
        <v>555317</v>
      </c>
      <c r="M30" s="11"/>
      <c r="N30" s="180" t="e">
        <f>#REF!-H30</f>
        <v>#REF!</v>
      </c>
    </row>
    <row r="31" spans="1:14" s="114" customFormat="1">
      <c r="A31" s="96">
        <v>26</v>
      </c>
      <c r="B31" s="292" t="s">
        <v>1052</v>
      </c>
      <c r="C31" s="11" t="s">
        <v>324</v>
      </c>
      <c r="D31" s="12">
        <v>500000</v>
      </c>
      <c r="E31" s="12">
        <v>66650</v>
      </c>
      <c r="F31" s="15">
        <f>SUM(D31:E31)</f>
        <v>566650</v>
      </c>
      <c r="G31" s="14">
        <v>50</v>
      </c>
      <c r="H31" s="287">
        <v>11333</v>
      </c>
      <c r="I31" s="14">
        <v>44</v>
      </c>
      <c r="J31" s="97">
        <f t="shared" si="3"/>
        <v>6</v>
      </c>
      <c r="K31" s="91">
        <f>I31*H31</f>
        <v>498652</v>
      </c>
      <c r="L31" s="15">
        <f t="shared" si="2"/>
        <v>67998</v>
      </c>
      <c r="M31" s="8"/>
      <c r="N31" s="180" t="e">
        <f>#REF!-H31</f>
        <v>#REF!</v>
      </c>
    </row>
    <row r="32" spans="1:14" s="114" customFormat="1">
      <c r="A32" s="96">
        <v>27</v>
      </c>
      <c r="B32" s="292" t="s">
        <v>997</v>
      </c>
      <c r="C32" s="11" t="s">
        <v>342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305">
        <v>11333</v>
      </c>
      <c r="I32" s="97">
        <v>60</v>
      </c>
      <c r="J32" s="97">
        <f t="shared" si="3"/>
        <v>-10</v>
      </c>
      <c r="K32" s="91">
        <f>I32*H32</f>
        <v>679980</v>
      </c>
      <c r="L32" s="94">
        <f t="shared" si="2"/>
        <v>-113330</v>
      </c>
      <c r="M32" s="11"/>
      <c r="N32" s="180" t="e">
        <f>#REF!-H32</f>
        <v>#REF!</v>
      </c>
    </row>
    <row r="33" spans="1:14" s="114" customFormat="1">
      <c r="A33" s="96">
        <v>28</v>
      </c>
      <c r="B33" s="292" t="s">
        <v>1009</v>
      </c>
      <c r="C33" s="11" t="s">
        <v>332</v>
      </c>
      <c r="D33" s="19">
        <v>500000</v>
      </c>
      <c r="E33" s="19">
        <v>66650</v>
      </c>
      <c r="F33" s="19">
        <v>566650</v>
      </c>
      <c r="G33" s="159">
        <v>50</v>
      </c>
      <c r="H33" s="305">
        <v>11333</v>
      </c>
      <c r="I33" s="97">
        <v>25</v>
      </c>
      <c r="J33" s="97">
        <f t="shared" si="3"/>
        <v>25</v>
      </c>
      <c r="K33" s="91">
        <f>I33*H33</f>
        <v>283325</v>
      </c>
      <c r="L33" s="91">
        <f t="shared" si="2"/>
        <v>283325</v>
      </c>
      <c r="M33" s="11"/>
    </row>
    <row r="34" spans="1:14" s="114" customFormat="1">
      <c r="A34" s="96">
        <v>29</v>
      </c>
      <c r="B34" s="292" t="s">
        <v>962</v>
      </c>
      <c r="C34" s="11" t="s">
        <v>87</v>
      </c>
      <c r="D34" s="16">
        <v>500000</v>
      </c>
      <c r="E34" s="16">
        <v>66650</v>
      </c>
      <c r="F34" s="41">
        <f>SUM(D34:E34)</f>
        <v>566650</v>
      </c>
      <c r="G34" s="159">
        <v>50</v>
      </c>
      <c r="H34" s="305">
        <v>11333</v>
      </c>
      <c r="I34" s="97">
        <v>60</v>
      </c>
      <c r="J34" s="97">
        <f t="shared" si="3"/>
        <v>-10</v>
      </c>
      <c r="K34" s="91">
        <f>I34*H34</f>
        <v>679980</v>
      </c>
      <c r="L34" s="94">
        <f t="shared" si="2"/>
        <v>-113330</v>
      </c>
      <c r="M34" s="11"/>
    </row>
    <row r="35" spans="1:14" s="114" customFormat="1">
      <c r="A35" s="96">
        <v>30</v>
      </c>
      <c r="B35" s="292" t="s">
        <v>995</v>
      </c>
      <c r="C35" s="11" t="s">
        <v>339</v>
      </c>
      <c r="D35" s="19">
        <v>500000</v>
      </c>
      <c r="E35" s="19">
        <v>66650</v>
      </c>
      <c r="F35" s="19">
        <v>566650</v>
      </c>
      <c r="G35" s="159">
        <v>50</v>
      </c>
      <c r="H35" s="305">
        <v>11333</v>
      </c>
      <c r="I35" s="97">
        <v>25</v>
      </c>
      <c r="J35" s="97">
        <f t="shared" si="3"/>
        <v>25</v>
      </c>
      <c r="K35" s="91">
        <f>I35*H35</f>
        <v>283325</v>
      </c>
      <c r="L35" s="91">
        <f t="shared" si="2"/>
        <v>283325</v>
      </c>
      <c r="M35" s="11"/>
    </row>
    <row r="36" spans="1:14" s="114" customFormat="1">
      <c r="A36" s="96">
        <v>31</v>
      </c>
      <c r="B36" s="292" t="s">
        <v>998</v>
      </c>
      <c r="C36" s="11" t="s">
        <v>363</v>
      </c>
      <c r="D36" s="16">
        <v>450000</v>
      </c>
      <c r="E36" s="16">
        <v>59985</v>
      </c>
      <c r="F36" s="16">
        <v>509985</v>
      </c>
      <c r="G36" s="159">
        <v>50</v>
      </c>
      <c r="H36" s="305">
        <v>10199.700000000001</v>
      </c>
      <c r="I36" s="97">
        <v>17</v>
      </c>
      <c r="J36" s="97">
        <f t="shared" si="3"/>
        <v>33</v>
      </c>
      <c r="K36" s="91">
        <f>(1*10199.7)</f>
        <v>10199.700000000001</v>
      </c>
      <c r="L36" s="94">
        <f t="shared" si="2"/>
        <v>499785.3</v>
      </c>
      <c r="M36" s="11"/>
      <c r="N36" s="180" t="e">
        <f>#REF!-H36</f>
        <v>#REF!</v>
      </c>
    </row>
    <row r="37" spans="1:14" s="114" customFormat="1">
      <c r="A37" s="96">
        <v>32</v>
      </c>
      <c r="B37" s="293" t="s">
        <v>1079</v>
      </c>
      <c r="C37" s="123" t="s">
        <v>302</v>
      </c>
      <c r="D37" s="16">
        <v>500000</v>
      </c>
      <c r="E37" s="16">
        <v>66650</v>
      </c>
      <c r="F37" s="41">
        <f>SUM(D37:E37)</f>
        <v>566650</v>
      </c>
      <c r="G37" s="159">
        <v>50</v>
      </c>
      <c r="H37" s="304">
        <v>15222</v>
      </c>
      <c r="I37" s="159">
        <v>8</v>
      </c>
      <c r="J37" s="159">
        <f t="shared" si="3"/>
        <v>42</v>
      </c>
      <c r="K37" s="16">
        <f t="shared" ref="K37:K61" si="4">I37*H37</f>
        <v>121776</v>
      </c>
      <c r="L37" s="94">
        <f t="shared" si="2"/>
        <v>444874</v>
      </c>
      <c r="M37" s="11"/>
      <c r="N37" s="180" t="e">
        <f>#REF!-H37</f>
        <v>#REF!</v>
      </c>
    </row>
    <row r="38" spans="1:14" s="114" customFormat="1">
      <c r="A38" s="96">
        <v>33</v>
      </c>
      <c r="B38" s="293" t="s">
        <v>1012</v>
      </c>
      <c r="C38" s="123" t="s">
        <v>852</v>
      </c>
      <c r="D38" s="19">
        <v>330000</v>
      </c>
      <c r="E38" s="19">
        <v>43989</v>
      </c>
      <c r="F38" s="19">
        <f>SUM(D38:E38)</f>
        <v>373989</v>
      </c>
      <c r="G38" s="159">
        <v>50</v>
      </c>
      <c r="H38" s="304">
        <v>7479.78</v>
      </c>
      <c r="I38" s="159">
        <v>8</v>
      </c>
      <c r="J38" s="159">
        <f t="shared" si="3"/>
        <v>42</v>
      </c>
      <c r="K38" s="16">
        <f t="shared" si="4"/>
        <v>59838.239999999998</v>
      </c>
      <c r="L38" s="94">
        <f t="shared" ref="L38:L69" si="5">F38-K38</f>
        <v>314150.76</v>
      </c>
      <c r="M38" s="11"/>
      <c r="N38" s="180" t="e">
        <f>#REF!-H38</f>
        <v>#REF!</v>
      </c>
    </row>
    <row r="39" spans="1:14" s="114" customFormat="1">
      <c r="A39" s="96">
        <v>34</v>
      </c>
      <c r="B39" s="295" t="s">
        <v>1065</v>
      </c>
      <c r="C39" s="8" t="s">
        <v>1066</v>
      </c>
      <c r="D39" s="19">
        <v>330000</v>
      </c>
      <c r="E39" s="19">
        <v>43989</v>
      </c>
      <c r="F39" s="19">
        <f>SUM(D39:E39)</f>
        <v>373989</v>
      </c>
      <c r="G39" s="159">
        <v>50</v>
      </c>
      <c r="H39" s="306">
        <v>7479.78</v>
      </c>
      <c r="I39" s="159">
        <v>5</v>
      </c>
      <c r="J39" s="159">
        <f t="shared" si="3"/>
        <v>45</v>
      </c>
      <c r="K39" s="16">
        <f t="shared" si="4"/>
        <v>37398.9</v>
      </c>
      <c r="L39" s="94">
        <f t="shared" si="5"/>
        <v>336590.1</v>
      </c>
      <c r="M39" s="8"/>
      <c r="N39" s="180" t="e">
        <f>#REF!-H39</f>
        <v>#REF!</v>
      </c>
    </row>
    <row r="40" spans="1:14" s="114" customFormat="1">
      <c r="A40" s="96">
        <v>35</v>
      </c>
      <c r="B40" s="292" t="s">
        <v>1074</v>
      </c>
      <c r="C40" s="11" t="s">
        <v>1075</v>
      </c>
      <c r="D40" s="16">
        <v>330000</v>
      </c>
      <c r="E40" s="16">
        <v>43989</v>
      </c>
      <c r="F40" s="41">
        <f>SUM(D40:E40)</f>
        <v>373989</v>
      </c>
      <c r="G40" s="159">
        <v>50</v>
      </c>
      <c r="H40" s="305">
        <v>7478.78</v>
      </c>
      <c r="I40" s="159">
        <v>48</v>
      </c>
      <c r="J40" s="96">
        <f t="shared" si="3"/>
        <v>2</v>
      </c>
      <c r="K40" s="16">
        <f t="shared" si="4"/>
        <v>358981.44</v>
      </c>
      <c r="L40" s="41">
        <f t="shared" si="5"/>
        <v>15007.559999999998</v>
      </c>
      <c r="M40" s="11"/>
      <c r="N40" s="180" t="e">
        <f>#REF!-H40</f>
        <v>#REF!</v>
      </c>
    </row>
    <row r="41" spans="1:14" s="114" customFormat="1">
      <c r="A41" s="96">
        <v>36</v>
      </c>
      <c r="B41" s="292" t="s">
        <v>1029</v>
      </c>
      <c r="C41" s="123" t="s">
        <v>1030</v>
      </c>
      <c r="D41" s="19">
        <v>450000</v>
      </c>
      <c r="E41" s="19">
        <v>59985</v>
      </c>
      <c r="F41" s="19">
        <v>509985</v>
      </c>
      <c r="G41" s="159">
        <v>50</v>
      </c>
      <c r="H41" s="304">
        <v>10199.700000000001</v>
      </c>
      <c r="I41" s="159">
        <v>5</v>
      </c>
      <c r="J41" s="97">
        <f t="shared" si="3"/>
        <v>45</v>
      </c>
      <c r="K41" s="91">
        <f t="shared" si="4"/>
        <v>50998.5</v>
      </c>
      <c r="L41" s="94">
        <f t="shared" si="5"/>
        <v>458986.5</v>
      </c>
      <c r="M41" s="11"/>
    </row>
    <row r="42" spans="1:14" s="114" customFormat="1">
      <c r="A42" s="96">
        <v>37</v>
      </c>
      <c r="B42" s="292" t="s">
        <v>961</v>
      </c>
      <c r="C42" s="11" t="s">
        <v>426</v>
      </c>
      <c r="D42" s="16">
        <v>150000</v>
      </c>
      <c r="E42" s="16">
        <v>19995</v>
      </c>
      <c r="F42" s="41">
        <f>SUM(D42:E42)</f>
        <v>169995</v>
      </c>
      <c r="G42" s="159">
        <v>50</v>
      </c>
      <c r="H42" s="305">
        <v>3399.9</v>
      </c>
      <c r="I42" s="97">
        <v>48</v>
      </c>
      <c r="J42" s="97">
        <f t="shared" si="3"/>
        <v>2</v>
      </c>
      <c r="K42" s="91">
        <f t="shared" si="4"/>
        <v>163195.20000000001</v>
      </c>
      <c r="L42" s="94">
        <f t="shared" si="5"/>
        <v>6799.7999999999884</v>
      </c>
      <c r="M42" s="11"/>
      <c r="N42" s="180" t="e">
        <f>#REF!-H42</f>
        <v>#REF!</v>
      </c>
    </row>
    <row r="43" spans="1:14" s="114" customFormat="1">
      <c r="A43" s="96">
        <v>38</v>
      </c>
      <c r="B43" s="292" t="s">
        <v>1076</v>
      </c>
      <c r="C43" s="11" t="s">
        <v>376</v>
      </c>
      <c r="D43" s="16">
        <v>330000</v>
      </c>
      <c r="E43" s="16">
        <v>43989</v>
      </c>
      <c r="F43" s="41">
        <f>SUM(D43:E43)</f>
        <v>373989</v>
      </c>
      <c r="G43" s="159">
        <v>50</v>
      </c>
      <c r="H43" s="305">
        <v>7479.78</v>
      </c>
      <c r="I43" s="97">
        <v>60</v>
      </c>
      <c r="J43" s="97">
        <f t="shared" si="3"/>
        <v>-10</v>
      </c>
      <c r="K43" s="91">
        <f t="shared" si="4"/>
        <v>448786.8</v>
      </c>
      <c r="L43" s="94">
        <f t="shared" si="5"/>
        <v>-74797.799999999988</v>
      </c>
      <c r="M43" s="11"/>
      <c r="N43" s="180" t="e">
        <f>#REF!-H43</f>
        <v>#REF!</v>
      </c>
    </row>
    <row r="44" spans="1:14" s="114" customFormat="1">
      <c r="A44" s="96">
        <v>39</v>
      </c>
      <c r="B44" s="293" t="s">
        <v>975</v>
      </c>
      <c r="C44" s="123" t="s">
        <v>875</v>
      </c>
      <c r="D44" s="19">
        <v>450000</v>
      </c>
      <c r="E44" s="19">
        <v>59985</v>
      </c>
      <c r="F44" s="19">
        <v>509985</v>
      </c>
      <c r="G44" s="159">
        <v>50</v>
      </c>
      <c r="H44" s="304">
        <v>10199.700000000001</v>
      </c>
      <c r="I44" s="159">
        <v>8</v>
      </c>
      <c r="J44" s="159">
        <f t="shared" si="3"/>
        <v>42</v>
      </c>
      <c r="K44" s="16">
        <f t="shared" si="4"/>
        <v>81597.600000000006</v>
      </c>
      <c r="L44" s="94">
        <f t="shared" si="5"/>
        <v>428387.4</v>
      </c>
      <c r="M44" s="11"/>
      <c r="N44" s="180" t="e">
        <f>#REF!-H44</f>
        <v>#REF!</v>
      </c>
    </row>
    <row r="45" spans="1:14" s="114" customFormat="1">
      <c r="A45" s="96">
        <v>40</v>
      </c>
      <c r="B45" s="292" t="s">
        <v>1097</v>
      </c>
      <c r="C45" s="11" t="s">
        <v>286</v>
      </c>
      <c r="D45" s="16">
        <v>450000</v>
      </c>
      <c r="E45" s="16">
        <v>59985</v>
      </c>
      <c r="F45" s="16">
        <v>509985</v>
      </c>
      <c r="G45" s="159">
        <v>50</v>
      </c>
      <c r="H45" s="305">
        <v>10199.700000000001</v>
      </c>
      <c r="I45" s="97">
        <v>27</v>
      </c>
      <c r="J45" s="97">
        <f t="shared" si="3"/>
        <v>23</v>
      </c>
      <c r="K45" s="91">
        <f t="shared" si="4"/>
        <v>275391.90000000002</v>
      </c>
      <c r="L45" s="94">
        <f t="shared" si="5"/>
        <v>234593.09999999998</v>
      </c>
      <c r="M45" s="11"/>
      <c r="N45" s="180" t="e">
        <f>#REF!-H45</f>
        <v>#REF!</v>
      </c>
    </row>
    <row r="46" spans="1:14" s="114" customFormat="1">
      <c r="A46" s="96">
        <v>41</v>
      </c>
      <c r="B46" s="293" t="s">
        <v>1083</v>
      </c>
      <c r="C46" s="11" t="s">
        <v>855</v>
      </c>
      <c r="D46" s="16">
        <v>500000</v>
      </c>
      <c r="E46" s="16">
        <v>66650</v>
      </c>
      <c r="F46" s="16">
        <v>566650</v>
      </c>
      <c r="G46" s="159">
        <v>50</v>
      </c>
      <c r="H46" s="304">
        <v>11330</v>
      </c>
      <c r="I46" s="96">
        <v>38</v>
      </c>
      <c r="J46" s="97">
        <f t="shared" si="3"/>
        <v>12</v>
      </c>
      <c r="K46" s="91">
        <f t="shared" si="4"/>
        <v>430540</v>
      </c>
      <c r="L46" s="94">
        <f t="shared" si="5"/>
        <v>136110</v>
      </c>
      <c r="M46" s="11"/>
      <c r="N46" s="180" t="e">
        <f>#REF!-H46</f>
        <v>#REF!</v>
      </c>
    </row>
    <row r="47" spans="1:14" s="114" customFormat="1">
      <c r="A47" s="96">
        <v>42</v>
      </c>
      <c r="B47" s="292" t="s">
        <v>964</v>
      </c>
      <c r="C47" s="11" t="s">
        <v>341</v>
      </c>
      <c r="D47" s="19">
        <v>500000</v>
      </c>
      <c r="E47" s="19">
        <v>66650</v>
      </c>
      <c r="F47" s="19">
        <v>566650</v>
      </c>
      <c r="G47" s="159">
        <v>50</v>
      </c>
      <c r="H47" s="305">
        <v>11333</v>
      </c>
      <c r="I47" s="97">
        <v>25</v>
      </c>
      <c r="J47" s="97">
        <f t="shared" si="3"/>
        <v>25</v>
      </c>
      <c r="K47" s="91">
        <f t="shared" si="4"/>
        <v>283325</v>
      </c>
      <c r="L47" s="91">
        <f t="shared" si="5"/>
        <v>283325</v>
      </c>
      <c r="M47" s="11"/>
      <c r="N47" s="180" t="e">
        <f>#REF!-H47</f>
        <v>#REF!</v>
      </c>
    </row>
    <row r="48" spans="1:14" s="114" customFormat="1">
      <c r="A48" s="96">
        <v>43</v>
      </c>
      <c r="B48" s="292" t="s">
        <v>1089</v>
      </c>
      <c r="C48" s="11" t="s">
        <v>340</v>
      </c>
      <c r="D48" s="16">
        <v>500000</v>
      </c>
      <c r="E48" s="16">
        <v>66650</v>
      </c>
      <c r="F48" s="41">
        <f>SUM(D48:E48)</f>
        <v>566650</v>
      </c>
      <c r="G48" s="159">
        <v>50</v>
      </c>
      <c r="H48" s="305">
        <v>6946.03</v>
      </c>
      <c r="I48" s="97">
        <v>39</v>
      </c>
      <c r="J48" s="97">
        <f t="shared" si="3"/>
        <v>11</v>
      </c>
      <c r="K48" s="91">
        <f t="shared" si="4"/>
        <v>270895.17</v>
      </c>
      <c r="L48" s="94">
        <f t="shared" si="5"/>
        <v>295754.83</v>
      </c>
      <c r="M48" s="11"/>
      <c r="N48" s="180" t="e">
        <f>#REF!-H48</f>
        <v>#REF!</v>
      </c>
    </row>
    <row r="49" spans="1:14" s="114" customFormat="1">
      <c r="A49" s="96">
        <v>44</v>
      </c>
      <c r="B49" s="292" t="s">
        <v>1008</v>
      </c>
      <c r="C49" s="11" t="s">
        <v>355</v>
      </c>
      <c r="D49" s="16">
        <v>500000</v>
      </c>
      <c r="E49" s="16">
        <v>66650</v>
      </c>
      <c r="F49" s="41">
        <f>SUM(D49:E49)</f>
        <v>566650</v>
      </c>
      <c r="G49" s="159">
        <v>50</v>
      </c>
      <c r="H49" s="305">
        <v>11333</v>
      </c>
      <c r="I49" s="97">
        <v>59</v>
      </c>
      <c r="J49" s="97">
        <f t="shared" si="3"/>
        <v>-9</v>
      </c>
      <c r="K49" s="91">
        <f t="shared" si="4"/>
        <v>668647</v>
      </c>
      <c r="L49" s="94">
        <f t="shared" si="5"/>
        <v>-101997</v>
      </c>
      <c r="M49" s="11"/>
      <c r="N49" s="180" t="e">
        <f>#REF!-H49</f>
        <v>#REF!</v>
      </c>
    </row>
    <row r="50" spans="1:14" s="114" customFormat="1">
      <c r="A50" s="96">
        <v>45</v>
      </c>
      <c r="B50" s="292" t="s">
        <v>1103</v>
      </c>
      <c r="C50" s="11" t="s">
        <v>310</v>
      </c>
      <c r="D50" s="19">
        <v>500000</v>
      </c>
      <c r="E50" s="19">
        <v>66650</v>
      </c>
      <c r="F50" s="19">
        <v>566650</v>
      </c>
      <c r="G50" s="159">
        <v>50</v>
      </c>
      <c r="H50" s="305">
        <v>11333</v>
      </c>
      <c r="I50" s="96">
        <v>25</v>
      </c>
      <c r="J50" s="96">
        <f t="shared" si="3"/>
        <v>25</v>
      </c>
      <c r="K50" s="16">
        <f t="shared" si="4"/>
        <v>283325</v>
      </c>
      <c r="L50" s="16">
        <f t="shared" si="5"/>
        <v>283325</v>
      </c>
      <c r="M50" s="11"/>
      <c r="N50" s="180" t="e">
        <f>#REF!-H50</f>
        <v>#REF!</v>
      </c>
    </row>
    <row r="51" spans="1:14" s="114" customFormat="1">
      <c r="A51" s="96">
        <v>46</v>
      </c>
      <c r="B51" s="292" t="s">
        <v>1043</v>
      </c>
      <c r="C51" s="11" t="s">
        <v>444</v>
      </c>
      <c r="D51" s="16">
        <v>500000</v>
      </c>
      <c r="E51" s="16">
        <v>66650</v>
      </c>
      <c r="F51" s="16">
        <v>566650</v>
      </c>
      <c r="G51" s="159">
        <v>50</v>
      </c>
      <c r="H51" s="288">
        <v>11333</v>
      </c>
      <c r="I51" s="101">
        <v>13</v>
      </c>
      <c r="J51" s="97">
        <f t="shared" si="3"/>
        <v>37</v>
      </c>
      <c r="K51" s="91">
        <f t="shared" si="4"/>
        <v>147329</v>
      </c>
      <c r="L51" s="94">
        <f t="shared" si="5"/>
        <v>419321</v>
      </c>
      <c r="M51" s="8"/>
    </row>
    <row r="52" spans="1:14" s="114" customFormat="1">
      <c r="A52" s="96">
        <v>47</v>
      </c>
      <c r="B52" s="292" t="s">
        <v>1001</v>
      </c>
      <c r="C52" s="11" t="s">
        <v>834</v>
      </c>
      <c r="D52" s="19">
        <v>330000</v>
      </c>
      <c r="E52" s="19">
        <v>43989</v>
      </c>
      <c r="F52" s="19">
        <f>SUM(D52:E52)</f>
        <v>373989</v>
      </c>
      <c r="G52" s="159">
        <v>50</v>
      </c>
      <c r="H52" s="288">
        <v>7479.78</v>
      </c>
      <c r="I52" s="101">
        <v>13</v>
      </c>
      <c r="J52" s="97">
        <f t="shared" si="3"/>
        <v>37</v>
      </c>
      <c r="K52" s="91">
        <f t="shared" si="4"/>
        <v>97237.14</v>
      </c>
      <c r="L52" s="94">
        <f t="shared" si="5"/>
        <v>276751.86</v>
      </c>
      <c r="M52" s="8"/>
      <c r="N52" s="180" t="e">
        <f>#REF!-H52</f>
        <v>#REF!</v>
      </c>
    </row>
    <row r="53" spans="1:14" s="114" customFormat="1">
      <c r="A53" s="96">
        <v>48</v>
      </c>
      <c r="B53" s="292" t="s">
        <v>996</v>
      </c>
      <c r="C53" s="11" t="s">
        <v>338</v>
      </c>
      <c r="D53" s="16">
        <v>500000</v>
      </c>
      <c r="E53" s="16">
        <v>66650</v>
      </c>
      <c r="F53" s="41">
        <f>SUM(D53:E53)</f>
        <v>566650</v>
      </c>
      <c r="G53" s="159">
        <v>50</v>
      </c>
      <c r="H53" s="305">
        <v>11333</v>
      </c>
      <c r="I53" s="97">
        <v>60</v>
      </c>
      <c r="J53" s="97">
        <f t="shared" ref="J53:J84" si="6">G53-I53</f>
        <v>-10</v>
      </c>
      <c r="K53" s="91">
        <f t="shared" si="4"/>
        <v>679980</v>
      </c>
      <c r="L53" s="94">
        <f t="shared" si="5"/>
        <v>-113330</v>
      </c>
      <c r="M53" s="11"/>
      <c r="N53" s="180" t="e">
        <f>#REF!-H53</f>
        <v>#REF!</v>
      </c>
    </row>
    <row r="54" spans="1:14" s="114" customFormat="1">
      <c r="A54" s="96">
        <v>49</v>
      </c>
      <c r="B54" s="292" t="s">
        <v>1044</v>
      </c>
      <c r="C54" s="11" t="s">
        <v>844</v>
      </c>
      <c r="D54" s="19">
        <v>150000</v>
      </c>
      <c r="E54" s="19">
        <v>19995</v>
      </c>
      <c r="F54" s="19">
        <f>SUM(D54:E54)</f>
        <v>169995</v>
      </c>
      <c r="G54" s="159">
        <v>50</v>
      </c>
      <c r="H54" s="288">
        <v>3399.9</v>
      </c>
      <c r="I54" s="101">
        <v>13</v>
      </c>
      <c r="J54" s="97">
        <f t="shared" si="6"/>
        <v>37</v>
      </c>
      <c r="K54" s="91">
        <f t="shared" si="4"/>
        <v>44198.700000000004</v>
      </c>
      <c r="L54" s="94">
        <f t="shared" si="5"/>
        <v>125796.29999999999</v>
      </c>
      <c r="M54" s="8"/>
      <c r="N54" s="180" t="e">
        <f>#REF!-H54</f>
        <v>#REF!</v>
      </c>
    </row>
    <row r="55" spans="1:14" s="114" customFormat="1">
      <c r="A55" s="96">
        <v>50</v>
      </c>
      <c r="B55" s="292" t="s">
        <v>1058</v>
      </c>
      <c r="C55" s="11" t="s">
        <v>346</v>
      </c>
      <c r="D55" s="19">
        <v>500000</v>
      </c>
      <c r="E55" s="19">
        <v>66650</v>
      </c>
      <c r="F55" s="19">
        <v>566650</v>
      </c>
      <c r="G55" s="159">
        <v>50</v>
      </c>
      <c r="H55" s="305">
        <v>11333</v>
      </c>
      <c r="I55" s="97">
        <v>24</v>
      </c>
      <c r="J55" s="97">
        <f t="shared" si="6"/>
        <v>26</v>
      </c>
      <c r="K55" s="91">
        <f t="shared" si="4"/>
        <v>271992</v>
      </c>
      <c r="L55" s="91">
        <f t="shared" si="5"/>
        <v>294658</v>
      </c>
      <c r="M55" s="11"/>
      <c r="N55" s="180" t="e">
        <f>#REF!-H55</f>
        <v>#REF!</v>
      </c>
    </row>
    <row r="56" spans="1:14" s="114" customFormat="1">
      <c r="A56" s="96">
        <v>51</v>
      </c>
      <c r="B56" s="292" t="s">
        <v>977</v>
      </c>
      <c r="C56" s="11" t="s">
        <v>357</v>
      </c>
      <c r="D56" s="12">
        <v>500000</v>
      </c>
      <c r="E56" s="12">
        <v>66650</v>
      </c>
      <c r="F56" s="15">
        <f>SUM(D56:E56)</f>
        <v>566650</v>
      </c>
      <c r="G56" s="14">
        <v>50</v>
      </c>
      <c r="H56" s="287">
        <v>11333</v>
      </c>
      <c r="I56" s="14">
        <v>44</v>
      </c>
      <c r="J56" s="97">
        <f t="shared" si="6"/>
        <v>6</v>
      </c>
      <c r="K56" s="91">
        <f t="shared" si="4"/>
        <v>498652</v>
      </c>
      <c r="L56" s="15">
        <f t="shared" si="5"/>
        <v>67998</v>
      </c>
      <c r="M56" s="8"/>
      <c r="N56" s="180" t="e">
        <f>#REF!-H56</f>
        <v>#REF!</v>
      </c>
    </row>
    <row r="57" spans="1:14" s="114" customFormat="1">
      <c r="A57" s="96">
        <v>52</v>
      </c>
      <c r="B57" s="292" t="s">
        <v>1098</v>
      </c>
      <c r="C57" s="11" t="s">
        <v>345</v>
      </c>
      <c r="D57" s="19">
        <v>500000</v>
      </c>
      <c r="E57" s="19">
        <v>66650</v>
      </c>
      <c r="F57" s="19">
        <v>566650</v>
      </c>
      <c r="G57" s="159">
        <v>50</v>
      </c>
      <c r="H57" s="305">
        <v>11333</v>
      </c>
      <c r="I57" s="97">
        <v>25</v>
      </c>
      <c r="J57" s="97">
        <f t="shared" si="6"/>
        <v>25</v>
      </c>
      <c r="K57" s="91">
        <f t="shared" si="4"/>
        <v>283325</v>
      </c>
      <c r="L57" s="91">
        <f t="shared" si="5"/>
        <v>283325</v>
      </c>
      <c r="M57" s="11"/>
    </row>
    <row r="58" spans="1:14" s="114" customFormat="1">
      <c r="A58" s="96">
        <v>53</v>
      </c>
      <c r="B58" s="292" t="s">
        <v>1067</v>
      </c>
      <c r="C58" s="11" t="s">
        <v>368</v>
      </c>
      <c r="D58" s="16">
        <v>450000</v>
      </c>
      <c r="E58" s="16">
        <v>59985</v>
      </c>
      <c r="F58" s="16">
        <v>509985</v>
      </c>
      <c r="G58" s="159">
        <v>50</v>
      </c>
      <c r="H58" s="305">
        <v>10199.700000000001</v>
      </c>
      <c r="I58" s="97">
        <v>24</v>
      </c>
      <c r="J58" s="97">
        <f t="shared" si="6"/>
        <v>26</v>
      </c>
      <c r="K58" s="91">
        <f t="shared" si="4"/>
        <v>244792.80000000002</v>
      </c>
      <c r="L58" s="91">
        <f t="shared" si="5"/>
        <v>265192.19999999995</v>
      </c>
      <c r="M58" s="11"/>
      <c r="N58" s="180" t="e">
        <f>#REF!-H58</f>
        <v>#REF!</v>
      </c>
    </row>
    <row r="59" spans="1:14" s="114" customFormat="1">
      <c r="A59" s="96">
        <v>54</v>
      </c>
      <c r="B59" s="293" t="s">
        <v>1078</v>
      </c>
      <c r="C59" s="123" t="s">
        <v>446</v>
      </c>
      <c r="D59" s="19">
        <v>330000</v>
      </c>
      <c r="E59" s="19">
        <v>43989</v>
      </c>
      <c r="F59" s="19">
        <f>SUM(D59:E59)</f>
        <v>373989</v>
      </c>
      <c r="G59" s="159">
        <v>50</v>
      </c>
      <c r="H59" s="304">
        <v>7479.78</v>
      </c>
      <c r="I59" s="159">
        <v>8</v>
      </c>
      <c r="J59" s="159">
        <f t="shared" si="6"/>
        <v>42</v>
      </c>
      <c r="K59" s="16">
        <f t="shared" si="4"/>
        <v>59838.239999999998</v>
      </c>
      <c r="L59" s="94">
        <f t="shared" si="5"/>
        <v>314150.76</v>
      </c>
      <c r="M59" s="11"/>
      <c r="N59" s="180" t="e">
        <f>#REF!-H59</f>
        <v>#REF!</v>
      </c>
    </row>
    <row r="60" spans="1:14" s="114" customFormat="1">
      <c r="A60" s="96">
        <v>55</v>
      </c>
      <c r="B60" s="292" t="s">
        <v>971</v>
      </c>
      <c r="C60" s="11" t="s">
        <v>112</v>
      </c>
      <c r="D60" s="16">
        <v>330000</v>
      </c>
      <c r="E60" s="16">
        <v>43989</v>
      </c>
      <c r="F60" s="41">
        <f>SUM(D60:E60)</f>
        <v>373989</v>
      </c>
      <c r="G60" s="159">
        <v>50</v>
      </c>
      <c r="H60" s="287">
        <v>7479.78</v>
      </c>
      <c r="I60" s="97">
        <v>39</v>
      </c>
      <c r="J60" s="97">
        <f t="shared" si="6"/>
        <v>11</v>
      </c>
      <c r="K60" s="91">
        <f t="shared" si="4"/>
        <v>291711.42</v>
      </c>
      <c r="L60" s="94">
        <f t="shared" si="5"/>
        <v>82277.580000000016</v>
      </c>
      <c r="M60" s="11"/>
      <c r="N60" s="180" t="e">
        <f>#REF!-H60</f>
        <v>#REF!</v>
      </c>
    </row>
    <row r="61" spans="1:14" s="114" customFormat="1">
      <c r="A61" s="96">
        <v>56</v>
      </c>
      <c r="B61" s="292" t="s">
        <v>976</v>
      </c>
      <c r="C61" s="11" t="s">
        <v>307</v>
      </c>
      <c r="D61" s="12">
        <v>500000</v>
      </c>
      <c r="E61" s="12">
        <v>66650</v>
      </c>
      <c r="F61" s="15">
        <f>SUM(D61:E61)</f>
        <v>566650</v>
      </c>
      <c r="G61" s="14">
        <v>50</v>
      </c>
      <c r="H61" s="305">
        <v>11333</v>
      </c>
      <c r="I61" s="14">
        <v>44</v>
      </c>
      <c r="J61" s="97">
        <f t="shared" si="6"/>
        <v>6</v>
      </c>
      <c r="K61" s="91">
        <f t="shared" si="4"/>
        <v>498652</v>
      </c>
      <c r="L61" s="15">
        <f t="shared" si="5"/>
        <v>67998</v>
      </c>
      <c r="M61" s="8"/>
      <c r="N61" s="180" t="e">
        <f>#REF!-H61</f>
        <v>#REF!</v>
      </c>
    </row>
    <row r="62" spans="1:14" s="114" customFormat="1">
      <c r="A62" s="96">
        <v>57</v>
      </c>
      <c r="B62" s="292" t="s">
        <v>982</v>
      </c>
      <c r="C62" s="11" t="s">
        <v>350</v>
      </c>
      <c r="D62" s="16">
        <v>500000</v>
      </c>
      <c r="E62" s="16">
        <v>66650</v>
      </c>
      <c r="F62" s="41">
        <f>SUM(D62:E62)</f>
        <v>566650</v>
      </c>
      <c r="G62" s="159">
        <v>50</v>
      </c>
      <c r="H62" s="305">
        <v>11333</v>
      </c>
      <c r="I62" s="97">
        <v>17</v>
      </c>
      <c r="J62" s="97">
        <f t="shared" si="6"/>
        <v>33</v>
      </c>
      <c r="K62" s="91">
        <f>(1*11333)</f>
        <v>11333</v>
      </c>
      <c r="L62" s="91">
        <f t="shared" si="5"/>
        <v>555317</v>
      </c>
      <c r="M62" s="11"/>
      <c r="N62" s="180" t="e">
        <f>#REF!-H62</f>
        <v>#REF!</v>
      </c>
    </row>
    <row r="63" spans="1:14" s="114" customFormat="1">
      <c r="A63" s="96">
        <v>58</v>
      </c>
      <c r="B63" s="292" t="s">
        <v>965</v>
      </c>
      <c r="C63" s="11" t="s">
        <v>334</v>
      </c>
      <c r="D63" s="19">
        <v>500000</v>
      </c>
      <c r="E63" s="19">
        <v>66650</v>
      </c>
      <c r="F63" s="19">
        <v>566650</v>
      </c>
      <c r="G63" s="159">
        <v>50</v>
      </c>
      <c r="H63" s="305">
        <v>11333</v>
      </c>
      <c r="I63" s="97">
        <v>25</v>
      </c>
      <c r="J63" s="97">
        <f t="shared" si="6"/>
        <v>25</v>
      </c>
      <c r="K63" s="91">
        <f t="shared" ref="K63:K90" si="7">I63*H63</f>
        <v>283325</v>
      </c>
      <c r="L63" s="91">
        <f t="shared" si="5"/>
        <v>283325</v>
      </c>
      <c r="M63" s="11"/>
    </row>
    <row r="64" spans="1:14" s="114" customFormat="1">
      <c r="A64" s="96">
        <v>59</v>
      </c>
      <c r="B64" s="292" t="s">
        <v>1096</v>
      </c>
      <c r="C64" s="11" t="s">
        <v>489</v>
      </c>
      <c r="D64" s="19">
        <v>450000</v>
      </c>
      <c r="E64" s="19">
        <v>59985</v>
      </c>
      <c r="F64" s="19">
        <v>509985</v>
      </c>
      <c r="G64" s="159">
        <v>50</v>
      </c>
      <c r="H64" s="305">
        <v>10199.700000000001</v>
      </c>
      <c r="I64" s="101">
        <v>13</v>
      </c>
      <c r="J64" s="97">
        <f t="shared" si="6"/>
        <v>37</v>
      </c>
      <c r="K64" s="91">
        <f t="shared" si="7"/>
        <v>132596.1</v>
      </c>
      <c r="L64" s="94">
        <f t="shared" si="5"/>
        <v>377388.9</v>
      </c>
      <c r="M64" s="8"/>
      <c r="N64" s="180" t="e">
        <f>#REF!-H64</f>
        <v>#REF!</v>
      </c>
    </row>
    <row r="65" spans="1:14" s="114" customFormat="1">
      <c r="A65" s="96">
        <v>60</v>
      </c>
      <c r="B65" s="292" t="s">
        <v>1025</v>
      </c>
      <c r="C65" s="11" t="s">
        <v>333</v>
      </c>
      <c r="D65" s="16">
        <v>500000</v>
      </c>
      <c r="E65" s="16">
        <v>66650</v>
      </c>
      <c r="F65" s="41">
        <f>SUM(D65:E65)</f>
        <v>566650</v>
      </c>
      <c r="G65" s="159">
        <v>50</v>
      </c>
      <c r="H65" s="305">
        <v>11333</v>
      </c>
      <c r="I65" s="97">
        <v>60</v>
      </c>
      <c r="J65" s="97">
        <f t="shared" si="6"/>
        <v>-10</v>
      </c>
      <c r="K65" s="91">
        <f t="shared" si="7"/>
        <v>679980</v>
      </c>
      <c r="L65" s="94">
        <f t="shared" si="5"/>
        <v>-113330</v>
      </c>
      <c r="M65" s="11"/>
      <c r="N65" s="180" t="e">
        <f>#REF!-H65</f>
        <v>#REF!</v>
      </c>
    </row>
    <row r="66" spans="1:14" s="114" customFormat="1">
      <c r="A66" s="96">
        <v>61</v>
      </c>
      <c r="B66" s="292" t="s">
        <v>1102</v>
      </c>
      <c r="C66" s="11" t="s">
        <v>485</v>
      </c>
      <c r="D66" s="19">
        <v>450000</v>
      </c>
      <c r="E66" s="19">
        <v>59985</v>
      </c>
      <c r="F66" s="19">
        <v>509985</v>
      </c>
      <c r="G66" s="159">
        <v>50</v>
      </c>
      <c r="H66" s="289">
        <v>10199.700000000001</v>
      </c>
      <c r="I66" s="97">
        <v>50</v>
      </c>
      <c r="J66" s="97">
        <f t="shared" si="6"/>
        <v>0</v>
      </c>
      <c r="K66" s="91">
        <f t="shared" si="7"/>
        <v>509985.00000000006</v>
      </c>
      <c r="L66" s="94">
        <f t="shared" si="5"/>
        <v>0</v>
      </c>
      <c r="M66" s="11"/>
      <c r="N66" s="180" t="e">
        <f>#REF!-H66</f>
        <v>#REF!</v>
      </c>
    </row>
    <row r="67" spans="1:14" s="114" customFormat="1">
      <c r="A67" s="96">
        <v>62</v>
      </c>
      <c r="B67" s="292" t="s">
        <v>960</v>
      </c>
      <c r="C67" s="11" t="s">
        <v>488</v>
      </c>
      <c r="D67" s="16">
        <v>500000</v>
      </c>
      <c r="E67" s="16">
        <v>66650</v>
      </c>
      <c r="F67" s="16">
        <v>566650</v>
      </c>
      <c r="G67" s="159">
        <v>50</v>
      </c>
      <c r="H67" s="287">
        <v>11333</v>
      </c>
      <c r="I67" s="159">
        <v>13</v>
      </c>
      <c r="J67" s="97">
        <f t="shared" si="6"/>
        <v>37</v>
      </c>
      <c r="K67" s="91">
        <f t="shared" si="7"/>
        <v>147329</v>
      </c>
      <c r="L67" s="94">
        <f t="shared" si="5"/>
        <v>419321</v>
      </c>
      <c r="M67" s="11"/>
      <c r="N67" s="180" t="e">
        <f>#REF!-H67</f>
        <v>#REF!</v>
      </c>
    </row>
    <row r="68" spans="1:14" s="114" customFormat="1">
      <c r="A68" s="96">
        <v>63</v>
      </c>
      <c r="B68" s="292" t="s">
        <v>1024</v>
      </c>
      <c r="C68" s="11" t="s">
        <v>810</v>
      </c>
      <c r="D68" s="16">
        <v>450000</v>
      </c>
      <c r="E68" s="16">
        <v>59985</v>
      </c>
      <c r="F68" s="41">
        <f t="shared" ref="F68:F74" si="8">SUM(D68:E68)</f>
        <v>509985</v>
      </c>
      <c r="G68" s="159">
        <v>50</v>
      </c>
      <c r="H68" s="305">
        <v>10199.700000000001</v>
      </c>
      <c r="I68" s="97">
        <v>38</v>
      </c>
      <c r="J68" s="97">
        <f t="shared" si="6"/>
        <v>12</v>
      </c>
      <c r="K68" s="91">
        <f t="shared" si="7"/>
        <v>387588.60000000003</v>
      </c>
      <c r="L68" s="94">
        <f t="shared" si="5"/>
        <v>122396.39999999997</v>
      </c>
      <c r="M68" s="11"/>
      <c r="N68" s="180" t="e">
        <f>#REF!-H68</f>
        <v>#REF!</v>
      </c>
    </row>
    <row r="69" spans="1:14" s="114" customFormat="1">
      <c r="A69" s="96">
        <v>64</v>
      </c>
      <c r="B69" s="292" t="s">
        <v>959</v>
      </c>
      <c r="C69" s="11" t="s">
        <v>329</v>
      </c>
      <c r="D69" s="16">
        <v>500000</v>
      </c>
      <c r="E69" s="16">
        <v>66650</v>
      </c>
      <c r="F69" s="41">
        <f t="shared" si="8"/>
        <v>566650</v>
      </c>
      <c r="G69" s="159">
        <v>50</v>
      </c>
      <c r="H69" s="305">
        <v>11333</v>
      </c>
      <c r="I69" s="97">
        <v>44</v>
      </c>
      <c r="J69" s="97">
        <f t="shared" si="6"/>
        <v>6</v>
      </c>
      <c r="K69" s="91">
        <f t="shared" si="7"/>
        <v>498652</v>
      </c>
      <c r="L69" s="94">
        <f t="shared" si="5"/>
        <v>67998</v>
      </c>
      <c r="M69" s="11"/>
      <c r="N69" s="180" t="e">
        <f>#REF!-H69</f>
        <v>#REF!</v>
      </c>
    </row>
    <row r="70" spans="1:14" s="114" customFormat="1">
      <c r="A70" s="96">
        <v>65</v>
      </c>
      <c r="B70" s="293" t="s">
        <v>1011</v>
      </c>
      <c r="C70" s="123" t="s">
        <v>863</v>
      </c>
      <c r="D70" s="16">
        <v>500000</v>
      </c>
      <c r="E70" s="16">
        <v>66650</v>
      </c>
      <c r="F70" s="41">
        <f t="shared" si="8"/>
        <v>566650</v>
      </c>
      <c r="G70" s="159">
        <v>50</v>
      </c>
      <c r="H70" s="304">
        <v>11333</v>
      </c>
      <c r="I70" s="159">
        <v>8</v>
      </c>
      <c r="J70" s="159">
        <f t="shared" si="6"/>
        <v>42</v>
      </c>
      <c r="K70" s="16">
        <f t="shared" si="7"/>
        <v>90664</v>
      </c>
      <c r="L70" s="94">
        <f t="shared" ref="L70:L101" si="9">F70-K70</f>
        <v>475986</v>
      </c>
      <c r="M70" s="11"/>
      <c r="N70" s="180" t="e">
        <f>#REF!-H70</f>
        <v>#REF!</v>
      </c>
    </row>
    <row r="71" spans="1:14" s="114" customFormat="1">
      <c r="A71" s="96">
        <v>66</v>
      </c>
      <c r="B71" s="292" t="s">
        <v>1042</v>
      </c>
      <c r="C71" s="11" t="s">
        <v>359</v>
      </c>
      <c r="D71" s="16">
        <v>500000</v>
      </c>
      <c r="E71" s="16">
        <v>66650</v>
      </c>
      <c r="F71" s="41">
        <f t="shared" si="8"/>
        <v>566650</v>
      </c>
      <c r="G71" s="159">
        <v>50</v>
      </c>
      <c r="H71" s="305">
        <v>11333</v>
      </c>
      <c r="I71" s="159">
        <v>60</v>
      </c>
      <c r="J71" s="97">
        <f t="shared" si="6"/>
        <v>-10</v>
      </c>
      <c r="K71" s="91">
        <f t="shared" si="7"/>
        <v>679980</v>
      </c>
      <c r="L71" s="94">
        <f t="shared" si="9"/>
        <v>-113330</v>
      </c>
      <c r="M71" s="11"/>
      <c r="N71" s="180" t="e">
        <f>#REF!-H71</f>
        <v>#REF!</v>
      </c>
    </row>
    <row r="72" spans="1:14" s="114" customFormat="1">
      <c r="A72" s="96">
        <v>67</v>
      </c>
      <c r="B72" s="292" t="s">
        <v>1104</v>
      </c>
      <c r="C72" s="11" t="s">
        <v>318</v>
      </c>
      <c r="D72" s="16">
        <v>500000</v>
      </c>
      <c r="E72" s="16">
        <v>66650</v>
      </c>
      <c r="F72" s="41">
        <f t="shared" si="8"/>
        <v>566650</v>
      </c>
      <c r="G72" s="159">
        <v>50</v>
      </c>
      <c r="H72" s="305">
        <v>11333</v>
      </c>
      <c r="I72" s="97">
        <v>48</v>
      </c>
      <c r="J72" s="97">
        <f t="shared" si="6"/>
        <v>2</v>
      </c>
      <c r="K72" s="91">
        <f t="shared" si="7"/>
        <v>543984</v>
      </c>
      <c r="L72" s="94">
        <f t="shared" si="9"/>
        <v>22666</v>
      </c>
      <c r="M72" s="11"/>
      <c r="N72" s="180" t="e">
        <f>#REF!-H72</f>
        <v>#REF!</v>
      </c>
    </row>
    <row r="73" spans="1:14" s="114" customFormat="1">
      <c r="A73" s="96">
        <v>68</v>
      </c>
      <c r="B73" s="292" t="s">
        <v>1045</v>
      </c>
      <c r="C73" s="11" t="s">
        <v>867</v>
      </c>
      <c r="D73" s="16">
        <v>500000</v>
      </c>
      <c r="E73" s="16">
        <v>66650</v>
      </c>
      <c r="F73" s="41">
        <f t="shared" si="8"/>
        <v>566650</v>
      </c>
      <c r="G73" s="159">
        <v>50</v>
      </c>
      <c r="H73" s="305">
        <v>11333</v>
      </c>
      <c r="I73" s="97">
        <v>47</v>
      </c>
      <c r="J73" s="97">
        <f t="shared" si="6"/>
        <v>3</v>
      </c>
      <c r="K73" s="91">
        <f t="shared" si="7"/>
        <v>532651</v>
      </c>
      <c r="L73" s="94">
        <f t="shared" si="9"/>
        <v>33999</v>
      </c>
      <c r="M73" s="11"/>
      <c r="N73" s="180" t="e">
        <f>#REF!-H73</f>
        <v>#REF!</v>
      </c>
    </row>
    <row r="74" spans="1:14" s="114" customFormat="1">
      <c r="A74" s="96">
        <v>69</v>
      </c>
      <c r="B74" s="292" t="s">
        <v>973</v>
      </c>
      <c r="C74" s="11" t="s">
        <v>313</v>
      </c>
      <c r="D74" s="16">
        <v>500000</v>
      </c>
      <c r="E74" s="16">
        <v>66650</v>
      </c>
      <c r="F74" s="41">
        <f t="shared" si="8"/>
        <v>566650</v>
      </c>
      <c r="G74" s="159">
        <v>50</v>
      </c>
      <c r="H74" s="305">
        <v>11333</v>
      </c>
      <c r="I74" s="97">
        <v>39</v>
      </c>
      <c r="J74" s="97">
        <f t="shared" si="6"/>
        <v>11</v>
      </c>
      <c r="K74" s="91">
        <f t="shared" si="7"/>
        <v>441987</v>
      </c>
      <c r="L74" s="94">
        <f t="shared" si="9"/>
        <v>124663</v>
      </c>
      <c r="M74" s="11"/>
      <c r="N74" s="180" t="e">
        <f>#REF!-H74</f>
        <v>#REF!</v>
      </c>
    </row>
    <row r="75" spans="1:14" s="114" customFormat="1">
      <c r="A75" s="96">
        <v>70</v>
      </c>
      <c r="B75" s="292" t="s">
        <v>1037</v>
      </c>
      <c r="C75" s="11" t="s">
        <v>326</v>
      </c>
      <c r="D75" s="19">
        <v>500000</v>
      </c>
      <c r="E75" s="19">
        <v>66650</v>
      </c>
      <c r="F75" s="19">
        <v>566650</v>
      </c>
      <c r="G75" s="159">
        <v>50</v>
      </c>
      <c r="H75" s="305">
        <v>11333</v>
      </c>
      <c r="I75" s="97">
        <v>24</v>
      </c>
      <c r="J75" s="97">
        <f t="shared" si="6"/>
        <v>26</v>
      </c>
      <c r="K75" s="91">
        <f t="shared" si="7"/>
        <v>271992</v>
      </c>
      <c r="L75" s="91">
        <f t="shared" si="9"/>
        <v>294658</v>
      </c>
      <c r="M75" s="11"/>
      <c r="N75" s="180" t="e">
        <f>#REF!-H75</f>
        <v>#REF!</v>
      </c>
    </row>
    <row r="76" spans="1:14" s="114" customFormat="1">
      <c r="A76" s="96">
        <v>71</v>
      </c>
      <c r="B76" s="292" t="s">
        <v>1033</v>
      </c>
      <c r="C76" s="11" t="s">
        <v>212</v>
      </c>
      <c r="D76" s="16">
        <v>150000</v>
      </c>
      <c r="E76" s="16">
        <v>19995</v>
      </c>
      <c r="F76" s="41">
        <f t="shared" ref="F76:F88" si="10">SUM(D76:E76)</f>
        <v>169995</v>
      </c>
      <c r="G76" s="159">
        <v>50</v>
      </c>
      <c r="H76" s="305">
        <v>3399.9</v>
      </c>
      <c r="I76" s="97">
        <v>48</v>
      </c>
      <c r="J76" s="97">
        <f t="shared" si="6"/>
        <v>2</v>
      </c>
      <c r="K76" s="91">
        <f t="shared" si="7"/>
        <v>163195.20000000001</v>
      </c>
      <c r="L76" s="94">
        <f t="shared" si="9"/>
        <v>6799.7999999999884</v>
      </c>
      <c r="M76" s="11"/>
      <c r="N76" s="180" t="e">
        <f>#REF!-H76</f>
        <v>#REF!</v>
      </c>
    </row>
    <row r="77" spans="1:14" s="114" customFormat="1">
      <c r="A77" s="96">
        <v>72</v>
      </c>
      <c r="B77" s="295" t="s">
        <v>1002</v>
      </c>
      <c r="C77" s="8" t="s">
        <v>1003</v>
      </c>
      <c r="D77" s="19">
        <v>150000</v>
      </c>
      <c r="E77" s="19">
        <v>19995</v>
      </c>
      <c r="F77" s="19">
        <f t="shared" si="10"/>
        <v>169995</v>
      </c>
      <c r="G77" s="159">
        <v>50</v>
      </c>
      <c r="H77" s="306">
        <v>3399.9</v>
      </c>
      <c r="I77" s="159">
        <v>5</v>
      </c>
      <c r="J77" s="159">
        <f t="shared" si="6"/>
        <v>45</v>
      </c>
      <c r="K77" s="16">
        <f t="shared" si="7"/>
        <v>16999.5</v>
      </c>
      <c r="L77" s="94">
        <f t="shared" si="9"/>
        <v>152995.5</v>
      </c>
      <c r="M77" s="8"/>
      <c r="N77" s="180" t="e">
        <f>#REF!-H77</f>
        <v>#REF!</v>
      </c>
    </row>
    <row r="78" spans="1:14" s="114" customFormat="1">
      <c r="A78" s="96">
        <v>73</v>
      </c>
      <c r="B78" s="292" t="s">
        <v>967</v>
      </c>
      <c r="C78" s="11" t="s">
        <v>370</v>
      </c>
      <c r="D78" s="16">
        <v>450000</v>
      </c>
      <c r="E78" s="16">
        <v>59985</v>
      </c>
      <c r="F78" s="41">
        <f t="shared" si="10"/>
        <v>509985</v>
      </c>
      <c r="G78" s="159">
        <v>50</v>
      </c>
      <c r="H78" s="305">
        <v>10199.700000000001</v>
      </c>
      <c r="I78" s="97">
        <v>39</v>
      </c>
      <c r="J78" s="97">
        <f t="shared" si="6"/>
        <v>11</v>
      </c>
      <c r="K78" s="91">
        <f t="shared" si="7"/>
        <v>397788.30000000005</v>
      </c>
      <c r="L78" s="94">
        <f t="shared" si="9"/>
        <v>112196.69999999995</v>
      </c>
      <c r="M78" s="11"/>
      <c r="N78" s="180" t="e">
        <f>#REF!-H78</f>
        <v>#REF!</v>
      </c>
    </row>
    <row r="79" spans="1:14" s="114" customFormat="1">
      <c r="A79" s="96">
        <v>74</v>
      </c>
      <c r="B79" s="294" t="s">
        <v>1061</v>
      </c>
      <c r="C79" s="11" t="s">
        <v>854</v>
      </c>
      <c r="D79" s="19">
        <v>330000</v>
      </c>
      <c r="E79" s="19">
        <v>43989</v>
      </c>
      <c r="F79" s="19">
        <f t="shared" si="10"/>
        <v>373989</v>
      </c>
      <c r="G79" s="159">
        <v>50</v>
      </c>
      <c r="H79" s="304">
        <v>7479.78</v>
      </c>
      <c r="I79" s="159">
        <v>6</v>
      </c>
      <c r="J79" s="97">
        <f t="shared" si="6"/>
        <v>44</v>
      </c>
      <c r="K79" s="91">
        <f t="shared" si="7"/>
        <v>44878.68</v>
      </c>
      <c r="L79" s="94">
        <f t="shared" si="9"/>
        <v>329110.32</v>
      </c>
      <c r="M79" s="11"/>
    </row>
    <row r="80" spans="1:14" s="114" customFormat="1">
      <c r="A80" s="96">
        <v>75</v>
      </c>
      <c r="B80" s="294" t="s">
        <v>969</v>
      </c>
      <c r="C80" s="11" t="s">
        <v>851</v>
      </c>
      <c r="D80" s="19">
        <v>150000</v>
      </c>
      <c r="E80" s="19">
        <v>19995</v>
      </c>
      <c r="F80" s="19">
        <f t="shared" si="10"/>
        <v>169995</v>
      </c>
      <c r="G80" s="159">
        <v>50</v>
      </c>
      <c r="H80" s="304">
        <v>3399.9</v>
      </c>
      <c r="I80" s="159">
        <v>9</v>
      </c>
      <c r="J80" s="97">
        <f t="shared" si="6"/>
        <v>41</v>
      </c>
      <c r="K80" s="91">
        <f t="shared" si="7"/>
        <v>30599.100000000002</v>
      </c>
      <c r="L80" s="94">
        <f t="shared" si="9"/>
        <v>139395.9</v>
      </c>
      <c r="M80" s="11"/>
      <c r="N80" s="180" t="e">
        <f>#REF!-H80</f>
        <v>#REF!</v>
      </c>
    </row>
    <row r="81" spans="1:14" s="114" customFormat="1">
      <c r="A81" s="96">
        <v>76</v>
      </c>
      <c r="B81" s="292" t="s">
        <v>1041</v>
      </c>
      <c r="C81" s="11" t="s">
        <v>322</v>
      </c>
      <c r="D81" s="16">
        <v>500000</v>
      </c>
      <c r="E81" s="16">
        <v>66650</v>
      </c>
      <c r="F81" s="41">
        <f t="shared" si="10"/>
        <v>566650</v>
      </c>
      <c r="G81" s="159">
        <v>50</v>
      </c>
      <c r="H81" s="305">
        <v>11333</v>
      </c>
      <c r="I81" s="97">
        <v>39</v>
      </c>
      <c r="J81" s="97">
        <f t="shared" si="6"/>
        <v>11</v>
      </c>
      <c r="K81" s="91">
        <f t="shared" si="7"/>
        <v>441987</v>
      </c>
      <c r="L81" s="94">
        <f t="shared" si="9"/>
        <v>124663</v>
      </c>
      <c r="M81" s="11"/>
      <c r="N81" s="180" t="e">
        <f>#REF!-H81</f>
        <v>#REF!</v>
      </c>
    </row>
    <row r="82" spans="1:14" s="114" customFormat="1">
      <c r="A82" s="96">
        <v>77</v>
      </c>
      <c r="B82" s="292" t="s">
        <v>1070</v>
      </c>
      <c r="C82" s="11" t="s">
        <v>347</v>
      </c>
      <c r="D82" s="16">
        <v>500000</v>
      </c>
      <c r="E82" s="16">
        <v>66650</v>
      </c>
      <c r="F82" s="41">
        <f t="shared" si="10"/>
        <v>566650</v>
      </c>
      <c r="G82" s="159">
        <v>50</v>
      </c>
      <c r="H82" s="305">
        <v>11333</v>
      </c>
      <c r="I82" s="97">
        <v>39</v>
      </c>
      <c r="J82" s="97">
        <f t="shared" si="6"/>
        <v>11</v>
      </c>
      <c r="K82" s="91">
        <f t="shared" si="7"/>
        <v>441987</v>
      </c>
      <c r="L82" s="94">
        <f t="shared" si="9"/>
        <v>124663</v>
      </c>
      <c r="M82" s="11"/>
    </row>
    <row r="83" spans="1:14" s="114" customFormat="1">
      <c r="A83" s="96">
        <v>78</v>
      </c>
      <c r="B83" s="292" t="s">
        <v>1054</v>
      </c>
      <c r="C83" s="11" t="s">
        <v>299</v>
      </c>
      <c r="D83" s="16">
        <v>500000</v>
      </c>
      <c r="E83" s="16">
        <v>66650</v>
      </c>
      <c r="F83" s="41">
        <f t="shared" si="10"/>
        <v>566650</v>
      </c>
      <c r="G83" s="159">
        <v>50</v>
      </c>
      <c r="H83" s="305">
        <v>11333</v>
      </c>
      <c r="I83" s="97">
        <v>49</v>
      </c>
      <c r="J83" s="97">
        <f t="shared" si="6"/>
        <v>1</v>
      </c>
      <c r="K83" s="91">
        <f t="shared" si="7"/>
        <v>555317</v>
      </c>
      <c r="L83" s="94">
        <f t="shared" si="9"/>
        <v>11333</v>
      </c>
      <c r="M83" s="11" t="s">
        <v>276</v>
      </c>
      <c r="N83" s="180" t="e">
        <f>#REF!-H83</f>
        <v>#REF!</v>
      </c>
    </row>
    <row r="84" spans="1:14" s="114" customFormat="1">
      <c r="A84" s="96">
        <v>79</v>
      </c>
      <c r="B84" s="292" t="s">
        <v>1007</v>
      </c>
      <c r="C84" s="11" t="s">
        <v>352</v>
      </c>
      <c r="D84" s="16">
        <v>500000</v>
      </c>
      <c r="E84" s="16">
        <v>66650</v>
      </c>
      <c r="F84" s="41">
        <f t="shared" si="10"/>
        <v>566650</v>
      </c>
      <c r="G84" s="159">
        <v>50</v>
      </c>
      <c r="H84" s="305">
        <v>11333</v>
      </c>
      <c r="I84" s="97">
        <v>39</v>
      </c>
      <c r="J84" s="97">
        <f t="shared" si="6"/>
        <v>11</v>
      </c>
      <c r="K84" s="91">
        <f t="shared" si="7"/>
        <v>441987</v>
      </c>
      <c r="L84" s="94">
        <f t="shared" si="9"/>
        <v>124663</v>
      </c>
      <c r="M84" s="11"/>
    </row>
    <row r="85" spans="1:14" s="114" customFormat="1">
      <c r="A85" s="96">
        <v>80</v>
      </c>
      <c r="B85" s="295" t="s">
        <v>987</v>
      </c>
      <c r="C85" s="8" t="s">
        <v>866</v>
      </c>
      <c r="D85" s="16">
        <v>500000</v>
      </c>
      <c r="E85" s="16">
        <v>66650</v>
      </c>
      <c r="F85" s="41">
        <f t="shared" si="10"/>
        <v>566650</v>
      </c>
      <c r="G85" s="159">
        <v>50</v>
      </c>
      <c r="H85" s="306">
        <v>11333</v>
      </c>
      <c r="I85" s="159">
        <v>8</v>
      </c>
      <c r="J85" s="97">
        <f t="shared" ref="J85:J116" si="11">G85-I85</f>
        <v>42</v>
      </c>
      <c r="K85" s="16">
        <f t="shared" si="7"/>
        <v>90664</v>
      </c>
      <c r="L85" s="94">
        <f t="shared" si="9"/>
        <v>475986</v>
      </c>
      <c r="M85" s="8"/>
      <c r="N85" s="180" t="e">
        <f>#REF!-H85</f>
        <v>#REF!</v>
      </c>
    </row>
    <row r="86" spans="1:14" s="114" customFormat="1">
      <c r="A86" s="96">
        <v>81</v>
      </c>
      <c r="B86" s="292" t="s">
        <v>1000</v>
      </c>
      <c r="C86" s="11" t="s">
        <v>371</v>
      </c>
      <c r="D86" s="16">
        <v>450000</v>
      </c>
      <c r="E86" s="16">
        <v>59985</v>
      </c>
      <c r="F86" s="41">
        <f t="shared" si="10"/>
        <v>509985</v>
      </c>
      <c r="G86" s="159">
        <v>50</v>
      </c>
      <c r="H86" s="305">
        <v>10199.700000000001</v>
      </c>
      <c r="I86" s="97">
        <v>39</v>
      </c>
      <c r="J86" s="97">
        <f t="shared" si="11"/>
        <v>11</v>
      </c>
      <c r="K86" s="91">
        <f t="shared" si="7"/>
        <v>397788.30000000005</v>
      </c>
      <c r="L86" s="94">
        <f t="shared" si="9"/>
        <v>112196.69999999995</v>
      </c>
      <c r="M86" s="11"/>
      <c r="N86" s="180" t="e">
        <f>#REF!-H86</f>
        <v>#REF!</v>
      </c>
    </row>
    <row r="87" spans="1:14" s="114" customFormat="1">
      <c r="A87" s="96">
        <v>82</v>
      </c>
      <c r="B87" s="292" t="s">
        <v>1020</v>
      </c>
      <c r="C87" s="11" t="s">
        <v>99</v>
      </c>
      <c r="D87" s="16">
        <v>450000</v>
      </c>
      <c r="E87" s="16">
        <v>59985</v>
      </c>
      <c r="F87" s="41">
        <f t="shared" si="10"/>
        <v>509985</v>
      </c>
      <c r="G87" s="159">
        <v>50</v>
      </c>
      <c r="H87" s="305">
        <v>10199.700000000001</v>
      </c>
      <c r="I87" s="159">
        <v>48</v>
      </c>
      <c r="J87" s="97">
        <f t="shared" si="11"/>
        <v>2</v>
      </c>
      <c r="K87" s="91">
        <f t="shared" si="7"/>
        <v>489585.60000000003</v>
      </c>
      <c r="L87" s="94">
        <f t="shared" si="9"/>
        <v>20399.399999999965</v>
      </c>
      <c r="M87" s="11"/>
      <c r="N87" s="180" t="e">
        <f>#REF!-H87</f>
        <v>#REF!</v>
      </c>
    </row>
    <row r="88" spans="1:14" s="114" customFormat="1">
      <c r="A88" s="96">
        <v>83</v>
      </c>
      <c r="B88" s="292" t="s">
        <v>980</v>
      </c>
      <c r="C88" s="11" t="s">
        <v>497</v>
      </c>
      <c r="D88" s="16">
        <v>450000</v>
      </c>
      <c r="E88" s="16">
        <v>59985</v>
      </c>
      <c r="F88" s="41">
        <f t="shared" si="10"/>
        <v>509985</v>
      </c>
      <c r="G88" s="159">
        <v>50</v>
      </c>
      <c r="H88" s="305">
        <v>11333</v>
      </c>
      <c r="I88" s="97">
        <v>28</v>
      </c>
      <c r="J88" s="97">
        <f t="shared" si="11"/>
        <v>22</v>
      </c>
      <c r="K88" s="91">
        <f t="shared" si="7"/>
        <v>317324</v>
      </c>
      <c r="L88" s="94">
        <f t="shared" si="9"/>
        <v>192661</v>
      </c>
      <c r="M88" s="11"/>
      <c r="N88" s="180" t="e">
        <f>#REF!-H88</f>
        <v>#REF!</v>
      </c>
    </row>
    <row r="89" spans="1:14" s="114" customFormat="1">
      <c r="A89" s="96">
        <v>84</v>
      </c>
      <c r="B89" s="292" t="s">
        <v>1093</v>
      </c>
      <c r="C89" s="11" t="s">
        <v>364</v>
      </c>
      <c r="D89" s="16">
        <v>450000</v>
      </c>
      <c r="E89" s="16">
        <v>59985</v>
      </c>
      <c r="F89" s="16">
        <v>509985</v>
      </c>
      <c r="G89" s="159">
        <v>50</v>
      </c>
      <c r="H89" s="305">
        <v>10199.700000000001</v>
      </c>
      <c r="I89" s="97">
        <v>24</v>
      </c>
      <c r="J89" s="97">
        <f t="shared" si="11"/>
        <v>26</v>
      </c>
      <c r="K89" s="91">
        <f t="shared" si="7"/>
        <v>244792.80000000002</v>
      </c>
      <c r="L89" s="91">
        <f t="shared" si="9"/>
        <v>265192.19999999995</v>
      </c>
      <c r="M89" s="11"/>
      <c r="N89" s="180" t="e">
        <f>#REF!-H89</f>
        <v>#REF!</v>
      </c>
    </row>
    <row r="90" spans="1:14" s="114" customFormat="1">
      <c r="A90" s="96">
        <v>85</v>
      </c>
      <c r="B90" s="294" t="s">
        <v>1105</v>
      </c>
      <c r="C90" s="11" t="s">
        <v>861</v>
      </c>
      <c r="D90" s="16">
        <v>500000</v>
      </c>
      <c r="E90" s="16">
        <v>66650</v>
      </c>
      <c r="F90" s="41">
        <f>SUM(D90:E90)</f>
        <v>566650</v>
      </c>
      <c r="G90" s="159">
        <v>50</v>
      </c>
      <c r="H90" s="304">
        <v>11333</v>
      </c>
      <c r="I90" s="159">
        <v>6</v>
      </c>
      <c r="J90" s="97">
        <f t="shared" si="11"/>
        <v>44</v>
      </c>
      <c r="K90" s="91">
        <f t="shared" si="7"/>
        <v>67998</v>
      </c>
      <c r="L90" s="94">
        <f t="shared" si="9"/>
        <v>498652</v>
      </c>
      <c r="M90" s="11"/>
      <c r="N90" s="180" t="e">
        <f>#REF!-H90</f>
        <v>#REF!</v>
      </c>
    </row>
    <row r="91" spans="1:14" s="114" customFormat="1">
      <c r="A91" s="96">
        <v>86</v>
      </c>
      <c r="B91" s="292" t="s">
        <v>1063</v>
      </c>
      <c r="C91" s="11" t="s">
        <v>1064</v>
      </c>
      <c r="D91" s="16">
        <v>330000</v>
      </c>
      <c r="E91" s="16">
        <v>43989</v>
      </c>
      <c r="F91" s="41">
        <f>SUM(D91:E91)</f>
        <v>373989</v>
      </c>
      <c r="G91" s="159">
        <v>50</v>
      </c>
      <c r="H91" s="287">
        <v>7479.78</v>
      </c>
      <c r="I91" s="159">
        <v>48</v>
      </c>
      <c r="J91" s="97">
        <f t="shared" si="11"/>
        <v>2</v>
      </c>
      <c r="K91" s="91">
        <f>(32*7479.78)</f>
        <v>239352.95999999999</v>
      </c>
      <c r="L91" s="94">
        <f t="shared" si="9"/>
        <v>134636.04</v>
      </c>
      <c r="M91" s="11"/>
      <c r="N91" s="180" t="e">
        <f>#REF!-H91</f>
        <v>#REF!</v>
      </c>
    </row>
    <row r="92" spans="1:14" s="114" customFormat="1">
      <c r="A92" s="96">
        <v>87</v>
      </c>
      <c r="B92" s="292" t="s">
        <v>999</v>
      </c>
      <c r="C92" s="11" t="s">
        <v>441</v>
      </c>
      <c r="D92" s="16">
        <v>500000</v>
      </c>
      <c r="E92" s="16">
        <v>66650</v>
      </c>
      <c r="F92" s="16">
        <v>566650</v>
      </c>
      <c r="G92" s="159">
        <v>50</v>
      </c>
      <c r="H92" s="287">
        <v>11333</v>
      </c>
      <c r="I92" s="96">
        <v>13</v>
      </c>
      <c r="J92" s="97">
        <f t="shared" si="11"/>
        <v>37</v>
      </c>
      <c r="K92" s="91">
        <f t="shared" ref="K92:K132" si="12">I92*H92</f>
        <v>147329</v>
      </c>
      <c r="L92" s="94">
        <f t="shared" si="9"/>
        <v>419321</v>
      </c>
      <c r="M92" s="123"/>
      <c r="N92" s="180" t="e">
        <f>#REF!-H92</f>
        <v>#REF!</v>
      </c>
    </row>
    <row r="93" spans="1:14" s="114" customFormat="1">
      <c r="A93" s="96">
        <v>88</v>
      </c>
      <c r="B93" s="292" t="s">
        <v>1040</v>
      </c>
      <c r="C93" s="11" t="s">
        <v>378</v>
      </c>
      <c r="D93" s="12">
        <v>330000</v>
      </c>
      <c r="E93" s="12">
        <v>43989</v>
      </c>
      <c r="F93" s="15">
        <f t="shared" ref="F93:F100" si="13">SUM(D93:E93)</f>
        <v>373989</v>
      </c>
      <c r="G93" s="14">
        <v>50</v>
      </c>
      <c r="H93" s="287">
        <v>7479.78</v>
      </c>
      <c r="I93" s="14">
        <v>44</v>
      </c>
      <c r="J93" s="97">
        <f t="shared" si="11"/>
        <v>6</v>
      </c>
      <c r="K93" s="91">
        <f t="shared" si="12"/>
        <v>329110.32</v>
      </c>
      <c r="L93" s="15">
        <f t="shared" si="9"/>
        <v>44878.679999999993</v>
      </c>
      <c r="M93" s="8"/>
      <c r="N93" s="180" t="e">
        <f>#REF!-H93</f>
        <v>#REF!</v>
      </c>
    </row>
    <row r="94" spans="1:14" s="114" customFormat="1">
      <c r="A94" s="96">
        <v>89</v>
      </c>
      <c r="B94" s="292" t="s">
        <v>1031</v>
      </c>
      <c r="C94" s="11" t="s">
        <v>330</v>
      </c>
      <c r="D94" s="16">
        <v>500000</v>
      </c>
      <c r="E94" s="16">
        <v>66650</v>
      </c>
      <c r="F94" s="41">
        <f t="shared" si="13"/>
        <v>566650</v>
      </c>
      <c r="G94" s="159">
        <v>50</v>
      </c>
      <c r="H94" s="305">
        <v>11333</v>
      </c>
      <c r="I94" s="97">
        <v>60</v>
      </c>
      <c r="J94" s="97">
        <f t="shared" si="11"/>
        <v>-10</v>
      </c>
      <c r="K94" s="91">
        <f t="shared" si="12"/>
        <v>679980</v>
      </c>
      <c r="L94" s="94">
        <f t="shared" si="9"/>
        <v>-113330</v>
      </c>
      <c r="M94" s="11"/>
      <c r="N94" s="180" t="e">
        <f>#REF!-H94</f>
        <v>#REF!</v>
      </c>
    </row>
    <row r="95" spans="1:14" s="114" customFormat="1">
      <c r="A95" s="96">
        <v>90</v>
      </c>
      <c r="B95" s="295" t="s">
        <v>985</v>
      </c>
      <c r="C95" s="8" t="s">
        <v>986</v>
      </c>
      <c r="D95" s="16">
        <v>450000</v>
      </c>
      <c r="E95" s="16">
        <v>59985</v>
      </c>
      <c r="F95" s="41">
        <f t="shared" si="13"/>
        <v>509985</v>
      </c>
      <c r="G95" s="159">
        <v>50</v>
      </c>
      <c r="H95" s="306">
        <v>10199.700000000001</v>
      </c>
      <c r="I95" s="159">
        <v>38</v>
      </c>
      <c r="J95" s="159">
        <f t="shared" si="11"/>
        <v>12</v>
      </c>
      <c r="K95" s="16">
        <f t="shared" si="12"/>
        <v>387588.60000000003</v>
      </c>
      <c r="L95" s="94">
        <f t="shared" si="9"/>
        <v>122396.39999999997</v>
      </c>
      <c r="M95" s="8"/>
    </row>
    <row r="96" spans="1:14" s="114" customFormat="1">
      <c r="A96" s="96">
        <v>91</v>
      </c>
      <c r="B96" s="292" t="s">
        <v>1053</v>
      </c>
      <c r="C96" s="11" t="s">
        <v>845</v>
      </c>
      <c r="D96" s="19">
        <v>150000</v>
      </c>
      <c r="E96" s="19">
        <v>19995</v>
      </c>
      <c r="F96" s="19">
        <f t="shared" si="13"/>
        <v>169995</v>
      </c>
      <c r="G96" s="159">
        <v>50</v>
      </c>
      <c r="H96" s="305">
        <v>3399.9</v>
      </c>
      <c r="I96" s="97">
        <v>25</v>
      </c>
      <c r="J96" s="97">
        <f t="shared" si="11"/>
        <v>25</v>
      </c>
      <c r="K96" s="91">
        <f t="shared" si="12"/>
        <v>84997.5</v>
      </c>
      <c r="L96" s="91">
        <f t="shared" si="9"/>
        <v>84997.5</v>
      </c>
      <c r="M96" s="11"/>
      <c r="N96" s="180" t="e">
        <f>#REF!-H96</f>
        <v>#REF!</v>
      </c>
    </row>
    <row r="97" spans="1:14" s="114" customFormat="1">
      <c r="A97" s="96">
        <v>92</v>
      </c>
      <c r="B97" s="292" t="s">
        <v>1062</v>
      </c>
      <c r="C97" s="11" t="s">
        <v>335</v>
      </c>
      <c r="D97" s="16">
        <v>500000</v>
      </c>
      <c r="E97" s="16">
        <v>66650</v>
      </c>
      <c r="F97" s="41">
        <f t="shared" si="13"/>
        <v>566650</v>
      </c>
      <c r="G97" s="159">
        <v>50</v>
      </c>
      <c r="H97" s="305">
        <v>11333</v>
      </c>
      <c r="I97" s="97">
        <v>38</v>
      </c>
      <c r="J97" s="97">
        <f t="shared" si="11"/>
        <v>12</v>
      </c>
      <c r="K97" s="91">
        <f t="shared" si="12"/>
        <v>430654</v>
      </c>
      <c r="L97" s="94">
        <f t="shared" si="9"/>
        <v>135996</v>
      </c>
      <c r="M97" s="11"/>
      <c r="N97" s="180" t="e">
        <f>#REF!-H97</f>
        <v>#REF!</v>
      </c>
    </row>
    <row r="98" spans="1:14" s="114" customFormat="1">
      <c r="A98" s="96">
        <v>93</v>
      </c>
      <c r="B98" s="292" t="s">
        <v>1010</v>
      </c>
      <c r="C98" s="11" t="s">
        <v>325</v>
      </c>
      <c r="D98" s="16">
        <v>500000</v>
      </c>
      <c r="E98" s="16">
        <v>66650</v>
      </c>
      <c r="F98" s="41">
        <f t="shared" si="13"/>
        <v>566650</v>
      </c>
      <c r="G98" s="159">
        <v>50</v>
      </c>
      <c r="H98" s="305">
        <v>11333</v>
      </c>
      <c r="I98" s="97">
        <v>60</v>
      </c>
      <c r="J98" s="97">
        <f t="shared" si="11"/>
        <v>-10</v>
      </c>
      <c r="K98" s="91">
        <f t="shared" si="12"/>
        <v>679980</v>
      </c>
      <c r="L98" s="94">
        <f t="shared" si="9"/>
        <v>-113330</v>
      </c>
      <c r="M98" s="11"/>
      <c r="N98" s="180" t="e">
        <f>#REF!-H98</f>
        <v>#REF!</v>
      </c>
    </row>
    <row r="99" spans="1:14" s="114" customFormat="1">
      <c r="A99" s="96">
        <v>94</v>
      </c>
      <c r="B99" s="292" t="s">
        <v>958</v>
      </c>
      <c r="C99" s="11" t="s">
        <v>343</v>
      </c>
      <c r="D99" s="12">
        <v>500000</v>
      </c>
      <c r="E99" s="12">
        <v>66650</v>
      </c>
      <c r="F99" s="15">
        <f t="shared" si="13"/>
        <v>566650</v>
      </c>
      <c r="G99" s="14">
        <v>50</v>
      </c>
      <c r="H99" s="290">
        <v>11333</v>
      </c>
      <c r="I99" s="14">
        <v>44</v>
      </c>
      <c r="J99" s="97">
        <f t="shared" si="11"/>
        <v>6</v>
      </c>
      <c r="K99" s="91">
        <f t="shared" si="12"/>
        <v>498652</v>
      </c>
      <c r="L99" s="15">
        <f t="shared" si="9"/>
        <v>67998</v>
      </c>
      <c r="M99" s="8"/>
      <c r="N99" s="180" t="e">
        <f>#REF!-H99</f>
        <v>#REF!</v>
      </c>
    </row>
    <row r="100" spans="1:14" s="114" customFormat="1">
      <c r="A100" s="96">
        <v>95</v>
      </c>
      <c r="B100" s="292" t="s">
        <v>988</v>
      </c>
      <c r="C100" s="11" t="s">
        <v>296</v>
      </c>
      <c r="D100" s="19">
        <v>330000</v>
      </c>
      <c r="E100" s="19">
        <v>43989</v>
      </c>
      <c r="F100" s="19">
        <f t="shared" si="13"/>
        <v>373989</v>
      </c>
      <c r="G100" s="159">
        <v>40</v>
      </c>
      <c r="H100" s="305">
        <v>9129.7800000000007</v>
      </c>
      <c r="I100" s="159">
        <v>13</v>
      </c>
      <c r="J100" s="97">
        <f t="shared" si="11"/>
        <v>27</v>
      </c>
      <c r="K100" s="91">
        <f t="shared" si="12"/>
        <v>118687.14000000001</v>
      </c>
      <c r="L100" s="94">
        <f t="shared" si="9"/>
        <v>255301.86</v>
      </c>
      <c r="M100" s="11"/>
      <c r="N100" s="180" t="e">
        <f>#REF!-H100</f>
        <v>#REF!</v>
      </c>
    </row>
    <row r="101" spans="1:14" s="114" customFormat="1">
      <c r="A101" s="96">
        <v>96</v>
      </c>
      <c r="B101" s="293" t="s">
        <v>974</v>
      </c>
      <c r="C101" s="123" t="s">
        <v>859</v>
      </c>
      <c r="D101" s="19">
        <v>450000</v>
      </c>
      <c r="E101" s="19">
        <v>59985</v>
      </c>
      <c r="F101" s="19">
        <v>509985</v>
      </c>
      <c r="G101" s="159">
        <v>50</v>
      </c>
      <c r="H101" s="304">
        <v>10199.700000000001</v>
      </c>
      <c r="I101" s="159">
        <v>8</v>
      </c>
      <c r="J101" s="159">
        <f t="shared" si="11"/>
        <v>42</v>
      </c>
      <c r="K101" s="16">
        <f t="shared" si="12"/>
        <v>81597.600000000006</v>
      </c>
      <c r="L101" s="94">
        <f t="shared" si="9"/>
        <v>428387.4</v>
      </c>
      <c r="M101" s="11"/>
    </row>
    <row r="102" spans="1:14" s="114" customFormat="1">
      <c r="A102" s="96">
        <v>97</v>
      </c>
      <c r="B102" s="295" t="s">
        <v>1094</v>
      </c>
      <c r="C102" s="8" t="s">
        <v>1095</v>
      </c>
      <c r="D102" s="16">
        <v>500000</v>
      </c>
      <c r="E102" s="16">
        <v>66650</v>
      </c>
      <c r="F102" s="41">
        <f>SUM(D102:E102)</f>
        <v>566650</v>
      </c>
      <c r="G102" s="159">
        <v>50</v>
      </c>
      <c r="H102" s="306">
        <v>11333</v>
      </c>
      <c r="I102" s="159">
        <v>5</v>
      </c>
      <c r="J102" s="159">
        <f t="shared" si="11"/>
        <v>45</v>
      </c>
      <c r="K102" s="16">
        <f t="shared" si="12"/>
        <v>56665</v>
      </c>
      <c r="L102" s="94">
        <f t="shared" ref="L102:L132" si="14">F102-K102</f>
        <v>509985</v>
      </c>
      <c r="M102" s="8"/>
    </row>
    <row r="103" spans="1:14" s="114" customFormat="1">
      <c r="A103" s="96">
        <v>98</v>
      </c>
      <c r="B103" s="292" t="s">
        <v>1006</v>
      </c>
      <c r="C103" s="11" t="s">
        <v>865</v>
      </c>
      <c r="D103" s="16">
        <v>500000</v>
      </c>
      <c r="E103" s="16">
        <v>66650</v>
      </c>
      <c r="F103" s="41">
        <f>SUM(D103:E103)</f>
        <v>566650</v>
      </c>
      <c r="G103" s="159">
        <v>50</v>
      </c>
      <c r="H103" s="305">
        <v>11333</v>
      </c>
      <c r="I103" s="97">
        <v>39</v>
      </c>
      <c r="J103" s="97">
        <f t="shared" si="11"/>
        <v>11</v>
      </c>
      <c r="K103" s="91">
        <f t="shared" si="12"/>
        <v>441987</v>
      </c>
      <c r="L103" s="94">
        <f t="shared" si="14"/>
        <v>124663</v>
      </c>
      <c r="M103" s="11"/>
    </row>
    <row r="104" spans="1:14" s="114" customFormat="1">
      <c r="A104" s="96">
        <v>99</v>
      </c>
      <c r="B104" s="292" t="s">
        <v>983</v>
      </c>
      <c r="C104" s="11" t="s">
        <v>323</v>
      </c>
      <c r="D104" s="16">
        <v>500000</v>
      </c>
      <c r="E104" s="16">
        <v>66650</v>
      </c>
      <c r="F104" s="41">
        <f>SUM(D104:E104)</f>
        <v>566650</v>
      </c>
      <c r="G104" s="159">
        <v>50</v>
      </c>
      <c r="H104" s="305">
        <v>11333</v>
      </c>
      <c r="I104" s="97">
        <v>38</v>
      </c>
      <c r="J104" s="97">
        <f t="shared" si="11"/>
        <v>12</v>
      </c>
      <c r="K104" s="91">
        <f t="shared" si="12"/>
        <v>430654</v>
      </c>
      <c r="L104" s="94">
        <f t="shared" si="14"/>
        <v>135996</v>
      </c>
      <c r="M104" s="11"/>
    </row>
    <row r="105" spans="1:14" s="114" customFormat="1">
      <c r="A105" s="96">
        <v>100</v>
      </c>
      <c r="B105" s="292" t="s">
        <v>1032</v>
      </c>
      <c r="C105" s="11" t="s">
        <v>374</v>
      </c>
      <c r="D105" s="16">
        <v>330000</v>
      </c>
      <c r="E105" s="16">
        <v>43989</v>
      </c>
      <c r="F105" s="41">
        <f>SUM(D105:E105)</f>
        <v>373989</v>
      </c>
      <c r="G105" s="159">
        <v>50</v>
      </c>
      <c r="H105" s="305">
        <v>7479.78</v>
      </c>
      <c r="I105" s="97">
        <v>60</v>
      </c>
      <c r="J105" s="97">
        <f t="shared" si="11"/>
        <v>-10</v>
      </c>
      <c r="K105" s="91">
        <f t="shared" si="12"/>
        <v>448786.8</v>
      </c>
      <c r="L105" s="94">
        <f t="shared" si="14"/>
        <v>-74797.799999999988</v>
      </c>
      <c r="M105" s="11"/>
    </row>
    <row r="106" spans="1:14" s="114" customFormat="1">
      <c r="A106" s="96">
        <v>101</v>
      </c>
      <c r="B106" s="292" t="s">
        <v>1080</v>
      </c>
      <c r="C106" s="11" t="s">
        <v>315</v>
      </c>
      <c r="D106" s="19">
        <v>500000</v>
      </c>
      <c r="E106" s="19">
        <v>66650</v>
      </c>
      <c r="F106" s="19">
        <v>566650</v>
      </c>
      <c r="G106" s="159">
        <v>50</v>
      </c>
      <c r="H106" s="305">
        <v>11333</v>
      </c>
      <c r="I106" s="97">
        <v>25</v>
      </c>
      <c r="J106" s="97">
        <f t="shared" si="11"/>
        <v>25</v>
      </c>
      <c r="K106" s="91">
        <f t="shared" si="12"/>
        <v>283325</v>
      </c>
      <c r="L106" s="91">
        <f t="shared" si="14"/>
        <v>283325</v>
      </c>
      <c r="M106" s="11"/>
    </row>
    <row r="107" spans="1:14" s="114" customFormat="1">
      <c r="A107" s="96">
        <v>102</v>
      </c>
      <c r="B107" s="292" t="s">
        <v>1084</v>
      </c>
      <c r="C107" s="11" t="s">
        <v>353</v>
      </c>
      <c r="D107" s="19">
        <v>500000</v>
      </c>
      <c r="E107" s="19">
        <v>66650</v>
      </c>
      <c r="F107" s="19">
        <v>566650</v>
      </c>
      <c r="G107" s="159">
        <v>50</v>
      </c>
      <c r="H107" s="305">
        <v>11333</v>
      </c>
      <c r="I107" s="97">
        <v>25</v>
      </c>
      <c r="J107" s="97">
        <f t="shared" si="11"/>
        <v>25</v>
      </c>
      <c r="K107" s="91">
        <f t="shared" si="12"/>
        <v>283325</v>
      </c>
      <c r="L107" s="91">
        <f t="shared" si="14"/>
        <v>283325</v>
      </c>
      <c r="M107" s="11"/>
      <c r="N107" s="120"/>
    </row>
    <row r="108" spans="1:14" s="114" customFormat="1">
      <c r="A108" s="96">
        <v>103</v>
      </c>
      <c r="B108" s="292" t="s">
        <v>1028</v>
      </c>
      <c r="C108" s="11" t="s">
        <v>73</v>
      </c>
      <c r="D108" s="16">
        <v>500000</v>
      </c>
      <c r="E108" s="16">
        <v>66650</v>
      </c>
      <c r="F108" s="41">
        <f t="shared" ref="F108:F126" si="15">SUM(D108:E108)</f>
        <v>566650</v>
      </c>
      <c r="G108" s="159">
        <v>50</v>
      </c>
      <c r="H108" s="305">
        <v>11333</v>
      </c>
      <c r="I108" s="97">
        <v>48</v>
      </c>
      <c r="J108" s="97">
        <f t="shared" si="11"/>
        <v>2</v>
      </c>
      <c r="K108" s="91">
        <f t="shared" si="12"/>
        <v>543984</v>
      </c>
      <c r="L108" s="94">
        <f t="shared" si="14"/>
        <v>22666</v>
      </c>
      <c r="M108" s="11"/>
      <c r="N108"/>
    </row>
    <row r="109" spans="1:14" s="114" customFormat="1">
      <c r="A109" s="96">
        <v>104</v>
      </c>
      <c r="B109" s="292" t="s">
        <v>1108</v>
      </c>
      <c r="C109" s="11" t="s">
        <v>802</v>
      </c>
      <c r="D109" s="16">
        <v>500000</v>
      </c>
      <c r="E109" s="16">
        <v>66650</v>
      </c>
      <c r="F109" s="41">
        <f t="shared" si="15"/>
        <v>566650</v>
      </c>
      <c r="G109" s="159">
        <v>50</v>
      </c>
      <c r="H109" s="305">
        <v>11333</v>
      </c>
      <c r="I109" s="159">
        <v>15</v>
      </c>
      <c r="J109" s="159">
        <f t="shared" si="11"/>
        <v>35</v>
      </c>
      <c r="K109" s="91">
        <f t="shared" si="12"/>
        <v>169995</v>
      </c>
      <c r="L109" s="94">
        <f t="shared" si="14"/>
        <v>396655</v>
      </c>
      <c r="M109" s="11"/>
      <c r="N109"/>
    </row>
    <row r="110" spans="1:14" s="114" customFormat="1">
      <c r="A110" s="96">
        <v>105</v>
      </c>
      <c r="B110" s="292" t="s">
        <v>1068</v>
      </c>
      <c r="C110" s="11" t="s">
        <v>380</v>
      </c>
      <c r="D110" s="16">
        <v>330000</v>
      </c>
      <c r="E110" s="16">
        <v>43989</v>
      </c>
      <c r="F110" s="41">
        <f t="shared" si="15"/>
        <v>373989</v>
      </c>
      <c r="G110" s="159">
        <v>50</v>
      </c>
      <c r="H110" s="305">
        <v>7479.78</v>
      </c>
      <c r="I110" s="159">
        <v>47</v>
      </c>
      <c r="J110" s="97">
        <f t="shared" si="11"/>
        <v>3</v>
      </c>
      <c r="K110" s="91">
        <f t="shared" si="12"/>
        <v>351549.66</v>
      </c>
      <c r="L110" s="94">
        <f t="shared" si="14"/>
        <v>22439.340000000026</v>
      </c>
      <c r="M110" s="11"/>
      <c r="N110"/>
    </row>
    <row r="111" spans="1:14" s="114" customFormat="1">
      <c r="A111" s="96">
        <v>106</v>
      </c>
      <c r="B111" s="293" t="s">
        <v>1057</v>
      </c>
      <c r="C111" s="123" t="s">
        <v>412</v>
      </c>
      <c r="D111" s="16">
        <v>500000</v>
      </c>
      <c r="E111" s="16">
        <v>66650</v>
      </c>
      <c r="F111" s="41">
        <f t="shared" si="15"/>
        <v>566650</v>
      </c>
      <c r="G111" s="159">
        <v>50</v>
      </c>
      <c r="H111" s="304">
        <v>11333</v>
      </c>
      <c r="I111" s="159">
        <v>8</v>
      </c>
      <c r="J111" s="159">
        <f t="shared" si="11"/>
        <v>42</v>
      </c>
      <c r="K111" s="16">
        <f t="shared" si="12"/>
        <v>90664</v>
      </c>
      <c r="L111" s="94">
        <f t="shared" si="14"/>
        <v>475986</v>
      </c>
      <c r="M111" s="11"/>
      <c r="N111"/>
    </row>
    <row r="112" spans="1:14" s="114" customFormat="1">
      <c r="A112" s="96">
        <v>107</v>
      </c>
      <c r="B112" s="292" t="s">
        <v>1091</v>
      </c>
      <c r="C112" s="11" t="s">
        <v>1092</v>
      </c>
      <c r="D112" s="16">
        <v>500000</v>
      </c>
      <c r="E112" s="16">
        <v>66650</v>
      </c>
      <c r="F112" s="41">
        <f t="shared" si="15"/>
        <v>566650</v>
      </c>
      <c r="G112" s="159">
        <v>50</v>
      </c>
      <c r="H112" s="305">
        <v>11333</v>
      </c>
      <c r="I112" s="97">
        <v>38</v>
      </c>
      <c r="J112" s="97">
        <f t="shared" si="11"/>
        <v>12</v>
      </c>
      <c r="K112" s="91">
        <f t="shared" si="12"/>
        <v>430654</v>
      </c>
      <c r="L112" s="94">
        <f t="shared" si="14"/>
        <v>135996</v>
      </c>
      <c r="M112" s="11"/>
      <c r="N112"/>
    </row>
    <row r="113" spans="1:15" s="114" customFormat="1">
      <c r="A113" s="96">
        <v>108</v>
      </c>
      <c r="B113" s="292" t="s">
        <v>1087</v>
      </c>
      <c r="C113" s="11" t="s">
        <v>1088</v>
      </c>
      <c r="D113" s="16">
        <v>500000</v>
      </c>
      <c r="E113" s="16">
        <v>66650</v>
      </c>
      <c r="F113" s="41">
        <f t="shared" si="15"/>
        <v>566650</v>
      </c>
      <c r="G113" s="159">
        <v>50</v>
      </c>
      <c r="H113" s="305">
        <v>11333</v>
      </c>
      <c r="I113" s="97">
        <v>38</v>
      </c>
      <c r="J113" s="97">
        <f t="shared" si="11"/>
        <v>12</v>
      </c>
      <c r="K113" s="91">
        <f t="shared" si="12"/>
        <v>430654</v>
      </c>
      <c r="L113" s="94">
        <f t="shared" si="14"/>
        <v>135996</v>
      </c>
      <c r="M113" s="11"/>
      <c r="N113"/>
    </row>
    <row r="114" spans="1:15" s="114" customFormat="1">
      <c r="A114" s="96">
        <v>109</v>
      </c>
      <c r="B114" s="292" t="s">
        <v>1085</v>
      </c>
      <c r="C114" s="11" t="s">
        <v>1086</v>
      </c>
      <c r="D114" s="161">
        <v>500000</v>
      </c>
      <c r="E114" s="161">
        <v>66650</v>
      </c>
      <c r="F114" s="162">
        <f t="shared" si="15"/>
        <v>566650</v>
      </c>
      <c r="G114" s="96">
        <v>50</v>
      </c>
      <c r="H114" s="305">
        <v>11333</v>
      </c>
      <c r="I114" s="97">
        <v>39</v>
      </c>
      <c r="J114" s="97">
        <f t="shared" si="11"/>
        <v>11</v>
      </c>
      <c r="K114" s="146">
        <f t="shared" si="12"/>
        <v>441987</v>
      </c>
      <c r="L114" s="164">
        <f t="shared" si="14"/>
        <v>124663</v>
      </c>
      <c r="M114" s="123"/>
    </row>
    <row r="115" spans="1:15" s="114" customFormat="1">
      <c r="A115" s="96">
        <v>110</v>
      </c>
      <c r="B115" s="292" t="s">
        <v>1056</v>
      </c>
      <c r="C115" s="11" t="s">
        <v>367</v>
      </c>
      <c r="D115" s="16">
        <v>450000</v>
      </c>
      <c r="E115" s="16">
        <v>59985</v>
      </c>
      <c r="F115" s="41">
        <f t="shared" si="15"/>
        <v>509985</v>
      </c>
      <c r="G115" s="159">
        <v>50</v>
      </c>
      <c r="H115" s="305">
        <v>10199.700000000001</v>
      </c>
      <c r="I115" s="97">
        <v>39</v>
      </c>
      <c r="J115" s="97">
        <f t="shared" si="11"/>
        <v>11</v>
      </c>
      <c r="K115" s="91">
        <f t="shared" si="12"/>
        <v>397788.30000000005</v>
      </c>
      <c r="L115" s="94">
        <f t="shared" si="14"/>
        <v>112196.69999999995</v>
      </c>
      <c r="M115" s="11"/>
    </row>
    <row r="116" spans="1:15" s="114" customFormat="1">
      <c r="A116" s="96">
        <v>111</v>
      </c>
      <c r="B116" s="295" t="s">
        <v>1021</v>
      </c>
      <c r="C116" s="8" t="s">
        <v>1022</v>
      </c>
      <c r="D116" s="19">
        <v>330000</v>
      </c>
      <c r="E116" s="19">
        <v>43989</v>
      </c>
      <c r="F116" s="19">
        <f t="shared" si="15"/>
        <v>373989</v>
      </c>
      <c r="G116" s="159">
        <v>50</v>
      </c>
      <c r="H116" s="306">
        <v>7479.78</v>
      </c>
      <c r="I116" s="159">
        <v>5</v>
      </c>
      <c r="J116" s="159">
        <f t="shared" si="11"/>
        <v>45</v>
      </c>
      <c r="K116" s="16">
        <f t="shared" si="12"/>
        <v>37398.9</v>
      </c>
      <c r="L116" s="94">
        <f t="shared" si="14"/>
        <v>336590.1</v>
      </c>
      <c r="M116" s="8"/>
    </row>
    <row r="117" spans="1:15" s="114" customFormat="1">
      <c r="A117" s="96">
        <v>112</v>
      </c>
      <c r="B117" s="292" t="s">
        <v>1004</v>
      </c>
      <c r="C117" s="11" t="s">
        <v>107</v>
      </c>
      <c r="D117" s="16">
        <v>330000</v>
      </c>
      <c r="E117" s="16">
        <v>43989</v>
      </c>
      <c r="F117" s="41">
        <f t="shared" si="15"/>
        <v>373989</v>
      </c>
      <c r="G117" s="159">
        <v>50</v>
      </c>
      <c r="H117" s="305">
        <v>7479.78</v>
      </c>
      <c r="I117" s="97">
        <v>60</v>
      </c>
      <c r="J117" s="97">
        <f t="shared" ref="J117:J145" si="16">G117-I117</f>
        <v>-10</v>
      </c>
      <c r="K117" s="91">
        <f t="shared" si="12"/>
        <v>448786.8</v>
      </c>
      <c r="L117" s="94">
        <f t="shared" si="14"/>
        <v>-74797.799999999988</v>
      </c>
      <c r="M117" s="11"/>
    </row>
    <row r="118" spans="1:15" s="114" customFormat="1">
      <c r="A118" s="96">
        <v>113</v>
      </c>
      <c r="B118" s="292" t="s">
        <v>990</v>
      </c>
      <c r="C118" s="11" t="s">
        <v>379</v>
      </c>
      <c r="D118" s="12">
        <v>330000</v>
      </c>
      <c r="E118" s="12">
        <v>43989</v>
      </c>
      <c r="F118" s="15">
        <f t="shared" si="15"/>
        <v>373989</v>
      </c>
      <c r="G118" s="14">
        <v>50</v>
      </c>
      <c r="H118" s="287">
        <v>7479.78</v>
      </c>
      <c r="I118" s="14">
        <v>44</v>
      </c>
      <c r="J118" s="97">
        <f t="shared" si="16"/>
        <v>6</v>
      </c>
      <c r="K118" s="91">
        <f t="shared" si="12"/>
        <v>329110.32</v>
      </c>
      <c r="L118" s="15">
        <f t="shared" si="14"/>
        <v>44878.679999999993</v>
      </c>
      <c r="M118" s="8"/>
    </row>
    <row r="119" spans="1:15" s="114" customFormat="1">
      <c r="A119" s="96">
        <v>114</v>
      </c>
      <c r="B119" s="293" t="s">
        <v>1050</v>
      </c>
      <c r="C119" s="123" t="s">
        <v>1051</v>
      </c>
      <c r="D119" s="19">
        <v>330000</v>
      </c>
      <c r="E119" s="19">
        <v>43989</v>
      </c>
      <c r="F119" s="19">
        <f t="shared" si="15"/>
        <v>373989</v>
      </c>
      <c r="G119" s="159">
        <v>50</v>
      </c>
      <c r="H119" s="304">
        <v>7479.78</v>
      </c>
      <c r="I119" s="159">
        <v>8</v>
      </c>
      <c r="J119" s="159">
        <f t="shared" si="16"/>
        <v>42</v>
      </c>
      <c r="K119" s="16">
        <f t="shared" si="12"/>
        <v>59838.239999999998</v>
      </c>
      <c r="L119" s="94">
        <f t="shared" si="14"/>
        <v>314150.76</v>
      </c>
      <c r="M119" s="11"/>
    </row>
    <row r="120" spans="1:15" s="114" customFormat="1">
      <c r="A120" s="96">
        <v>115</v>
      </c>
      <c r="B120" s="293" t="s">
        <v>1081</v>
      </c>
      <c r="C120" s="123" t="s">
        <v>1082</v>
      </c>
      <c r="D120" s="16">
        <v>500000</v>
      </c>
      <c r="E120" s="16">
        <v>66650</v>
      </c>
      <c r="F120" s="41">
        <f t="shared" si="15"/>
        <v>566650</v>
      </c>
      <c r="G120" s="159">
        <v>50</v>
      </c>
      <c r="H120" s="304">
        <v>11333</v>
      </c>
      <c r="I120" s="159">
        <v>8</v>
      </c>
      <c r="J120" s="159">
        <f t="shared" si="16"/>
        <v>42</v>
      </c>
      <c r="K120" s="16">
        <f t="shared" si="12"/>
        <v>90664</v>
      </c>
      <c r="L120" s="94">
        <f t="shared" si="14"/>
        <v>475986</v>
      </c>
      <c r="M120" s="11"/>
    </row>
    <row r="121" spans="1:15" s="114" customFormat="1">
      <c r="A121" s="96">
        <v>116</v>
      </c>
      <c r="B121" s="292" t="s">
        <v>1077</v>
      </c>
      <c r="C121" s="11" t="s">
        <v>311</v>
      </c>
      <c r="D121" s="16">
        <v>500000</v>
      </c>
      <c r="E121" s="16">
        <v>66650</v>
      </c>
      <c r="F121" s="41">
        <f t="shared" si="15"/>
        <v>566650</v>
      </c>
      <c r="G121" s="159">
        <v>50</v>
      </c>
      <c r="H121" s="305">
        <v>11333</v>
      </c>
      <c r="I121" s="96">
        <v>60</v>
      </c>
      <c r="J121" s="96">
        <f t="shared" si="16"/>
        <v>-10</v>
      </c>
      <c r="K121" s="16">
        <f t="shared" si="12"/>
        <v>679980</v>
      </c>
      <c r="L121" s="41">
        <f t="shared" si="14"/>
        <v>-113330</v>
      </c>
      <c r="M121" s="11"/>
    </row>
    <row r="122" spans="1:15" s="114" customFormat="1">
      <c r="A122" s="96">
        <v>117</v>
      </c>
      <c r="B122" s="292" t="s">
        <v>1013</v>
      </c>
      <c r="C122" s="11" t="s">
        <v>764</v>
      </c>
      <c r="D122" s="16">
        <v>500000</v>
      </c>
      <c r="E122" s="16">
        <v>66650</v>
      </c>
      <c r="F122" s="41">
        <f t="shared" si="15"/>
        <v>566650</v>
      </c>
      <c r="G122" s="159">
        <v>50</v>
      </c>
      <c r="H122" s="305">
        <v>11333</v>
      </c>
      <c r="I122" s="97">
        <v>48</v>
      </c>
      <c r="J122" s="97">
        <f t="shared" si="16"/>
        <v>2</v>
      </c>
      <c r="K122" s="91">
        <f t="shared" si="12"/>
        <v>543984</v>
      </c>
      <c r="L122" s="94">
        <f t="shared" si="14"/>
        <v>22666</v>
      </c>
      <c r="M122" s="11"/>
    </row>
    <row r="123" spans="1:15" s="114" customFormat="1">
      <c r="A123" s="96">
        <v>118</v>
      </c>
      <c r="B123" s="292" t="s">
        <v>1039</v>
      </c>
      <c r="C123" s="11" t="s">
        <v>308</v>
      </c>
      <c r="D123" s="16">
        <v>500000</v>
      </c>
      <c r="E123" s="16">
        <v>66650</v>
      </c>
      <c r="F123" s="41">
        <f t="shared" si="15"/>
        <v>566650</v>
      </c>
      <c r="G123" s="159">
        <v>50</v>
      </c>
      <c r="H123" s="305">
        <v>11333</v>
      </c>
      <c r="I123" s="96">
        <v>39</v>
      </c>
      <c r="J123" s="96">
        <f t="shared" si="16"/>
        <v>11</v>
      </c>
      <c r="K123" s="16">
        <f t="shared" si="12"/>
        <v>441987</v>
      </c>
      <c r="L123" s="41">
        <f t="shared" si="14"/>
        <v>124663</v>
      </c>
      <c r="M123" s="11"/>
    </row>
    <row r="124" spans="1:15" s="114" customFormat="1">
      <c r="A124" s="96">
        <v>119</v>
      </c>
      <c r="B124" s="292" t="s">
        <v>963</v>
      </c>
      <c r="C124" s="11" t="s">
        <v>328</v>
      </c>
      <c r="D124" s="16">
        <v>500000</v>
      </c>
      <c r="E124" s="16">
        <v>66650</v>
      </c>
      <c r="F124" s="41">
        <f t="shared" si="15"/>
        <v>566650</v>
      </c>
      <c r="G124" s="159">
        <v>50</v>
      </c>
      <c r="H124" s="287">
        <v>11333</v>
      </c>
      <c r="I124" s="97">
        <v>39</v>
      </c>
      <c r="J124" s="97">
        <f t="shared" si="16"/>
        <v>11</v>
      </c>
      <c r="K124" s="91">
        <f t="shared" si="12"/>
        <v>441987</v>
      </c>
      <c r="L124" s="94">
        <f t="shared" si="14"/>
        <v>124663</v>
      </c>
      <c r="M124" s="11"/>
      <c r="O124" s="120"/>
    </row>
    <row r="125" spans="1:15" s="114" customFormat="1">
      <c r="A125" s="96">
        <v>120</v>
      </c>
      <c r="B125" s="294" t="s">
        <v>1018</v>
      </c>
      <c r="C125" s="123" t="s">
        <v>1019</v>
      </c>
      <c r="D125" s="19">
        <v>150000</v>
      </c>
      <c r="E125" s="19">
        <v>19995</v>
      </c>
      <c r="F125" s="19">
        <f t="shared" si="15"/>
        <v>169995</v>
      </c>
      <c r="G125" s="159">
        <v>50</v>
      </c>
      <c r="H125" s="304">
        <v>3399.9</v>
      </c>
      <c r="I125" s="159">
        <v>6</v>
      </c>
      <c r="J125" s="97">
        <f t="shared" si="16"/>
        <v>44</v>
      </c>
      <c r="K125" s="91">
        <f t="shared" si="12"/>
        <v>20399.400000000001</v>
      </c>
      <c r="L125" s="94">
        <f t="shared" si="14"/>
        <v>149595.6</v>
      </c>
      <c r="M125" s="11"/>
    </row>
    <row r="126" spans="1:15" s="114" customFormat="1">
      <c r="A126" s="96">
        <v>121</v>
      </c>
      <c r="B126" s="292" t="s">
        <v>1005</v>
      </c>
      <c r="C126" s="11" t="s">
        <v>424</v>
      </c>
      <c r="D126" s="12">
        <v>150000</v>
      </c>
      <c r="E126" s="12">
        <v>19995</v>
      </c>
      <c r="F126" s="15">
        <f t="shared" si="15"/>
        <v>169995</v>
      </c>
      <c r="G126" s="14">
        <v>50</v>
      </c>
      <c r="H126" s="305">
        <v>3399.9</v>
      </c>
      <c r="I126" s="14">
        <v>44</v>
      </c>
      <c r="J126" s="97">
        <f t="shared" si="16"/>
        <v>6</v>
      </c>
      <c r="K126" s="91">
        <f t="shared" si="12"/>
        <v>149595.6</v>
      </c>
      <c r="L126" s="15">
        <f t="shared" si="14"/>
        <v>20399.399999999994</v>
      </c>
      <c r="M126" s="8"/>
    </row>
    <row r="127" spans="1:15" s="114" customFormat="1">
      <c r="A127" s="96">
        <v>122</v>
      </c>
      <c r="B127" s="292" t="s">
        <v>1048</v>
      </c>
      <c r="C127" s="11" t="s">
        <v>1049</v>
      </c>
      <c r="D127" s="16">
        <v>450000</v>
      </c>
      <c r="E127" s="16">
        <v>59985</v>
      </c>
      <c r="F127" s="16">
        <v>509985</v>
      </c>
      <c r="G127" s="159">
        <v>50</v>
      </c>
      <c r="H127" s="305">
        <v>10199.700000000001</v>
      </c>
      <c r="I127" s="97">
        <v>24</v>
      </c>
      <c r="J127" s="97">
        <f t="shared" si="16"/>
        <v>26</v>
      </c>
      <c r="K127" s="91">
        <f t="shared" si="12"/>
        <v>244792.80000000002</v>
      </c>
      <c r="L127" s="91">
        <f t="shared" si="14"/>
        <v>265192.19999999995</v>
      </c>
      <c r="M127" s="11"/>
    </row>
    <row r="128" spans="1:15" s="114" customFormat="1">
      <c r="A128" s="96">
        <v>123</v>
      </c>
      <c r="B128" s="303" t="s">
        <v>1090</v>
      </c>
      <c r="C128" s="123" t="s">
        <v>295</v>
      </c>
      <c r="D128" s="16">
        <v>500000</v>
      </c>
      <c r="E128" s="16">
        <v>66650</v>
      </c>
      <c r="F128" s="41">
        <f t="shared" ref="F128:F133" si="17">SUM(D128:E128)</f>
        <v>566650</v>
      </c>
      <c r="G128" s="240">
        <v>50</v>
      </c>
      <c r="H128" s="304">
        <v>11333</v>
      </c>
      <c r="I128" s="247">
        <v>8</v>
      </c>
      <c r="J128" s="159">
        <f t="shared" si="16"/>
        <v>42</v>
      </c>
      <c r="K128" s="16">
        <f t="shared" si="12"/>
        <v>90664</v>
      </c>
      <c r="L128" s="94">
        <f t="shared" si="14"/>
        <v>475986</v>
      </c>
      <c r="M128" s="11"/>
    </row>
    <row r="129" spans="1:14" s="114" customFormat="1">
      <c r="A129" s="96">
        <v>124</v>
      </c>
      <c r="B129" s="292" t="s">
        <v>1023</v>
      </c>
      <c r="C129" s="11" t="s">
        <v>321</v>
      </c>
      <c r="D129" s="16">
        <v>500000</v>
      </c>
      <c r="E129" s="16">
        <v>66650</v>
      </c>
      <c r="F129" s="41">
        <f t="shared" si="17"/>
        <v>566650</v>
      </c>
      <c r="G129" s="159">
        <v>50</v>
      </c>
      <c r="H129" s="305">
        <v>11333</v>
      </c>
      <c r="I129" s="97">
        <v>38</v>
      </c>
      <c r="J129" s="97">
        <f t="shared" si="16"/>
        <v>12</v>
      </c>
      <c r="K129" s="91">
        <f t="shared" si="12"/>
        <v>430654</v>
      </c>
      <c r="L129" s="94">
        <f t="shared" si="14"/>
        <v>135996</v>
      </c>
      <c r="M129" s="11"/>
    </row>
    <row r="130" spans="1:14" s="114" customFormat="1">
      <c r="A130" s="96">
        <v>125</v>
      </c>
      <c r="B130" s="292" t="s">
        <v>968</v>
      </c>
      <c r="C130" s="11" t="s">
        <v>490</v>
      </c>
      <c r="D130" s="19">
        <v>330000</v>
      </c>
      <c r="E130" s="19">
        <v>43989</v>
      </c>
      <c r="F130" s="19">
        <f t="shared" si="17"/>
        <v>373989</v>
      </c>
      <c r="G130" s="159">
        <v>50</v>
      </c>
      <c r="H130" s="287">
        <v>7479.78</v>
      </c>
      <c r="I130" s="159">
        <v>13</v>
      </c>
      <c r="J130" s="97">
        <f t="shared" si="16"/>
        <v>37</v>
      </c>
      <c r="K130" s="91">
        <f t="shared" si="12"/>
        <v>97237.14</v>
      </c>
      <c r="L130" s="94">
        <f t="shared" si="14"/>
        <v>276751.86</v>
      </c>
      <c r="M130" s="11"/>
      <c r="N130" s="120"/>
    </row>
    <row r="131" spans="1:14" s="114" customFormat="1">
      <c r="A131" s="96">
        <v>126</v>
      </c>
      <c r="B131" s="292" t="s">
        <v>1036</v>
      </c>
      <c r="C131" s="11" t="s">
        <v>216</v>
      </c>
      <c r="D131" s="16">
        <v>60000</v>
      </c>
      <c r="E131" s="16">
        <v>7998</v>
      </c>
      <c r="F131" s="41">
        <f t="shared" si="17"/>
        <v>67998</v>
      </c>
      <c r="G131" s="159">
        <v>40</v>
      </c>
      <c r="H131" s="305">
        <v>1699.95</v>
      </c>
      <c r="I131" s="97">
        <v>14</v>
      </c>
      <c r="J131" s="97">
        <f t="shared" si="16"/>
        <v>26</v>
      </c>
      <c r="K131" s="91">
        <f t="shared" si="12"/>
        <v>23799.3</v>
      </c>
      <c r="L131" s="94">
        <f t="shared" si="14"/>
        <v>44198.7</v>
      </c>
      <c r="M131" s="11"/>
    </row>
    <row r="132" spans="1:14" s="114" customFormat="1">
      <c r="A132" s="96">
        <v>127</v>
      </c>
      <c r="B132" s="293" t="s">
        <v>1055</v>
      </c>
      <c r="C132" s="11" t="s">
        <v>850</v>
      </c>
      <c r="D132" s="19">
        <v>330000</v>
      </c>
      <c r="E132" s="19">
        <v>43989</v>
      </c>
      <c r="F132" s="19">
        <f t="shared" si="17"/>
        <v>373989</v>
      </c>
      <c r="G132" s="159">
        <v>50</v>
      </c>
      <c r="H132" s="304">
        <v>7479.78</v>
      </c>
      <c r="I132" s="96">
        <v>31</v>
      </c>
      <c r="J132" s="97">
        <f t="shared" si="16"/>
        <v>19</v>
      </c>
      <c r="K132" s="91">
        <f t="shared" si="12"/>
        <v>231873.18</v>
      </c>
      <c r="L132" s="94">
        <f t="shared" si="14"/>
        <v>142115.82</v>
      </c>
      <c r="M132" s="11"/>
    </row>
    <row r="133" spans="1:14" s="114" customFormat="1">
      <c r="A133" s="96">
        <v>128</v>
      </c>
      <c r="B133" s="293" t="s">
        <v>1126</v>
      </c>
      <c r="C133" s="11" t="s">
        <v>1127</v>
      </c>
      <c r="D133" s="12">
        <v>150000</v>
      </c>
      <c r="E133" s="12">
        <v>19995</v>
      </c>
      <c r="F133" s="15">
        <f t="shared" si="17"/>
        <v>169995</v>
      </c>
      <c r="G133" s="14">
        <v>50</v>
      </c>
      <c r="H133" s="304">
        <v>3399.9</v>
      </c>
      <c r="I133" s="96">
        <v>1</v>
      </c>
      <c r="J133" s="97">
        <f t="shared" si="16"/>
        <v>49</v>
      </c>
      <c r="K133" s="91">
        <f t="shared" ref="K133:K145" si="18">I133*H133</f>
        <v>3399.9</v>
      </c>
      <c r="L133" s="94">
        <f t="shared" ref="L133:L145" si="19">F133-K133</f>
        <v>166595.1</v>
      </c>
      <c r="M133" s="11"/>
    </row>
    <row r="134" spans="1:14" s="114" customFormat="1">
      <c r="A134" s="96">
        <v>129</v>
      </c>
      <c r="B134" s="293" t="s">
        <v>1132</v>
      </c>
      <c r="C134" s="11" t="s">
        <v>1133</v>
      </c>
      <c r="D134" s="19"/>
      <c r="E134" s="19"/>
      <c r="F134" s="19"/>
      <c r="G134" s="159"/>
      <c r="H134" s="304">
        <v>7479.78</v>
      </c>
      <c r="I134" s="96">
        <v>1</v>
      </c>
      <c r="J134" s="97">
        <f t="shared" si="16"/>
        <v>-1</v>
      </c>
      <c r="K134" s="91">
        <f t="shared" si="18"/>
        <v>7479.78</v>
      </c>
      <c r="L134" s="94">
        <f t="shared" si="19"/>
        <v>-7479.78</v>
      </c>
      <c r="M134" s="11"/>
    </row>
    <row r="135" spans="1:14" s="114" customFormat="1">
      <c r="A135" s="96">
        <v>130</v>
      </c>
      <c r="B135" s="293" t="s">
        <v>1141</v>
      </c>
      <c r="C135" s="11" t="s">
        <v>1142</v>
      </c>
      <c r="D135" s="19">
        <v>330000</v>
      </c>
      <c r="E135" s="19">
        <v>43989</v>
      </c>
      <c r="F135" s="19">
        <f>SUM(D135:E135)</f>
        <v>373989</v>
      </c>
      <c r="G135" s="159">
        <v>50</v>
      </c>
      <c r="H135" s="304">
        <v>7479.78</v>
      </c>
      <c r="I135" s="96">
        <v>1</v>
      </c>
      <c r="J135" s="97">
        <f t="shared" si="16"/>
        <v>49</v>
      </c>
      <c r="K135" s="91">
        <f t="shared" si="18"/>
        <v>7479.78</v>
      </c>
      <c r="L135" s="94">
        <f t="shared" si="19"/>
        <v>366509.22</v>
      </c>
      <c r="M135" s="11"/>
    </row>
    <row r="136" spans="1:14" s="114" customFormat="1">
      <c r="A136" s="96">
        <v>131</v>
      </c>
      <c r="B136" s="293" t="s">
        <v>1125</v>
      </c>
      <c r="C136" s="11" t="s">
        <v>452</v>
      </c>
      <c r="D136" s="16">
        <v>500000</v>
      </c>
      <c r="E136" s="16">
        <v>66650</v>
      </c>
      <c r="F136" s="41">
        <f>SUM(D136:E136)</f>
        <v>566650</v>
      </c>
      <c r="G136" s="159">
        <v>50</v>
      </c>
      <c r="H136" s="304">
        <v>11333</v>
      </c>
      <c r="I136" s="96">
        <v>1</v>
      </c>
      <c r="J136" s="97">
        <f t="shared" si="16"/>
        <v>49</v>
      </c>
      <c r="K136" s="91">
        <f t="shared" si="18"/>
        <v>11333</v>
      </c>
      <c r="L136" s="94">
        <f t="shared" si="19"/>
        <v>555317</v>
      </c>
      <c r="M136" s="11"/>
    </row>
    <row r="137" spans="1:14" s="114" customFormat="1">
      <c r="A137" s="96">
        <v>132</v>
      </c>
      <c r="B137" s="293" t="s">
        <v>1120</v>
      </c>
      <c r="C137" s="11" t="s">
        <v>1121</v>
      </c>
      <c r="D137" s="12">
        <v>150000</v>
      </c>
      <c r="E137" s="12">
        <v>19995</v>
      </c>
      <c r="F137" s="15">
        <f>SUM(D137:E137)</f>
        <v>169995</v>
      </c>
      <c r="G137" s="14">
        <v>50</v>
      </c>
      <c r="H137" s="304">
        <v>3399.9</v>
      </c>
      <c r="I137" s="96">
        <v>1</v>
      </c>
      <c r="J137" s="97">
        <f t="shared" si="16"/>
        <v>49</v>
      </c>
      <c r="K137" s="91">
        <f t="shared" si="18"/>
        <v>3399.9</v>
      </c>
      <c r="L137" s="94">
        <f t="shared" si="19"/>
        <v>166595.1</v>
      </c>
      <c r="M137" s="11"/>
    </row>
    <row r="138" spans="1:14" s="114" customFormat="1">
      <c r="A138" s="96">
        <v>133</v>
      </c>
      <c r="B138" s="293" t="s">
        <v>1118</v>
      </c>
      <c r="C138" s="11" t="s">
        <v>1119</v>
      </c>
      <c r="D138" s="16">
        <v>500000</v>
      </c>
      <c r="E138" s="16">
        <v>66650</v>
      </c>
      <c r="F138" s="41">
        <f>SUM(D138:E138)</f>
        <v>566650</v>
      </c>
      <c r="G138" s="159">
        <v>50</v>
      </c>
      <c r="H138" s="304">
        <v>11333</v>
      </c>
      <c r="I138" s="96">
        <v>1</v>
      </c>
      <c r="J138" s="97">
        <f t="shared" si="16"/>
        <v>49</v>
      </c>
      <c r="K138" s="91">
        <f t="shared" si="18"/>
        <v>11333</v>
      </c>
      <c r="L138" s="94">
        <f t="shared" si="19"/>
        <v>555317</v>
      </c>
      <c r="M138" s="11"/>
    </row>
    <row r="139" spans="1:14" s="114" customFormat="1">
      <c r="A139" s="96">
        <v>134</v>
      </c>
      <c r="B139" s="293" t="s">
        <v>1123</v>
      </c>
      <c r="C139" s="11" t="s">
        <v>439</v>
      </c>
      <c r="D139" s="19">
        <v>330000</v>
      </c>
      <c r="E139" s="19">
        <v>43989</v>
      </c>
      <c r="F139" s="19">
        <f>SUM(D139:E139)</f>
        <v>373989</v>
      </c>
      <c r="G139" s="159">
        <v>50</v>
      </c>
      <c r="H139" s="304">
        <v>7479.78</v>
      </c>
      <c r="I139" s="96">
        <v>1</v>
      </c>
      <c r="J139" s="97">
        <f t="shared" si="16"/>
        <v>49</v>
      </c>
      <c r="K139" s="91">
        <f t="shared" si="18"/>
        <v>7479.78</v>
      </c>
      <c r="L139" s="94">
        <f t="shared" si="19"/>
        <v>366509.22</v>
      </c>
      <c r="M139" s="11"/>
    </row>
    <row r="140" spans="1:14" s="114" customFormat="1">
      <c r="A140" s="96">
        <v>135</v>
      </c>
      <c r="B140" s="293" t="s">
        <v>1131</v>
      </c>
      <c r="C140" s="11" t="s">
        <v>460</v>
      </c>
      <c r="D140" s="19"/>
      <c r="E140" s="19"/>
      <c r="F140" s="19"/>
      <c r="G140" s="159"/>
      <c r="H140" s="304">
        <v>7479.78</v>
      </c>
      <c r="I140" s="96">
        <v>1</v>
      </c>
      <c r="J140" s="97">
        <f t="shared" si="16"/>
        <v>-1</v>
      </c>
      <c r="K140" s="91">
        <f t="shared" si="18"/>
        <v>7479.78</v>
      </c>
      <c r="L140" s="94">
        <f t="shared" si="19"/>
        <v>-7479.78</v>
      </c>
      <c r="M140" s="11"/>
    </row>
    <row r="141" spans="1:14" s="114" customFormat="1">
      <c r="A141" s="96">
        <v>136</v>
      </c>
      <c r="B141" s="293" t="s">
        <v>1128</v>
      </c>
      <c r="C141" s="11" t="s">
        <v>462</v>
      </c>
      <c r="D141" s="16">
        <v>450000</v>
      </c>
      <c r="E141" s="16">
        <v>59985</v>
      </c>
      <c r="F141" s="16">
        <v>509985</v>
      </c>
      <c r="G141" s="159">
        <v>50</v>
      </c>
      <c r="H141" s="304">
        <v>10199.700000000001</v>
      </c>
      <c r="I141" s="96">
        <v>1</v>
      </c>
      <c r="J141" s="97">
        <f t="shared" si="16"/>
        <v>49</v>
      </c>
      <c r="K141" s="91">
        <f t="shared" si="18"/>
        <v>10199.700000000001</v>
      </c>
      <c r="L141" s="94">
        <f t="shared" si="19"/>
        <v>499785.3</v>
      </c>
      <c r="M141" s="11"/>
    </row>
    <row r="142" spans="1:14" s="114" customFormat="1">
      <c r="A142" s="96">
        <v>137</v>
      </c>
      <c r="B142" s="293" t="s">
        <v>1140</v>
      </c>
      <c r="C142" s="11" t="s">
        <v>372</v>
      </c>
      <c r="D142" s="19">
        <v>330000</v>
      </c>
      <c r="E142" s="19">
        <v>43989</v>
      </c>
      <c r="F142" s="19">
        <f>SUM(D142:E142)</f>
        <v>373989</v>
      </c>
      <c r="G142" s="159">
        <v>50</v>
      </c>
      <c r="H142" s="304">
        <v>7479.78</v>
      </c>
      <c r="I142" s="96">
        <v>1</v>
      </c>
      <c r="J142" s="97">
        <f t="shared" si="16"/>
        <v>49</v>
      </c>
      <c r="K142" s="91">
        <f t="shared" si="18"/>
        <v>7479.78</v>
      </c>
      <c r="L142" s="94">
        <f t="shared" si="19"/>
        <v>366509.22</v>
      </c>
      <c r="M142" s="11"/>
    </row>
    <row r="143" spans="1:14" s="114" customFormat="1">
      <c r="A143" s="96">
        <v>138</v>
      </c>
      <c r="B143" s="293" t="s">
        <v>1136</v>
      </c>
      <c r="C143" s="11" t="s">
        <v>1137</v>
      </c>
      <c r="D143" s="19">
        <v>330000</v>
      </c>
      <c r="E143" s="19">
        <v>43989</v>
      </c>
      <c r="F143" s="19">
        <f>SUM(D143:E143)</f>
        <v>373989</v>
      </c>
      <c r="G143" s="159">
        <v>50</v>
      </c>
      <c r="H143" s="304">
        <v>7479.78</v>
      </c>
      <c r="I143" s="96">
        <v>1</v>
      </c>
      <c r="J143" s="97">
        <f t="shared" si="16"/>
        <v>49</v>
      </c>
      <c r="K143" s="91">
        <f t="shared" si="18"/>
        <v>7479.78</v>
      </c>
      <c r="L143" s="94">
        <f t="shared" si="19"/>
        <v>366509.22</v>
      </c>
      <c r="M143" s="11"/>
    </row>
    <row r="144" spans="1:14" s="114" customFormat="1">
      <c r="A144" s="96">
        <v>139</v>
      </c>
      <c r="B144" s="293" t="s">
        <v>1115</v>
      </c>
      <c r="C144" s="11" t="s">
        <v>1116</v>
      </c>
      <c r="D144" s="19"/>
      <c r="E144" s="19"/>
      <c r="F144" s="19">
        <v>200000</v>
      </c>
      <c r="G144" s="159">
        <v>50</v>
      </c>
      <c r="H144" s="304">
        <v>5099.8500000000004</v>
      </c>
      <c r="I144" s="96">
        <v>1</v>
      </c>
      <c r="J144" s="97">
        <f t="shared" si="16"/>
        <v>49</v>
      </c>
      <c r="K144" s="91">
        <f t="shared" si="18"/>
        <v>5099.8500000000004</v>
      </c>
      <c r="L144" s="94">
        <f t="shared" si="19"/>
        <v>194900.15</v>
      </c>
      <c r="M144" s="11"/>
    </row>
    <row r="145" spans="1:15" s="114" customFormat="1">
      <c r="A145" s="96">
        <v>140</v>
      </c>
      <c r="B145" s="293" t="s">
        <v>1134</v>
      </c>
      <c r="C145" s="11" t="s">
        <v>1135</v>
      </c>
      <c r="D145" s="16">
        <v>500000</v>
      </c>
      <c r="E145" s="16">
        <v>66650</v>
      </c>
      <c r="F145" s="41">
        <f>SUM(D145:E145)</f>
        <v>566650</v>
      </c>
      <c r="G145" s="159">
        <v>50</v>
      </c>
      <c r="H145" s="304">
        <v>11333</v>
      </c>
      <c r="I145" s="96">
        <v>1</v>
      </c>
      <c r="J145" s="97">
        <f t="shared" si="16"/>
        <v>49</v>
      </c>
      <c r="K145" s="91">
        <f t="shared" si="18"/>
        <v>11333</v>
      </c>
      <c r="L145" s="94">
        <f t="shared" si="19"/>
        <v>555317</v>
      </c>
      <c r="M145" s="11"/>
    </row>
    <row r="146" spans="1:15" s="114" customFormat="1">
      <c r="A146" s="126"/>
      <c r="B146" s="295"/>
      <c r="C146" s="8"/>
      <c r="D146" s="34">
        <f>SUM(D6:D145)</f>
        <v>57940000</v>
      </c>
      <c r="E146" s="34">
        <f>SUM(E6:E145)</f>
        <v>7673765.2400000002</v>
      </c>
      <c r="F146" s="34">
        <f>SUM(F6:F145)</f>
        <v>65813765.240000002</v>
      </c>
      <c r="G146" s="34"/>
      <c r="H146" s="34">
        <f>SUM(H6:H145)</f>
        <v>1346233.33</v>
      </c>
      <c r="I146" s="34"/>
      <c r="J146" s="34"/>
      <c r="K146" s="34">
        <f>SUM(K6:K145)</f>
        <v>37560380.970000014</v>
      </c>
      <c r="L146" s="34">
        <f>SUM(L6:L145)</f>
        <v>28253384.269999988</v>
      </c>
      <c r="M146" s="8"/>
    </row>
    <row r="147" spans="1:15" s="120" customFormat="1">
      <c r="A147" s="270"/>
      <c r="B147" s="297"/>
      <c r="C147" s="69"/>
      <c r="D147" s="67"/>
      <c r="E147" s="67"/>
      <c r="F147" s="67"/>
      <c r="G147" s="67"/>
      <c r="H147" s="311"/>
      <c r="I147" s="67"/>
      <c r="J147" s="67"/>
      <c r="K147" s="67"/>
      <c r="L147" s="67"/>
      <c r="M147" s="69"/>
      <c r="N147" s="114"/>
      <c r="O147" s="114"/>
    </row>
    <row r="148" spans="1:15" s="114" customFormat="1">
      <c r="A148" s="270"/>
      <c r="B148"/>
      <c r="C148"/>
      <c r="D148" s="165"/>
      <c r="E148" s="67"/>
      <c r="F148" s="67"/>
      <c r="G148" s="67"/>
      <c r="H148" s="67"/>
      <c r="I148" s="67"/>
      <c r="J148" s="67"/>
      <c r="K148" s="67"/>
      <c r="L148" s="67"/>
      <c r="M148" s="69"/>
    </row>
    <row r="149" spans="1:15" s="114" customFormat="1">
      <c r="A149" s="44"/>
      <c r="B149"/>
      <c r="C149"/>
      <c r="D149" s="165"/>
      <c r="E149"/>
      <c r="F149"/>
      <c r="G149" s="43"/>
      <c r="H149" s="39"/>
      <c r="I149" s="99"/>
      <c r="J149" s="99"/>
      <c r="K149"/>
      <c r="L149"/>
      <c r="M149"/>
      <c r="N149" s="180"/>
    </row>
    <row r="150" spans="1:15" s="114" customFormat="1">
      <c r="B150"/>
      <c r="C150"/>
      <c r="D150" s="165"/>
    </row>
    <row r="151" spans="1:15" s="114" customFormat="1">
      <c r="B151"/>
      <c r="C151"/>
      <c r="D151" s="165"/>
    </row>
    <row r="152" spans="1:15" s="114" customFormat="1">
      <c r="B152"/>
      <c r="C152"/>
      <c r="D152" s="165"/>
    </row>
    <row r="153" spans="1:15" s="114" customFormat="1">
      <c r="B153"/>
      <c r="C153"/>
      <c r="D153" s="165"/>
    </row>
  </sheetData>
  <mergeCells count="2">
    <mergeCell ref="A3:M3"/>
    <mergeCell ref="A4:M4"/>
  </mergeCells>
  <conditionalFormatting sqref="C3">
    <cfRule type="duplicateValues" dxfId="244" priority="45"/>
  </conditionalFormatting>
  <conditionalFormatting sqref="C222:C1048576 C1:C5">
    <cfRule type="duplicateValues" dxfId="243" priority="36"/>
  </conditionalFormatting>
  <conditionalFormatting sqref="C222:C1048576 C1:C2 C4:C5">
    <cfRule type="duplicateValues" dxfId="242" priority="8"/>
  </conditionalFormatting>
  <conditionalFormatting sqref="C222:C1048576">
    <cfRule type="duplicateValues" dxfId="241" priority="7"/>
  </conditionalFormatting>
  <conditionalFormatting sqref="C1:C1048576">
    <cfRule type="duplicateValues" dxfId="240" priority="3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3:O317"/>
  <sheetViews>
    <sheetView topLeftCell="A124" workbookViewId="0">
      <selection activeCell="E143" sqref="E143"/>
    </sheetView>
  </sheetViews>
  <sheetFormatPr defaultRowHeight="15"/>
  <cols>
    <col min="1" max="1" width="4.5703125" style="44" customWidth="1"/>
    <col min="2" max="2" width="13.140625" style="298" customWidth="1"/>
    <col min="3" max="3" width="37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1261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291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92" t="s">
        <v>524</v>
      </c>
      <c r="C6" s="11" t="s">
        <v>490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280">
        <v>7479.78</v>
      </c>
      <c r="I6" s="159">
        <v>14</v>
      </c>
      <c r="J6" s="97">
        <f t="shared" ref="J6:J37" si="0">G6-I6</f>
        <v>36</v>
      </c>
      <c r="K6" s="91">
        <f t="shared" ref="K6:K16" si="1">I6*H6</f>
        <v>104716.92</v>
      </c>
      <c r="L6" s="94">
        <f t="shared" ref="L6:L37" si="2">F6-K6</f>
        <v>269272.08</v>
      </c>
      <c r="M6" s="11"/>
      <c r="N6" s="120"/>
    </row>
    <row r="7" spans="1:14" s="114" customFormat="1">
      <c r="A7" s="96">
        <v>2</v>
      </c>
      <c r="B7" s="293" t="s">
        <v>1235</v>
      </c>
      <c r="C7" s="123" t="s">
        <v>1073</v>
      </c>
      <c r="D7" s="19">
        <v>330000</v>
      </c>
      <c r="E7" s="19">
        <v>43989</v>
      </c>
      <c r="F7" s="19">
        <f>SUM(D7:E7)</f>
        <v>373989</v>
      </c>
      <c r="G7" s="159">
        <v>50</v>
      </c>
      <c r="H7" s="314">
        <v>7479.78</v>
      </c>
      <c r="I7" s="159">
        <v>8</v>
      </c>
      <c r="J7" s="159">
        <f t="shared" si="0"/>
        <v>42</v>
      </c>
      <c r="K7" s="16">
        <f t="shared" si="1"/>
        <v>59838.239999999998</v>
      </c>
      <c r="L7" s="94">
        <f t="shared" si="2"/>
        <v>314150.76</v>
      </c>
      <c r="M7" s="11"/>
      <c r="N7" s="180" t="e">
        <f>#REF!-H7</f>
        <v>#REF!</v>
      </c>
    </row>
    <row r="8" spans="1:14" s="114" customFormat="1">
      <c r="A8" s="96">
        <v>3</v>
      </c>
      <c r="B8" s="293" t="s">
        <v>895</v>
      </c>
      <c r="C8" s="123" t="s">
        <v>875</v>
      </c>
      <c r="D8" s="19">
        <v>450000</v>
      </c>
      <c r="E8" s="19">
        <v>59985</v>
      </c>
      <c r="F8" s="19">
        <v>509985</v>
      </c>
      <c r="G8" s="159">
        <v>50</v>
      </c>
      <c r="H8" s="314">
        <v>10199.700000000001</v>
      </c>
      <c r="I8" s="159">
        <v>9</v>
      </c>
      <c r="J8" s="159">
        <f t="shared" si="0"/>
        <v>41</v>
      </c>
      <c r="K8" s="16">
        <f t="shared" si="1"/>
        <v>91797.3</v>
      </c>
      <c r="L8" s="94">
        <f t="shared" si="2"/>
        <v>418187.7</v>
      </c>
      <c r="M8" s="11"/>
      <c r="N8" s="180" t="e">
        <f>#REF!-H8</f>
        <v>#REF!</v>
      </c>
    </row>
    <row r="9" spans="1:14" s="114" customFormat="1">
      <c r="A9" s="96">
        <v>4</v>
      </c>
      <c r="B9" s="294" t="s">
        <v>606</v>
      </c>
      <c r="C9" s="123" t="s">
        <v>853</v>
      </c>
      <c r="D9" s="19">
        <v>150000</v>
      </c>
      <c r="E9" s="19">
        <v>19995</v>
      </c>
      <c r="F9" s="19">
        <f>SUM(D9:E9)</f>
        <v>169995</v>
      </c>
      <c r="G9" s="159">
        <v>50</v>
      </c>
      <c r="H9" s="314">
        <v>3399.9</v>
      </c>
      <c r="I9" s="159">
        <v>7</v>
      </c>
      <c r="J9" s="97">
        <f t="shared" si="0"/>
        <v>43</v>
      </c>
      <c r="K9" s="91">
        <f t="shared" si="1"/>
        <v>23799.3</v>
      </c>
      <c r="L9" s="94">
        <f t="shared" si="2"/>
        <v>146195.70000000001</v>
      </c>
      <c r="M9" s="11"/>
    </row>
    <row r="10" spans="1:14" s="114" customFormat="1">
      <c r="A10" s="96">
        <v>5</v>
      </c>
      <c r="B10" s="293" t="s">
        <v>653</v>
      </c>
      <c r="C10" s="11" t="s">
        <v>850</v>
      </c>
      <c r="D10" s="19">
        <v>330000</v>
      </c>
      <c r="E10" s="19">
        <v>43989</v>
      </c>
      <c r="F10" s="19">
        <f>SUM(D10:E10)</f>
        <v>373989</v>
      </c>
      <c r="G10" s="159">
        <v>50</v>
      </c>
      <c r="H10" s="314">
        <v>7479.78</v>
      </c>
      <c r="I10" s="96">
        <v>32</v>
      </c>
      <c r="J10" s="97">
        <f t="shared" si="0"/>
        <v>18</v>
      </c>
      <c r="K10" s="91">
        <f t="shared" si="1"/>
        <v>239352.95999999999</v>
      </c>
      <c r="L10" s="94">
        <f t="shared" si="2"/>
        <v>134636.04</v>
      </c>
      <c r="M10" s="11"/>
    </row>
    <row r="11" spans="1:14" s="114" customFormat="1">
      <c r="A11" s="96">
        <v>6</v>
      </c>
      <c r="B11" s="293" t="s">
        <v>1215</v>
      </c>
      <c r="C11" s="11" t="s">
        <v>462</v>
      </c>
      <c r="D11" s="16">
        <v>450000</v>
      </c>
      <c r="E11" s="16">
        <v>59985</v>
      </c>
      <c r="F11" s="16">
        <v>509985</v>
      </c>
      <c r="G11" s="159">
        <v>50</v>
      </c>
      <c r="H11" s="314">
        <v>10199.700000000001</v>
      </c>
      <c r="I11" s="96">
        <v>2</v>
      </c>
      <c r="J11" s="97">
        <f t="shared" si="0"/>
        <v>48</v>
      </c>
      <c r="K11" s="91">
        <f t="shared" si="1"/>
        <v>20399.400000000001</v>
      </c>
      <c r="L11" s="94">
        <f t="shared" si="2"/>
        <v>489585.6</v>
      </c>
      <c r="M11" s="11"/>
      <c r="N11" s="180" t="e">
        <f>#REF!-H11</f>
        <v>#REF!</v>
      </c>
    </row>
    <row r="12" spans="1:14" s="114" customFormat="1">
      <c r="A12" s="96">
        <v>7</v>
      </c>
      <c r="B12" s="292" t="s">
        <v>528</v>
      </c>
      <c r="C12" s="11" t="s">
        <v>307</v>
      </c>
      <c r="D12" s="12">
        <v>500000</v>
      </c>
      <c r="E12" s="12">
        <v>66650</v>
      </c>
      <c r="F12" s="15">
        <f>SUM(D12:E12)</f>
        <v>566650</v>
      </c>
      <c r="G12" s="14">
        <v>50</v>
      </c>
      <c r="H12" s="315">
        <v>11333</v>
      </c>
      <c r="I12" s="14">
        <v>45</v>
      </c>
      <c r="J12" s="97">
        <f t="shared" si="0"/>
        <v>5</v>
      </c>
      <c r="K12" s="91">
        <f t="shared" si="1"/>
        <v>509985</v>
      </c>
      <c r="L12" s="15">
        <f t="shared" si="2"/>
        <v>56665</v>
      </c>
      <c r="M12" s="8"/>
      <c r="N12" s="180" t="e">
        <f>#REF!-H12</f>
        <v>#REF!</v>
      </c>
    </row>
    <row r="13" spans="1:14" s="114" customFormat="1">
      <c r="A13" s="96">
        <v>8</v>
      </c>
      <c r="B13" s="292" t="s">
        <v>692</v>
      </c>
      <c r="C13" s="11" t="s">
        <v>1075</v>
      </c>
      <c r="D13" s="16">
        <v>330000</v>
      </c>
      <c r="E13" s="16">
        <v>43989</v>
      </c>
      <c r="F13" s="41">
        <f>SUM(D13:E13)</f>
        <v>373989</v>
      </c>
      <c r="G13" s="159">
        <v>50</v>
      </c>
      <c r="H13" s="315">
        <v>7478.78</v>
      </c>
      <c r="I13" s="159">
        <v>49</v>
      </c>
      <c r="J13" s="96">
        <f t="shared" si="0"/>
        <v>1</v>
      </c>
      <c r="K13" s="16">
        <f t="shared" si="1"/>
        <v>366460.22</v>
      </c>
      <c r="L13" s="41">
        <f t="shared" si="2"/>
        <v>7528.7800000000279</v>
      </c>
      <c r="M13" s="11"/>
    </row>
    <row r="14" spans="1:14" s="114" customFormat="1">
      <c r="A14" s="96">
        <v>9</v>
      </c>
      <c r="B14" s="293" t="s">
        <v>602</v>
      </c>
      <c r="C14" s="11" t="s">
        <v>372</v>
      </c>
      <c r="D14" s="19">
        <v>330000</v>
      </c>
      <c r="E14" s="19">
        <v>43989</v>
      </c>
      <c r="F14" s="19">
        <f>SUM(D14:E14)</f>
        <v>373989</v>
      </c>
      <c r="G14" s="159">
        <v>50</v>
      </c>
      <c r="H14" s="314">
        <v>7479.78</v>
      </c>
      <c r="I14" s="96">
        <v>2</v>
      </c>
      <c r="J14" s="97">
        <f t="shared" si="0"/>
        <v>48</v>
      </c>
      <c r="K14" s="91">
        <f t="shared" si="1"/>
        <v>14959.56</v>
      </c>
      <c r="L14" s="94">
        <f t="shared" si="2"/>
        <v>359029.44</v>
      </c>
      <c r="M14" s="11"/>
      <c r="N14" s="180" t="e">
        <f>#REF!-H14</f>
        <v>#REF!</v>
      </c>
    </row>
    <row r="15" spans="1:14" s="114" customFormat="1">
      <c r="A15" s="96">
        <v>10</v>
      </c>
      <c r="B15" s="292" t="s">
        <v>709</v>
      </c>
      <c r="C15" s="11" t="s">
        <v>310</v>
      </c>
      <c r="D15" s="19">
        <v>500000</v>
      </c>
      <c r="E15" s="19">
        <v>66650</v>
      </c>
      <c r="F15" s="19">
        <v>566650</v>
      </c>
      <c r="G15" s="159">
        <v>50</v>
      </c>
      <c r="H15" s="315">
        <v>11333</v>
      </c>
      <c r="I15" s="96">
        <v>26</v>
      </c>
      <c r="J15" s="96">
        <f t="shared" si="0"/>
        <v>24</v>
      </c>
      <c r="K15" s="16">
        <f t="shared" si="1"/>
        <v>294658</v>
      </c>
      <c r="L15" s="16">
        <f t="shared" si="2"/>
        <v>271992</v>
      </c>
      <c r="M15" s="11"/>
    </row>
    <row r="16" spans="1:14" s="114" customFormat="1">
      <c r="A16" s="96">
        <v>11</v>
      </c>
      <c r="B16" s="292" t="s">
        <v>696</v>
      </c>
      <c r="C16" s="11" t="s">
        <v>311</v>
      </c>
      <c r="D16" s="16">
        <v>500000</v>
      </c>
      <c r="E16" s="16">
        <v>66650</v>
      </c>
      <c r="F16" s="41">
        <f>SUM(D16:E16)</f>
        <v>566650</v>
      </c>
      <c r="G16" s="159">
        <v>50</v>
      </c>
      <c r="H16" s="315">
        <v>11333</v>
      </c>
      <c r="I16" s="96">
        <v>61</v>
      </c>
      <c r="J16" s="96">
        <f t="shared" si="0"/>
        <v>-11</v>
      </c>
      <c r="K16" s="16">
        <f t="shared" si="1"/>
        <v>691313</v>
      </c>
      <c r="L16" s="41">
        <f t="shared" si="2"/>
        <v>-124663</v>
      </c>
      <c r="M16" s="11"/>
      <c r="N16" s="180" t="e">
        <f>#REF!-H16</f>
        <v>#REF!</v>
      </c>
    </row>
    <row r="17" spans="1:14" s="114" customFormat="1">
      <c r="A17" s="96">
        <v>12</v>
      </c>
      <c r="B17" s="292" t="s">
        <v>574</v>
      </c>
      <c r="C17" s="11" t="s">
        <v>1064</v>
      </c>
      <c r="D17" s="16">
        <v>330000</v>
      </c>
      <c r="E17" s="16">
        <v>43989</v>
      </c>
      <c r="F17" s="41">
        <f>SUM(D17:E17)</f>
        <v>373989</v>
      </c>
      <c r="G17" s="159">
        <v>50</v>
      </c>
      <c r="H17" s="280">
        <v>7479.78</v>
      </c>
      <c r="I17" s="159">
        <v>49</v>
      </c>
      <c r="J17" s="97">
        <f t="shared" si="0"/>
        <v>1</v>
      </c>
      <c r="K17" s="91">
        <f>(32*7479.78)</f>
        <v>239352.95999999999</v>
      </c>
      <c r="L17" s="94">
        <f t="shared" si="2"/>
        <v>134636.04</v>
      </c>
      <c r="M17" s="11"/>
      <c r="N17" s="180" t="e">
        <f>#REF!-H17</f>
        <v>#REF!</v>
      </c>
    </row>
    <row r="18" spans="1:14" s="114" customFormat="1">
      <c r="A18" s="96">
        <v>13</v>
      </c>
      <c r="B18" s="292" t="s">
        <v>721</v>
      </c>
      <c r="C18" s="11" t="s">
        <v>312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315">
        <v>11333</v>
      </c>
      <c r="I18" s="97">
        <v>61</v>
      </c>
      <c r="J18" s="97">
        <f t="shared" si="0"/>
        <v>-11</v>
      </c>
      <c r="K18" s="91">
        <f t="shared" ref="K18:K39" si="3">I18*H18</f>
        <v>691313</v>
      </c>
      <c r="L18" s="94">
        <f t="shared" si="2"/>
        <v>-124663</v>
      </c>
      <c r="M18" s="11"/>
      <c r="N18" s="180" t="e">
        <f>#REF!-H18</f>
        <v>#REF!</v>
      </c>
    </row>
    <row r="19" spans="1:14" s="114" customFormat="1">
      <c r="A19" s="96">
        <v>14</v>
      </c>
      <c r="B19" s="293" t="s">
        <v>945</v>
      </c>
      <c r="C19" s="123" t="s">
        <v>1035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314">
        <v>11333</v>
      </c>
      <c r="I19" s="159">
        <v>9</v>
      </c>
      <c r="J19" s="159">
        <f t="shared" si="0"/>
        <v>41</v>
      </c>
      <c r="K19" s="16">
        <f t="shared" si="3"/>
        <v>101997</v>
      </c>
      <c r="L19" s="94">
        <f t="shared" si="2"/>
        <v>464653</v>
      </c>
      <c r="M19" s="11"/>
      <c r="N19" s="180" t="e">
        <f>#REF!-H19</f>
        <v>#REF!</v>
      </c>
    </row>
    <row r="20" spans="1:14" s="114" customFormat="1">
      <c r="A20" s="96">
        <v>15</v>
      </c>
      <c r="B20" s="295" t="s">
        <v>884</v>
      </c>
      <c r="C20" s="8" t="s">
        <v>866</v>
      </c>
      <c r="D20" s="16">
        <v>500000</v>
      </c>
      <c r="E20" s="16">
        <v>66650</v>
      </c>
      <c r="F20" s="41">
        <f>SUM(D20:E20)</f>
        <v>566650</v>
      </c>
      <c r="G20" s="159">
        <v>50</v>
      </c>
      <c r="H20" s="316">
        <v>11333</v>
      </c>
      <c r="I20" s="159">
        <v>9</v>
      </c>
      <c r="J20" s="97">
        <f t="shared" si="0"/>
        <v>41</v>
      </c>
      <c r="K20" s="16">
        <f t="shared" si="3"/>
        <v>101997</v>
      </c>
      <c r="L20" s="94">
        <f t="shared" si="2"/>
        <v>464653</v>
      </c>
      <c r="M20" s="8"/>
    </row>
    <row r="21" spans="1:14" s="114" customFormat="1">
      <c r="A21" s="96">
        <v>16</v>
      </c>
      <c r="B21" s="292" t="s">
        <v>649</v>
      </c>
      <c r="C21" s="11" t="s">
        <v>1049</v>
      </c>
      <c r="D21" s="16">
        <v>450000</v>
      </c>
      <c r="E21" s="16">
        <v>59985</v>
      </c>
      <c r="F21" s="16">
        <v>509985</v>
      </c>
      <c r="G21" s="159">
        <v>50</v>
      </c>
      <c r="H21" s="315">
        <v>10199.700000000001</v>
      </c>
      <c r="I21" s="97">
        <v>25</v>
      </c>
      <c r="J21" s="97">
        <f t="shared" si="0"/>
        <v>25</v>
      </c>
      <c r="K21" s="91">
        <f t="shared" si="3"/>
        <v>254992.50000000003</v>
      </c>
      <c r="L21" s="91">
        <f t="shared" si="2"/>
        <v>254992.49999999997</v>
      </c>
      <c r="M21" s="11"/>
      <c r="N21" s="180" t="e">
        <f>#REF!-H21</f>
        <v>#REF!</v>
      </c>
    </row>
    <row r="22" spans="1:14" s="114" customFormat="1">
      <c r="A22" s="96">
        <v>17</v>
      </c>
      <c r="B22" s="292" t="s">
        <v>617</v>
      </c>
      <c r="C22" s="11" t="s">
        <v>361</v>
      </c>
      <c r="D22" s="16">
        <v>450000</v>
      </c>
      <c r="E22" s="16">
        <v>59985</v>
      </c>
      <c r="F22" s="16">
        <v>509985</v>
      </c>
      <c r="G22" s="159">
        <v>50</v>
      </c>
      <c r="H22" s="315">
        <v>10199.700000000001</v>
      </c>
      <c r="I22" s="97">
        <v>40</v>
      </c>
      <c r="J22" s="97">
        <f t="shared" si="0"/>
        <v>10</v>
      </c>
      <c r="K22" s="91">
        <f t="shared" si="3"/>
        <v>407988</v>
      </c>
      <c r="L22" s="94">
        <f t="shared" si="2"/>
        <v>101997</v>
      </c>
      <c r="M22" s="11"/>
      <c r="N22" s="180" t="e">
        <f>#REF!-H22</f>
        <v>#REF!</v>
      </c>
    </row>
    <row r="23" spans="1:14" s="114" customFormat="1">
      <c r="A23" s="96">
        <v>18</v>
      </c>
      <c r="B23" s="292" t="s">
        <v>505</v>
      </c>
      <c r="C23" s="11" t="s">
        <v>313</v>
      </c>
      <c r="D23" s="16">
        <v>500000</v>
      </c>
      <c r="E23" s="16">
        <v>66650</v>
      </c>
      <c r="F23" s="41">
        <f>SUM(D23:E23)</f>
        <v>566650</v>
      </c>
      <c r="G23" s="159">
        <v>50</v>
      </c>
      <c r="H23" s="315">
        <v>11333</v>
      </c>
      <c r="I23" s="97">
        <v>40</v>
      </c>
      <c r="J23" s="97">
        <f t="shared" si="0"/>
        <v>10</v>
      </c>
      <c r="K23" s="91">
        <f t="shared" si="3"/>
        <v>453320</v>
      </c>
      <c r="L23" s="94">
        <f t="shared" si="2"/>
        <v>113330</v>
      </c>
      <c r="M23" s="11"/>
      <c r="N23" s="180" t="e">
        <f>#REF!-H23</f>
        <v>#REF!</v>
      </c>
    </row>
    <row r="24" spans="1:14" s="114" customFormat="1">
      <c r="A24" s="96">
        <v>19</v>
      </c>
      <c r="B24" s="292" t="s">
        <v>659</v>
      </c>
      <c r="C24" s="11" t="s">
        <v>299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315">
        <v>11333</v>
      </c>
      <c r="I24" s="97">
        <v>50</v>
      </c>
      <c r="J24" s="97">
        <f t="shared" si="0"/>
        <v>0</v>
      </c>
      <c r="K24" s="91">
        <f t="shared" si="3"/>
        <v>566650</v>
      </c>
      <c r="L24" s="94">
        <f t="shared" si="2"/>
        <v>0</v>
      </c>
      <c r="M24" s="11" t="s">
        <v>276</v>
      </c>
      <c r="N24" s="180" t="e">
        <f>#REF!-H24</f>
        <v>#REF!</v>
      </c>
    </row>
    <row r="25" spans="1:14" s="114" customFormat="1">
      <c r="A25" s="96">
        <v>20</v>
      </c>
      <c r="B25" s="292" t="s">
        <v>559</v>
      </c>
      <c r="C25" s="11" t="s">
        <v>441</v>
      </c>
      <c r="D25" s="16">
        <v>500000</v>
      </c>
      <c r="E25" s="16">
        <v>66650</v>
      </c>
      <c r="F25" s="16">
        <v>566650</v>
      </c>
      <c r="G25" s="159">
        <v>50</v>
      </c>
      <c r="H25" s="280">
        <v>11333</v>
      </c>
      <c r="I25" s="96">
        <v>14</v>
      </c>
      <c r="J25" s="97">
        <f t="shared" si="0"/>
        <v>36</v>
      </c>
      <c r="K25" s="91">
        <f t="shared" si="3"/>
        <v>158662</v>
      </c>
      <c r="L25" s="94">
        <f t="shared" si="2"/>
        <v>407988</v>
      </c>
      <c r="M25" s="123"/>
    </row>
    <row r="26" spans="1:14" s="114" customFormat="1">
      <c r="A26" s="96">
        <v>21</v>
      </c>
      <c r="B26" s="293" t="s">
        <v>1172</v>
      </c>
      <c r="C26" s="11" t="s">
        <v>439</v>
      </c>
      <c r="D26" s="19">
        <v>330000</v>
      </c>
      <c r="E26" s="19">
        <v>43989</v>
      </c>
      <c r="F26" s="19">
        <f>SUM(D26:E26)</f>
        <v>373989</v>
      </c>
      <c r="G26" s="159">
        <v>50</v>
      </c>
      <c r="H26" s="314">
        <v>7479.78</v>
      </c>
      <c r="I26" s="96">
        <v>2</v>
      </c>
      <c r="J26" s="97">
        <f t="shared" si="0"/>
        <v>48</v>
      </c>
      <c r="K26" s="91">
        <f t="shared" si="3"/>
        <v>14959.56</v>
      </c>
      <c r="L26" s="94">
        <f t="shared" si="2"/>
        <v>359029.44</v>
      </c>
      <c r="M26" s="11"/>
      <c r="N26" s="180" t="e">
        <f>#REF!-H26</f>
        <v>#REF!</v>
      </c>
    </row>
    <row r="27" spans="1:14" s="114" customFormat="1">
      <c r="A27" s="96">
        <v>22</v>
      </c>
      <c r="B27" s="292" t="s">
        <v>690</v>
      </c>
      <c r="C27" s="11" t="s">
        <v>496</v>
      </c>
      <c r="D27" s="16">
        <v>500000</v>
      </c>
      <c r="E27" s="16">
        <v>66650</v>
      </c>
      <c r="F27" s="41">
        <f>SUM(D27:E27)</f>
        <v>566650</v>
      </c>
      <c r="G27" s="159">
        <v>50</v>
      </c>
      <c r="H27" s="315">
        <v>11333</v>
      </c>
      <c r="I27" s="159">
        <v>12</v>
      </c>
      <c r="J27" s="97">
        <f t="shared" si="0"/>
        <v>38</v>
      </c>
      <c r="K27" s="91">
        <f t="shared" si="3"/>
        <v>135996</v>
      </c>
      <c r="L27" s="94">
        <f t="shared" si="2"/>
        <v>430654</v>
      </c>
      <c r="M27" s="11"/>
    </row>
    <row r="28" spans="1:14" s="114" customFormat="1">
      <c r="A28" s="96">
        <v>23</v>
      </c>
      <c r="B28" s="292" t="s">
        <v>581</v>
      </c>
      <c r="C28" s="11" t="s">
        <v>107</v>
      </c>
      <c r="D28" s="16">
        <v>330000</v>
      </c>
      <c r="E28" s="16">
        <v>43989</v>
      </c>
      <c r="F28" s="41">
        <f>SUM(D28:E28)</f>
        <v>373989</v>
      </c>
      <c r="G28" s="159">
        <v>50</v>
      </c>
      <c r="H28" s="315">
        <v>7479.78</v>
      </c>
      <c r="I28" s="97">
        <v>61</v>
      </c>
      <c r="J28" s="97">
        <f t="shared" si="0"/>
        <v>-11</v>
      </c>
      <c r="K28" s="91">
        <f t="shared" si="3"/>
        <v>456266.57999999996</v>
      </c>
      <c r="L28" s="94">
        <f t="shared" si="2"/>
        <v>-82277.579999999958</v>
      </c>
      <c r="M28" s="11"/>
    </row>
    <row r="29" spans="1:14" s="114" customFormat="1">
      <c r="A29" s="96">
        <v>24</v>
      </c>
      <c r="B29" s="292" t="s">
        <v>567</v>
      </c>
      <c r="C29" s="11" t="s">
        <v>374</v>
      </c>
      <c r="D29" s="16">
        <v>330000</v>
      </c>
      <c r="E29" s="16">
        <v>43989</v>
      </c>
      <c r="F29" s="41">
        <f>SUM(D29:E29)</f>
        <v>373989</v>
      </c>
      <c r="G29" s="159">
        <v>50</v>
      </c>
      <c r="H29" s="315">
        <v>7479.78</v>
      </c>
      <c r="I29" s="97">
        <v>61</v>
      </c>
      <c r="J29" s="97">
        <f t="shared" si="0"/>
        <v>-11</v>
      </c>
      <c r="K29" s="91">
        <f t="shared" si="3"/>
        <v>456266.57999999996</v>
      </c>
      <c r="L29" s="94">
        <f t="shared" si="2"/>
        <v>-82277.579999999958</v>
      </c>
      <c r="M29" s="11"/>
    </row>
    <row r="30" spans="1:14" s="114" customFormat="1">
      <c r="A30" s="96">
        <v>25</v>
      </c>
      <c r="B30" s="295" t="s">
        <v>939</v>
      </c>
      <c r="C30" s="8" t="s">
        <v>1022</v>
      </c>
      <c r="D30" s="19">
        <v>330000</v>
      </c>
      <c r="E30" s="19">
        <v>43989</v>
      </c>
      <c r="F30" s="19">
        <f>SUM(D30:E30)</f>
        <v>373989</v>
      </c>
      <c r="G30" s="159">
        <v>50</v>
      </c>
      <c r="H30" s="316">
        <v>7479.78</v>
      </c>
      <c r="I30" s="159">
        <v>6</v>
      </c>
      <c r="J30" s="159">
        <f t="shared" si="0"/>
        <v>44</v>
      </c>
      <c r="K30" s="16">
        <f t="shared" si="3"/>
        <v>44878.68</v>
      </c>
      <c r="L30" s="94">
        <f t="shared" si="2"/>
        <v>329110.32</v>
      </c>
      <c r="M30" s="8"/>
      <c r="N30" s="180" t="e">
        <f>#REF!-H30</f>
        <v>#REF!</v>
      </c>
    </row>
    <row r="31" spans="1:14" s="114" customFormat="1">
      <c r="A31" s="96">
        <v>26</v>
      </c>
      <c r="B31" s="292" t="s">
        <v>726</v>
      </c>
      <c r="C31" s="11" t="s">
        <v>314</v>
      </c>
      <c r="D31" s="19">
        <v>500000</v>
      </c>
      <c r="E31" s="19">
        <v>66650</v>
      </c>
      <c r="F31" s="19">
        <v>566650</v>
      </c>
      <c r="G31" s="159">
        <v>50</v>
      </c>
      <c r="H31" s="315">
        <v>11333</v>
      </c>
      <c r="I31" s="97">
        <v>26</v>
      </c>
      <c r="J31" s="97">
        <f t="shared" si="0"/>
        <v>24</v>
      </c>
      <c r="K31" s="91">
        <f t="shared" si="3"/>
        <v>294658</v>
      </c>
      <c r="L31" s="91">
        <f t="shared" si="2"/>
        <v>271992</v>
      </c>
      <c r="M31" s="11"/>
    </row>
    <row r="32" spans="1:14" s="114" customFormat="1">
      <c r="A32" s="96">
        <v>27</v>
      </c>
      <c r="B32" s="292" t="s">
        <v>680</v>
      </c>
      <c r="C32" s="11" t="s">
        <v>315</v>
      </c>
      <c r="D32" s="19">
        <v>500000</v>
      </c>
      <c r="E32" s="19">
        <v>66650</v>
      </c>
      <c r="F32" s="19">
        <v>566650</v>
      </c>
      <c r="G32" s="159">
        <v>50</v>
      </c>
      <c r="H32" s="315">
        <v>11333</v>
      </c>
      <c r="I32" s="97">
        <v>26</v>
      </c>
      <c r="J32" s="97">
        <f t="shared" si="0"/>
        <v>24</v>
      </c>
      <c r="K32" s="91">
        <f t="shared" si="3"/>
        <v>294658</v>
      </c>
      <c r="L32" s="91">
        <f t="shared" si="2"/>
        <v>271992</v>
      </c>
      <c r="M32" s="11"/>
    </row>
    <row r="33" spans="1:14" s="114" customFormat="1">
      <c r="A33" s="96">
        <v>28</v>
      </c>
      <c r="B33" s="292" t="s">
        <v>576</v>
      </c>
      <c r="C33" s="11" t="s">
        <v>216</v>
      </c>
      <c r="D33" s="16">
        <v>60000</v>
      </c>
      <c r="E33" s="16">
        <v>7998</v>
      </c>
      <c r="F33" s="41">
        <f t="shared" ref="F33:F39" si="4">SUM(D33:E33)</f>
        <v>67998</v>
      </c>
      <c r="G33" s="159">
        <v>40</v>
      </c>
      <c r="H33" s="315">
        <v>1699.95</v>
      </c>
      <c r="I33" s="97">
        <v>15</v>
      </c>
      <c r="J33" s="97">
        <f t="shared" si="0"/>
        <v>25</v>
      </c>
      <c r="K33" s="91">
        <f t="shared" si="3"/>
        <v>25499.25</v>
      </c>
      <c r="L33" s="94">
        <f t="shared" si="2"/>
        <v>42498.75</v>
      </c>
      <c r="M33" s="11"/>
      <c r="N33"/>
    </row>
    <row r="34" spans="1:14" s="114" customFormat="1">
      <c r="A34" s="96">
        <v>29</v>
      </c>
      <c r="B34" s="292" t="s">
        <v>949</v>
      </c>
      <c r="C34" s="11" t="s">
        <v>1092</v>
      </c>
      <c r="D34" s="16">
        <v>500000</v>
      </c>
      <c r="E34" s="16">
        <v>66650</v>
      </c>
      <c r="F34" s="41">
        <f t="shared" si="4"/>
        <v>566650</v>
      </c>
      <c r="G34" s="159">
        <v>50</v>
      </c>
      <c r="H34" s="315">
        <v>11333</v>
      </c>
      <c r="I34" s="97">
        <v>39</v>
      </c>
      <c r="J34" s="97">
        <f t="shared" si="0"/>
        <v>11</v>
      </c>
      <c r="K34" s="91">
        <f t="shared" si="3"/>
        <v>441987</v>
      </c>
      <c r="L34" s="94">
        <f t="shared" si="2"/>
        <v>124663</v>
      </c>
      <c r="M34" s="11"/>
      <c r="N34" s="180" t="e">
        <f>#REF!-H34</f>
        <v>#REF!</v>
      </c>
    </row>
    <row r="35" spans="1:14" s="114" customFormat="1">
      <c r="A35" s="96">
        <v>30</v>
      </c>
      <c r="B35" s="292" t="s">
        <v>588</v>
      </c>
      <c r="C35" s="11" t="s">
        <v>316</v>
      </c>
      <c r="D35" s="16">
        <v>500000</v>
      </c>
      <c r="E35" s="16">
        <v>66650</v>
      </c>
      <c r="F35" s="41">
        <f t="shared" si="4"/>
        <v>566650</v>
      </c>
      <c r="G35" s="159">
        <v>50</v>
      </c>
      <c r="H35" s="315">
        <v>11333</v>
      </c>
      <c r="I35" s="97">
        <v>49</v>
      </c>
      <c r="J35" s="97">
        <f t="shared" si="0"/>
        <v>1</v>
      </c>
      <c r="K35" s="91">
        <f t="shared" si="3"/>
        <v>555317</v>
      </c>
      <c r="L35" s="94">
        <f t="shared" si="2"/>
        <v>11333</v>
      </c>
      <c r="M35" s="11"/>
    </row>
    <row r="36" spans="1:14" s="114" customFormat="1">
      <c r="A36" s="96">
        <v>31</v>
      </c>
      <c r="B36" s="293" t="s">
        <v>1219</v>
      </c>
      <c r="C36" s="11" t="s">
        <v>1266</v>
      </c>
      <c r="D36" s="19">
        <v>330000</v>
      </c>
      <c r="E36" s="19">
        <v>43989</v>
      </c>
      <c r="F36" s="19">
        <f t="shared" si="4"/>
        <v>373989</v>
      </c>
      <c r="G36" s="159">
        <v>50</v>
      </c>
      <c r="H36" s="314">
        <v>7479.78</v>
      </c>
      <c r="I36" s="96">
        <v>2</v>
      </c>
      <c r="J36" s="97">
        <f t="shared" si="0"/>
        <v>48</v>
      </c>
      <c r="K36" s="91">
        <f t="shared" si="3"/>
        <v>14959.56</v>
      </c>
      <c r="L36" s="94">
        <f t="shared" si="2"/>
        <v>359029.44</v>
      </c>
      <c r="M36" s="11"/>
      <c r="N36" s="180" t="e">
        <f>#REF!-H36</f>
        <v>#REF!</v>
      </c>
    </row>
    <row r="37" spans="1:14" s="114" customFormat="1">
      <c r="A37" s="96">
        <v>32</v>
      </c>
      <c r="B37" s="292" t="s">
        <v>532</v>
      </c>
      <c r="C37" s="11" t="s">
        <v>318</v>
      </c>
      <c r="D37" s="16">
        <v>500000</v>
      </c>
      <c r="E37" s="16">
        <v>66650</v>
      </c>
      <c r="F37" s="41">
        <f t="shared" si="4"/>
        <v>566650</v>
      </c>
      <c r="G37" s="159">
        <v>50</v>
      </c>
      <c r="H37" s="315">
        <v>11333</v>
      </c>
      <c r="I37" s="97">
        <v>49</v>
      </c>
      <c r="J37" s="97">
        <f t="shared" si="0"/>
        <v>1</v>
      </c>
      <c r="K37" s="91">
        <f t="shared" si="3"/>
        <v>555317</v>
      </c>
      <c r="L37" s="94">
        <f t="shared" si="2"/>
        <v>11333</v>
      </c>
      <c r="M37" s="11"/>
      <c r="N37" s="180" t="e">
        <f>#REF!-H37</f>
        <v>#REF!</v>
      </c>
    </row>
    <row r="38" spans="1:14" s="114" customFormat="1">
      <c r="A38" s="96">
        <v>33</v>
      </c>
      <c r="B38" s="292" t="s">
        <v>633</v>
      </c>
      <c r="C38" s="11" t="s">
        <v>457</v>
      </c>
      <c r="D38" s="19">
        <v>150000</v>
      </c>
      <c r="E38" s="19">
        <v>19995</v>
      </c>
      <c r="F38" s="19">
        <f t="shared" si="4"/>
        <v>169995</v>
      </c>
      <c r="G38" s="159">
        <v>50</v>
      </c>
      <c r="H38" s="281">
        <v>3399.9</v>
      </c>
      <c r="I38" s="101">
        <v>14</v>
      </c>
      <c r="J38" s="97">
        <f t="shared" ref="J38:J69" si="5">G38-I38</f>
        <v>36</v>
      </c>
      <c r="K38" s="91">
        <f t="shared" si="3"/>
        <v>47598.6</v>
      </c>
      <c r="L38" s="94">
        <f t="shared" ref="L38:L69" si="6">F38-K38</f>
        <v>122396.4</v>
      </c>
      <c r="M38" s="8"/>
    </row>
    <row r="39" spans="1:14" s="114" customFormat="1">
      <c r="A39" s="96">
        <v>34</v>
      </c>
      <c r="B39" s="295" t="s">
        <v>947</v>
      </c>
      <c r="C39" s="8" t="s">
        <v>1095</v>
      </c>
      <c r="D39" s="16">
        <v>500000</v>
      </c>
      <c r="E39" s="16">
        <v>66650</v>
      </c>
      <c r="F39" s="41">
        <f t="shared" si="4"/>
        <v>566650</v>
      </c>
      <c r="G39" s="159">
        <v>50</v>
      </c>
      <c r="H39" s="316">
        <v>11333</v>
      </c>
      <c r="I39" s="159">
        <v>6</v>
      </c>
      <c r="J39" s="159">
        <f t="shared" si="5"/>
        <v>44</v>
      </c>
      <c r="K39" s="16">
        <f t="shared" si="3"/>
        <v>67998</v>
      </c>
      <c r="L39" s="94">
        <f t="shared" si="6"/>
        <v>498652</v>
      </c>
      <c r="M39" s="8"/>
      <c r="N39" s="180" t="e">
        <f>#REF!-H39</f>
        <v>#REF!</v>
      </c>
    </row>
    <row r="40" spans="1:14" s="114" customFormat="1">
      <c r="A40" s="96">
        <v>35</v>
      </c>
      <c r="B40" s="292" t="s">
        <v>534</v>
      </c>
      <c r="C40" s="11" t="s">
        <v>363</v>
      </c>
      <c r="D40" s="16">
        <v>450000</v>
      </c>
      <c r="E40" s="16">
        <v>59985</v>
      </c>
      <c r="F40" s="16">
        <v>509985</v>
      </c>
      <c r="G40" s="159">
        <v>50</v>
      </c>
      <c r="H40" s="315">
        <v>10199.700000000001</v>
      </c>
      <c r="I40" s="97">
        <v>18</v>
      </c>
      <c r="J40" s="97">
        <f t="shared" si="5"/>
        <v>32</v>
      </c>
      <c r="K40" s="91">
        <f>(1*10199.7)</f>
        <v>10199.700000000001</v>
      </c>
      <c r="L40" s="94">
        <f t="shared" si="6"/>
        <v>499785.3</v>
      </c>
      <c r="M40" s="11"/>
    </row>
    <row r="41" spans="1:14" s="114" customFormat="1">
      <c r="A41" s="96">
        <v>36</v>
      </c>
      <c r="B41" s="292" t="s">
        <v>499</v>
      </c>
      <c r="C41" s="11" t="s">
        <v>497</v>
      </c>
      <c r="D41" s="16">
        <v>450000</v>
      </c>
      <c r="E41" s="16">
        <v>59985</v>
      </c>
      <c r="F41" s="41">
        <f>SUM(D41:E41)</f>
        <v>509985</v>
      </c>
      <c r="G41" s="159">
        <v>50</v>
      </c>
      <c r="H41" s="315">
        <v>11333</v>
      </c>
      <c r="I41" s="97">
        <v>29</v>
      </c>
      <c r="J41" s="97">
        <f t="shared" si="5"/>
        <v>21</v>
      </c>
      <c r="K41" s="91">
        <f t="shared" ref="K41:K72" si="7">I41*H41</f>
        <v>328657</v>
      </c>
      <c r="L41" s="94">
        <f t="shared" si="6"/>
        <v>181328</v>
      </c>
      <c r="M41" s="11"/>
    </row>
    <row r="42" spans="1:14" s="114" customFormat="1">
      <c r="A42" s="96">
        <v>37</v>
      </c>
      <c r="B42" s="292" t="s">
        <v>572</v>
      </c>
      <c r="C42" s="11" t="s">
        <v>424</v>
      </c>
      <c r="D42" s="12">
        <v>150000</v>
      </c>
      <c r="E42" s="12">
        <v>19995</v>
      </c>
      <c r="F42" s="15">
        <f>SUM(D42:E42)</f>
        <v>169995</v>
      </c>
      <c r="G42" s="14">
        <v>50</v>
      </c>
      <c r="H42" s="315">
        <v>3399.9</v>
      </c>
      <c r="I42" s="14">
        <v>45</v>
      </c>
      <c r="J42" s="97">
        <f t="shared" si="5"/>
        <v>5</v>
      </c>
      <c r="K42" s="91">
        <f t="shared" si="7"/>
        <v>152995.5</v>
      </c>
      <c r="L42" s="15">
        <f t="shared" si="6"/>
        <v>16999.5</v>
      </c>
      <c r="M42" s="8"/>
      <c r="N42" s="180" t="e">
        <f>#REF!-H42</f>
        <v>#REF!</v>
      </c>
    </row>
    <row r="43" spans="1:14" s="114" customFormat="1">
      <c r="A43" s="96">
        <v>38</v>
      </c>
      <c r="B43" s="292" t="s">
        <v>626</v>
      </c>
      <c r="C43" s="11" t="s">
        <v>375</v>
      </c>
      <c r="D43" s="16">
        <v>330000</v>
      </c>
      <c r="E43" s="16">
        <v>43989</v>
      </c>
      <c r="F43" s="41">
        <f>SUM(D43:E43)</f>
        <v>373989</v>
      </c>
      <c r="G43" s="159">
        <v>50</v>
      </c>
      <c r="H43" s="315">
        <v>7479.78</v>
      </c>
      <c r="I43" s="97">
        <v>40</v>
      </c>
      <c r="J43" s="97">
        <f t="shared" si="5"/>
        <v>10</v>
      </c>
      <c r="K43" s="91">
        <f t="shared" si="7"/>
        <v>299191.2</v>
      </c>
      <c r="L43" s="94">
        <f t="shared" si="6"/>
        <v>74797.799999999988</v>
      </c>
      <c r="M43" s="11"/>
    </row>
    <row r="44" spans="1:14" s="114" customFormat="1">
      <c r="A44" s="96">
        <v>39</v>
      </c>
      <c r="B44" s="292" t="s">
        <v>730</v>
      </c>
      <c r="C44" s="11" t="s">
        <v>320</v>
      </c>
      <c r="D44" s="16">
        <v>500000</v>
      </c>
      <c r="E44" s="16">
        <v>66650</v>
      </c>
      <c r="F44" s="41">
        <f>SUM(D44:E44)</f>
        <v>566650</v>
      </c>
      <c r="G44" s="159">
        <v>50</v>
      </c>
      <c r="H44" s="315">
        <v>11333</v>
      </c>
      <c r="I44" s="159">
        <v>16</v>
      </c>
      <c r="J44" s="159">
        <f t="shared" si="5"/>
        <v>34</v>
      </c>
      <c r="K44" s="91">
        <f t="shared" si="7"/>
        <v>181328</v>
      </c>
      <c r="L44" s="94">
        <f t="shared" si="6"/>
        <v>385322</v>
      </c>
      <c r="M44" s="11"/>
      <c r="N44" s="180" t="e">
        <f>#REF!-H44</f>
        <v>#REF!</v>
      </c>
    </row>
    <row r="45" spans="1:14" s="114" customFormat="1">
      <c r="A45" s="96">
        <v>40</v>
      </c>
      <c r="B45" s="293" t="s">
        <v>1156</v>
      </c>
      <c r="C45" s="11" t="s">
        <v>1116</v>
      </c>
      <c r="D45" s="19"/>
      <c r="E45" s="19"/>
      <c r="F45" s="19">
        <v>200000</v>
      </c>
      <c r="G45" s="159">
        <v>50</v>
      </c>
      <c r="H45" s="314">
        <v>5099.8500000000004</v>
      </c>
      <c r="I45" s="96">
        <v>2</v>
      </c>
      <c r="J45" s="97">
        <f t="shared" si="5"/>
        <v>48</v>
      </c>
      <c r="K45" s="91">
        <f t="shared" si="7"/>
        <v>10199.700000000001</v>
      </c>
      <c r="L45" s="94">
        <f t="shared" si="6"/>
        <v>189800.3</v>
      </c>
      <c r="M45" s="11"/>
    </row>
    <row r="46" spans="1:14" s="114" customFormat="1">
      <c r="A46" s="96">
        <v>41</v>
      </c>
      <c r="B46" s="292" t="s">
        <v>623</v>
      </c>
      <c r="C46" s="123" t="s">
        <v>1030</v>
      </c>
      <c r="D46" s="19">
        <v>450000</v>
      </c>
      <c r="E46" s="19">
        <v>59985</v>
      </c>
      <c r="F46" s="19">
        <v>509985</v>
      </c>
      <c r="G46" s="159">
        <v>50</v>
      </c>
      <c r="H46" s="314">
        <v>10199.700000000001</v>
      </c>
      <c r="I46" s="159">
        <v>6</v>
      </c>
      <c r="J46" s="97">
        <f t="shared" si="5"/>
        <v>44</v>
      </c>
      <c r="K46" s="91">
        <f t="shared" si="7"/>
        <v>61198.200000000004</v>
      </c>
      <c r="L46" s="94">
        <f t="shared" si="6"/>
        <v>448786.8</v>
      </c>
      <c r="M46" s="11"/>
      <c r="N46" s="180" t="e">
        <f>#REF!-H46</f>
        <v>#REF!</v>
      </c>
    </row>
    <row r="47" spans="1:14" s="114" customFormat="1">
      <c r="A47" s="96">
        <v>42</v>
      </c>
      <c r="B47" s="292" t="s">
        <v>526</v>
      </c>
      <c r="C47" s="11" t="s">
        <v>112</v>
      </c>
      <c r="D47" s="16">
        <v>330000</v>
      </c>
      <c r="E47" s="16">
        <v>43989</v>
      </c>
      <c r="F47" s="41">
        <f t="shared" ref="F47:F54" si="8">SUM(D47:E47)</f>
        <v>373989</v>
      </c>
      <c r="G47" s="159">
        <v>50</v>
      </c>
      <c r="H47" s="280">
        <v>7479.78</v>
      </c>
      <c r="I47" s="97">
        <v>40</v>
      </c>
      <c r="J47" s="97">
        <f t="shared" si="5"/>
        <v>10</v>
      </c>
      <c r="K47" s="91">
        <f t="shared" si="7"/>
        <v>299191.2</v>
      </c>
      <c r="L47" s="94">
        <f t="shared" si="6"/>
        <v>74797.799999999988</v>
      </c>
      <c r="M47" s="11"/>
    </row>
    <row r="48" spans="1:14" s="114" customFormat="1">
      <c r="A48" s="96">
        <v>43</v>
      </c>
      <c r="B48" s="292" t="s">
        <v>609</v>
      </c>
      <c r="C48" s="11" t="s">
        <v>321</v>
      </c>
      <c r="D48" s="16">
        <v>500000</v>
      </c>
      <c r="E48" s="16">
        <v>66650</v>
      </c>
      <c r="F48" s="41">
        <f t="shared" si="8"/>
        <v>566650</v>
      </c>
      <c r="G48" s="159">
        <v>50</v>
      </c>
      <c r="H48" s="315">
        <v>11333</v>
      </c>
      <c r="I48" s="97">
        <v>39</v>
      </c>
      <c r="J48" s="97">
        <f t="shared" si="5"/>
        <v>11</v>
      </c>
      <c r="K48" s="91">
        <f t="shared" si="7"/>
        <v>441987</v>
      </c>
      <c r="L48" s="94">
        <f t="shared" si="6"/>
        <v>124663</v>
      </c>
      <c r="M48" s="11"/>
      <c r="N48" s="180" t="e">
        <f>#REF!-H48</f>
        <v>#REF!</v>
      </c>
    </row>
    <row r="49" spans="1:14" s="114" customFormat="1">
      <c r="A49" s="96">
        <v>44</v>
      </c>
      <c r="B49" s="292" t="s">
        <v>682</v>
      </c>
      <c r="C49" s="11" t="s">
        <v>322</v>
      </c>
      <c r="D49" s="16">
        <v>500000</v>
      </c>
      <c r="E49" s="16">
        <v>66650</v>
      </c>
      <c r="F49" s="41">
        <f t="shared" si="8"/>
        <v>566650</v>
      </c>
      <c r="G49" s="159">
        <v>50</v>
      </c>
      <c r="H49" s="315">
        <v>11333</v>
      </c>
      <c r="I49" s="97">
        <v>40</v>
      </c>
      <c r="J49" s="97">
        <f t="shared" si="5"/>
        <v>10</v>
      </c>
      <c r="K49" s="91">
        <f t="shared" si="7"/>
        <v>453320</v>
      </c>
      <c r="L49" s="94">
        <f t="shared" si="6"/>
        <v>113330</v>
      </c>
      <c r="M49" s="11"/>
    </row>
    <row r="50" spans="1:14" s="114" customFormat="1">
      <c r="A50" s="96">
        <v>45</v>
      </c>
      <c r="B50" s="292" t="s">
        <v>542</v>
      </c>
      <c r="C50" s="11" t="s">
        <v>323</v>
      </c>
      <c r="D50" s="16">
        <v>500000</v>
      </c>
      <c r="E50" s="16">
        <v>66650</v>
      </c>
      <c r="F50" s="41">
        <f t="shared" si="8"/>
        <v>566650</v>
      </c>
      <c r="G50" s="159">
        <v>50</v>
      </c>
      <c r="H50" s="315">
        <v>11333</v>
      </c>
      <c r="I50" s="97">
        <v>39</v>
      </c>
      <c r="J50" s="97">
        <f t="shared" si="5"/>
        <v>11</v>
      </c>
      <c r="K50" s="91">
        <f t="shared" si="7"/>
        <v>441987</v>
      </c>
      <c r="L50" s="94">
        <f t="shared" si="6"/>
        <v>124663</v>
      </c>
      <c r="M50" s="11"/>
    </row>
    <row r="51" spans="1:14" s="114" customFormat="1">
      <c r="A51" s="96">
        <v>46</v>
      </c>
      <c r="B51" s="292" t="s">
        <v>657</v>
      </c>
      <c r="C51" s="11" t="s">
        <v>324</v>
      </c>
      <c r="D51" s="12">
        <v>500000</v>
      </c>
      <c r="E51" s="12">
        <v>66650</v>
      </c>
      <c r="F51" s="15">
        <f t="shared" si="8"/>
        <v>566650</v>
      </c>
      <c r="G51" s="14">
        <v>50</v>
      </c>
      <c r="H51" s="280">
        <v>11333</v>
      </c>
      <c r="I51" s="14">
        <v>45</v>
      </c>
      <c r="J51" s="97">
        <f t="shared" si="5"/>
        <v>5</v>
      </c>
      <c r="K51" s="91">
        <f t="shared" si="7"/>
        <v>509985</v>
      </c>
      <c r="L51" s="15">
        <f t="shared" si="6"/>
        <v>56665</v>
      </c>
      <c r="M51" s="8"/>
      <c r="N51" s="180" t="e">
        <f>#REF!-H51</f>
        <v>#REF!</v>
      </c>
    </row>
    <row r="52" spans="1:14" s="114" customFormat="1">
      <c r="A52" s="96">
        <v>47</v>
      </c>
      <c r="B52" s="293" t="s">
        <v>900</v>
      </c>
      <c r="C52" s="123" t="s">
        <v>1051</v>
      </c>
      <c r="D52" s="19">
        <v>330000</v>
      </c>
      <c r="E52" s="19">
        <v>43989</v>
      </c>
      <c r="F52" s="19">
        <f t="shared" si="8"/>
        <v>373989</v>
      </c>
      <c r="G52" s="159">
        <v>50</v>
      </c>
      <c r="H52" s="314">
        <v>7479.78</v>
      </c>
      <c r="I52" s="159">
        <v>9</v>
      </c>
      <c r="J52" s="159">
        <f t="shared" si="5"/>
        <v>41</v>
      </c>
      <c r="K52" s="16">
        <f t="shared" si="7"/>
        <v>67318.02</v>
      </c>
      <c r="L52" s="94">
        <f t="shared" si="6"/>
        <v>306670.98</v>
      </c>
      <c r="M52" s="11"/>
      <c r="N52" s="180" t="e">
        <f>#REF!-H52</f>
        <v>#REF!</v>
      </c>
    </row>
    <row r="53" spans="1:14" s="114" customFormat="1">
      <c r="A53" s="96">
        <v>48</v>
      </c>
      <c r="B53" s="292" t="s">
        <v>694</v>
      </c>
      <c r="C53" s="11" t="s">
        <v>376</v>
      </c>
      <c r="D53" s="16">
        <v>330000</v>
      </c>
      <c r="E53" s="16">
        <v>43989</v>
      </c>
      <c r="F53" s="41">
        <f t="shared" si="8"/>
        <v>373989</v>
      </c>
      <c r="G53" s="159">
        <v>50</v>
      </c>
      <c r="H53" s="315">
        <v>7479.78</v>
      </c>
      <c r="I53" s="97">
        <v>61</v>
      </c>
      <c r="J53" s="97">
        <f t="shared" si="5"/>
        <v>-11</v>
      </c>
      <c r="K53" s="91">
        <f t="shared" si="7"/>
        <v>456266.57999999996</v>
      </c>
      <c r="L53" s="94">
        <f t="shared" si="6"/>
        <v>-82277.579999999958</v>
      </c>
      <c r="M53" s="11"/>
      <c r="N53" s="180" t="e">
        <f>#REF!-H53</f>
        <v>#REF!</v>
      </c>
    </row>
    <row r="54" spans="1:14" s="114" customFormat="1">
      <c r="A54" s="96">
        <v>49</v>
      </c>
      <c r="B54" s="293" t="s">
        <v>1166</v>
      </c>
      <c r="C54" s="11" t="s">
        <v>1119</v>
      </c>
      <c r="D54" s="16">
        <v>500000</v>
      </c>
      <c r="E54" s="16">
        <v>66650</v>
      </c>
      <c r="F54" s="41">
        <f t="shared" si="8"/>
        <v>566650</v>
      </c>
      <c r="G54" s="159">
        <v>50</v>
      </c>
      <c r="H54" s="314">
        <v>11333</v>
      </c>
      <c r="I54" s="96">
        <v>2</v>
      </c>
      <c r="J54" s="97">
        <f t="shared" si="5"/>
        <v>48</v>
      </c>
      <c r="K54" s="91">
        <f t="shared" si="7"/>
        <v>22666</v>
      </c>
      <c r="L54" s="94">
        <f t="shared" si="6"/>
        <v>543984</v>
      </c>
      <c r="M54" s="11"/>
      <c r="N54" s="180" t="e">
        <f>#REF!-H54</f>
        <v>#REF!</v>
      </c>
    </row>
    <row r="55" spans="1:14" s="114" customFormat="1">
      <c r="A55" s="96">
        <v>50</v>
      </c>
      <c r="B55" s="293" t="s">
        <v>893</v>
      </c>
      <c r="C55" s="123" t="s">
        <v>859</v>
      </c>
      <c r="D55" s="19">
        <v>450000</v>
      </c>
      <c r="E55" s="19">
        <v>59985</v>
      </c>
      <c r="F55" s="19">
        <v>509985</v>
      </c>
      <c r="G55" s="159">
        <v>50</v>
      </c>
      <c r="H55" s="314">
        <v>10199.700000000001</v>
      </c>
      <c r="I55" s="159">
        <v>9</v>
      </c>
      <c r="J55" s="159">
        <f t="shared" si="5"/>
        <v>41</v>
      </c>
      <c r="K55" s="16">
        <f t="shared" si="7"/>
        <v>91797.3</v>
      </c>
      <c r="L55" s="94">
        <f t="shared" si="6"/>
        <v>418187.7</v>
      </c>
      <c r="M55" s="11"/>
      <c r="N55" s="180" t="e">
        <f>#REF!-H55</f>
        <v>#REF!</v>
      </c>
    </row>
    <row r="56" spans="1:14" s="114" customFormat="1">
      <c r="A56" s="96">
        <v>51</v>
      </c>
      <c r="B56" s="292" t="s">
        <v>520</v>
      </c>
      <c r="C56" s="11" t="s">
        <v>485</v>
      </c>
      <c r="D56" s="19">
        <v>450000</v>
      </c>
      <c r="E56" s="19">
        <v>59985</v>
      </c>
      <c r="F56" s="19">
        <v>509985</v>
      </c>
      <c r="G56" s="159">
        <v>50</v>
      </c>
      <c r="H56" s="282">
        <v>10199.700000000001</v>
      </c>
      <c r="I56" s="97">
        <v>51</v>
      </c>
      <c r="J56" s="97">
        <f t="shared" si="5"/>
        <v>-1</v>
      </c>
      <c r="K56" s="91">
        <f t="shared" si="7"/>
        <v>520184.7</v>
      </c>
      <c r="L56" s="94">
        <f t="shared" si="6"/>
        <v>-10199.700000000012</v>
      </c>
      <c r="M56" s="11"/>
      <c r="N56" s="180" t="e">
        <f>#REF!-H56</f>
        <v>#REF!</v>
      </c>
    </row>
    <row r="57" spans="1:14" s="114" customFormat="1">
      <c r="A57" s="96">
        <v>52</v>
      </c>
      <c r="B57" s="292" t="s">
        <v>715</v>
      </c>
      <c r="C57" s="11" t="s">
        <v>489</v>
      </c>
      <c r="D57" s="19">
        <v>450000</v>
      </c>
      <c r="E57" s="19">
        <v>59985</v>
      </c>
      <c r="F57" s="19">
        <v>509985</v>
      </c>
      <c r="G57" s="159">
        <v>50</v>
      </c>
      <c r="H57" s="315">
        <v>10199.700000000001</v>
      </c>
      <c r="I57" s="101">
        <v>14</v>
      </c>
      <c r="J57" s="97">
        <f t="shared" si="5"/>
        <v>36</v>
      </c>
      <c r="K57" s="91">
        <f t="shared" si="7"/>
        <v>142795.80000000002</v>
      </c>
      <c r="L57" s="94">
        <f t="shared" si="6"/>
        <v>367189.19999999995</v>
      </c>
      <c r="M57" s="8"/>
    </row>
    <row r="58" spans="1:14" s="114" customFormat="1">
      <c r="A58" s="96">
        <v>53</v>
      </c>
      <c r="B58" s="292" t="s">
        <v>700</v>
      </c>
      <c r="C58" s="11" t="s">
        <v>325</v>
      </c>
      <c r="D58" s="16">
        <v>500000</v>
      </c>
      <c r="E58" s="16">
        <v>66650</v>
      </c>
      <c r="F58" s="41">
        <f>SUM(D58:E58)</f>
        <v>566650</v>
      </c>
      <c r="G58" s="159">
        <v>50</v>
      </c>
      <c r="H58" s="315">
        <v>11333</v>
      </c>
      <c r="I58" s="97">
        <v>61</v>
      </c>
      <c r="J58" s="97">
        <f t="shared" si="5"/>
        <v>-11</v>
      </c>
      <c r="K58" s="91">
        <f t="shared" si="7"/>
        <v>691313</v>
      </c>
      <c r="L58" s="94">
        <f t="shared" si="6"/>
        <v>-124663</v>
      </c>
      <c r="M58" s="11"/>
    </row>
    <row r="59" spans="1:14" s="114" customFormat="1">
      <c r="A59" s="96">
        <v>54</v>
      </c>
      <c r="B59" s="292" t="s">
        <v>724</v>
      </c>
      <c r="C59" s="11" t="s">
        <v>326</v>
      </c>
      <c r="D59" s="19">
        <v>500000</v>
      </c>
      <c r="E59" s="19">
        <v>66650</v>
      </c>
      <c r="F59" s="19">
        <v>566650</v>
      </c>
      <c r="G59" s="159">
        <v>50</v>
      </c>
      <c r="H59" s="315">
        <v>11333</v>
      </c>
      <c r="I59" s="97">
        <v>25</v>
      </c>
      <c r="J59" s="97">
        <f t="shared" si="5"/>
        <v>25</v>
      </c>
      <c r="K59" s="91">
        <f t="shared" si="7"/>
        <v>283325</v>
      </c>
      <c r="L59" s="91">
        <f t="shared" si="6"/>
        <v>283325</v>
      </c>
      <c r="M59" s="11"/>
    </row>
    <row r="60" spans="1:14" s="114" customFormat="1">
      <c r="A60" s="96">
        <v>55</v>
      </c>
      <c r="B60" s="292" t="s">
        <v>624</v>
      </c>
      <c r="C60" s="11" t="s">
        <v>212</v>
      </c>
      <c r="D60" s="16">
        <v>150000</v>
      </c>
      <c r="E60" s="16">
        <v>19995</v>
      </c>
      <c r="F60" s="41">
        <f>SUM(D60:E60)</f>
        <v>169995</v>
      </c>
      <c r="G60" s="159">
        <v>50</v>
      </c>
      <c r="H60" s="315">
        <v>3399.9</v>
      </c>
      <c r="I60" s="97">
        <v>49</v>
      </c>
      <c r="J60" s="97">
        <f t="shared" si="5"/>
        <v>1</v>
      </c>
      <c r="K60" s="91">
        <f t="shared" si="7"/>
        <v>166595.1</v>
      </c>
      <c r="L60" s="94">
        <f t="shared" si="6"/>
        <v>3399.8999999999942</v>
      </c>
      <c r="M60" s="11"/>
      <c r="N60" s="180" t="e">
        <f>#REF!-H60</f>
        <v>#REF!</v>
      </c>
    </row>
    <row r="61" spans="1:14" s="114" customFormat="1">
      <c r="A61" s="96">
        <v>56</v>
      </c>
      <c r="B61" s="293" t="s">
        <v>887</v>
      </c>
      <c r="C61" s="123" t="s">
        <v>863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314">
        <v>11333</v>
      </c>
      <c r="I61" s="159">
        <v>9</v>
      </c>
      <c r="J61" s="159">
        <f t="shared" si="5"/>
        <v>41</v>
      </c>
      <c r="K61" s="16">
        <f t="shared" si="7"/>
        <v>101997</v>
      </c>
      <c r="L61" s="94">
        <f t="shared" si="6"/>
        <v>464653</v>
      </c>
      <c r="M61" s="11"/>
    </row>
    <row r="62" spans="1:14" s="114" customFormat="1">
      <c r="A62" s="96">
        <v>57</v>
      </c>
      <c r="B62" s="293" t="s">
        <v>894</v>
      </c>
      <c r="C62" s="123" t="s">
        <v>1015</v>
      </c>
      <c r="D62" s="19">
        <v>450000</v>
      </c>
      <c r="E62" s="19">
        <v>59985</v>
      </c>
      <c r="F62" s="19">
        <v>509985</v>
      </c>
      <c r="G62" s="159">
        <v>50</v>
      </c>
      <c r="H62" s="314">
        <v>10199.700000000001</v>
      </c>
      <c r="I62" s="159">
        <v>9</v>
      </c>
      <c r="J62" s="159">
        <f t="shared" si="5"/>
        <v>41</v>
      </c>
      <c r="K62" s="16">
        <f t="shared" si="7"/>
        <v>91797.3</v>
      </c>
      <c r="L62" s="94">
        <f t="shared" si="6"/>
        <v>418187.7</v>
      </c>
      <c r="M62" s="11"/>
    </row>
    <row r="63" spans="1:14" s="114" customFormat="1">
      <c r="A63" s="96">
        <v>58</v>
      </c>
      <c r="B63" s="292" t="s">
        <v>619</v>
      </c>
      <c r="C63" s="11" t="s">
        <v>327</v>
      </c>
      <c r="D63" s="16">
        <v>500000</v>
      </c>
      <c r="E63" s="16">
        <v>66650</v>
      </c>
      <c r="F63" s="16">
        <v>566650</v>
      </c>
      <c r="G63" s="159">
        <v>50</v>
      </c>
      <c r="H63" s="315">
        <v>11333</v>
      </c>
      <c r="I63" s="97">
        <v>40</v>
      </c>
      <c r="J63" s="97">
        <f t="shared" si="5"/>
        <v>10</v>
      </c>
      <c r="K63" s="91">
        <f t="shared" si="7"/>
        <v>453320</v>
      </c>
      <c r="L63" s="94">
        <f t="shared" si="6"/>
        <v>113330</v>
      </c>
      <c r="M63" s="11"/>
      <c r="N63" s="180" t="e">
        <f>#REF!-H63</f>
        <v>#REF!</v>
      </c>
    </row>
    <row r="64" spans="1:14" s="114" customFormat="1">
      <c r="A64" s="96">
        <v>59</v>
      </c>
      <c r="B64" s="294" t="s">
        <v>663</v>
      </c>
      <c r="C64" s="11" t="s">
        <v>854</v>
      </c>
      <c r="D64" s="19">
        <v>330000</v>
      </c>
      <c r="E64" s="19">
        <v>43989</v>
      </c>
      <c r="F64" s="19">
        <f>SUM(D64:E64)</f>
        <v>373989</v>
      </c>
      <c r="G64" s="159">
        <v>50</v>
      </c>
      <c r="H64" s="314">
        <v>7479.78</v>
      </c>
      <c r="I64" s="159">
        <v>7</v>
      </c>
      <c r="J64" s="97">
        <f t="shared" si="5"/>
        <v>43</v>
      </c>
      <c r="K64" s="91">
        <f t="shared" si="7"/>
        <v>52358.46</v>
      </c>
      <c r="L64" s="94">
        <f t="shared" si="6"/>
        <v>321630.53999999998</v>
      </c>
      <c r="M64" s="11"/>
      <c r="N64" s="180" t="e">
        <f>#REF!-H64</f>
        <v>#REF!</v>
      </c>
    </row>
    <row r="65" spans="1:14" s="114" customFormat="1">
      <c r="A65" s="96">
        <v>60</v>
      </c>
      <c r="B65" s="292" t="s">
        <v>664</v>
      </c>
      <c r="C65" s="11" t="s">
        <v>294</v>
      </c>
      <c r="D65" s="19">
        <v>330000</v>
      </c>
      <c r="E65" s="19">
        <v>43989</v>
      </c>
      <c r="F65" s="19">
        <f>SUM(D65:E65)</f>
        <v>373989</v>
      </c>
      <c r="G65" s="159">
        <v>50</v>
      </c>
      <c r="H65" s="281">
        <v>7479.78</v>
      </c>
      <c r="I65" s="101">
        <v>14</v>
      </c>
      <c r="J65" s="97">
        <f t="shared" si="5"/>
        <v>36</v>
      </c>
      <c r="K65" s="91">
        <f t="shared" si="7"/>
        <v>104716.92</v>
      </c>
      <c r="L65" s="94">
        <f t="shared" si="6"/>
        <v>269272.08</v>
      </c>
      <c r="M65" s="8"/>
    </row>
    <row r="66" spans="1:14" s="114" customFormat="1">
      <c r="A66" s="96">
        <v>61</v>
      </c>
      <c r="B66" s="293" t="s">
        <v>896</v>
      </c>
      <c r="C66" s="123" t="s">
        <v>873</v>
      </c>
      <c r="D66" s="19">
        <v>450000</v>
      </c>
      <c r="E66" s="19">
        <v>59985</v>
      </c>
      <c r="F66" s="19">
        <v>509985</v>
      </c>
      <c r="G66" s="159">
        <v>50</v>
      </c>
      <c r="H66" s="314">
        <v>10199.700000000001</v>
      </c>
      <c r="I66" s="159">
        <v>9</v>
      </c>
      <c r="J66" s="159">
        <f t="shared" si="5"/>
        <v>41</v>
      </c>
      <c r="K66" s="16">
        <f t="shared" si="7"/>
        <v>91797.3</v>
      </c>
      <c r="L66" s="94">
        <f t="shared" si="6"/>
        <v>418187.7</v>
      </c>
      <c r="M66" s="11"/>
      <c r="N66" s="180" t="e">
        <f>#REF!-H66</f>
        <v>#REF!</v>
      </c>
    </row>
    <row r="67" spans="1:14" s="114" customFormat="1">
      <c r="A67" s="96">
        <v>62</v>
      </c>
      <c r="B67" s="292" t="s">
        <v>516</v>
      </c>
      <c r="C67" s="11" t="s">
        <v>328</v>
      </c>
      <c r="D67" s="16">
        <v>500000</v>
      </c>
      <c r="E67" s="16">
        <v>66650</v>
      </c>
      <c r="F67" s="41">
        <f t="shared" ref="F67:F72" si="9">SUM(D67:E67)</f>
        <v>566650</v>
      </c>
      <c r="G67" s="159">
        <v>50</v>
      </c>
      <c r="H67" s="280">
        <v>11333</v>
      </c>
      <c r="I67" s="97">
        <v>40</v>
      </c>
      <c r="J67" s="97">
        <f t="shared" si="5"/>
        <v>10</v>
      </c>
      <c r="K67" s="91">
        <f t="shared" si="7"/>
        <v>453320</v>
      </c>
      <c r="L67" s="94">
        <f t="shared" si="6"/>
        <v>113330</v>
      </c>
      <c r="M67" s="11"/>
    </row>
    <row r="68" spans="1:14" s="114" customFormat="1">
      <c r="A68" s="96">
        <v>63</v>
      </c>
      <c r="B68" s="293" t="s">
        <v>1198</v>
      </c>
      <c r="C68" s="11" t="s">
        <v>1127</v>
      </c>
      <c r="D68" s="12">
        <v>150000</v>
      </c>
      <c r="E68" s="12">
        <v>19995</v>
      </c>
      <c r="F68" s="15">
        <f t="shared" si="9"/>
        <v>169995</v>
      </c>
      <c r="G68" s="14">
        <v>50</v>
      </c>
      <c r="H68" s="314">
        <v>3399.9</v>
      </c>
      <c r="I68" s="96">
        <v>2</v>
      </c>
      <c r="J68" s="97">
        <f t="shared" si="5"/>
        <v>48</v>
      </c>
      <c r="K68" s="91">
        <f t="shared" si="7"/>
        <v>6799.8</v>
      </c>
      <c r="L68" s="94">
        <f t="shared" si="6"/>
        <v>163195.20000000001</v>
      </c>
      <c r="M68" s="11"/>
      <c r="N68" s="180" t="e">
        <f>#REF!-H68</f>
        <v>#REF!</v>
      </c>
    </row>
    <row r="69" spans="1:14" s="114" customFormat="1">
      <c r="A69" s="96">
        <v>64</v>
      </c>
      <c r="B69" s="292" t="s">
        <v>688</v>
      </c>
      <c r="C69" s="11" t="s">
        <v>329</v>
      </c>
      <c r="D69" s="16">
        <v>500000</v>
      </c>
      <c r="E69" s="16">
        <v>66650</v>
      </c>
      <c r="F69" s="41">
        <f t="shared" si="9"/>
        <v>566650</v>
      </c>
      <c r="G69" s="159">
        <v>50</v>
      </c>
      <c r="H69" s="315">
        <v>11333</v>
      </c>
      <c r="I69" s="97">
        <v>45</v>
      </c>
      <c r="J69" s="97">
        <f t="shared" si="5"/>
        <v>5</v>
      </c>
      <c r="K69" s="91">
        <f t="shared" si="7"/>
        <v>509985</v>
      </c>
      <c r="L69" s="94">
        <f t="shared" si="6"/>
        <v>56665</v>
      </c>
      <c r="M69" s="11"/>
      <c r="N69"/>
    </row>
    <row r="70" spans="1:14" s="114" customFormat="1">
      <c r="A70" s="96">
        <v>65</v>
      </c>
      <c r="B70" s="292" t="s">
        <v>635</v>
      </c>
      <c r="C70" s="11" t="s">
        <v>330</v>
      </c>
      <c r="D70" s="16">
        <v>500000</v>
      </c>
      <c r="E70" s="16">
        <v>66650</v>
      </c>
      <c r="F70" s="41">
        <f t="shared" si="9"/>
        <v>566650</v>
      </c>
      <c r="G70" s="159">
        <v>50</v>
      </c>
      <c r="H70" s="315">
        <v>11333</v>
      </c>
      <c r="I70" s="97">
        <v>61</v>
      </c>
      <c r="J70" s="97">
        <f t="shared" ref="J70:J101" si="10">G70-I70</f>
        <v>-11</v>
      </c>
      <c r="K70" s="91">
        <f t="shared" si="7"/>
        <v>691313</v>
      </c>
      <c r="L70" s="94">
        <f t="shared" ref="L70:L101" si="11">F70-K70</f>
        <v>-124663</v>
      </c>
      <c r="M70" s="11"/>
      <c r="N70" s="180" t="e">
        <f>#REF!-H70</f>
        <v>#REF!</v>
      </c>
    </row>
    <row r="71" spans="1:14" s="114" customFormat="1">
      <c r="A71" s="96">
        <v>66</v>
      </c>
      <c r="B71" s="293" t="s">
        <v>1249</v>
      </c>
      <c r="C71" s="11" t="s">
        <v>1142</v>
      </c>
      <c r="D71" s="19">
        <v>330000</v>
      </c>
      <c r="E71" s="19">
        <v>43989</v>
      </c>
      <c r="F71" s="19">
        <f t="shared" si="9"/>
        <v>373989</v>
      </c>
      <c r="G71" s="159">
        <v>50</v>
      </c>
      <c r="H71" s="314">
        <v>7479.78</v>
      </c>
      <c r="I71" s="96">
        <v>2</v>
      </c>
      <c r="J71" s="97">
        <f t="shared" si="10"/>
        <v>48</v>
      </c>
      <c r="K71" s="91">
        <f t="shared" si="7"/>
        <v>14959.56</v>
      </c>
      <c r="L71" s="94">
        <f t="shared" si="11"/>
        <v>359029.44</v>
      </c>
      <c r="M71" s="11"/>
      <c r="N71" s="180" t="e">
        <f>#REF!-H71</f>
        <v>#REF!</v>
      </c>
    </row>
    <row r="72" spans="1:14" s="114" customFormat="1">
      <c r="A72" s="96">
        <v>67</v>
      </c>
      <c r="B72" s="295" t="s">
        <v>937</v>
      </c>
      <c r="C72" s="8" t="s">
        <v>453</v>
      </c>
      <c r="D72" s="19">
        <v>150000</v>
      </c>
      <c r="E72" s="19">
        <v>19995</v>
      </c>
      <c r="F72" s="19">
        <f t="shared" si="9"/>
        <v>169995</v>
      </c>
      <c r="G72" s="159">
        <v>50</v>
      </c>
      <c r="H72" s="316">
        <v>3399.9</v>
      </c>
      <c r="I72" s="159">
        <v>6</v>
      </c>
      <c r="J72" s="159">
        <f t="shared" si="10"/>
        <v>44</v>
      </c>
      <c r="K72" s="16">
        <f t="shared" si="7"/>
        <v>20399.400000000001</v>
      </c>
      <c r="L72" s="94">
        <f t="shared" si="11"/>
        <v>149595.6</v>
      </c>
      <c r="M72" s="8"/>
    </row>
    <row r="73" spans="1:14" s="114" customFormat="1">
      <c r="A73" s="96">
        <v>68</v>
      </c>
      <c r="B73" s="292" t="s">
        <v>717</v>
      </c>
      <c r="C73" s="11" t="s">
        <v>286</v>
      </c>
      <c r="D73" s="16">
        <v>450000</v>
      </c>
      <c r="E73" s="16">
        <v>59985</v>
      </c>
      <c r="F73" s="16">
        <v>509985</v>
      </c>
      <c r="G73" s="159">
        <v>50</v>
      </c>
      <c r="H73" s="315">
        <v>10199.700000000001</v>
      </c>
      <c r="I73" s="97">
        <v>28</v>
      </c>
      <c r="J73" s="97">
        <f t="shared" si="10"/>
        <v>22</v>
      </c>
      <c r="K73" s="91">
        <f t="shared" ref="K73:K109" si="12">I73*H73</f>
        <v>285591.60000000003</v>
      </c>
      <c r="L73" s="94">
        <f t="shared" si="11"/>
        <v>224393.39999999997</v>
      </c>
      <c r="M73" s="11"/>
      <c r="N73" s="180" t="e">
        <f>#REF!-H73</f>
        <v>#REF!</v>
      </c>
    </row>
    <row r="74" spans="1:14" s="114" customFormat="1">
      <c r="A74" s="96">
        <v>69</v>
      </c>
      <c r="B74" s="292" t="s">
        <v>698</v>
      </c>
      <c r="C74" s="11" t="s">
        <v>332</v>
      </c>
      <c r="D74" s="19">
        <v>500000</v>
      </c>
      <c r="E74" s="19">
        <v>66650</v>
      </c>
      <c r="F74" s="19">
        <v>566650</v>
      </c>
      <c r="G74" s="159">
        <v>50</v>
      </c>
      <c r="H74" s="315">
        <v>11333</v>
      </c>
      <c r="I74" s="97">
        <v>26</v>
      </c>
      <c r="J74" s="97">
        <f t="shared" si="10"/>
        <v>24</v>
      </c>
      <c r="K74" s="91">
        <f t="shared" si="12"/>
        <v>294658</v>
      </c>
      <c r="L74" s="91">
        <f t="shared" si="11"/>
        <v>271992</v>
      </c>
      <c r="M74" s="11"/>
      <c r="N74" s="180" t="e">
        <f>#REF!-H74</f>
        <v>#REF!</v>
      </c>
    </row>
    <row r="75" spans="1:14" s="114" customFormat="1">
      <c r="A75" s="96">
        <v>70</v>
      </c>
      <c r="B75" s="292" t="s">
        <v>702</v>
      </c>
      <c r="C75" s="11" t="s">
        <v>364</v>
      </c>
      <c r="D75" s="16">
        <v>450000</v>
      </c>
      <c r="E75" s="16">
        <v>59985</v>
      </c>
      <c r="F75" s="16">
        <v>509985</v>
      </c>
      <c r="G75" s="159">
        <v>50</v>
      </c>
      <c r="H75" s="315">
        <v>10199.700000000001</v>
      </c>
      <c r="I75" s="97">
        <v>25</v>
      </c>
      <c r="J75" s="97">
        <f t="shared" si="10"/>
        <v>25</v>
      </c>
      <c r="K75" s="91">
        <f t="shared" si="12"/>
        <v>254992.50000000003</v>
      </c>
      <c r="L75" s="91">
        <f t="shared" si="11"/>
        <v>254992.49999999997</v>
      </c>
      <c r="M75" s="11"/>
      <c r="N75" s="180" t="e">
        <f>#REF!-H75</f>
        <v>#REF!</v>
      </c>
    </row>
    <row r="76" spans="1:14" s="114" customFormat="1">
      <c r="A76" s="96">
        <v>71</v>
      </c>
      <c r="B76" s="292" t="s">
        <v>676</v>
      </c>
      <c r="C76" s="11" t="s">
        <v>425</v>
      </c>
      <c r="D76" s="19">
        <v>150000</v>
      </c>
      <c r="E76" s="19">
        <v>19995</v>
      </c>
      <c r="F76" s="19">
        <f>SUM(D76:E76)</f>
        <v>169995</v>
      </c>
      <c r="G76" s="159">
        <v>50</v>
      </c>
      <c r="H76" s="315">
        <v>3399.9</v>
      </c>
      <c r="I76" s="97">
        <v>26</v>
      </c>
      <c r="J76" s="97">
        <f t="shared" si="10"/>
        <v>24</v>
      </c>
      <c r="K76" s="91">
        <f t="shared" si="12"/>
        <v>88397.400000000009</v>
      </c>
      <c r="L76" s="91">
        <f t="shared" si="11"/>
        <v>81597.599999999991</v>
      </c>
      <c r="M76" s="11"/>
    </row>
    <row r="77" spans="1:14" s="114" customFormat="1">
      <c r="A77" s="96">
        <v>72</v>
      </c>
      <c r="B77" s="292" t="s">
        <v>621</v>
      </c>
      <c r="C77" s="11" t="s">
        <v>73</v>
      </c>
      <c r="D77" s="16">
        <v>500000</v>
      </c>
      <c r="E77" s="16">
        <v>66650</v>
      </c>
      <c r="F77" s="41">
        <f>SUM(D77:E77)</f>
        <v>566650</v>
      </c>
      <c r="G77" s="159">
        <v>50</v>
      </c>
      <c r="H77" s="315">
        <v>11333</v>
      </c>
      <c r="I77" s="97">
        <v>49</v>
      </c>
      <c r="J77" s="97">
        <f t="shared" si="10"/>
        <v>1</v>
      </c>
      <c r="K77" s="91">
        <f t="shared" si="12"/>
        <v>555317</v>
      </c>
      <c r="L77" s="94">
        <f t="shared" si="11"/>
        <v>11333</v>
      </c>
      <c r="M77" s="11"/>
      <c r="N77" s="180" t="e">
        <f>#REF!-H77</f>
        <v>#REF!</v>
      </c>
    </row>
    <row r="78" spans="1:14" s="114" customFormat="1">
      <c r="A78" s="96">
        <v>73</v>
      </c>
      <c r="B78" s="292" t="s">
        <v>604</v>
      </c>
      <c r="C78" s="11" t="s">
        <v>333</v>
      </c>
      <c r="D78" s="16">
        <v>500000</v>
      </c>
      <c r="E78" s="16">
        <v>66650</v>
      </c>
      <c r="F78" s="41">
        <f>SUM(D78:E78)</f>
        <v>566650</v>
      </c>
      <c r="G78" s="159">
        <v>50</v>
      </c>
      <c r="H78" s="315">
        <v>11333</v>
      </c>
      <c r="I78" s="97">
        <v>61</v>
      </c>
      <c r="J78" s="97">
        <f t="shared" si="10"/>
        <v>-11</v>
      </c>
      <c r="K78" s="91">
        <f t="shared" si="12"/>
        <v>691313</v>
      </c>
      <c r="L78" s="94">
        <f t="shared" si="11"/>
        <v>-124663</v>
      </c>
      <c r="M78" s="11"/>
      <c r="N78" s="180" t="e">
        <f>#REF!-H78</f>
        <v>#REF!</v>
      </c>
    </row>
    <row r="79" spans="1:14" s="114" customFormat="1">
      <c r="A79" s="96">
        <v>74</v>
      </c>
      <c r="B79" s="292" t="s">
        <v>503</v>
      </c>
      <c r="C79" s="11" t="s">
        <v>426</v>
      </c>
      <c r="D79" s="16">
        <v>150000</v>
      </c>
      <c r="E79" s="16">
        <v>19995</v>
      </c>
      <c r="F79" s="41">
        <f>SUM(D79:E79)</f>
        <v>169995</v>
      </c>
      <c r="G79" s="159">
        <v>50</v>
      </c>
      <c r="H79" s="315">
        <v>3399.9</v>
      </c>
      <c r="I79" s="97">
        <v>49</v>
      </c>
      <c r="J79" s="97">
        <f t="shared" si="10"/>
        <v>1</v>
      </c>
      <c r="K79" s="91">
        <f t="shared" si="12"/>
        <v>166595.1</v>
      </c>
      <c r="L79" s="94">
        <f t="shared" si="11"/>
        <v>3399.8999999999942</v>
      </c>
      <c r="M79" s="11"/>
    </row>
    <row r="80" spans="1:14" s="114" customFormat="1">
      <c r="A80" s="96">
        <v>75</v>
      </c>
      <c r="B80" s="292" t="s">
        <v>522</v>
      </c>
      <c r="C80" s="11" t="s">
        <v>334</v>
      </c>
      <c r="D80" s="19">
        <v>500000</v>
      </c>
      <c r="E80" s="19">
        <v>66650</v>
      </c>
      <c r="F80" s="19">
        <v>566650</v>
      </c>
      <c r="G80" s="159">
        <v>50</v>
      </c>
      <c r="H80" s="315">
        <v>11333</v>
      </c>
      <c r="I80" s="97">
        <v>26</v>
      </c>
      <c r="J80" s="97">
        <f t="shared" si="10"/>
        <v>24</v>
      </c>
      <c r="K80" s="91">
        <f t="shared" si="12"/>
        <v>294658</v>
      </c>
      <c r="L80" s="91">
        <f t="shared" si="11"/>
        <v>271992</v>
      </c>
      <c r="M80" s="11"/>
      <c r="N80" s="180" t="e">
        <f>#REF!-H80</f>
        <v>#REF!</v>
      </c>
    </row>
    <row r="81" spans="1:14" s="114" customFormat="1">
      <c r="A81" s="96">
        <v>76</v>
      </c>
      <c r="B81" s="292" t="s">
        <v>666</v>
      </c>
      <c r="C81" s="11" t="s">
        <v>1060</v>
      </c>
      <c r="D81" s="19">
        <v>150000</v>
      </c>
      <c r="E81" s="19">
        <v>19995</v>
      </c>
      <c r="F81" s="19">
        <f>SUM(D81:E81)</f>
        <v>169995</v>
      </c>
      <c r="G81" s="159">
        <v>50</v>
      </c>
      <c r="H81" s="315">
        <v>3339.9</v>
      </c>
      <c r="I81" s="159">
        <v>12</v>
      </c>
      <c r="J81" s="97">
        <f t="shared" si="10"/>
        <v>38</v>
      </c>
      <c r="K81" s="91">
        <f t="shared" si="12"/>
        <v>40078.800000000003</v>
      </c>
      <c r="L81" s="94">
        <f t="shared" si="11"/>
        <v>129916.2</v>
      </c>
      <c r="M81" s="11"/>
    </row>
    <row r="82" spans="1:14" s="114" customFormat="1">
      <c r="A82" s="96">
        <v>77</v>
      </c>
      <c r="B82" s="293" t="s">
        <v>902</v>
      </c>
      <c r="C82" s="123" t="s">
        <v>994</v>
      </c>
      <c r="D82" s="19">
        <v>150000</v>
      </c>
      <c r="E82" s="19">
        <v>19995</v>
      </c>
      <c r="F82" s="19">
        <f>SUM(D82:E82)</f>
        <v>169995</v>
      </c>
      <c r="G82" s="159">
        <v>50</v>
      </c>
      <c r="H82" s="314">
        <v>3399.9</v>
      </c>
      <c r="I82" s="159">
        <v>9</v>
      </c>
      <c r="J82" s="159">
        <f t="shared" si="10"/>
        <v>41</v>
      </c>
      <c r="K82" s="16">
        <f t="shared" si="12"/>
        <v>30599.100000000002</v>
      </c>
      <c r="L82" s="94">
        <f t="shared" si="11"/>
        <v>139395.9</v>
      </c>
      <c r="M82" s="11"/>
      <c r="N82" s="180" t="e">
        <f>#REF!-H82</f>
        <v>#REF!</v>
      </c>
    </row>
    <row r="83" spans="1:14" s="114" customFormat="1">
      <c r="A83" s="96">
        <v>78</v>
      </c>
      <c r="B83" s="292" t="s">
        <v>686</v>
      </c>
      <c r="C83" s="11" t="s">
        <v>335</v>
      </c>
      <c r="D83" s="16">
        <v>500000</v>
      </c>
      <c r="E83" s="16">
        <v>66650</v>
      </c>
      <c r="F83" s="41">
        <f>SUM(D83:E83)</f>
        <v>566650</v>
      </c>
      <c r="G83" s="159">
        <v>50</v>
      </c>
      <c r="H83" s="315">
        <v>11333</v>
      </c>
      <c r="I83" s="97">
        <v>39</v>
      </c>
      <c r="J83" s="97">
        <f t="shared" si="10"/>
        <v>11</v>
      </c>
      <c r="K83" s="91">
        <f t="shared" si="12"/>
        <v>441987</v>
      </c>
      <c r="L83" s="94">
        <f t="shared" si="11"/>
        <v>124663</v>
      </c>
      <c r="M83" s="11"/>
    </row>
    <row r="84" spans="1:14" s="114" customFormat="1">
      <c r="A84" s="96">
        <v>79</v>
      </c>
      <c r="B84" s="293" t="s">
        <v>890</v>
      </c>
      <c r="C84" s="123" t="s">
        <v>295</v>
      </c>
      <c r="D84" s="16">
        <v>500000</v>
      </c>
      <c r="E84" s="16">
        <v>66650</v>
      </c>
      <c r="F84" s="41">
        <f>SUM(D84:E84)</f>
        <v>566650</v>
      </c>
      <c r="G84" s="159">
        <v>50</v>
      </c>
      <c r="H84" s="314">
        <v>11333</v>
      </c>
      <c r="I84" s="159">
        <v>9</v>
      </c>
      <c r="J84" s="159">
        <f t="shared" si="10"/>
        <v>41</v>
      </c>
      <c r="K84" s="16">
        <f t="shared" si="12"/>
        <v>101997</v>
      </c>
      <c r="L84" s="94">
        <f t="shared" si="11"/>
        <v>464653</v>
      </c>
      <c r="M84" s="11"/>
    </row>
    <row r="85" spans="1:14" s="114" customFormat="1">
      <c r="A85" s="96">
        <v>80</v>
      </c>
      <c r="B85" s="292" t="s">
        <v>530</v>
      </c>
      <c r="C85" s="11" t="s">
        <v>336</v>
      </c>
      <c r="D85" s="16">
        <v>500000</v>
      </c>
      <c r="E85" s="16">
        <v>66650</v>
      </c>
      <c r="F85" s="16">
        <v>566650</v>
      </c>
      <c r="G85" s="159">
        <v>50</v>
      </c>
      <c r="H85" s="315">
        <v>11333</v>
      </c>
      <c r="I85" s="97">
        <v>39</v>
      </c>
      <c r="J85" s="97">
        <f t="shared" si="10"/>
        <v>11</v>
      </c>
      <c r="K85" s="91">
        <f t="shared" si="12"/>
        <v>441987</v>
      </c>
      <c r="L85" s="94">
        <f t="shared" si="11"/>
        <v>124663</v>
      </c>
      <c r="M85" s="11"/>
      <c r="N85" s="180" t="e">
        <f>#REF!-H85</f>
        <v>#REF!</v>
      </c>
    </row>
    <row r="86" spans="1:14" s="114" customFormat="1">
      <c r="A86" s="96">
        <v>81</v>
      </c>
      <c r="B86" s="292" t="s">
        <v>544</v>
      </c>
      <c r="C86" s="11" t="s">
        <v>287</v>
      </c>
      <c r="D86" s="16">
        <v>450000</v>
      </c>
      <c r="E86" s="16">
        <v>59985</v>
      </c>
      <c r="F86" s="16">
        <v>509985</v>
      </c>
      <c r="G86" s="159">
        <v>50</v>
      </c>
      <c r="H86" s="315">
        <v>10199.700000000001</v>
      </c>
      <c r="I86" s="97">
        <v>33</v>
      </c>
      <c r="J86" s="97">
        <f t="shared" si="10"/>
        <v>17</v>
      </c>
      <c r="K86" s="91">
        <f t="shared" si="12"/>
        <v>336590.10000000003</v>
      </c>
      <c r="L86" s="94">
        <f t="shared" si="11"/>
        <v>173394.89999999997</v>
      </c>
      <c r="M86" s="11"/>
      <c r="N86" s="180" t="e">
        <f>#REF!-H86</f>
        <v>#REF!</v>
      </c>
    </row>
    <row r="87" spans="1:14" s="114" customFormat="1">
      <c r="A87" s="96">
        <v>82</v>
      </c>
      <c r="B87" s="292" t="s">
        <v>886</v>
      </c>
      <c r="C87" s="11" t="s">
        <v>865</v>
      </c>
      <c r="D87" s="16">
        <v>500000</v>
      </c>
      <c r="E87" s="16">
        <v>66650</v>
      </c>
      <c r="F87" s="41">
        <f>SUM(D87:E87)</f>
        <v>566650</v>
      </c>
      <c r="G87" s="159">
        <v>50</v>
      </c>
      <c r="H87" s="315">
        <v>11333</v>
      </c>
      <c r="I87" s="97">
        <v>40</v>
      </c>
      <c r="J87" s="97">
        <f t="shared" si="10"/>
        <v>10</v>
      </c>
      <c r="K87" s="91">
        <f t="shared" si="12"/>
        <v>453320</v>
      </c>
      <c r="L87" s="94">
        <f t="shared" si="11"/>
        <v>113330</v>
      </c>
      <c r="M87" s="11"/>
      <c r="N87" s="180" t="e">
        <f>#REF!-H87</f>
        <v>#REF!</v>
      </c>
    </row>
    <row r="88" spans="1:14" s="114" customFormat="1">
      <c r="A88" s="96">
        <v>83</v>
      </c>
      <c r="B88" s="292" t="s">
        <v>598</v>
      </c>
      <c r="C88" s="11" t="s">
        <v>338</v>
      </c>
      <c r="D88" s="16">
        <v>500000</v>
      </c>
      <c r="E88" s="16">
        <v>66650</v>
      </c>
      <c r="F88" s="41">
        <f>SUM(D88:E88)</f>
        <v>566650</v>
      </c>
      <c r="G88" s="159">
        <v>50</v>
      </c>
      <c r="H88" s="315">
        <v>11333</v>
      </c>
      <c r="I88" s="97">
        <v>61</v>
      </c>
      <c r="J88" s="97">
        <f t="shared" si="10"/>
        <v>-11</v>
      </c>
      <c r="K88" s="91">
        <f t="shared" si="12"/>
        <v>691313</v>
      </c>
      <c r="L88" s="94">
        <f t="shared" si="11"/>
        <v>-124663</v>
      </c>
      <c r="M88" s="11"/>
    </row>
    <row r="89" spans="1:14" s="114" customFormat="1">
      <c r="A89" s="96">
        <v>84</v>
      </c>
      <c r="B89" s="292" t="s">
        <v>551</v>
      </c>
      <c r="C89" s="11" t="s">
        <v>339</v>
      </c>
      <c r="D89" s="19">
        <v>500000</v>
      </c>
      <c r="E89" s="19">
        <v>66650</v>
      </c>
      <c r="F89" s="19">
        <v>566650</v>
      </c>
      <c r="G89" s="159">
        <v>50</v>
      </c>
      <c r="H89" s="315">
        <v>11333</v>
      </c>
      <c r="I89" s="97">
        <v>26</v>
      </c>
      <c r="J89" s="97">
        <f t="shared" si="10"/>
        <v>24</v>
      </c>
      <c r="K89" s="91">
        <f t="shared" si="12"/>
        <v>294658</v>
      </c>
      <c r="L89" s="91">
        <f t="shared" si="11"/>
        <v>271992</v>
      </c>
      <c r="M89" s="11"/>
      <c r="N89" s="180" t="e">
        <f>#REF!-H89</f>
        <v>#REF!</v>
      </c>
    </row>
    <row r="90" spans="1:14" s="114" customFormat="1">
      <c r="A90" s="96">
        <v>85</v>
      </c>
      <c r="B90" s="292" t="s">
        <v>518</v>
      </c>
      <c r="C90" s="11" t="s">
        <v>341</v>
      </c>
      <c r="D90" s="19">
        <v>500000</v>
      </c>
      <c r="E90" s="19">
        <v>66650</v>
      </c>
      <c r="F90" s="19">
        <v>566650</v>
      </c>
      <c r="G90" s="159">
        <v>50</v>
      </c>
      <c r="H90" s="315">
        <v>11333</v>
      </c>
      <c r="I90" s="97">
        <v>26</v>
      </c>
      <c r="J90" s="97">
        <f t="shared" si="10"/>
        <v>24</v>
      </c>
      <c r="K90" s="91">
        <f t="shared" si="12"/>
        <v>294658</v>
      </c>
      <c r="L90" s="91">
        <f t="shared" si="11"/>
        <v>271992</v>
      </c>
      <c r="M90" s="11"/>
      <c r="N90" s="180" t="e">
        <f>#REF!-H90</f>
        <v>#REF!</v>
      </c>
    </row>
    <row r="91" spans="1:14" s="114" customFormat="1">
      <c r="A91" s="96">
        <v>86</v>
      </c>
      <c r="B91" s="295" t="s">
        <v>943</v>
      </c>
      <c r="C91" s="8" t="s">
        <v>986</v>
      </c>
      <c r="D91" s="16">
        <v>450000</v>
      </c>
      <c r="E91" s="16">
        <v>59985</v>
      </c>
      <c r="F91" s="41">
        <f>SUM(D91:E91)</f>
        <v>509985</v>
      </c>
      <c r="G91" s="159">
        <v>50</v>
      </c>
      <c r="H91" s="316">
        <v>10199.700000000001</v>
      </c>
      <c r="I91" s="159">
        <v>39</v>
      </c>
      <c r="J91" s="159">
        <f t="shared" si="10"/>
        <v>11</v>
      </c>
      <c r="K91" s="16">
        <f t="shared" si="12"/>
        <v>397788.30000000005</v>
      </c>
      <c r="L91" s="94">
        <f t="shared" si="11"/>
        <v>112196.69999999995</v>
      </c>
      <c r="M91" s="8"/>
      <c r="N91" s="180" t="e">
        <f>#REF!-H91</f>
        <v>#REF!</v>
      </c>
    </row>
    <row r="92" spans="1:14" s="114" customFormat="1">
      <c r="A92" s="96">
        <v>87</v>
      </c>
      <c r="B92" s="292" t="s">
        <v>655</v>
      </c>
      <c r="C92" s="11" t="s">
        <v>367</v>
      </c>
      <c r="D92" s="16">
        <v>450000</v>
      </c>
      <c r="E92" s="16">
        <v>59985</v>
      </c>
      <c r="F92" s="41">
        <f>SUM(D92:E92)</f>
        <v>509985</v>
      </c>
      <c r="G92" s="159">
        <v>50</v>
      </c>
      <c r="H92" s="315">
        <v>10199.700000000001</v>
      </c>
      <c r="I92" s="97">
        <v>40</v>
      </c>
      <c r="J92" s="97">
        <f t="shared" si="10"/>
        <v>10</v>
      </c>
      <c r="K92" s="91">
        <f t="shared" si="12"/>
        <v>407988</v>
      </c>
      <c r="L92" s="94">
        <f t="shared" si="11"/>
        <v>101997</v>
      </c>
      <c r="M92" s="11"/>
    </row>
    <row r="93" spans="1:14" s="114" customFormat="1">
      <c r="A93" s="96">
        <v>88</v>
      </c>
      <c r="B93" s="292" t="s">
        <v>553</v>
      </c>
      <c r="C93" s="11" t="s">
        <v>342</v>
      </c>
      <c r="D93" s="16">
        <v>500000</v>
      </c>
      <c r="E93" s="16">
        <v>66650</v>
      </c>
      <c r="F93" s="41">
        <f>SUM(D93:E93)</f>
        <v>566650</v>
      </c>
      <c r="G93" s="159">
        <v>50</v>
      </c>
      <c r="H93" s="315">
        <v>11333</v>
      </c>
      <c r="I93" s="97">
        <v>61</v>
      </c>
      <c r="J93" s="97">
        <f t="shared" si="10"/>
        <v>-11</v>
      </c>
      <c r="K93" s="91">
        <f t="shared" si="12"/>
        <v>691313</v>
      </c>
      <c r="L93" s="94">
        <f t="shared" si="11"/>
        <v>-124663</v>
      </c>
      <c r="M93" s="11"/>
      <c r="N93" s="180" t="e">
        <f>#REF!-H93</f>
        <v>#REF!</v>
      </c>
    </row>
    <row r="94" spans="1:14" s="114" customFormat="1">
      <c r="A94" s="96">
        <v>89</v>
      </c>
      <c r="B94" s="292" t="s">
        <v>536</v>
      </c>
      <c r="C94" s="11" t="s">
        <v>343</v>
      </c>
      <c r="D94" s="12">
        <v>500000</v>
      </c>
      <c r="E94" s="12">
        <v>66650</v>
      </c>
      <c r="F94" s="15">
        <f>SUM(D94:E94)</f>
        <v>566650</v>
      </c>
      <c r="G94" s="14">
        <v>50</v>
      </c>
      <c r="H94" s="285">
        <v>11333</v>
      </c>
      <c r="I94" s="14">
        <v>45</v>
      </c>
      <c r="J94" s="97">
        <f t="shared" si="10"/>
        <v>5</v>
      </c>
      <c r="K94" s="91">
        <f t="shared" si="12"/>
        <v>509985</v>
      </c>
      <c r="L94" s="15">
        <f t="shared" si="11"/>
        <v>56665</v>
      </c>
      <c r="M94" s="8"/>
      <c r="N94" s="180" t="e">
        <f>#REF!-H94</f>
        <v>#REF!</v>
      </c>
    </row>
    <row r="95" spans="1:14" s="114" customFormat="1">
      <c r="A95" s="96">
        <v>90</v>
      </c>
      <c r="B95" s="292" t="s">
        <v>883</v>
      </c>
      <c r="C95" s="11" t="s">
        <v>867</v>
      </c>
      <c r="D95" s="16">
        <v>500000</v>
      </c>
      <c r="E95" s="16">
        <v>66650</v>
      </c>
      <c r="F95" s="41">
        <f>SUM(D95:E95)</f>
        <v>566650</v>
      </c>
      <c r="G95" s="159">
        <v>50</v>
      </c>
      <c r="H95" s="315">
        <v>11333</v>
      </c>
      <c r="I95" s="97">
        <v>48</v>
      </c>
      <c r="J95" s="97">
        <f t="shared" si="10"/>
        <v>2</v>
      </c>
      <c r="K95" s="91">
        <f t="shared" si="12"/>
        <v>543984</v>
      </c>
      <c r="L95" s="94">
        <f t="shared" si="11"/>
        <v>22666</v>
      </c>
      <c r="M95" s="11"/>
    </row>
    <row r="96" spans="1:14" s="114" customFormat="1">
      <c r="A96" s="96">
        <v>91</v>
      </c>
      <c r="B96" s="292" t="s">
        <v>596</v>
      </c>
      <c r="C96" s="11" t="s">
        <v>345</v>
      </c>
      <c r="D96" s="19">
        <v>500000</v>
      </c>
      <c r="E96" s="19">
        <v>66650</v>
      </c>
      <c r="F96" s="19">
        <v>566650</v>
      </c>
      <c r="G96" s="159">
        <v>50</v>
      </c>
      <c r="H96" s="315">
        <v>11333</v>
      </c>
      <c r="I96" s="97">
        <v>26</v>
      </c>
      <c r="J96" s="97">
        <f t="shared" si="10"/>
        <v>24</v>
      </c>
      <c r="K96" s="91">
        <f t="shared" si="12"/>
        <v>294658</v>
      </c>
      <c r="L96" s="91">
        <f t="shared" si="11"/>
        <v>271992</v>
      </c>
      <c r="M96" s="11"/>
    </row>
    <row r="97" spans="1:14" s="114" customFormat="1">
      <c r="A97" s="96">
        <v>92</v>
      </c>
      <c r="B97" s="293" t="s">
        <v>885</v>
      </c>
      <c r="C97" s="123" t="s">
        <v>864</v>
      </c>
      <c r="D97" s="16">
        <v>500000</v>
      </c>
      <c r="E97" s="16">
        <v>66650</v>
      </c>
      <c r="F97" s="41">
        <f>SUM(D97:E97)</f>
        <v>566650</v>
      </c>
      <c r="G97" s="159">
        <v>50</v>
      </c>
      <c r="H97" s="314">
        <v>11333</v>
      </c>
      <c r="I97" s="159">
        <v>9</v>
      </c>
      <c r="J97" s="159">
        <f t="shared" si="10"/>
        <v>41</v>
      </c>
      <c r="K97" s="16">
        <f t="shared" si="12"/>
        <v>101997</v>
      </c>
      <c r="L97" s="94">
        <f t="shared" si="11"/>
        <v>464653</v>
      </c>
      <c r="M97" s="11"/>
      <c r="N97" s="180" t="e">
        <f>#REF!-H97</f>
        <v>#REF!</v>
      </c>
    </row>
    <row r="98" spans="1:14" s="114" customFormat="1">
      <c r="A98" s="96">
        <v>93</v>
      </c>
      <c r="B98" s="292" t="s">
        <v>607</v>
      </c>
      <c r="C98" s="11" t="s">
        <v>99</v>
      </c>
      <c r="D98" s="16">
        <v>450000</v>
      </c>
      <c r="E98" s="16">
        <v>59985</v>
      </c>
      <c r="F98" s="41">
        <f>SUM(D98:E98)</f>
        <v>509985</v>
      </c>
      <c r="G98" s="159">
        <v>50</v>
      </c>
      <c r="H98" s="315">
        <v>10199.700000000001</v>
      </c>
      <c r="I98" s="159">
        <v>49</v>
      </c>
      <c r="J98" s="97">
        <f t="shared" si="10"/>
        <v>1</v>
      </c>
      <c r="K98" s="91">
        <f t="shared" si="12"/>
        <v>499785.30000000005</v>
      </c>
      <c r="L98" s="94">
        <f t="shared" si="11"/>
        <v>10199.699999999953</v>
      </c>
      <c r="M98" s="11"/>
      <c r="N98" s="180" t="e">
        <f>#REF!-H98</f>
        <v>#REF!</v>
      </c>
    </row>
    <row r="99" spans="1:14" s="114" customFormat="1">
      <c r="A99" s="96">
        <v>94</v>
      </c>
      <c r="B99" s="294" t="s">
        <v>868</v>
      </c>
      <c r="C99" s="11" t="s">
        <v>851</v>
      </c>
      <c r="D99" s="19">
        <v>150000</v>
      </c>
      <c r="E99" s="19">
        <v>19995</v>
      </c>
      <c r="F99" s="19">
        <f>SUM(D99:E99)</f>
        <v>169995</v>
      </c>
      <c r="G99" s="159">
        <v>50</v>
      </c>
      <c r="H99" s="314">
        <v>3399.9</v>
      </c>
      <c r="I99" s="159">
        <v>10</v>
      </c>
      <c r="J99" s="97">
        <f t="shared" si="10"/>
        <v>40</v>
      </c>
      <c r="K99" s="91">
        <f t="shared" si="12"/>
        <v>33999</v>
      </c>
      <c r="L99" s="94">
        <f t="shared" si="11"/>
        <v>135996</v>
      </c>
      <c r="M99" s="11"/>
    </row>
    <row r="100" spans="1:14" s="114" customFormat="1">
      <c r="A100" s="96">
        <v>95</v>
      </c>
      <c r="B100" s="292" t="s">
        <v>642</v>
      </c>
      <c r="C100" s="11" t="s">
        <v>444</v>
      </c>
      <c r="D100" s="16">
        <v>500000</v>
      </c>
      <c r="E100" s="16">
        <v>66650</v>
      </c>
      <c r="F100" s="16">
        <v>566650</v>
      </c>
      <c r="G100" s="159">
        <v>50</v>
      </c>
      <c r="H100" s="281">
        <v>11333</v>
      </c>
      <c r="I100" s="101">
        <v>14</v>
      </c>
      <c r="J100" s="97">
        <f t="shared" si="10"/>
        <v>36</v>
      </c>
      <c r="K100" s="91">
        <f t="shared" si="12"/>
        <v>158662</v>
      </c>
      <c r="L100" s="94">
        <f t="shared" si="11"/>
        <v>407988</v>
      </c>
      <c r="M100" s="8"/>
    </row>
    <row r="101" spans="1:14" s="114" customFormat="1">
      <c r="A101" s="96">
        <v>96</v>
      </c>
      <c r="B101" s="292" t="s">
        <v>661</v>
      </c>
      <c r="C101" s="11" t="s">
        <v>346</v>
      </c>
      <c r="D101" s="19">
        <v>500000</v>
      </c>
      <c r="E101" s="19">
        <v>66650</v>
      </c>
      <c r="F101" s="19">
        <v>566650</v>
      </c>
      <c r="G101" s="159">
        <v>50</v>
      </c>
      <c r="H101" s="315">
        <v>11333</v>
      </c>
      <c r="I101" s="97">
        <v>25</v>
      </c>
      <c r="J101" s="97">
        <f t="shared" si="10"/>
        <v>25</v>
      </c>
      <c r="K101" s="91">
        <f t="shared" si="12"/>
        <v>283325</v>
      </c>
      <c r="L101" s="91">
        <f t="shared" si="11"/>
        <v>283325</v>
      </c>
      <c r="M101" s="11"/>
      <c r="N101" s="180" t="e">
        <f>#REF!-H101</f>
        <v>#REF!</v>
      </c>
    </row>
    <row r="102" spans="1:14" s="114" customFormat="1">
      <c r="A102" s="96">
        <v>97</v>
      </c>
      <c r="B102" s="294" t="s">
        <v>723</v>
      </c>
      <c r="C102" s="11" t="s">
        <v>861</v>
      </c>
      <c r="D102" s="16">
        <v>500000</v>
      </c>
      <c r="E102" s="16">
        <v>66650</v>
      </c>
      <c r="F102" s="41">
        <f>SUM(D102:E102)</f>
        <v>566650</v>
      </c>
      <c r="G102" s="159">
        <v>50</v>
      </c>
      <c r="H102" s="314">
        <v>11333</v>
      </c>
      <c r="I102" s="159">
        <v>7</v>
      </c>
      <c r="J102" s="97">
        <f t="shared" ref="J102:J114" si="13">G102-I102</f>
        <v>43</v>
      </c>
      <c r="K102" s="91">
        <f t="shared" si="12"/>
        <v>79331</v>
      </c>
      <c r="L102" s="94">
        <f t="shared" ref="L102:L133" si="14">F102-K102</f>
        <v>487319</v>
      </c>
      <c r="M102" s="11"/>
      <c r="N102" s="180" t="e">
        <f>#REF!-H102</f>
        <v>#REF!</v>
      </c>
    </row>
    <row r="103" spans="1:14" s="114" customFormat="1">
      <c r="A103" s="96">
        <v>98</v>
      </c>
      <c r="B103" s="293" t="s">
        <v>1225</v>
      </c>
      <c r="C103" s="11" t="s">
        <v>1135</v>
      </c>
      <c r="D103" s="16">
        <v>500000</v>
      </c>
      <c r="E103" s="16">
        <v>66650</v>
      </c>
      <c r="F103" s="41">
        <f>SUM(D103:E103)</f>
        <v>566650</v>
      </c>
      <c r="G103" s="159">
        <v>50</v>
      </c>
      <c r="H103" s="314">
        <v>11333</v>
      </c>
      <c r="I103" s="96">
        <v>2</v>
      </c>
      <c r="J103" s="97">
        <f t="shared" si="13"/>
        <v>48</v>
      </c>
      <c r="K103" s="91">
        <f t="shared" si="12"/>
        <v>22666</v>
      </c>
      <c r="L103" s="94">
        <f t="shared" si="14"/>
        <v>543984</v>
      </c>
      <c r="M103" s="11"/>
      <c r="N103" s="180" t="e">
        <f>#REF!-H103</f>
        <v>#REF!</v>
      </c>
    </row>
    <row r="104" spans="1:14" s="114" customFormat="1">
      <c r="A104" s="96">
        <v>99</v>
      </c>
      <c r="B104" s="293" t="s">
        <v>1178</v>
      </c>
      <c r="C104" s="11" t="s">
        <v>1121</v>
      </c>
      <c r="D104" s="12">
        <v>150000</v>
      </c>
      <c r="E104" s="12">
        <v>19995</v>
      </c>
      <c r="F104" s="15">
        <f>SUM(D104:E104)</f>
        <v>169995</v>
      </c>
      <c r="G104" s="14">
        <v>50</v>
      </c>
      <c r="H104" s="314">
        <v>3399.9</v>
      </c>
      <c r="I104" s="96">
        <v>2</v>
      </c>
      <c r="J104" s="97">
        <f t="shared" si="13"/>
        <v>48</v>
      </c>
      <c r="K104" s="91">
        <f t="shared" si="12"/>
        <v>6799.8</v>
      </c>
      <c r="L104" s="94">
        <f t="shared" si="14"/>
        <v>163195.20000000001</v>
      </c>
      <c r="M104" s="11"/>
      <c r="N104" s="180" t="e">
        <f>#REF!-H104</f>
        <v>#REF!</v>
      </c>
    </row>
    <row r="105" spans="1:14" s="114" customFormat="1" ht="13.5" customHeight="1">
      <c r="A105" s="96">
        <v>100</v>
      </c>
      <c r="B105" s="292" t="s">
        <v>719</v>
      </c>
      <c r="C105" s="11" t="s">
        <v>487</v>
      </c>
      <c r="D105" s="16">
        <v>500000</v>
      </c>
      <c r="E105" s="16">
        <v>66650</v>
      </c>
      <c r="F105" s="16">
        <v>566650</v>
      </c>
      <c r="G105" s="159">
        <v>50</v>
      </c>
      <c r="H105" s="315">
        <v>11333</v>
      </c>
      <c r="I105" s="101">
        <v>14</v>
      </c>
      <c r="J105" s="97">
        <f t="shared" si="13"/>
        <v>36</v>
      </c>
      <c r="K105" s="91">
        <f t="shared" si="12"/>
        <v>158662</v>
      </c>
      <c r="L105" s="94">
        <f t="shared" si="14"/>
        <v>407988</v>
      </c>
      <c r="M105" s="8"/>
      <c r="N105" s="180" t="e">
        <f>#REF!-H105</f>
        <v>#REF!</v>
      </c>
    </row>
    <row r="106" spans="1:14" s="114" customFormat="1" ht="13.5" customHeight="1">
      <c r="A106" s="96">
        <v>101</v>
      </c>
      <c r="B106" s="292" t="s">
        <v>668</v>
      </c>
      <c r="C106" s="11" t="s">
        <v>368</v>
      </c>
      <c r="D106" s="16">
        <v>450000</v>
      </c>
      <c r="E106" s="16">
        <v>59985</v>
      </c>
      <c r="F106" s="16">
        <v>509985</v>
      </c>
      <c r="G106" s="159">
        <v>50</v>
      </c>
      <c r="H106" s="315">
        <v>10199.700000000001</v>
      </c>
      <c r="I106" s="97">
        <v>25</v>
      </c>
      <c r="J106" s="97">
        <f t="shared" si="13"/>
        <v>25</v>
      </c>
      <c r="K106" s="91">
        <f t="shared" si="12"/>
        <v>254992.50000000003</v>
      </c>
      <c r="L106" s="91">
        <f t="shared" si="14"/>
        <v>254992.49999999997</v>
      </c>
      <c r="M106" s="11"/>
      <c r="N106" s="180" t="e">
        <f>#REF!-H106</f>
        <v>#REF!</v>
      </c>
    </row>
    <row r="107" spans="1:14" s="114" customFormat="1" ht="13.5" customHeight="1">
      <c r="A107" s="96">
        <v>102</v>
      </c>
      <c r="B107" s="292" t="s">
        <v>594</v>
      </c>
      <c r="C107" s="11" t="s">
        <v>347</v>
      </c>
      <c r="D107" s="16">
        <v>500000</v>
      </c>
      <c r="E107" s="16">
        <v>66650</v>
      </c>
      <c r="F107" s="41">
        <f t="shared" ref="F107:F121" si="15">SUM(D107:E107)</f>
        <v>566650</v>
      </c>
      <c r="G107" s="159">
        <v>50</v>
      </c>
      <c r="H107" s="315">
        <v>11333</v>
      </c>
      <c r="I107" s="97">
        <v>40</v>
      </c>
      <c r="J107" s="97">
        <f t="shared" si="13"/>
        <v>10</v>
      </c>
      <c r="K107" s="91">
        <f t="shared" si="12"/>
        <v>453320</v>
      </c>
      <c r="L107" s="94">
        <f t="shared" si="14"/>
        <v>113330</v>
      </c>
      <c r="M107" s="11"/>
      <c r="N107" s="180" t="e">
        <f>#REF!-H107</f>
        <v>#REF!</v>
      </c>
    </row>
    <row r="108" spans="1:14" s="114" customFormat="1" ht="12.75" customHeight="1">
      <c r="A108" s="96">
        <v>103</v>
      </c>
      <c r="B108" s="292" t="s">
        <v>585</v>
      </c>
      <c r="C108" s="11" t="s">
        <v>1086</v>
      </c>
      <c r="D108" s="161">
        <v>500000</v>
      </c>
      <c r="E108" s="161">
        <v>66650</v>
      </c>
      <c r="F108" s="162">
        <f t="shared" si="15"/>
        <v>566650</v>
      </c>
      <c r="G108" s="96">
        <v>50</v>
      </c>
      <c r="H108" s="315">
        <v>11333</v>
      </c>
      <c r="I108" s="97">
        <v>40</v>
      </c>
      <c r="J108" s="97">
        <f t="shared" si="13"/>
        <v>10</v>
      </c>
      <c r="K108" s="146">
        <f t="shared" si="12"/>
        <v>453320</v>
      </c>
      <c r="L108" s="164">
        <f t="shared" si="14"/>
        <v>113330</v>
      </c>
      <c r="M108" s="123"/>
      <c r="N108" s="180" t="e">
        <f>#REF!-H108</f>
        <v>#REF!</v>
      </c>
    </row>
    <row r="109" spans="1:14" s="114" customFormat="1" ht="12.75" customHeight="1">
      <c r="A109" s="96">
        <v>104</v>
      </c>
      <c r="B109" s="293" t="s">
        <v>899</v>
      </c>
      <c r="C109" s="123" t="s">
        <v>852</v>
      </c>
      <c r="D109" s="19">
        <v>330000</v>
      </c>
      <c r="E109" s="19">
        <v>43989</v>
      </c>
      <c r="F109" s="19">
        <f t="shared" si="15"/>
        <v>373989</v>
      </c>
      <c r="G109" s="159">
        <v>50</v>
      </c>
      <c r="H109" s="314">
        <v>7479.78</v>
      </c>
      <c r="I109" s="159">
        <v>9</v>
      </c>
      <c r="J109" s="159">
        <f t="shared" si="13"/>
        <v>41</v>
      </c>
      <c r="K109" s="16">
        <f t="shared" si="12"/>
        <v>67318.02</v>
      </c>
      <c r="L109" s="94">
        <f t="shared" si="14"/>
        <v>306670.98</v>
      </c>
      <c r="M109" s="11"/>
    </row>
    <row r="110" spans="1:14" s="114" customFormat="1" ht="12" customHeight="1">
      <c r="A110" s="96">
        <v>105</v>
      </c>
      <c r="B110" s="292" t="s">
        <v>647</v>
      </c>
      <c r="C110" s="11" t="s">
        <v>349</v>
      </c>
      <c r="D110" s="16">
        <v>500000</v>
      </c>
      <c r="E110" s="16">
        <v>66650</v>
      </c>
      <c r="F110" s="41">
        <f t="shared" si="15"/>
        <v>566650</v>
      </c>
      <c r="G110" s="159">
        <v>50</v>
      </c>
      <c r="H110" s="315">
        <v>11333</v>
      </c>
      <c r="I110" s="97">
        <v>18</v>
      </c>
      <c r="J110" s="97">
        <f t="shared" si="13"/>
        <v>32</v>
      </c>
      <c r="K110" s="91">
        <f>(1*11333)</f>
        <v>11333</v>
      </c>
      <c r="L110" s="91">
        <f t="shared" si="14"/>
        <v>555317</v>
      </c>
      <c r="M110" s="11"/>
    </row>
    <row r="111" spans="1:14" s="114" customFormat="1" ht="12" customHeight="1">
      <c r="A111" s="96">
        <v>106</v>
      </c>
      <c r="B111" s="293" t="s">
        <v>929</v>
      </c>
      <c r="C111" s="11" t="s">
        <v>979</v>
      </c>
      <c r="D111" s="16">
        <v>500000</v>
      </c>
      <c r="E111" s="16">
        <v>66650</v>
      </c>
      <c r="F111" s="41">
        <f t="shared" si="15"/>
        <v>566650</v>
      </c>
      <c r="G111" s="159">
        <v>50</v>
      </c>
      <c r="H111" s="314">
        <v>11333</v>
      </c>
      <c r="I111" s="159">
        <v>39</v>
      </c>
      <c r="J111" s="159">
        <f t="shared" si="13"/>
        <v>11</v>
      </c>
      <c r="K111" s="16">
        <f>I111*H111</f>
        <v>441987</v>
      </c>
      <c r="L111" s="94">
        <f t="shared" si="14"/>
        <v>124663</v>
      </c>
      <c r="M111" s="11"/>
    </row>
    <row r="112" spans="1:14" s="114" customFormat="1" ht="12" customHeight="1">
      <c r="A112" s="96">
        <v>107</v>
      </c>
      <c r="B112" s="295" t="s">
        <v>941</v>
      </c>
      <c r="C112" s="8" t="s">
        <v>1066</v>
      </c>
      <c r="D112" s="19">
        <v>330000</v>
      </c>
      <c r="E112" s="19">
        <v>43989</v>
      </c>
      <c r="F112" s="19">
        <f t="shared" si="15"/>
        <v>373989</v>
      </c>
      <c r="G112" s="159">
        <v>50</v>
      </c>
      <c r="H112" s="316">
        <v>7479.78</v>
      </c>
      <c r="I112" s="159">
        <v>6</v>
      </c>
      <c r="J112" s="159">
        <f t="shared" si="13"/>
        <v>44</v>
      </c>
      <c r="K112" s="16">
        <f>I112*H112</f>
        <v>44878.68</v>
      </c>
      <c r="L112" s="94">
        <f t="shared" si="14"/>
        <v>329110.32</v>
      </c>
      <c r="M112" s="8"/>
      <c r="N112" s="180" t="e">
        <f>#REF!-H112</f>
        <v>#REF!</v>
      </c>
    </row>
    <row r="113" spans="1:15" s="114" customFormat="1">
      <c r="A113" s="96">
        <v>108</v>
      </c>
      <c r="B113" s="292" t="s">
        <v>600</v>
      </c>
      <c r="C113" s="11" t="s">
        <v>369</v>
      </c>
      <c r="D113" s="16">
        <v>450000</v>
      </c>
      <c r="E113" s="16">
        <v>59985</v>
      </c>
      <c r="F113" s="41">
        <f t="shared" si="15"/>
        <v>509985</v>
      </c>
      <c r="G113" s="159">
        <v>50</v>
      </c>
      <c r="H113" s="315">
        <v>10199.700000000001</v>
      </c>
      <c r="I113" s="97">
        <v>39</v>
      </c>
      <c r="J113" s="97">
        <f t="shared" si="13"/>
        <v>11</v>
      </c>
      <c r="K113" s="91">
        <f>I113*H113</f>
        <v>397788.30000000005</v>
      </c>
      <c r="L113" s="94">
        <f t="shared" si="14"/>
        <v>112196.69999999995</v>
      </c>
      <c r="M113" s="11"/>
      <c r="N113" s="180" t="e">
        <f>#REF!-H113</f>
        <v>#REF!</v>
      </c>
    </row>
    <row r="114" spans="1:15" s="114" customFormat="1">
      <c r="A114" s="96">
        <v>109</v>
      </c>
      <c r="B114" s="295" t="s">
        <v>930</v>
      </c>
      <c r="C114" s="8" t="s">
        <v>992</v>
      </c>
      <c r="D114" s="19">
        <v>330000</v>
      </c>
      <c r="E114" s="19">
        <v>31672.200000000012</v>
      </c>
      <c r="F114" s="19">
        <f t="shared" si="15"/>
        <v>361672.2</v>
      </c>
      <c r="G114" s="159">
        <v>36</v>
      </c>
      <c r="H114" s="316">
        <v>10046.450000000001</v>
      </c>
      <c r="I114" s="159">
        <v>13</v>
      </c>
      <c r="J114" s="320">
        <f t="shared" si="13"/>
        <v>23</v>
      </c>
      <c r="K114" s="16">
        <f>I114*H114</f>
        <v>130603.85</v>
      </c>
      <c r="L114" s="94">
        <f t="shared" si="14"/>
        <v>231068.35</v>
      </c>
      <c r="M114" s="8"/>
    </row>
    <row r="115" spans="1:15" s="114" customFormat="1">
      <c r="A115" s="96">
        <v>110</v>
      </c>
      <c r="B115" s="292" t="s">
        <v>546</v>
      </c>
      <c r="C115" s="11" t="s">
        <v>296</v>
      </c>
      <c r="D115" s="19">
        <v>330000</v>
      </c>
      <c r="E115" s="19">
        <v>43989</v>
      </c>
      <c r="F115" s="19">
        <f t="shared" si="15"/>
        <v>373989</v>
      </c>
      <c r="G115" s="159">
        <v>40</v>
      </c>
      <c r="H115" s="315">
        <v>9129.7800000000007</v>
      </c>
      <c r="I115" s="159">
        <v>14</v>
      </c>
      <c r="J115" s="97">
        <f t="shared" ref="J115:J138" si="16">G115-I115</f>
        <v>26</v>
      </c>
      <c r="K115" s="91">
        <f>I115*H115</f>
        <v>127816.92000000001</v>
      </c>
      <c r="L115" s="94">
        <f t="shared" si="14"/>
        <v>246172.08</v>
      </c>
      <c r="M115" s="11"/>
      <c r="N115" s="180" t="e">
        <f>#REF!-H115</f>
        <v>#REF!</v>
      </c>
    </row>
    <row r="116" spans="1:15" s="114" customFormat="1">
      <c r="A116" s="96">
        <v>111</v>
      </c>
      <c r="B116" s="292" t="s">
        <v>638</v>
      </c>
      <c r="C116" s="11" t="s">
        <v>350</v>
      </c>
      <c r="D116" s="16">
        <v>500000</v>
      </c>
      <c r="E116" s="16">
        <v>66650</v>
      </c>
      <c r="F116" s="41">
        <f t="shared" si="15"/>
        <v>566650</v>
      </c>
      <c r="G116" s="159">
        <v>50</v>
      </c>
      <c r="H116" s="315">
        <v>11333</v>
      </c>
      <c r="I116" s="97">
        <v>18</v>
      </c>
      <c r="J116" s="97">
        <f t="shared" si="16"/>
        <v>32</v>
      </c>
      <c r="K116" s="91">
        <f>(1*11333)</f>
        <v>11333</v>
      </c>
      <c r="L116" s="91">
        <f t="shared" si="14"/>
        <v>555317</v>
      </c>
      <c r="M116" s="11"/>
    </row>
    <row r="117" spans="1:15" s="114" customFormat="1">
      <c r="A117" s="96">
        <v>112</v>
      </c>
      <c r="B117" s="292" t="s">
        <v>629</v>
      </c>
      <c r="C117" s="11" t="s">
        <v>378</v>
      </c>
      <c r="D117" s="12">
        <v>330000</v>
      </c>
      <c r="E117" s="12">
        <v>43989</v>
      </c>
      <c r="F117" s="15">
        <f t="shared" si="15"/>
        <v>373989</v>
      </c>
      <c r="G117" s="14">
        <v>50</v>
      </c>
      <c r="H117" s="280">
        <v>7479.78</v>
      </c>
      <c r="I117" s="14">
        <v>45</v>
      </c>
      <c r="J117" s="97">
        <f t="shared" si="16"/>
        <v>5</v>
      </c>
      <c r="K117" s="91">
        <f t="shared" ref="K117:K138" si="17">I117*H117</f>
        <v>336590.1</v>
      </c>
      <c r="L117" s="15">
        <f t="shared" si="14"/>
        <v>37398.900000000023</v>
      </c>
      <c r="M117" s="8"/>
      <c r="N117" s="180" t="e">
        <f>#REF!-H117</f>
        <v>#REF!</v>
      </c>
    </row>
    <row r="118" spans="1:15" s="114" customFormat="1">
      <c r="A118" s="96">
        <v>113</v>
      </c>
      <c r="B118" s="293" t="s">
        <v>1205</v>
      </c>
      <c r="C118" s="11" t="s">
        <v>452</v>
      </c>
      <c r="D118" s="16">
        <v>500000</v>
      </c>
      <c r="E118" s="16">
        <v>66650</v>
      </c>
      <c r="F118" s="41">
        <f t="shared" si="15"/>
        <v>566650</v>
      </c>
      <c r="G118" s="159">
        <v>50</v>
      </c>
      <c r="H118" s="314">
        <v>11333</v>
      </c>
      <c r="I118" s="96">
        <v>2</v>
      </c>
      <c r="J118" s="97">
        <f t="shared" si="16"/>
        <v>48</v>
      </c>
      <c r="K118" s="91">
        <f t="shared" si="17"/>
        <v>22666</v>
      </c>
      <c r="L118" s="94">
        <f t="shared" si="14"/>
        <v>543984</v>
      </c>
      <c r="M118" s="11"/>
      <c r="N118" s="120"/>
    </row>
    <row r="119" spans="1:15" s="114" customFormat="1">
      <c r="A119" s="96">
        <v>114</v>
      </c>
      <c r="B119" s="292" t="s">
        <v>645</v>
      </c>
      <c r="C119" s="11" t="s">
        <v>351</v>
      </c>
      <c r="D119" s="16">
        <v>500000</v>
      </c>
      <c r="E119" s="16">
        <v>66650</v>
      </c>
      <c r="F119" s="41">
        <f t="shared" si="15"/>
        <v>566650</v>
      </c>
      <c r="G119" s="159">
        <v>50</v>
      </c>
      <c r="H119" s="315">
        <v>11333</v>
      </c>
      <c r="I119" s="97">
        <v>39</v>
      </c>
      <c r="J119" s="97">
        <f t="shared" si="16"/>
        <v>11</v>
      </c>
      <c r="K119" s="91">
        <f t="shared" si="17"/>
        <v>441987</v>
      </c>
      <c r="L119" s="94">
        <f t="shared" si="14"/>
        <v>124663</v>
      </c>
      <c r="M119" s="11"/>
      <c r="N119"/>
    </row>
    <row r="120" spans="1:15" s="114" customFormat="1">
      <c r="A120" s="96">
        <v>115</v>
      </c>
      <c r="B120" s="292" t="s">
        <v>548</v>
      </c>
      <c r="C120" s="11" t="s">
        <v>379</v>
      </c>
      <c r="D120" s="12">
        <v>330000</v>
      </c>
      <c r="E120" s="12">
        <v>43989</v>
      </c>
      <c r="F120" s="15">
        <f t="shared" si="15"/>
        <v>373989</v>
      </c>
      <c r="G120" s="14">
        <v>50</v>
      </c>
      <c r="H120" s="280">
        <v>7479.78</v>
      </c>
      <c r="I120" s="14">
        <v>45</v>
      </c>
      <c r="J120" s="97">
        <f t="shared" si="16"/>
        <v>5</v>
      </c>
      <c r="K120" s="91">
        <f t="shared" si="17"/>
        <v>336590.1</v>
      </c>
      <c r="L120" s="15">
        <f t="shared" si="14"/>
        <v>37398.900000000023</v>
      </c>
      <c r="M120" s="8"/>
      <c r="N120" s="180" t="e">
        <f>#REF!-H120</f>
        <v>#REF!</v>
      </c>
    </row>
    <row r="121" spans="1:15" s="114" customFormat="1">
      <c r="A121" s="96">
        <v>116</v>
      </c>
      <c r="B121" s="293" t="s">
        <v>678</v>
      </c>
      <c r="C121" s="123" t="s">
        <v>302</v>
      </c>
      <c r="D121" s="16">
        <v>500000</v>
      </c>
      <c r="E121" s="16">
        <v>66650</v>
      </c>
      <c r="F121" s="41">
        <f t="shared" si="15"/>
        <v>566650</v>
      </c>
      <c r="G121" s="159">
        <v>50</v>
      </c>
      <c r="H121" s="314">
        <v>15222</v>
      </c>
      <c r="I121" s="159">
        <v>9</v>
      </c>
      <c r="J121" s="159">
        <f t="shared" si="16"/>
        <v>41</v>
      </c>
      <c r="K121" s="16">
        <f t="shared" si="17"/>
        <v>136998</v>
      </c>
      <c r="L121" s="94">
        <f t="shared" si="14"/>
        <v>429652</v>
      </c>
      <c r="M121" s="11"/>
      <c r="N121" s="180" t="e">
        <f>#REF!-H121</f>
        <v>#REF!</v>
      </c>
    </row>
    <row r="122" spans="1:15" s="114" customFormat="1">
      <c r="A122" s="96">
        <v>117</v>
      </c>
      <c r="B122" s="292" t="s">
        <v>501</v>
      </c>
      <c r="C122" s="11" t="s">
        <v>488</v>
      </c>
      <c r="D122" s="16">
        <v>500000</v>
      </c>
      <c r="E122" s="16">
        <v>66650</v>
      </c>
      <c r="F122" s="16">
        <v>566650</v>
      </c>
      <c r="G122" s="159">
        <v>50</v>
      </c>
      <c r="H122" s="280">
        <v>11333</v>
      </c>
      <c r="I122" s="159">
        <v>14</v>
      </c>
      <c r="J122" s="97">
        <f t="shared" si="16"/>
        <v>36</v>
      </c>
      <c r="K122" s="91">
        <f t="shared" si="17"/>
        <v>158662</v>
      </c>
      <c r="L122" s="94">
        <f t="shared" si="14"/>
        <v>407988</v>
      </c>
      <c r="M122" s="11"/>
      <c r="N122" s="180" t="e">
        <f>#REF!-H122</f>
        <v>#REF!</v>
      </c>
    </row>
    <row r="123" spans="1:15" s="114" customFormat="1">
      <c r="A123" s="96">
        <v>118</v>
      </c>
      <c r="B123" s="292" t="s">
        <v>514</v>
      </c>
      <c r="C123" s="11" t="s">
        <v>87</v>
      </c>
      <c r="D123" s="16">
        <v>500000</v>
      </c>
      <c r="E123" s="16">
        <v>66650</v>
      </c>
      <c r="F123" s="41">
        <f>SUM(D123:E123)</f>
        <v>566650</v>
      </c>
      <c r="G123" s="159">
        <v>50</v>
      </c>
      <c r="H123" s="315">
        <v>11333</v>
      </c>
      <c r="I123" s="97">
        <v>61</v>
      </c>
      <c r="J123" s="97">
        <f t="shared" si="16"/>
        <v>-11</v>
      </c>
      <c r="K123" s="91">
        <f t="shared" si="17"/>
        <v>691313</v>
      </c>
      <c r="L123" s="94">
        <f t="shared" si="14"/>
        <v>-124663</v>
      </c>
      <c r="M123" s="11"/>
      <c r="N123"/>
    </row>
    <row r="124" spans="1:15" s="114" customFormat="1">
      <c r="A124" s="96">
        <v>119</v>
      </c>
      <c r="B124" s="292" t="s">
        <v>557</v>
      </c>
      <c r="C124" s="11" t="s">
        <v>370</v>
      </c>
      <c r="D124" s="16">
        <v>450000</v>
      </c>
      <c r="E124" s="16">
        <v>59985</v>
      </c>
      <c r="F124" s="41">
        <f>SUM(D124:E124)</f>
        <v>509985</v>
      </c>
      <c r="G124" s="159">
        <v>50</v>
      </c>
      <c r="H124" s="315">
        <v>10199.700000000001</v>
      </c>
      <c r="I124" s="97">
        <v>40</v>
      </c>
      <c r="J124" s="97">
        <f t="shared" si="16"/>
        <v>10</v>
      </c>
      <c r="K124" s="91">
        <f t="shared" si="17"/>
        <v>407988</v>
      </c>
      <c r="L124" s="94">
        <f t="shared" si="14"/>
        <v>101997</v>
      </c>
      <c r="M124" s="11"/>
      <c r="N124" s="180" t="e">
        <f>#REF!-H124</f>
        <v>#REF!</v>
      </c>
      <c r="O124" s="120"/>
    </row>
    <row r="125" spans="1:15" s="114" customFormat="1">
      <c r="A125" s="96">
        <v>120</v>
      </c>
      <c r="B125" s="292" t="s">
        <v>583</v>
      </c>
      <c r="C125" s="11" t="s">
        <v>352</v>
      </c>
      <c r="D125" s="16">
        <v>500000</v>
      </c>
      <c r="E125" s="16">
        <v>66650</v>
      </c>
      <c r="F125" s="41">
        <f>SUM(D125:E125)</f>
        <v>566650</v>
      </c>
      <c r="G125" s="159">
        <v>50</v>
      </c>
      <c r="H125" s="315">
        <v>11333</v>
      </c>
      <c r="I125" s="97">
        <v>40</v>
      </c>
      <c r="J125" s="97">
        <f t="shared" si="16"/>
        <v>10</v>
      </c>
      <c r="K125" s="91">
        <f t="shared" si="17"/>
        <v>453320</v>
      </c>
      <c r="L125" s="94">
        <f t="shared" si="14"/>
        <v>113330</v>
      </c>
      <c r="M125" s="11"/>
      <c r="N125" s="180" t="e">
        <f>#REF!-H125</f>
        <v>#REF!</v>
      </c>
    </row>
    <row r="126" spans="1:15" s="114" customFormat="1">
      <c r="A126" s="96">
        <v>121</v>
      </c>
      <c r="B126" s="292" t="s">
        <v>561</v>
      </c>
      <c r="C126" s="11" t="s">
        <v>371</v>
      </c>
      <c r="D126" s="16">
        <v>450000</v>
      </c>
      <c r="E126" s="16">
        <v>59985</v>
      </c>
      <c r="F126" s="41">
        <f>SUM(D126:E126)</f>
        <v>509985</v>
      </c>
      <c r="G126" s="159">
        <v>50</v>
      </c>
      <c r="H126" s="315">
        <v>10199.700000000001</v>
      </c>
      <c r="I126" s="97">
        <v>40</v>
      </c>
      <c r="J126" s="97">
        <f t="shared" si="16"/>
        <v>10</v>
      </c>
      <c r="K126" s="91">
        <f t="shared" si="17"/>
        <v>407988</v>
      </c>
      <c r="L126" s="94">
        <f t="shared" si="14"/>
        <v>101997</v>
      </c>
      <c r="M126" s="11"/>
      <c r="N126" s="180" t="e">
        <f>#REF!-H126</f>
        <v>#REF!</v>
      </c>
    </row>
    <row r="127" spans="1:15" s="114" customFormat="1" ht="13.5" customHeight="1">
      <c r="A127" s="96">
        <v>122</v>
      </c>
      <c r="B127" s="296" t="s">
        <v>684</v>
      </c>
      <c r="C127" s="11" t="s">
        <v>353</v>
      </c>
      <c r="D127" s="19">
        <v>500000</v>
      </c>
      <c r="E127" s="19">
        <v>66650</v>
      </c>
      <c r="F127" s="19">
        <v>566650</v>
      </c>
      <c r="G127" s="240">
        <v>50</v>
      </c>
      <c r="H127" s="315">
        <v>11333</v>
      </c>
      <c r="I127" s="249">
        <v>26</v>
      </c>
      <c r="J127" s="97">
        <f t="shared" si="16"/>
        <v>24</v>
      </c>
      <c r="K127" s="91">
        <f t="shared" si="17"/>
        <v>294658</v>
      </c>
      <c r="L127" s="91">
        <f t="shared" si="14"/>
        <v>271992</v>
      </c>
      <c r="M127" s="11"/>
      <c r="N127"/>
    </row>
    <row r="128" spans="1:15" s="114" customFormat="1" ht="12.75" customHeight="1">
      <c r="A128" s="96">
        <v>123</v>
      </c>
      <c r="B128" s="292" t="s">
        <v>670</v>
      </c>
      <c r="C128" s="11" t="s">
        <v>380</v>
      </c>
      <c r="D128" s="16">
        <v>330000</v>
      </c>
      <c r="E128" s="16">
        <v>43989</v>
      </c>
      <c r="F128" s="41">
        <f>SUM(D128:E128)</f>
        <v>373989</v>
      </c>
      <c r="G128" s="159">
        <v>50</v>
      </c>
      <c r="H128" s="315">
        <v>7479.78</v>
      </c>
      <c r="I128" s="159">
        <v>48</v>
      </c>
      <c r="J128" s="97">
        <f t="shared" si="16"/>
        <v>2</v>
      </c>
      <c r="K128" s="91">
        <f t="shared" si="17"/>
        <v>359029.44</v>
      </c>
      <c r="L128" s="94">
        <f t="shared" si="14"/>
        <v>14959.559999999998</v>
      </c>
      <c r="M128" s="11"/>
    </row>
    <row r="129" spans="1:14" s="114" customFormat="1" ht="12.75" customHeight="1">
      <c r="A129" s="96">
        <v>124</v>
      </c>
      <c r="B129" s="293" t="s">
        <v>901</v>
      </c>
      <c r="C129" s="123" t="s">
        <v>446</v>
      </c>
      <c r="D129" s="19">
        <v>330000</v>
      </c>
      <c r="E129" s="19">
        <v>43989</v>
      </c>
      <c r="F129" s="19">
        <f>SUM(D129:E129)</f>
        <v>373989</v>
      </c>
      <c r="G129" s="159">
        <v>50</v>
      </c>
      <c r="H129" s="314">
        <v>7479.78</v>
      </c>
      <c r="I129" s="159">
        <v>9</v>
      </c>
      <c r="J129" s="159">
        <f t="shared" si="16"/>
        <v>41</v>
      </c>
      <c r="K129" s="16">
        <f t="shared" si="17"/>
        <v>67318.02</v>
      </c>
      <c r="L129" s="94">
        <f t="shared" si="14"/>
        <v>306670.98</v>
      </c>
      <c r="M129" s="11"/>
    </row>
    <row r="130" spans="1:14" s="114" customFormat="1" ht="12.75" customHeight="1">
      <c r="A130" s="96">
        <v>125</v>
      </c>
      <c r="B130" s="292" t="s">
        <v>509</v>
      </c>
      <c r="C130" s="11" t="s">
        <v>29</v>
      </c>
      <c r="D130" s="19">
        <v>450000</v>
      </c>
      <c r="E130" s="19">
        <v>59985</v>
      </c>
      <c r="F130" s="19">
        <v>509985</v>
      </c>
      <c r="G130" s="159">
        <v>50</v>
      </c>
      <c r="H130" s="315">
        <v>10199.700000000001</v>
      </c>
      <c r="I130" s="97">
        <v>26</v>
      </c>
      <c r="J130" s="97">
        <f t="shared" si="16"/>
        <v>24</v>
      </c>
      <c r="K130" s="91">
        <f t="shared" si="17"/>
        <v>265192.2</v>
      </c>
      <c r="L130" s="91">
        <f t="shared" si="14"/>
        <v>244792.8</v>
      </c>
      <c r="M130" s="11"/>
    </row>
    <row r="131" spans="1:14" s="114" customFormat="1">
      <c r="A131" s="96">
        <v>126</v>
      </c>
      <c r="B131" s="292" t="s">
        <v>613</v>
      </c>
      <c r="C131" s="11" t="s">
        <v>355</v>
      </c>
      <c r="D131" s="16">
        <v>500000</v>
      </c>
      <c r="E131" s="16">
        <v>66650</v>
      </c>
      <c r="F131" s="41">
        <f>SUM(D131:E131)</f>
        <v>566650</v>
      </c>
      <c r="G131" s="159">
        <v>50</v>
      </c>
      <c r="H131" s="315">
        <v>11333</v>
      </c>
      <c r="I131" s="97">
        <v>60</v>
      </c>
      <c r="J131" s="97">
        <f t="shared" si="16"/>
        <v>-10</v>
      </c>
      <c r="K131" s="91">
        <f t="shared" si="17"/>
        <v>679980</v>
      </c>
      <c r="L131" s="94">
        <f t="shared" si="14"/>
        <v>-113330</v>
      </c>
      <c r="M131" s="11"/>
      <c r="N131" s="180" t="e">
        <f>#REF!-H131</f>
        <v>#REF!</v>
      </c>
    </row>
    <row r="132" spans="1:14" s="114" customFormat="1">
      <c r="A132" s="96">
        <v>127</v>
      </c>
      <c r="B132" s="292" t="s">
        <v>711</v>
      </c>
      <c r="C132" s="11" t="s">
        <v>1088</v>
      </c>
      <c r="D132" s="16">
        <v>500000</v>
      </c>
      <c r="E132" s="16">
        <v>66650</v>
      </c>
      <c r="F132" s="41">
        <f>SUM(D132:E132)</f>
        <v>566650</v>
      </c>
      <c r="G132" s="159">
        <v>50</v>
      </c>
      <c r="H132" s="315">
        <v>11333</v>
      </c>
      <c r="I132" s="97">
        <v>39</v>
      </c>
      <c r="J132" s="97">
        <f t="shared" si="16"/>
        <v>11</v>
      </c>
      <c r="K132" s="91">
        <f t="shared" si="17"/>
        <v>441987</v>
      </c>
      <c r="L132" s="94">
        <f t="shared" si="14"/>
        <v>124663</v>
      </c>
      <c r="M132" s="11"/>
      <c r="N132"/>
    </row>
    <row r="133" spans="1:14" s="114" customFormat="1">
      <c r="A133" s="96">
        <v>128</v>
      </c>
      <c r="B133" s="292" t="s">
        <v>538</v>
      </c>
      <c r="C133" s="11" t="s">
        <v>357</v>
      </c>
      <c r="D133" s="12">
        <v>500000</v>
      </c>
      <c r="E133" s="12">
        <v>66650</v>
      </c>
      <c r="F133" s="15">
        <f>SUM(D133:E133)</f>
        <v>566650</v>
      </c>
      <c r="G133" s="14">
        <v>50</v>
      </c>
      <c r="H133" s="280">
        <v>11333</v>
      </c>
      <c r="I133" s="14">
        <v>45</v>
      </c>
      <c r="J133" s="97">
        <f t="shared" si="16"/>
        <v>5</v>
      </c>
      <c r="K133" s="91">
        <f t="shared" si="17"/>
        <v>509985</v>
      </c>
      <c r="L133" s="15">
        <f t="shared" si="14"/>
        <v>56665</v>
      </c>
      <c r="M133" s="8"/>
      <c r="N133" s="180" t="e">
        <f>#REF!-H133</f>
        <v>#REF!</v>
      </c>
    </row>
    <row r="134" spans="1:14" s="114" customFormat="1">
      <c r="A134" s="96">
        <v>129</v>
      </c>
      <c r="B134" s="292" t="s">
        <v>507</v>
      </c>
      <c r="C134" s="11" t="s">
        <v>741</v>
      </c>
      <c r="D134" s="16">
        <v>500000</v>
      </c>
      <c r="E134" s="16">
        <v>66650</v>
      </c>
      <c r="F134" s="16">
        <v>566650</v>
      </c>
      <c r="G134" s="159">
        <v>50</v>
      </c>
      <c r="H134" s="315">
        <v>11333</v>
      </c>
      <c r="I134" s="97">
        <v>26</v>
      </c>
      <c r="J134" s="97">
        <f t="shared" si="16"/>
        <v>24</v>
      </c>
      <c r="K134" s="91">
        <f t="shared" si="17"/>
        <v>294658</v>
      </c>
      <c r="L134" s="91">
        <f>F134-K134</f>
        <v>271992</v>
      </c>
      <c r="M134" s="11"/>
      <c r="N134" s="180" t="e">
        <f>#REF!-H134</f>
        <v>#REF!</v>
      </c>
    </row>
    <row r="135" spans="1:14" s="114" customFormat="1">
      <c r="A135" s="96">
        <v>130</v>
      </c>
      <c r="B135" s="292" t="s">
        <v>728</v>
      </c>
      <c r="C135" s="11" t="s">
        <v>303</v>
      </c>
      <c r="D135" s="16">
        <v>500000</v>
      </c>
      <c r="E135" s="16">
        <v>47992</v>
      </c>
      <c r="F135" s="41">
        <f t="shared" ref="F135:F140" si="18">SUM(D135:E135)</f>
        <v>547992</v>
      </c>
      <c r="G135" s="159">
        <v>36</v>
      </c>
      <c r="H135" s="280">
        <v>15222</v>
      </c>
      <c r="I135" s="97">
        <v>39</v>
      </c>
      <c r="J135" s="97">
        <f t="shared" si="16"/>
        <v>-3</v>
      </c>
      <c r="K135" s="91">
        <f t="shared" si="17"/>
        <v>593658</v>
      </c>
      <c r="L135" s="94">
        <f>F135-K135</f>
        <v>-45666</v>
      </c>
      <c r="M135" s="11"/>
      <c r="N135" s="180" t="e">
        <f>#REF!-H135</f>
        <v>#REF!</v>
      </c>
    </row>
    <row r="136" spans="1:14" s="114" customFormat="1">
      <c r="A136" s="96">
        <v>131</v>
      </c>
      <c r="B136" s="292" t="s">
        <v>590</v>
      </c>
      <c r="C136" s="11" t="s">
        <v>290</v>
      </c>
      <c r="D136" s="19">
        <v>150000</v>
      </c>
      <c r="E136" s="19">
        <v>19995</v>
      </c>
      <c r="F136" s="19">
        <f t="shared" si="18"/>
        <v>169995</v>
      </c>
      <c r="G136" s="159">
        <v>50</v>
      </c>
      <c r="H136" s="280">
        <v>3399.9</v>
      </c>
      <c r="I136" s="97">
        <v>39</v>
      </c>
      <c r="J136" s="97">
        <f t="shared" si="16"/>
        <v>11</v>
      </c>
      <c r="K136" s="91">
        <f t="shared" si="17"/>
        <v>132596.1</v>
      </c>
      <c r="L136" s="94">
        <f>F136-K136</f>
        <v>37398.899999999994</v>
      </c>
      <c r="M136" s="11"/>
      <c r="N136" s="180" t="e">
        <f>#REF!-H136</f>
        <v>#REF!</v>
      </c>
    </row>
    <row r="137" spans="1:14" s="114" customFormat="1">
      <c r="A137" s="96">
        <v>132</v>
      </c>
      <c r="B137" s="292" t="s">
        <v>631</v>
      </c>
      <c r="C137" s="11" t="s">
        <v>359</v>
      </c>
      <c r="D137" s="16">
        <v>500000</v>
      </c>
      <c r="E137" s="16">
        <v>66650</v>
      </c>
      <c r="F137" s="41">
        <f t="shared" si="18"/>
        <v>566650</v>
      </c>
      <c r="G137" s="159">
        <v>50</v>
      </c>
      <c r="H137" s="315">
        <v>11333</v>
      </c>
      <c r="I137" s="159">
        <v>61</v>
      </c>
      <c r="J137" s="97">
        <f t="shared" si="16"/>
        <v>-11</v>
      </c>
      <c r="K137" s="91">
        <f t="shared" si="17"/>
        <v>691313</v>
      </c>
      <c r="L137" s="94">
        <f>F137-K137</f>
        <v>-124663</v>
      </c>
      <c r="M137" s="11"/>
      <c r="N137" s="180" t="e">
        <f>#REF!-H137</f>
        <v>#REF!</v>
      </c>
    </row>
    <row r="138" spans="1:14" s="114" customFormat="1">
      <c r="A138" s="96">
        <v>133</v>
      </c>
      <c r="B138" s="293" t="s">
        <v>888</v>
      </c>
      <c r="C138" s="123" t="s">
        <v>412</v>
      </c>
      <c r="D138" s="16">
        <v>500000</v>
      </c>
      <c r="E138" s="16">
        <v>66650</v>
      </c>
      <c r="F138" s="41">
        <f t="shared" si="18"/>
        <v>566650</v>
      </c>
      <c r="G138" s="159">
        <v>50</v>
      </c>
      <c r="H138" s="314">
        <v>11333</v>
      </c>
      <c r="I138" s="159">
        <v>9</v>
      </c>
      <c r="J138" s="159">
        <f t="shared" si="16"/>
        <v>41</v>
      </c>
      <c r="K138" s="16">
        <f t="shared" si="17"/>
        <v>101997</v>
      </c>
      <c r="L138" s="94">
        <f>F138-K138</f>
        <v>464653</v>
      </c>
      <c r="M138" s="11"/>
      <c r="N138" s="180" t="e">
        <f>#REF!-H138</f>
        <v>#REF!</v>
      </c>
    </row>
    <row r="139" spans="1:14" s="114" customFormat="1">
      <c r="A139" s="96">
        <v>134</v>
      </c>
      <c r="B139" s="293" t="s">
        <v>1207</v>
      </c>
      <c r="C139" s="123" t="s">
        <v>1130</v>
      </c>
      <c r="D139" s="19">
        <v>330000</v>
      </c>
      <c r="E139" s="19">
        <v>43989</v>
      </c>
      <c r="F139" s="19">
        <f t="shared" si="18"/>
        <v>373989</v>
      </c>
      <c r="G139" s="159">
        <v>50</v>
      </c>
      <c r="H139" s="314">
        <v>7479.78</v>
      </c>
      <c r="I139" s="159">
        <v>1</v>
      </c>
      <c r="J139" s="159">
        <f t="shared" ref="J139:J157" si="19">G139-I139</f>
        <v>49</v>
      </c>
      <c r="K139" s="16">
        <f t="shared" ref="K139:K154" si="20">I139*H139</f>
        <v>7479.78</v>
      </c>
      <c r="L139" s="94">
        <f t="shared" ref="L139:L154" si="21">F139-K139</f>
        <v>366509.22</v>
      </c>
      <c r="M139" s="11"/>
      <c r="N139" s="180"/>
    </row>
    <row r="140" spans="1:14" s="114" customFormat="1">
      <c r="A140" s="96">
        <v>135</v>
      </c>
      <c r="B140" s="293" t="s">
        <v>1162</v>
      </c>
      <c r="C140" s="123" t="s">
        <v>1117</v>
      </c>
      <c r="D140" s="16">
        <v>500000</v>
      </c>
      <c r="E140" s="16">
        <v>66650</v>
      </c>
      <c r="F140" s="41">
        <f t="shared" si="18"/>
        <v>566650</v>
      </c>
      <c r="G140" s="159">
        <v>50</v>
      </c>
      <c r="H140" s="314">
        <v>11333</v>
      </c>
      <c r="I140" s="159">
        <v>1</v>
      </c>
      <c r="J140" s="159">
        <f t="shared" si="19"/>
        <v>49</v>
      </c>
      <c r="K140" s="16">
        <f t="shared" si="20"/>
        <v>11333</v>
      </c>
      <c r="L140" s="94">
        <f t="shared" si="21"/>
        <v>555317</v>
      </c>
      <c r="M140" s="11"/>
      <c r="N140" s="180"/>
    </row>
    <row r="141" spans="1:14" s="114" customFormat="1">
      <c r="A141" s="96">
        <v>136</v>
      </c>
      <c r="B141" s="293" t="s">
        <v>1231</v>
      </c>
      <c r="C141" s="123" t="s">
        <v>1138</v>
      </c>
      <c r="D141" s="19">
        <v>450000</v>
      </c>
      <c r="E141" s="19">
        <v>59985</v>
      </c>
      <c r="F141" s="19">
        <v>509985</v>
      </c>
      <c r="G141" s="159">
        <v>50</v>
      </c>
      <c r="H141" s="314">
        <v>10199.700000000001</v>
      </c>
      <c r="I141" s="159">
        <v>1</v>
      </c>
      <c r="J141" s="159">
        <f t="shared" si="19"/>
        <v>49</v>
      </c>
      <c r="K141" s="16">
        <f t="shared" si="20"/>
        <v>10199.700000000001</v>
      </c>
      <c r="L141" s="94">
        <f t="shared" si="21"/>
        <v>499785.3</v>
      </c>
      <c r="M141" s="11"/>
      <c r="N141" s="180"/>
    </row>
    <row r="142" spans="1:14" s="114" customFormat="1">
      <c r="A142" s="96">
        <v>137</v>
      </c>
      <c r="B142" s="293" t="s">
        <v>1243</v>
      </c>
      <c r="C142" s="123" t="s">
        <v>1262</v>
      </c>
      <c r="D142" s="19">
        <v>330000</v>
      </c>
      <c r="E142" s="19">
        <v>43989</v>
      </c>
      <c r="F142" s="19">
        <f>SUM(D142:E142)</f>
        <v>373989</v>
      </c>
      <c r="G142" s="159">
        <v>50</v>
      </c>
      <c r="H142" s="314">
        <v>7479.78</v>
      </c>
      <c r="I142" s="159">
        <v>1</v>
      </c>
      <c r="J142" s="159">
        <f t="shared" si="19"/>
        <v>49</v>
      </c>
      <c r="K142" s="16">
        <f t="shared" si="20"/>
        <v>7479.78</v>
      </c>
      <c r="L142" s="94">
        <f t="shared" si="21"/>
        <v>366509.22</v>
      </c>
      <c r="M142" s="11"/>
      <c r="N142" s="180"/>
    </row>
    <row r="143" spans="1:14" s="114" customFormat="1">
      <c r="A143" s="96">
        <v>138</v>
      </c>
      <c r="B143" s="293" t="s">
        <v>628</v>
      </c>
      <c r="C143" s="123" t="s">
        <v>858</v>
      </c>
      <c r="D143" s="19">
        <v>450000</v>
      </c>
      <c r="E143" s="19">
        <v>59985</v>
      </c>
      <c r="F143" s="19">
        <v>509985</v>
      </c>
      <c r="G143" s="159">
        <v>50</v>
      </c>
      <c r="H143" s="314">
        <v>10199.700000000001</v>
      </c>
      <c r="I143" s="159">
        <v>1</v>
      </c>
      <c r="J143" s="159">
        <f t="shared" si="19"/>
        <v>49</v>
      </c>
      <c r="K143" s="16">
        <f t="shared" si="20"/>
        <v>10199.700000000001</v>
      </c>
      <c r="L143" s="94">
        <f t="shared" si="21"/>
        <v>499785.3</v>
      </c>
      <c r="M143" s="11"/>
      <c r="N143" s="180"/>
    </row>
    <row r="144" spans="1:14" s="114" customFormat="1">
      <c r="A144" s="96">
        <v>139</v>
      </c>
      <c r="B144" s="293" t="s">
        <v>1182</v>
      </c>
      <c r="C144" s="123" t="s">
        <v>484</v>
      </c>
      <c r="D144" s="19">
        <v>450000</v>
      </c>
      <c r="E144" s="19">
        <v>59985</v>
      </c>
      <c r="F144" s="19">
        <v>509985</v>
      </c>
      <c r="G144" s="159">
        <v>50</v>
      </c>
      <c r="H144" s="314">
        <v>10199.700000000001</v>
      </c>
      <c r="I144" s="159">
        <v>1</v>
      </c>
      <c r="J144" s="159">
        <f t="shared" si="19"/>
        <v>49</v>
      </c>
      <c r="K144" s="16">
        <f t="shared" si="20"/>
        <v>10199.700000000001</v>
      </c>
      <c r="L144" s="94">
        <f t="shared" si="21"/>
        <v>499785.3</v>
      </c>
      <c r="M144" s="11"/>
      <c r="N144" s="180"/>
    </row>
    <row r="145" spans="1:14" s="114" customFormat="1">
      <c r="A145" s="96">
        <v>140</v>
      </c>
      <c r="B145" s="293" t="s">
        <v>1170</v>
      </c>
      <c r="C145" s="123" t="s">
        <v>1122</v>
      </c>
      <c r="D145" s="16">
        <v>500000</v>
      </c>
      <c r="E145" s="16">
        <v>66650</v>
      </c>
      <c r="F145" s="41">
        <f>SUM(D145:E145)</f>
        <v>566650</v>
      </c>
      <c r="G145" s="159">
        <v>50</v>
      </c>
      <c r="H145" s="314">
        <v>11333</v>
      </c>
      <c r="I145" s="159">
        <v>1</v>
      </c>
      <c r="J145" s="159">
        <f t="shared" si="19"/>
        <v>49</v>
      </c>
      <c r="K145" s="16">
        <f t="shared" si="20"/>
        <v>11333</v>
      </c>
      <c r="L145" s="94">
        <f t="shared" si="21"/>
        <v>555317</v>
      </c>
      <c r="M145" s="11"/>
      <c r="N145" s="180"/>
    </row>
    <row r="146" spans="1:14" s="114" customFormat="1">
      <c r="A146" s="96">
        <v>141</v>
      </c>
      <c r="B146" s="293" t="s">
        <v>1239</v>
      </c>
      <c r="C146" s="123" t="s">
        <v>1263</v>
      </c>
      <c r="D146" s="19">
        <v>150000</v>
      </c>
      <c r="E146" s="19">
        <v>19995</v>
      </c>
      <c r="F146" s="19">
        <f>SUM(D146:E146)</f>
        <v>169995</v>
      </c>
      <c r="G146" s="159">
        <v>40</v>
      </c>
      <c r="H146" s="314">
        <v>4149.8999999999996</v>
      </c>
      <c r="I146" s="159">
        <v>1</v>
      </c>
      <c r="J146" s="159">
        <f t="shared" si="19"/>
        <v>39</v>
      </c>
      <c r="K146" s="16">
        <f t="shared" si="20"/>
        <v>4149.8999999999996</v>
      </c>
      <c r="L146" s="94">
        <f t="shared" si="21"/>
        <v>165845.1</v>
      </c>
      <c r="M146" s="11"/>
      <c r="N146" s="180"/>
    </row>
    <row r="147" spans="1:14" s="114" customFormat="1">
      <c r="A147" s="96">
        <v>142</v>
      </c>
      <c r="B147" s="293" t="s">
        <v>1229</v>
      </c>
      <c r="C147" s="123" t="s">
        <v>1264</v>
      </c>
      <c r="D147" s="19">
        <v>150000</v>
      </c>
      <c r="E147" s="19">
        <v>19995</v>
      </c>
      <c r="F147" s="19">
        <f>SUM(D147:E147)</f>
        <v>169995</v>
      </c>
      <c r="G147" s="159">
        <v>40</v>
      </c>
      <c r="H147" s="314">
        <v>4149.8999999999996</v>
      </c>
      <c r="I147" s="159">
        <v>1</v>
      </c>
      <c r="J147" s="159">
        <f t="shared" si="19"/>
        <v>39</v>
      </c>
      <c r="K147" s="16">
        <f t="shared" si="20"/>
        <v>4149.8999999999996</v>
      </c>
      <c r="L147" s="94">
        <f t="shared" si="21"/>
        <v>165845.1</v>
      </c>
      <c r="M147" s="11"/>
      <c r="N147" s="180"/>
    </row>
    <row r="148" spans="1:14" s="114" customFormat="1">
      <c r="A148" s="96">
        <v>143</v>
      </c>
      <c r="B148" s="293" t="s">
        <v>1213</v>
      </c>
      <c r="C148" s="123" t="s">
        <v>1129</v>
      </c>
      <c r="D148" s="19">
        <v>330000</v>
      </c>
      <c r="E148" s="19">
        <v>43989</v>
      </c>
      <c r="F148" s="19">
        <f>SUM(D148:E148)</f>
        <v>373989</v>
      </c>
      <c r="G148" s="159">
        <v>50</v>
      </c>
      <c r="H148" s="314">
        <v>7479.78</v>
      </c>
      <c r="I148" s="159">
        <v>1</v>
      </c>
      <c r="J148" s="159">
        <f t="shared" si="19"/>
        <v>49</v>
      </c>
      <c r="K148" s="16">
        <f t="shared" si="20"/>
        <v>7479.78</v>
      </c>
      <c r="L148" s="94">
        <f t="shared" si="21"/>
        <v>366509.22</v>
      </c>
      <c r="M148" s="11"/>
      <c r="N148" s="180"/>
    </row>
    <row r="149" spans="1:14" s="114" customFormat="1">
      <c r="A149" s="96">
        <v>144</v>
      </c>
      <c r="B149" s="293" t="s">
        <v>1237</v>
      </c>
      <c r="C149" s="123" t="s">
        <v>1139</v>
      </c>
      <c r="D149" s="16">
        <v>500000</v>
      </c>
      <c r="E149" s="16">
        <v>66650</v>
      </c>
      <c r="F149" s="41">
        <f>SUM(D149:E149)</f>
        <v>566650</v>
      </c>
      <c r="G149" s="159">
        <v>50</v>
      </c>
      <c r="H149" s="314">
        <v>11333</v>
      </c>
      <c r="I149" s="159">
        <v>1</v>
      </c>
      <c r="J149" s="159">
        <f t="shared" si="19"/>
        <v>49</v>
      </c>
      <c r="K149" s="16">
        <f t="shared" si="20"/>
        <v>11333</v>
      </c>
      <c r="L149" s="94">
        <f t="shared" si="21"/>
        <v>555317</v>
      </c>
      <c r="M149" s="11"/>
      <c r="N149" s="180"/>
    </row>
    <row r="150" spans="1:14" s="114" customFormat="1">
      <c r="A150" s="96">
        <v>145</v>
      </c>
      <c r="B150" s="293" t="s">
        <v>1255</v>
      </c>
      <c r="C150" s="123" t="s">
        <v>293</v>
      </c>
      <c r="D150" s="19">
        <v>450000</v>
      </c>
      <c r="E150" s="19">
        <v>59985</v>
      </c>
      <c r="F150" s="19">
        <v>509985</v>
      </c>
      <c r="G150" s="159">
        <v>50</v>
      </c>
      <c r="H150" s="314">
        <v>10199.700000000001</v>
      </c>
      <c r="I150" s="159">
        <v>1</v>
      </c>
      <c r="J150" s="159">
        <f t="shared" si="19"/>
        <v>49</v>
      </c>
      <c r="K150" s="16">
        <f t="shared" si="20"/>
        <v>10199.700000000001</v>
      </c>
      <c r="L150" s="94">
        <f t="shared" si="21"/>
        <v>499785.3</v>
      </c>
      <c r="M150" s="11"/>
      <c r="N150" s="180"/>
    </row>
    <row r="151" spans="1:14" s="114" customFormat="1">
      <c r="A151" s="96">
        <v>146</v>
      </c>
      <c r="B151" s="293" t="s">
        <v>1259</v>
      </c>
      <c r="C151" s="123" t="s">
        <v>1265</v>
      </c>
      <c r="D151" s="16">
        <v>500000</v>
      </c>
      <c r="E151" s="16">
        <v>66650</v>
      </c>
      <c r="F151" s="41">
        <f>SUM(D151:E151)</f>
        <v>566650</v>
      </c>
      <c r="G151" s="159">
        <v>50</v>
      </c>
      <c r="H151" s="314">
        <v>11333</v>
      </c>
      <c r="I151" s="159">
        <v>1</v>
      </c>
      <c r="J151" s="159">
        <f t="shared" si="19"/>
        <v>49</v>
      </c>
      <c r="K151" s="16">
        <f t="shared" si="20"/>
        <v>11333</v>
      </c>
      <c r="L151" s="94">
        <f t="shared" si="21"/>
        <v>555317</v>
      </c>
      <c r="M151" s="11"/>
      <c r="N151" s="180"/>
    </row>
    <row r="152" spans="1:14" s="114" customFormat="1">
      <c r="A152" s="96">
        <v>147</v>
      </c>
      <c r="B152" s="293" t="s">
        <v>1190</v>
      </c>
      <c r="C152" s="123" t="s">
        <v>1124</v>
      </c>
      <c r="D152" s="16">
        <v>500000</v>
      </c>
      <c r="E152" s="16">
        <v>66650</v>
      </c>
      <c r="F152" s="41">
        <f>SUM(D152:E152)</f>
        <v>566650</v>
      </c>
      <c r="G152" s="159">
        <v>50</v>
      </c>
      <c r="H152" s="314">
        <v>11333</v>
      </c>
      <c r="I152" s="159">
        <v>1</v>
      </c>
      <c r="J152" s="159">
        <f t="shared" si="19"/>
        <v>49</v>
      </c>
      <c r="K152" s="16">
        <f t="shared" si="20"/>
        <v>11333</v>
      </c>
      <c r="L152" s="94">
        <f t="shared" si="21"/>
        <v>555317</v>
      </c>
      <c r="M152" s="11"/>
      <c r="N152" s="180"/>
    </row>
    <row r="153" spans="1:14" s="114" customFormat="1">
      <c r="A153" s="96">
        <v>148</v>
      </c>
      <c r="B153" s="293" t="s">
        <v>1241</v>
      </c>
      <c r="C153" s="123" t="s">
        <v>450</v>
      </c>
      <c r="D153" s="19">
        <v>450000</v>
      </c>
      <c r="E153" s="19">
        <v>59985</v>
      </c>
      <c r="F153" s="19">
        <v>509985</v>
      </c>
      <c r="G153" s="159">
        <v>50</v>
      </c>
      <c r="H153" s="314">
        <v>10199.700000000001</v>
      </c>
      <c r="I153" s="159">
        <v>1</v>
      </c>
      <c r="J153" s="159">
        <f t="shared" si="19"/>
        <v>49</v>
      </c>
      <c r="K153" s="16">
        <f t="shared" si="20"/>
        <v>10199.700000000001</v>
      </c>
      <c r="L153" s="94">
        <f t="shared" si="21"/>
        <v>499785.3</v>
      </c>
      <c r="M153" s="11"/>
      <c r="N153" s="180"/>
    </row>
    <row r="154" spans="1:14" s="114" customFormat="1">
      <c r="A154" s="96">
        <v>149</v>
      </c>
      <c r="B154" s="293" t="s">
        <v>1160</v>
      </c>
      <c r="C154" s="123" t="s">
        <v>465</v>
      </c>
      <c r="D154" s="19">
        <v>450000</v>
      </c>
      <c r="E154" s="19">
        <v>59985</v>
      </c>
      <c r="F154" s="19">
        <v>509985</v>
      </c>
      <c r="G154" s="159">
        <v>50</v>
      </c>
      <c r="H154" s="314">
        <v>10199.700000000001</v>
      </c>
      <c r="I154" s="159">
        <v>1</v>
      </c>
      <c r="J154" s="159">
        <f t="shared" si="19"/>
        <v>49</v>
      </c>
      <c r="K154" s="16">
        <f t="shared" si="20"/>
        <v>10199.700000000001</v>
      </c>
      <c r="L154" s="94">
        <f t="shared" si="21"/>
        <v>499785.3</v>
      </c>
      <c r="M154" s="11"/>
      <c r="N154" s="180"/>
    </row>
    <row r="155" spans="1:14" s="114" customFormat="1">
      <c r="A155" s="96">
        <v>150</v>
      </c>
      <c r="B155" s="293"/>
      <c r="C155" s="123" t="s">
        <v>1268</v>
      </c>
      <c r="D155" s="16">
        <v>500000</v>
      </c>
      <c r="E155" s="16">
        <v>66650</v>
      </c>
      <c r="F155" s="41">
        <f>SUM(D155:E155)</f>
        <v>566650</v>
      </c>
      <c r="G155" s="159">
        <v>50</v>
      </c>
      <c r="H155" s="317">
        <v>11749.67</v>
      </c>
      <c r="I155" s="159">
        <v>14</v>
      </c>
      <c r="J155" s="159">
        <f t="shared" si="19"/>
        <v>36</v>
      </c>
      <c r="K155" s="16">
        <f>I155*H155</f>
        <v>164495.38</v>
      </c>
      <c r="L155" s="94">
        <f>F155-K155</f>
        <v>402154.62</v>
      </c>
      <c r="M155" s="11"/>
      <c r="N155" s="180"/>
    </row>
    <row r="156" spans="1:14" s="114" customFormat="1">
      <c r="A156" s="96">
        <v>151</v>
      </c>
      <c r="B156" s="293"/>
      <c r="C156" s="123" t="s">
        <v>1269</v>
      </c>
      <c r="D156" s="19">
        <v>450000</v>
      </c>
      <c r="E156" s="19">
        <v>59985</v>
      </c>
      <c r="F156" s="19">
        <v>509985</v>
      </c>
      <c r="G156" s="159">
        <v>50</v>
      </c>
      <c r="H156" s="317">
        <v>10199.700000000001</v>
      </c>
      <c r="I156" s="159">
        <v>21</v>
      </c>
      <c r="J156" s="159">
        <f t="shared" si="19"/>
        <v>29</v>
      </c>
      <c r="K156" s="16">
        <f>I156*H156</f>
        <v>214193.7</v>
      </c>
      <c r="L156" s="94">
        <f>F156-K156</f>
        <v>295791.3</v>
      </c>
      <c r="M156" s="11"/>
      <c r="N156" s="180"/>
    </row>
    <row r="157" spans="1:14" s="114" customFormat="1">
      <c r="A157" s="96">
        <v>152</v>
      </c>
      <c r="B157" s="293"/>
      <c r="C157" s="123" t="s">
        <v>1270</v>
      </c>
      <c r="D157" s="19">
        <v>150000</v>
      </c>
      <c r="E157" s="19">
        <v>19995</v>
      </c>
      <c r="F157" s="19">
        <f>SUM(D157:E157)</f>
        <v>169995</v>
      </c>
      <c r="G157" s="159">
        <v>50</v>
      </c>
      <c r="H157" s="317">
        <v>3399.9</v>
      </c>
      <c r="I157" s="159">
        <v>25</v>
      </c>
      <c r="J157" s="159">
        <f t="shared" si="19"/>
        <v>25</v>
      </c>
      <c r="K157" s="16">
        <f>I157*H157</f>
        <v>84997.5</v>
      </c>
      <c r="L157" s="94">
        <f>F157-K157</f>
        <v>84997.5</v>
      </c>
      <c r="M157" s="11"/>
      <c r="N157" s="180"/>
    </row>
    <row r="158" spans="1:14" s="114" customFormat="1">
      <c r="A158" s="126"/>
      <c r="B158" s="295"/>
      <c r="C158" s="8"/>
      <c r="D158" s="34">
        <f>SUM(D6:D157)</f>
        <v>63030000</v>
      </c>
      <c r="E158" s="34">
        <f>SUM(E6:E157)</f>
        <v>8370924.2000000002</v>
      </c>
      <c r="F158" s="34">
        <f>SUM(F6:F157)</f>
        <v>71600924.200000003</v>
      </c>
      <c r="G158" s="34"/>
      <c r="H158" s="34">
        <f>SUM(H6:H157)</f>
        <v>1449061.4599999993</v>
      </c>
      <c r="I158" s="34"/>
      <c r="J158" s="34"/>
      <c r="K158" s="34">
        <f>SUM(K6:K157)</f>
        <v>37808285.06000004</v>
      </c>
      <c r="L158" s="34">
        <f>SUM(L6:L157)</f>
        <v>33792639.139999993</v>
      </c>
      <c r="M158" s="8"/>
    </row>
    <row r="159" spans="1:14" s="114" customFormat="1">
      <c r="A159" s="270"/>
      <c r="B159" s="297"/>
      <c r="C159" s="69"/>
      <c r="D159" s="67"/>
      <c r="E159" s="67"/>
      <c r="F159" s="67"/>
      <c r="G159" s="67"/>
      <c r="H159" s="276"/>
      <c r="I159" s="67"/>
      <c r="J159" s="67"/>
      <c r="K159" s="67"/>
      <c r="L159" s="67"/>
      <c r="M159" s="69"/>
    </row>
    <row r="160" spans="1:14" s="114" customFormat="1">
      <c r="A160" s="270"/>
      <c r="B160"/>
      <c r="C160"/>
      <c r="D160" s="165"/>
      <c r="E160" s="67"/>
      <c r="F160" s="67"/>
      <c r="G160" s="67"/>
      <c r="H160" s="67"/>
      <c r="I160" s="67"/>
      <c r="J160" s="67"/>
      <c r="K160" s="67"/>
      <c r="L160" s="67"/>
      <c r="M160" s="69"/>
    </row>
    <row r="161" spans="1:15" s="114" customFormat="1">
      <c r="A161" s="44"/>
      <c r="D161" s="312"/>
      <c r="E161"/>
      <c r="F161"/>
      <c r="G161" s="43"/>
      <c r="H161" s="39"/>
      <c r="I161" s="99"/>
      <c r="J161" s="99"/>
      <c r="K161"/>
      <c r="L161"/>
      <c r="M161"/>
    </row>
    <row r="162" spans="1:15" s="114" customFormat="1">
      <c r="D162" s="312"/>
    </row>
    <row r="163" spans="1:15" s="114" customFormat="1">
      <c r="D163" s="312"/>
      <c r="H163" s="180"/>
      <c r="N163" s="180"/>
    </row>
    <row r="164" spans="1:15" s="114" customFormat="1">
      <c r="D164" s="312"/>
    </row>
    <row r="165" spans="1:15" s="114" customFormat="1">
      <c r="D165" s="312"/>
    </row>
    <row r="166" spans="1:15" s="120" customFormat="1">
      <c r="A166" s="44"/>
      <c r="B166" s="114"/>
      <c r="C166" s="114"/>
      <c r="D166" s="312"/>
      <c r="E166"/>
      <c r="F166"/>
      <c r="G166" s="43"/>
      <c r="H166"/>
      <c r="I166" s="99"/>
      <c r="J166" s="99"/>
      <c r="K166"/>
      <c r="L166"/>
      <c r="M166"/>
      <c r="N166" s="114"/>
      <c r="O166" s="114"/>
    </row>
    <row r="167" spans="1:15" s="114" customFormat="1">
      <c r="A167" s="44"/>
      <c r="D167" s="312"/>
      <c r="E167"/>
      <c r="F167"/>
      <c r="G167" s="43"/>
      <c r="H167"/>
      <c r="I167" s="99"/>
      <c r="J167" s="99"/>
      <c r="K167"/>
      <c r="L167"/>
      <c r="M167"/>
    </row>
    <row r="168" spans="1:15" s="114" customFormat="1">
      <c r="A168" s="44"/>
      <c r="D168" s="312"/>
      <c r="E168"/>
      <c r="F168"/>
      <c r="G168" s="43"/>
      <c r="H168"/>
      <c r="I168" s="99"/>
      <c r="J168" s="99"/>
      <c r="K168"/>
      <c r="L168"/>
      <c r="M168"/>
      <c r="N168"/>
    </row>
    <row r="169" spans="1:15" s="114" customFormat="1">
      <c r="A169" s="44"/>
      <c r="D169" s="312"/>
      <c r="E169"/>
      <c r="F169"/>
      <c r="G169" s="43"/>
      <c r="H169"/>
      <c r="I169" s="99"/>
      <c r="J169" s="99"/>
      <c r="K169"/>
      <c r="L169"/>
      <c r="M169"/>
      <c r="N169"/>
    </row>
    <row r="170" spans="1:15" s="114" customFormat="1">
      <c r="A170" s="44"/>
      <c r="D170" s="312"/>
      <c r="E170"/>
      <c r="F170"/>
      <c r="G170" s="43"/>
      <c r="H170"/>
      <c r="I170" s="99"/>
      <c r="J170" s="99"/>
      <c r="K170"/>
      <c r="L170"/>
      <c r="M170"/>
      <c r="N170"/>
    </row>
    <row r="171" spans="1:15" s="114" customFormat="1">
      <c r="A171" s="44"/>
      <c r="D171" s="312"/>
      <c r="E171"/>
      <c r="F171"/>
      <c r="G171" s="43"/>
      <c r="H171"/>
      <c r="I171" s="99"/>
      <c r="J171" s="99"/>
      <c r="K171"/>
      <c r="L171"/>
      <c r="M171"/>
      <c r="N171"/>
    </row>
    <row r="172" spans="1:15" s="114" customFormat="1">
      <c r="A172" s="44"/>
      <c r="D172" s="312"/>
      <c r="E172"/>
      <c r="F172"/>
      <c r="G172" s="43"/>
      <c r="H172"/>
      <c r="I172" s="99"/>
      <c r="J172" s="99"/>
      <c r="K172"/>
      <c r="L172"/>
      <c r="M172"/>
      <c r="N172"/>
    </row>
    <row r="173" spans="1:15">
      <c r="B173" s="114"/>
      <c r="C173" s="114"/>
      <c r="D173" s="312"/>
    </row>
    <row r="174" spans="1:15">
      <c r="B174" s="114"/>
      <c r="C174" s="114"/>
      <c r="D174" s="312"/>
    </row>
    <row r="175" spans="1:15">
      <c r="B175" s="114"/>
      <c r="C175" s="114"/>
      <c r="D175" s="312"/>
    </row>
    <row r="176" spans="1:15">
      <c r="B176" s="114"/>
      <c r="C176" s="114"/>
      <c r="D176" s="312"/>
    </row>
    <row r="177" spans="2:4">
      <c r="B177" s="114"/>
      <c r="C177" s="114"/>
      <c r="D177" s="312"/>
    </row>
    <row r="178" spans="2:4">
      <c r="B178" s="114"/>
      <c r="C178" s="114"/>
      <c r="D178" s="312"/>
    </row>
    <row r="179" spans="2:4">
      <c r="B179" s="114"/>
      <c r="C179" s="114"/>
      <c r="D179" s="312"/>
    </row>
    <row r="180" spans="2:4">
      <c r="B180" s="114"/>
      <c r="C180" s="114"/>
      <c r="D180" s="312"/>
    </row>
    <row r="181" spans="2:4">
      <c r="B181" s="114"/>
      <c r="C181" s="114"/>
      <c r="D181" s="312"/>
    </row>
    <row r="182" spans="2:4">
      <c r="B182" s="114"/>
      <c r="C182" s="114"/>
      <c r="D182" s="312"/>
    </row>
    <row r="183" spans="2:4">
      <c r="B183" s="114"/>
      <c r="C183" s="114"/>
      <c r="D183" s="312"/>
    </row>
    <row r="184" spans="2:4">
      <c r="B184" s="114"/>
      <c r="C184" s="114"/>
      <c r="D184" s="312"/>
    </row>
    <row r="185" spans="2:4">
      <c r="B185" s="114"/>
      <c r="C185" s="114"/>
      <c r="D185" s="312"/>
    </row>
    <row r="186" spans="2:4">
      <c r="B186" s="114"/>
      <c r="C186" s="114"/>
      <c r="D186" s="312"/>
    </row>
    <row r="187" spans="2:4">
      <c r="B187" s="114"/>
      <c r="C187" s="114"/>
      <c r="D187" s="312"/>
    </row>
    <row r="188" spans="2:4">
      <c r="B188" s="114"/>
      <c r="C188" s="114"/>
      <c r="D188" s="312"/>
    </row>
    <row r="189" spans="2:4">
      <c r="B189" s="114"/>
      <c r="C189" s="114"/>
      <c r="D189" s="312"/>
    </row>
    <row r="190" spans="2:4">
      <c r="B190" s="114"/>
      <c r="C190" s="114"/>
      <c r="D190" s="312"/>
    </row>
    <row r="191" spans="2:4">
      <c r="B191" s="114"/>
      <c r="C191" s="114"/>
      <c r="D191" s="312"/>
    </row>
    <row r="192" spans="2:4">
      <c r="B192" s="114"/>
      <c r="C192" s="114"/>
      <c r="D192" s="312"/>
    </row>
    <row r="193" spans="2:4">
      <c r="B193" s="114"/>
      <c r="C193" s="114"/>
      <c r="D193" s="312"/>
    </row>
    <row r="194" spans="2:4">
      <c r="B194" s="114"/>
      <c r="C194" s="114"/>
      <c r="D194" s="312"/>
    </row>
    <row r="195" spans="2:4">
      <c r="B195" s="114"/>
      <c r="C195" s="114"/>
      <c r="D195" s="312"/>
    </row>
    <row r="196" spans="2:4">
      <c r="B196" s="114"/>
      <c r="C196" s="114"/>
      <c r="D196" s="312"/>
    </row>
    <row r="197" spans="2:4">
      <c r="B197" s="114"/>
      <c r="C197" s="114"/>
      <c r="D197" s="312"/>
    </row>
    <row r="198" spans="2:4">
      <c r="B198" s="114"/>
      <c r="C198" s="114"/>
      <c r="D198" s="312"/>
    </row>
    <row r="199" spans="2:4">
      <c r="B199" s="114"/>
      <c r="C199" s="114"/>
      <c r="D199" s="312"/>
    </row>
    <row r="200" spans="2:4">
      <c r="B200" s="114"/>
      <c r="C200" s="114"/>
      <c r="D200" s="312"/>
    </row>
    <row r="201" spans="2:4">
      <c r="B201" s="114"/>
      <c r="C201" s="114"/>
      <c r="D201" s="312"/>
    </row>
    <row r="202" spans="2:4">
      <c r="B202" s="114"/>
      <c r="C202" s="114"/>
      <c r="D202" s="312"/>
    </row>
    <row r="203" spans="2:4">
      <c r="B203" s="114"/>
      <c r="C203" s="114"/>
      <c r="D203" s="312"/>
    </row>
    <row r="204" spans="2:4">
      <c r="B204" s="114"/>
      <c r="C204" s="114"/>
      <c r="D204" s="312"/>
    </row>
    <row r="205" spans="2:4">
      <c r="B205" s="114"/>
      <c r="C205" s="114"/>
      <c r="D205" s="312"/>
    </row>
    <row r="206" spans="2:4">
      <c r="B206" s="114"/>
      <c r="C206" s="114"/>
      <c r="D206" s="312"/>
    </row>
    <row r="207" spans="2:4">
      <c r="B207" s="114"/>
      <c r="C207" s="114"/>
      <c r="D207" s="312"/>
    </row>
    <row r="208" spans="2:4">
      <c r="B208" s="114"/>
      <c r="C208" s="114"/>
      <c r="D208" s="312"/>
    </row>
    <row r="209" spans="2:4">
      <c r="B209" s="114"/>
      <c r="C209" s="114"/>
      <c r="D209" s="312"/>
    </row>
    <row r="210" spans="2:4">
      <c r="B210" s="114"/>
      <c r="C210" s="114"/>
      <c r="D210" s="312"/>
    </row>
    <row r="211" spans="2:4">
      <c r="B211" s="114"/>
      <c r="C211" s="114"/>
      <c r="D211" s="312"/>
    </row>
    <row r="212" spans="2:4">
      <c r="B212" s="114"/>
      <c r="C212" s="114"/>
      <c r="D212" s="312"/>
    </row>
    <row r="213" spans="2:4">
      <c r="B213" s="114"/>
      <c r="C213" s="114"/>
      <c r="D213" s="312"/>
    </row>
    <row r="214" spans="2:4">
      <c r="B214" s="114"/>
      <c r="C214" s="114"/>
      <c r="D214" s="312"/>
    </row>
    <row r="215" spans="2:4">
      <c r="B215" s="114"/>
      <c r="C215" s="114"/>
      <c r="D215" s="312"/>
    </row>
    <row r="216" spans="2:4">
      <c r="B216" s="114"/>
      <c r="C216" s="114"/>
      <c r="D216" s="312"/>
    </row>
    <row r="217" spans="2:4">
      <c r="B217" s="114"/>
      <c r="C217" s="114"/>
      <c r="D217" s="312"/>
    </row>
    <row r="218" spans="2:4">
      <c r="B218" s="114"/>
      <c r="C218" s="114"/>
      <c r="D218" s="312"/>
    </row>
    <row r="219" spans="2:4">
      <c r="B219" s="114"/>
      <c r="C219" s="114"/>
      <c r="D219" s="312"/>
    </row>
    <row r="220" spans="2:4">
      <c r="B220" s="114"/>
      <c r="C220" s="114"/>
      <c r="D220" s="312"/>
    </row>
    <row r="221" spans="2:4">
      <c r="B221" s="114"/>
      <c r="C221" s="114"/>
      <c r="D221" s="312"/>
    </row>
    <row r="222" spans="2:4">
      <c r="B222" s="114"/>
      <c r="C222" s="114"/>
      <c r="D222" s="312"/>
    </row>
    <row r="223" spans="2:4">
      <c r="B223" s="114"/>
      <c r="C223" s="114"/>
      <c r="D223" s="312"/>
    </row>
    <row r="224" spans="2:4">
      <c r="B224" s="114"/>
      <c r="C224" s="114"/>
      <c r="D224" s="312"/>
    </row>
    <row r="225" spans="2:4">
      <c r="B225" s="114"/>
      <c r="C225" s="114"/>
      <c r="D225" s="312"/>
    </row>
    <row r="226" spans="2:4">
      <c r="B226" s="114"/>
      <c r="C226" s="114"/>
      <c r="D226" s="312"/>
    </row>
    <row r="227" spans="2:4">
      <c r="B227" s="114"/>
      <c r="C227" s="114"/>
      <c r="D227" s="312"/>
    </row>
    <row r="228" spans="2:4">
      <c r="B228" s="114"/>
      <c r="C228" s="114"/>
      <c r="D228" s="312"/>
    </row>
    <row r="229" spans="2:4">
      <c r="B229" s="114"/>
      <c r="C229" s="114"/>
      <c r="D229" s="312"/>
    </row>
    <row r="230" spans="2:4">
      <c r="B230" s="114"/>
      <c r="C230" s="114"/>
      <c r="D230" s="312"/>
    </row>
    <row r="231" spans="2:4">
      <c r="B231" s="114"/>
      <c r="C231" s="114"/>
      <c r="D231" s="312"/>
    </row>
    <row r="232" spans="2:4">
      <c r="B232" s="114"/>
      <c r="C232" s="114"/>
      <c r="D232" s="312"/>
    </row>
    <row r="233" spans="2:4">
      <c r="B233" s="114"/>
      <c r="C233" s="114"/>
      <c r="D233" s="312"/>
    </row>
    <row r="234" spans="2:4">
      <c r="B234" s="114"/>
      <c r="C234" s="114"/>
      <c r="D234" s="312"/>
    </row>
    <row r="235" spans="2:4">
      <c r="B235" s="114"/>
      <c r="C235" s="114"/>
      <c r="D235" s="312"/>
    </row>
    <row r="236" spans="2:4">
      <c r="B236" s="114"/>
      <c r="C236" s="114"/>
      <c r="D236" s="312"/>
    </row>
    <row r="237" spans="2:4">
      <c r="B237" s="114"/>
      <c r="C237" s="114"/>
      <c r="D237" s="312"/>
    </row>
    <row r="238" spans="2:4">
      <c r="B238" s="114"/>
      <c r="C238" s="114"/>
      <c r="D238" s="312"/>
    </row>
    <row r="239" spans="2:4">
      <c r="B239" s="114"/>
      <c r="C239" s="114"/>
      <c r="D239" s="312"/>
    </row>
    <row r="240" spans="2:4">
      <c r="B240" s="114"/>
      <c r="C240" s="114"/>
      <c r="D240" s="312"/>
    </row>
    <row r="241" spans="2:4">
      <c r="B241" s="114"/>
      <c r="C241" s="114"/>
      <c r="D241" s="312"/>
    </row>
    <row r="242" spans="2:4">
      <c r="B242" s="114"/>
      <c r="C242" s="114"/>
      <c r="D242" s="312"/>
    </row>
    <row r="243" spans="2:4">
      <c r="B243" s="114"/>
      <c r="C243" s="114"/>
      <c r="D243" s="312"/>
    </row>
    <row r="244" spans="2:4">
      <c r="B244" s="114"/>
      <c r="C244" s="114"/>
      <c r="D244" s="312"/>
    </row>
    <row r="245" spans="2:4">
      <c r="B245" s="114"/>
      <c r="C245" s="114"/>
      <c r="D245" s="312"/>
    </row>
    <row r="246" spans="2:4">
      <c r="B246" s="114"/>
      <c r="C246" s="114"/>
      <c r="D246" s="312"/>
    </row>
    <row r="247" spans="2:4">
      <c r="B247" s="114"/>
      <c r="C247" s="114"/>
      <c r="D247" s="312"/>
    </row>
    <row r="248" spans="2:4">
      <c r="B248" s="114"/>
      <c r="C248" s="114"/>
      <c r="D248" s="312"/>
    </row>
    <row r="249" spans="2:4">
      <c r="B249" s="114"/>
      <c r="C249" s="114"/>
      <c r="D249" s="312"/>
    </row>
    <row r="250" spans="2:4">
      <c r="B250" s="114"/>
      <c r="C250" s="114"/>
      <c r="D250" s="312"/>
    </row>
    <row r="251" spans="2:4">
      <c r="B251" s="114"/>
      <c r="C251" s="114"/>
      <c r="D251" s="312"/>
    </row>
    <row r="252" spans="2:4">
      <c r="B252" s="114"/>
      <c r="C252" s="114"/>
      <c r="D252" s="312"/>
    </row>
    <row r="253" spans="2:4">
      <c r="B253" s="114"/>
      <c r="C253" s="114"/>
      <c r="D253" s="312"/>
    </row>
    <row r="254" spans="2:4">
      <c r="B254" s="114"/>
      <c r="C254" s="114"/>
      <c r="D254" s="312"/>
    </row>
    <row r="255" spans="2:4">
      <c r="B255" s="114"/>
      <c r="C255" s="114"/>
      <c r="D255" s="312"/>
    </row>
    <row r="256" spans="2:4">
      <c r="B256" s="114"/>
      <c r="C256" s="114"/>
      <c r="D256" s="312"/>
    </row>
    <row r="257" spans="2:4">
      <c r="B257" s="114"/>
      <c r="C257" s="114"/>
      <c r="D257" s="312"/>
    </row>
    <row r="258" spans="2:4">
      <c r="B258" s="114"/>
      <c r="C258" s="114"/>
      <c r="D258" s="312"/>
    </row>
    <row r="259" spans="2:4">
      <c r="B259" s="114"/>
      <c r="C259" s="114"/>
      <c r="D259" s="312"/>
    </row>
    <row r="260" spans="2:4">
      <c r="B260" s="114"/>
      <c r="C260" s="114"/>
      <c r="D260" s="312"/>
    </row>
    <row r="261" spans="2:4">
      <c r="B261" s="114"/>
      <c r="C261" s="114"/>
      <c r="D261" s="312"/>
    </row>
    <row r="262" spans="2:4">
      <c r="B262" s="114"/>
      <c r="C262" s="114"/>
      <c r="D262" s="312"/>
    </row>
    <row r="263" spans="2:4">
      <c r="B263" s="120"/>
      <c r="C263" s="120"/>
      <c r="D263" s="313"/>
    </row>
    <row r="264" spans="2:4">
      <c r="B264" s="114"/>
      <c r="C264" s="114"/>
      <c r="D264" s="312"/>
    </row>
    <row r="265" spans="2:4">
      <c r="B265" s="114"/>
      <c r="C265" s="114"/>
      <c r="D265" s="312"/>
    </row>
    <row r="266" spans="2:4">
      <c r="B266" s="114"/>
      <c r="C266" s="114"/>
      <c r="D266" s="312"/>
    </row>
    <row r="267" spans="2:4">
      <c r="B267" s="114"/>
      <c r="C267" s="114"/>
      <c r="D267" s="312"/>
    </row>
    <row r="268" spans="2:4">
      <c r="B268" s="114"/>
      <c r="C268" s="114"/>
      <c r="D268" s="312"/>
    </row>
    <row r="269" spans="2:4">
      <c r="B269" s="114"/>
      <c r="C269" s="114"/>
      <c r="D269" s="312"/>
    </row>
    <row r="270" spans="2:4">
      <c r="B270" s="114"/>
      <c r="C270" s="114"/>
      <c r="D270" s="312"/>
    </row>
    <row r="271" spans="2:4">
      <c r="B271" s="114"/>
      <c r="C271" s="114"/>
      <c r="D271" s="312"/>
    </row>
    <row r="272" spans="2:4">
      <c r="B272" s="114"/>
      <c r="C272" s="114"/>
      <c r="D272" s="312"/>
    </row>
    <row r="273" spans="2:4">
      <c r="B273" s="114"/>
      <c r="C273" s="114"/>
      <c r="D273" s="312"/>
    </row>
    <row r="274" spans="2:4">
      <c r="B274" s="114"/>
      <c r="C274" s="114"/>
      <c r="D274" s="312"/>
    </row>
    <row r="275" spans="2:4">
      <c r="B275" s="114"/>
      <c r="C275" s="114"/>
      <c r="D275" s="312"/>
    </row>
    <row r="276" spans="2:4">
      <c r="B276" s="114"/>
      <c r="C276" s="114"/>
      <c r="D276" s="312"/>
    </row>
    <row r="277" spans="2:4">
      <c r="B277" s="114"/>
      <c r="C277" s="114"/>
      <c r="D277" s="312"/>
    </row>
    <row r="278" spans="2:4">
      <c r="B278" s="114"/>
      <c r="C278" s="114"/>
      <c r="D278" s="312"/>
    </row>
    <row r="279" spans="2:4">
      <c r="B279" s="114"/>
      <c r="C279" s="114"/>
      <c r="D279" s="312"/>
    </row>
    <row r="280" spans="2:4">
      <c r="B280" s="114"/>
      <c r="C280" s="114"/>
      <c r="D280" s="312"/>
    </row>
    <row r="281" spans="2:4">
      <c r="B281" s="114"/>
      <c r="C281" s="114"/>
      <c r="D281" s="312"/>
    </row>
    <row r="282" spans="2:4">
      <c r="B282" s="114"/>
      <c r="C282" s="114"/>
      <c r="D282" s="312"/>
    </row>
    <row r="283" spans="2:4">
      <c r="B283"/>
      <c r="C283"/>
      <c r="D283" s="80"/>
    </row>
    <row r="284" spans="2:4">
      <c r="B284" s="114"/>
      <c r="C284" s="114"/>
      <c r="D284" s="312"/>
    </row>
    <row r="285" spans="2:4">
      <c r="B285" s="114"/>
      <c r="C285" s="114"/>
      <c r="D285" s="312"/>
    </row>
    <row r="286" spans="2:4">
      <c r="B286" s="114"/>
      <c r="C286" s="114"/>
      <c r="D286" s="312"/>
    </row>
    <row r="287" spans="2:4">
      <c r="B287" s="114"/>
      <c r="C287" s="114"/>
      <c r="D287" s="312"/>
    </row>
    <row r="288" spans="2:4">
      <c r="B288" s="114"/>
      <c r="C288" s="114"/>
      <c r="D288" s="312"/>
    </row>
    <row r="289" spans="2:4">
      <c r="B289" s="114"/>
      <c r="C289" s="114"/>
      <c r="D289" s="312"/>
    </row>
    <row r="290" spans="2:4">
      <c r="B290" s="114"/>
      <c r="C290" s="114"/>
      <c r="D290" s="312"/>
    </row>
    <row r="291" spans="2:4">
      <c r="B291" s="114"/>
      <c r="C291" s="114"/>
      <c r="D291" s="312"/>
    </row>
    <row r="292" spans="2:4">
      <c r="B292" s="114"/>
      <c r="C292" s="114"/>
      <c r="D292" s="312"/>
    </row>
    <row r="293" spans="2:4">
      <c r="B293" s="114"/>
      <c r="C293" s="114"/>
      <c r="D293" s="312"/>
    </row>
    <row r="294" spans="2:4">
      <c r="B294" s="114"/>
      <c r="C294" s="114"/>
      <c r="D294" s="312"/>
    </row>
    <row r="295" spans="2:4">
      <c r="B295" s="114"/>
      <c r="C295" s="114"/>
      <c r="D295" s="312"/>
    </row>
    <row r="296" spans="2:4">
      <c r="B296" s="114"/>
      <c r="C296" s="114"/>
      <c r="D296" s="312"/>
    </row>
    <row r="297" spans="2:4">
      <c r="B297" s="114"/>
      <c r="C297" s="114"/>
      <c r="D297" s="312"/>
    </row>
    <row r="298" spans="2:4">
      <c r="B298" s="114"/>
      <c r="C298" s="114"/>
      <c r="D298" s="312"/>
    </row>
    <row r="299" spans="2:4">
      <c r="B299" s="114"/>
      <c r="C299" s="114"/>
      <c r="D299" s="312"/>
    </row>
    <row r="300" spans="2:4">
      <c r="B300" s="114"/>
      <c r="C300" s="114"/>
      <c r="D300" s="312"/>
    </row>
    <row r="301" spans="2:4">
      <c r="B301" s="114"/>
      <c r="C301" s="114"/>
      <c r="D301" s="312"/>
    </row>
    <row r="302" spans="2:4">
      <c r="B302" s="114"/>
      <c r="C302" s="114"/>
      <c r="D302" s="312"/>
    </row>
    <row r="303" spans="2:4">
      <c r="B303" s="114"/>
      <c r="C303" s="114"/>
      <c r="D303" s="312"/>
    </row>
    <row r="304" spans="2:4">
      <c r="B304" s="114"/>
      <c r="C304" s="114"/>
      <c r="D304" s="312"/>
    </row>
    <row r="305" spans="1:14">
      <c r="B305" s="114"/>
      <c r="C305" s="114"/>
      <c r="D305" s="312"/>
    </row>
    <row r="306" spans="1:14">
      <c r="B306" s="114"/>
      <c r="C306" s="114"/>
      <c r="D306" s="312"/>
    </row>
    <row r="307" spans="1:14">
      <c r="B307" s="114"/>
      <c r="C307" s="114"/>
      <c r="D307" s="312"/>
    </row>
    <row r="308" spans="1:14">
      <c r="B308" s="114"/>
      <c r="C308" s="114"/>
      <c r="D308" s="312"/>
    </row>
    <row r="309" spans="1:14">
      <c r="B309" s="114"/>
      <c r="C309" s="114"/>
      <c r="D309" s="312"/>
    </row>
    <row r="314" spans="1:14">
      <c r="A314" s="96">
        <v>125</v>
      </c>
      <c r="B314" s="292" t="s">
        <v>1039</v>
      </c>
      <c r="C314" s="11" t="s">
        <v>308</v>
      </c>
      <c r="D314" s="16">
        <v>500000</v>
      </c>
      <c r="E314" s="16">
        <v>66650</v>
      </c>
      <c r="F314" s="41">
        <f>SUM(D314:E314)</f>
        <v>566650</v>
      </c>
      <c r="G314" s="159">
        <v>50</v>
      </c>
      <c r="H314" s="305">
        <v>11333</v>
      </c>
      <c r="I314" s="96">
        <v>39</v>
      </c>
      <c r="J314" s="96">
        <f>G314-I314</f>
        <v>11</v>
      </c>
      <c r="K314" s="16">
        <f>I314*H314</f>
        <v>441987</v>
      </c>
      <c r="L314" s="41">
        <f>F314-K314</f>
        <v>124663</v>
      </c>
      <c r="M314" s="11"/>
      <c r="N314" s="114"/>
    </row>
    <row r="315" spans="1:14">
      <c r="A315" s="96">
        <v>134</v>
      </c>
      <c r="B315" s="293" t="s">
        <v>1083</v>
      </c>
      <c r="C315" s="11" t="s">
        <v>855</v>
      </c>
      <c r="D315" s="16">
        <v>500000</v>
      </c>
      <c r="E315" s="16">
        <v>66650</v>
      </c>
      <c r="F315" s="16">
        <v>566650</v>
      </c>
      <c r="G315" s="159">
        <v>50</v>
      </c>
      <c r="H315" s="304">
        <v>11330</v>
      </c>
      <c r="I315" s="96">
        <v>38</v>
      </c>
      <c r="J315" s="97">
        <f>G315-I315</f>
        <v>12</v>
      </c>
      <c r="K315" s="91">
        <f>I315*H315</f>
        <v>430540</v>
      </c>
      <c r="L315" s="94">
        <f>F315-K315</f>
        <v>136110</v>
      </c>
      <c r="M315" s="11"/>
      <c r="N315" s="180" t="e">
        <f>#REF!-H315</f>
        <v>#REF!</v>
      </c>
    </row>
    <row r="316" spans="1:14">
      <c r="A316" s="96">
        <v>136</v>
      </c>
      <c r="B316" s="292" t="s">
        <v>1089</v>
      </c>
      <c r="C316" s="11" t="s">
        <v>340</v>
      </c>
      <c r="D316" s="16">
        <v>500000</v>
      </c>
      <c r="E316" s="16">
        <v>66650</v>
      </c>
      <c r="F316" s="41">
        <f>SUM(D316:E316)</f>
        <v>566650</v>
      </c>
      <c r="G316" s="159">
        <v>50</v>
      </c>
      <c r="H316" s="305">
        <v>6946.03</v>
      </c>
      <c r="I316" s="97">
        <v>39</v>
      </c>
      <c r="J316" s="97">
        <f>G316-I316</f>
        <v>11</v>
      </c>
      <c r="K316" s="91">
        <f>I316*H316</f>
        <v>270895.17</v>
      </c>
      <c r="L316" s="94">
        <f>F316-K316</f>
        <v>295754.83</v>
      </c>
      <c r="M316" s="11"/>
      <c r="N316" s="180" t="e">
        <f>#REF!-H316</f>
        <v>#REF!</v>
      </c>
    </row>
    <row r="317" spans="1:14">
      <c r="A317" s="96">
        <v>140</v>
      </c>
      <c r="B317" s="293" t="s">
        <v>1081</v>
      </c>
      <c r="C317" s="123" t="s">
        <v>862</v>
      </c>
      <c r="D317" s="16">
        <v>500000</v>
      </c>
      <c r="E317" s="16">
        <v>66650</v>
      </c>
      <c r="F317" s="41">
        <f>SUM(D317:E317)</f>
        <v>566650</v>
      </c>
      <c r="G317" s="159">
        <v>50</v>
      </c>
      <c r="H317" s="304">
        <v>11333</v>
      </c>
      <c r="I317" s="159">
        <v>8</v>
      </c>
      <c r="J317" s="159">
        <f>G317-I317</f>
        <v>42</v>
      </c>
      <c r="K317" s="16">
        <f>I317*H317</f>
        <v>90664</v>
      </c>
      <c r="L317" s="94">
        <f>F317-K317</f>
        <v>475986</v>
      </c>
      <c r="M317" s="11"/>
      <c r="N317" s="114"/>
    </row>
  </sheetData>
  <sortState ref="B6:M138">
    <sortCondition ref="C6:C138"/>
  </sortState>
  <mergeCells count="2">
    <mergeCell ref="A3:M3"/>
    <mergeCell ref="A4:M4"/>
  </mergeCells>
  <conditionalFormatting sqref="C3">
    <cfRule type="duplicateValues" dxfId="239" priority="17"/>
  </conditionalFormatting>
  <conditionalFormatting sqref="C318:C1048576 C310:C313 C1:C5">
    <cfRule type="duplicateValues" dxfId="238" priority="16"/>
  </conditionalFormatting>
  <conditionalFormatting sqref="C318:C1048576 C310:C313 C1:C2 C4:C5">
    <cfRule type="duplicateValues" dxfId="237" priority="15"/>
  </conditionalFormatting>
  <conditionalFormatting sqref="C318:C1048576 C310:C313">
    <cfRule type="duplicateValues" dxfId="236" priority="14"/>
  </conditionalFormatting>
  <conditionalFormatting sqref="C310:C1048576 C1:C160">
    <cfRule type="duplicateValues" dxfId="235" priority="12"/>
    <cfRule type="duplicateValues" dxfId="234" priority="13"/>
  </conditionalFormatting>
  <conditionalFormatting sqref="C1:C1048576">
    <cfRule type="duplicateValues" dxfId="233" priority="11"/>
  </conditionalFormatting>
  <conditionalFormatting sqref="B1:B1048576">
    <cfRule type="duplicateValues" dxfId="232" priority="10"/>
  </conditionalFormatting>
  <pageMargins left="0.43307086614173201" right="0.43307086614173201" top="7.8740157480315001E-2" bottom="0.2" header="0.31496062992126" footer="0.31496062992126"/>
  <pageSetup paperSize="9" scale="7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3:O162"/>
  <sheetViews>
    <sheetView topLeftCell="A65" workbookViewId="0">
      <selection activeCell="C82" sqref="C82"/>
    </sheetView>
  </sheetViews>
  <sheetFormatPr defaultRowHeight="15"/>
  <cols>
    <col min="1" max="1" width="4.5703125" style="44" customWidth="1"/>
    <col min="2" max="2" width="13.140625" style="298" customWidth="1"/>
    <col min="3" max="3" width="37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1267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291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93" t="s">
        <v>1235</v>
      </c>
      <c r="C6" s="123" t="s">
        <v>1236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317">
        <v>7479.78</v>
      </c>
      <c r="I6" s="159">
        <v>9</v>
      </c>
      <c r="J6" s="159">
        <f t="shared" ref="J6:J21" si="0">G6-I6</f>
        <v>41</v>
      </c>
      <c r="K6" s="16">
        <f t="shared" ref="K6:K31" si="1">I6*H6</f>
        <v>67318.02</v>
      </c>
      <c r="L6" s="94">
        <f t="shared" ref="L6:L37" si="2">F6-K6</f>
        <v>306670.98</v>
      </c>
      <c r="M6" s="11"/>
      <c r="N6" s="120"/>
    </row>
    <row r="7" spans="1:14" s="114" customFormat="1">
      <c r="A7" s="96">
        <v>2</v>
      </c>
      <c r="B7" s="293" t="s">
        <v>894</v>
      </c>
      <c r="C7" s="123" t="s">
        <v>916</v>
      </c>
      <c r="D7" s="19">
        <v>450000</v>
      </c>
      <c r="E7" s="19">
        <v>59985</v>
      </c>
      <c r="F7" s="19">
        <v>509985</v>
      </c>
      <c r="G7" s="159">
        <v>50</v>
      </c>
      <c r="H7" s="317">
        <v>10199.700000000001</v>
      </c>
      <c r="I7" s="159">
        <v>10</v>
      </c>
      <c r="J7" s="159">
        <f t="shared" si="0"/>
        <v>40</v>
      </c>
      <c r="K7" s="16">
        <f t="shared" si="1"/>
        <v>101997</v>
      </c>
      <c r="L7" s="94">
        <f t="shared" si="2"/>
        <v>407988</v>
      </c>
      <c r="M7" s="11"/>
      <c r="N7" s="180" t="e">
        <f>#REF!-H7</f>
        <v>#REF!</v>
      </c>
    </row>
    <row r="8" spans="1:14" s="114" customFormat="1">
      <c r="A8" s="96">
        <v>3</v>
      </c>
      <c r="B8" s="292" t="s">
        <v>666</v>
      </c>
      <c r="C8" s="11" t="s">
        <v>667</v>
      </c>
      <c r="D8" s="19">
        <v>150000</v>
      </c>
      <c r="E8" s="19">
        <v>19995</v>
      </c>
      <c r="F8" s="19">
        <f>SUM(D8:E8)</f>
        <v>169995</v>
      </c>
      <c r="G8" s="159">
        <v>50</v>
      </c>
      <c r="H8" s="318">
        <v>3339.9</v>
      </c>
      <c r="I8" s="159">
        <v>13</v>
      </c>
      <c r="J8" s="97">
        <f t="shared" si="0"/>
        <v>37</v>
      </c>
      <c r="K8" s="91">
        <f t="shared" si="1"/>
        <v>43418.700000000004</v>
      </c>
      <c r="L8" s="94">
        <f t="shared" si="2"/>
        <v>126576.29999999999</v>
      </c>
      <c r="M8" s="11"/>
    </row>
    <row r="9" spans="1:14" s="114" customFormat="1">
      <c r="A9" s="96">
        <v>4</v>
      </c>
      <c r="B9" s="293" t="s">
        <v>896</v>
      </c>
      <c r="C9" s="123" t="s">
        <v>919</v>
      </c>
      <c r="D9" s="19">
        <v>450000</v>
      </c>
      <c r="E9" s="19">
        <v>59985</v>
      </c>
      <c r="F9" s="19">
        <v>509985</v>
      </c>
      <c r="G9" s="159">
        <v>50</v>
      </c>
      <c r="H9" s="317">
        <v>10199.700000000001</v>
      </c>
      <c r="I9" s="159">
        <v>10</v>
      </c>
      <c r="J9" s="159">
        <f t="shared" si="0"/>
        <v>40</v>
      </c>
      <c r="K9" s="16">
        <f t="shared" si="1"/>
        <v>101997</v>
      </c>
      <c r="L9" s="94">
        <f t="shared" si="2"/>
        <v>407988</v>
      </c>
      <c r="M9" s="11"/>
    </row>
    <row r="10" spans="1:14" s="114" customFormat="1">
      <c r="A10" s="96">
        <v>5</v>
      </c>
      <c r="B10" s="293" t="s">
        <v>945</v>
      </c>
      <c r="C10" s="123" t="s">
        <v>946</v>
      </c>
      <c r="D10" s="16">
        <v>500000</v>
      </c>
      <c r="E10" s="16">
        <v>66650</v>
      </c>
      <c r="F10" s="41">
        <f>SUM(D10:E10)</f>
        <v>566650</v>
      </c>
      <c r="G10" s="159">
        <v>50</v>
      </c>
      <c r="H10" s="317">
        <v>11333</v>
      </c>
      <c r="I10" s="159">
        <v>10</v>
      </c>
      <c r="J10" s="159">
        <f t="shared" si="0"/>
        <v>40</v>
      </c>
      <c r="K10" s="16">
        <f t="shared" si="1"/>
        <v>113330</v>
      </c>
      <c r="L10" s="94">
        <f t="shared" si="2"/>
        <v>453320</v>
      </c>
      <c r="M10" s="11"/>
      <c r="N10" s="180" t="e">
        <f>#REF!-H10</f>
        <v>#REF!</v>
      </c>
    </row>
    <row r="11" spans="1:14" s="114" customFormat="1">
      <c r="A11" s="96">
        <v>6</v>
      </c>
      <c r="B11" s="292" t="s">
        <v>530</v>
      </c>
      <c r="C11" s="11" t="s">
        <v>531</v>
      </c>
      <c r="D11" s="16">
        <v>500000</v>
      </c>
      <c r="E11" s="16">
        <v>66650</v>
      </c>
      <c r="F11" s="16">
        <v>566650</v>
      </c>
      <c r="G11" s="159">
        <v>50</v>
      </c>
      <c r="H11" s="318">
        <v>11333</v>
      </c>
      <c r="I11" s="97">
        <v>40</v>
      </c>
      <c r="J11" s="97">
        <f t="shared" si="0"/>
        <v>10</v>
      </c>
      <c r="K11" s="91">
        <f t="shared" si="1"/>
        <v>453320</v>
      </c>
      <c r="L11" s="94">
        <f t="shared" si="2"/>
        <v>113330</v>
      </c>
      <c r="M11" s="11"/>
      <c r="N11" s="180" t="e">
        <f>#REF!-H11</f>
        <v>#REF!</v>
      </c>
    </row>
    <row r="12" spans="1:14" s="114" customFormat="1">
      <c r="A12" s="96">
        <v>7</v>
      </c>
      <c r="B12" s="292" t="s">
        <v>590</v>
      </c>
      <c r="C12" s="11" t="s">
        <v>591</v>
      </c>
      <c r="D12" s="19">
        <v>150000</v>
      </c>
      <c r="E12" s="19">
        <v>19995</v>
      </c>
      <c r="F12" s="19">
        <f t="shared" ref="F12:F17" si="3">SUM(D12:E12)</f>
        <v>169995</v>
      </c>
      <c r="G12" s="159">
        <v>50</v>
      </c>
      <c r="H12" s="146">
        <v>3399.9</v>
      </c>
      <c r="I12" s="97">
        <v>40</v>
      </c>
      <c r="J12" s="97">
        <f t="shared" si="0"/>
        <v>10</v>
      </c>
      <c r="K12" s="91">
        <f t="shared" si="1"/>
        <v>135996</v>
      </c>
      <c r="L12" s="94">
        <f t="shared" si="2"/>
        <v>33999</v>
      </c>
      <c r="M12" s="11"/>
    </row>
    <row r="13" spans="1:14" s="114" customFormat="1">
      <c r="A13" s="96">
        <v>8</v>
      </c>
      <c r="B13" s="293" t="s">
        <v>929</v>
      </c>
      <c r="C13" s="11" t="s">
        <v>932</v>
      </c>
      <c r="D13" s="16">
        <v>500000</v>
      </c>
      <c r="E13" s="16">
        <v>66650</v>
      </c>
      <c r="F13" s="41">
        <f t="shared" si="3"/>
        <v>566650</v>
      </c>
      <c r="G13" s="159">
        <v>50</v>
      </c>
      <c r="H13" s="317">
        <v>11333</v>
      </c>
      <c r="I13" s="159">
        <v>40</v>
      </c>
      <c r="J13" s="159">
        <f t="shared" si="0"/>
        <v>10</v>
      </c>
      <c r="K13" s="16">
        <f t="shared" si="1"/>
        <v>453320</v>
      </c>
      <c r="L13" s="94">
        <f t="shared" si="2"/>
        <v>113330</v>
      </c>
      <c r="M13" s="11"/>
      <c r="N13" s="180" t="e">
        <f>#REF!-H13</f>
        <v>#REF!</v>
      </c>
    </row>
    <row r="14" spans="1:14" s="114" customFormat="1">
      <c r="A14" s="96">
        <v>9</v>
      </c>
      <c r="B14" s="293" t="s">
        <v>1207</v>
      </c>
      <c r="C14" s="123" t="s">
        <v>1208</v>
      </c>
      <c r="D14" s="19">
        <v>330000</v>
      </c>
      <c r="E14" s="19">
        <v>43989</v>
      </c>
      <c r="F14" s="19">
        <f t="shared" si="3"/>
        <v>373989</v>
      </c>
      <c r="G14" s="159">
        <v>50</v>
      </c>
      <c r="H14" s="317">
        <v>7479.78</v>
      </c>
      <c r="I14" s="159">
        <v>2</v>
      </c>
      <c r="J14" s="159">
        <f t="shared" si="0"/>
        <v>48</v>
      </c>
      <c r="K14" s="16">
        <f t="shared" si="1"/>
        <v>14959.56</v>
      </c>
      <c r="L14" s="94">
        <f t="shared" si="2"/>
        <v>359029.44</v>
      </c>
      <c r="M14" s="11"/>
    </row>
    <row r="15" spans="1:14" s="114" customFormat="1">
      <c r="A15" s="96">
        <v>10</v>
      </c>
      <c r="B15" s="292" t="s">
        <v>690</v>
      </c>
      <c r="C15" s="11" t="s">
        <v>691</v>
      </c>
      <c r="D15" s="16">
        <v>500000</v>
      </c>
      <c r="E15" s="16">
        <v>66650</v>
      </c>
      <c r="F15" s="41">
        <f t="shared" si="3"/>
        <v>566650</v>
      </c>
      <c r="G15" s="159">
        <v>50</v>
      </c>
      <c r="H15" s="318">
        <v>11333</v>
      </c>
      <c r="I15" s="159">
        <v>13</v>
      </c>
      <c r="J15" s="97">
        <f t="shared" si="0"/>
        <v>37</v>
      </c>
      <c r="K15" s="91">
        <f t="shared" si="1"/>
        <v>147329</v>
      </c>
      <c r="L15" s="94">
        <f t="shared" si="2"/>
        <v>419321</v>
      </c>
      <c r="M15" s="11"/>
      <c r="N15" s="180" t="e">
        <f>#REF!-H15</f>
        <v>#REF!</v>
      </c>
    </row>
    <row r="16" spans="1:14" s="114" customFormat="1">
      <c r="A16" s="96">
        <v>11</v>
      </c>
      <c r="B16" s="293" t="s">
        <v>1162</v>
      </c>
      <c r="C16" s="123" t="s">
        <v>1163</v>
      </c>
      <c r="D16" s="16">
        <v>500000</v>
      </c>
      <c r="E16" s="16">
        <v>66650</v>
      </c>
      <c r="F16" s="41">
        <f t="shared" si="3"/>
        <v>566650</v>
      </c>
      <c r="G16" s="159">
        <v>50</v>
      </c>
      <c r="H16" s="317">
        <v>11333</v>
      </c>
      <c r="I16" s="159">
        <v>2</v>
      </c>
      <c r="J16" s="159">
        <f t="shared" si="0"/>
        <v>48</v>
      </c>
      <c r="K16" s="16">
        <f t="shared" si="1"/>
        <v>22666</v>
      </c>
      <c r="L16" s="94">
        <f t="shared" si="2"/>
        <v>543984</v>
      </c>
      <c r="M16" s="11"/>
      <c r="N16" s="180" t="e">
        <f>#REF!-H16</f>
        <v>#REF!</v>
      </c>
    </row>
    <row r="17" spans="1:14" s="114" customFormat="1">
      <c r="A17" s="96">
        <v>12</v>
      </c>
      <c r="B17" s="292" t="s">
        <v>728</v>
      </c>
      <c r="C17" s="11" t="s">
        <v>729</v>
      </c>
      <c r="D17" s="16">
        <v>500000</v>
      </c>
      <c r="E17" s="16">
        <v>47992</v>
      </c>
      <c r="F17" s="41">
        <f t="shared" si="3"/>
        <v>547992</v>
      </c>
      <c r="G17" s="159">
        <v>36</v>
      </c>
      <c r="H17" s="146">
        <v>15222</v>
      </c>
      <c r="I17" s="97">
        <v>40</v>
      </c>
      <c r="J17" s="97">
        <f t="shared" si="0"/>
        <v>-4</v>
      </c>
      <c r="K17" s="91">
        <f t="shared" si="1"/>
        <v>608880</v>
      </c>
      <c r="L17" s="94">
        <f t="shared" si="2"/>
        <v>-60888</v>
      </c>
      <c r="M17" s="11"/>
      <c r="N17" s="180" t="e">
        <f>#REF!-H17</f>
        <v>#REF!</v>
      </c>
    </row>
    <row r="18" spans="1:14" s="114" customFormat="1">
      <c r="A18" s="96">
        <v>13</v>
      </c>
      <c r="B18" s="292" t="s">
        <v>544</v>
      </c>
      <c r="C18" s="11" t="s">
        <v>545</v>
      </c>
      <c r="D18" s="16">
        <v>450000</v>
      </c>
      <c r="E18" s="16">
        <v>59985</v>
      </c>
      <c r="F18" s="16">
        <v>509985</v>
      </c>
      <c r="G18" s="159">
        <v>50</v>
      </c>
      <c r="H18" s="318">
        <v>10199.700000000001</v>
      </c>
      <c r="I18" s="97">
        <v>34</v>
      </c>
      <c r="J18" s="97">
        <f t="shared" si="0"/>
        <v>16</v>
      </c>
      <c r="K18" s="91">
        <f t="shared" si="1"/>
        <v>346789.80000000005</v>
      </c>
      <c r="L18" s="94">
        <f t="shared" si="2"/>
        <v>163195.19999999995</v>
      </c>
      <c r="M18" s="11"/>
      <c r="N18" s="180" t="e">
        <f>#REF!-H18</f>
        <v>#REF!</v>
      </c>
    </row>
    <row r="19" spans="1:14" s="114" customFormat="1">
      <c r="A19" s="96">
        <v>14</v>
      </c>
      <c r="B19" s="292" t="s">
        <v>645</v>
      </c>
      <c r="C19" s="11" t="s">
        <v>646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318">
        <v>11333</v>
      </c>
      <c r="I19" s="97">
        <v>40</v>
      </c>
      <c r="J19" s="97">
        <f t="shared" si="0"/>
        <v>10</v>
      </c>
      <c r="K19" s="91">
        <f t="shared" si="1"/>
        <v>453320</v>
      </c>
      <c r="L19" s="94">
        <f t="shared" si="2"/>
        <v>113330</v>
      </c>
      <c r="M19" s="11"/>
    </row>
    <row r="20" spans="1:14" s="114" customFormat="1">
      <c r="A20" s="96">
        <v>15</v>
      </c>
      <c r="B20" s="293" t="s">
        <v>885</v>
      </c>
      <c r="C20" s="123" t="s">
        <v>907</v>
      </c>
      <c r="D20" s="16">
        <v>500000</v>
      </c>
      <c r="E20" s="16">
        <v>66650</v>
      </c>
      <c r="F20" s="41">
        <f>SUM(D20:E20)</f>
        <v>566650</v>
      </c>
      <c r="G20" s="159">
        <v>50</v>
      </c>
      <c r="H20" s="317">
        <v>11333</v>
      </c>
      <c r="I20" s="159">
        <v>10</v>
      </c>
      <c r="J20" s="159">
        <f t="shared" si="0"/>
        <v>40</v>
      </c>
      <c r="K20" s="16">
        <f t="shared" si="1"/>
        <v>113330</v>
      </c>
      <c r="L20" s="94">
        <f t="shared" si="2"/>
        <v>453320</v>
      </c>
      <c r="M20" s="11"/>
      <c r="N20" s="180" t="e">
        <f>#REF!-H20</f>
        <v>#REF!</v>
      </c>
    </row>
    <row r="21" spans="1:14" s="114" customFormat="1">
      <c r="A21" s="96">
        <v>16</v>
      </c>
      <c r="B21" s="295" t="s">
        <v>930</v>
      </c>
      <c r="C21" s="8" t="s">
        <v>933</v>
      </c>
      <c r="D21" s="19">
        <v>330000</v>
      </c>
      <c r="E21" s="19">
        <v>31672.200000000012</v>
      </c>
      <c r="F21" s="19">
        <f>SUM(D21:E21)</f>
        <v>361672.2</v>
      </c>
      <c r="G21" s="159">
        <v>36</v>
      </c>
      <c r="H21" s="319">
        <v>10046.450000000001</v>
      </c>
      <c r="I21" s="159">
        <v>14</v>
      </c>
      <c r="J21" s="159">
        <f t="shared" si="0"/>
        <v>22</v>
      </c>
      <c r="K21" s="16">
        <f t="shared" si="1"/>
        <v>140650.30000000002</v>
      </c>
      <c r="L21" s="94">
        <f t="shared" si="2"/>
        <v>221021.9</v>
      </c>
      <c r="M21" s="8"/>
      <c r="N21" s="180" t="e">
        <f>#REF!-H21</f>
        <v>#REF!</v>
      </c>
    </row>
    <row r="22" spans="1:14" s="114" customFormat="1">
      <c r="A22" s="96">
        <v>17</v>
      </c>
      <c r="B22" s="292" t="s">
        <v>626</v>
      </c>
      <c r="C22" s="11" t="s">
        <v>627</v>
      </c>
      <c r="D22" s="16">
        <v>330000</v>
      </c>
      <c r="E22" s="16">
        <v>43989</v>
      </c>
      <c r="F22" s="41">
        <f>SUM(D22:E22)</f>
        <v>373989</v>
      </c>
      <c r="G22" s="159">
        <v>50</v>
      </c>
      <c r="H22" s="318">
        <v>7479.78</v>
      </c>
      <c r="I22" s="97">
        <v>41</v>
      </c>
      <c r="J22" s="97">
        <f t="shared" ref="J22:J53" si="4">G22-I22</f>
        <v>9</v>
      </c>
      <c r="K22" s="91">
        <f t="shared" si="1"/>
        <v>306670.98</v>
      </c>
      <c r="L22" s="94">
        <f t="shared" si="2"/>
        <v>67318.020000000019</v>
      </c>
      <c r="M22" s="11"/>
      <c r="N22" s="180" t="e">
        <f>#REF!-H22</f>
        <v>#REF!</v>
      </c>
    </row>
    <row r="23" spans="1:14" s="114" customFormat="1">
      <c r="A23" s="96">
        <v>18</v>
      </c>
      <c r="B23" s="292" t="s">
        <v>617</v>
      </c>
      <c r="C23" s="11" t="s">
        <v>618</v>
      </c>
      <c r="D23" s="16">
        <v>450000</v>
      </c>
      <c r="E23" s="16">
        <v>59985</v>
      </c>
      <c r="F23" s="16">
        <v>509985</v>
      </c>
      <c r="G23" s="159">
        <v>50</v>
      </c>
      <c r="H23" s="318">
        <v>10199.700000000001</v>
      </c>
      <c r="I23" s="97">
        <v>41</v>
      </c>
      <c r="J23" s="97">
        <f t="shared" si="4"/>
        <v>9</v>
      </c>
      <c r="K23" s="91">
        <f t="shared" si="1"/>
        <v>418187.7</v>
      </c>
      <c r="L23" s="94">
        <f t="shared" si="2"/>
        <v>91797.299999999988</v>
      </c>
      <c r="M23" s="11"/>
      <c r="N23" s="180" t="e">
        <f>#REF!-H23</f>
        <v>#REF!</v>
      </c>
    </row>
    <row r="24" spans="1:14" s="114" customFormat="1">
      <c r="A24" s="96">
        <v>19</v>
      </c>
      <c r="B24" s="293" t="s">
        <v>1249</v>
      </c>
      <c r="C24" s="11" t="s">
        <v>1250</v>
      </c>
      <c r="D24" s="19">
        <v>330000</v>
      </c>
      <c r="E24" s="19">
        <v>43989</v>
      </c>
      <c r="F24" s="19">
        <f>SUM(D24:E24)</f>
        <v>373989</v>
      </c>
      <c r="G24" s="159">
        <v>50</v>
      </c>
      <c r="H24" s="317">
        <v>7479.78</v>
      </c>
      <c r="I24" s="96">
        <v>3</v>
      </c>
      <c r="J24" s="97">
        <f t="shared" si="4"/>
        <v>47</v>
      </c>
      <c r="K24" s="91">
        <f t="shared" si="1"/>
        <v>22439.34</v>
      </c>
      <c r="L24" s="94">
        <f t="shared" si="2"/>
        <v>351549.66</v>
      </c>
      <c r="M24" s="11"/>
    </row>
    <row r="25" spans="1:14" s="114" customFormat="1">
      <c r="A25" s="96">
        <v>20</v>
      </c>
      <c r="B25" s="292" t="s">
        <v>721</v>
      </c>
      <c r="C25" s="11" t="s">
        <v>722</v>
      </c>
      <c r="D25" s="16">
        <v>500000</v>
      </c>
      <c r="E25" s="16">
        <v>66650</v>
      </c>
      <c r="F25" s="41">
        <f>SUM(D25:E25)</f>
        <v>566650</v>
      </c>
      <c r="G25" s="159">
        <v>50</v>
      </c>
      <c r="H25" s="318">
        <v>11333</v>
      </c>
      <c r="I25" s="97">
        <v>62</v>
      </c>
      <c r="J25" s="97">
        <f t="shared" si="4"/>
        <v>-12</v>
      </c>
      <c r="K25" s="91">
        <f t="shared" si="1"/>
        <v>702646</v>
      </c>
      <c r="L25" s="94">
        <f t="shared" si="2"/>
        <v>-135996</v>
      </c>
      <c r="M25" s="11"/>
      <c r="N25" s="180" t="e">
        <f>#REF!-H25</f>
        <v>#REF!</v>
      </c>
    </row>
    <row r="26" spans="1:14" s="114" customFormat="1">
      <c r="A26" s="96">
        <v>21</v>
      </c>
      <c r="B26" s="292" t="s">
        <v>509</v>
      </c>
      <c r="C26" s="11" t="s">
        <v>510</v>
      </c>
      <c r="D26" s="19">
        <v>450000</v>
      </c>
      <c r="E26" s="19">
        <v>59985</v>
      </c>
      <c r="F26" s="19">
        <v>509985</v>
      </c>
      <c r="G26" s="159">
        <v>50</v>
      </c>
      <c r="H26" s="318">
        <v>10199.700000000001</v>
      </c>
      <c r="I26" s="97">
        <v>27</v>
      </c>
      <c r="J26" s="97">
        <f t="shared" si="4"/>
        <v>23</v>
      </c>
      <c r="K26" s="91">
        <f t="shared" si="1"/>
        <v>275391.90000000002</v>
      </c>
      <c r="L26" s="91">
        <f t="shared" si="2"/>
        <v>234593.09999999998</v>
      </c>
      <c r="M26" s="11"/>
    </row>
    <row r="27" spans="1:14" s="114" customFormat="1">
      <c r="A27" s="96">
        <v>22</v>
      </c>
      <c r="B27" s="293" t="s">
        <v>902</v>
      </c>
      <c r="C27" s="123" t="s">
        <v>926</v>
      </c>
      <c r="D27" s="19">
        <v>150000</v>
      </c>
      <c r="E27" s="19">
        <v>19995</v>
      </c>
      <c r="F27" s="19">
        <f>SUM(D27:E27)</f>
        <v>169995</v>
      </c>
      <c r="G27" s="159">
        <v>50</v>
      </c>
      <c r="H27" s="317">
        <v>3399.9</v>
      </c>
      <c r="I27" s="159">
        <v>10</v>
      </c>
      <c r="J27" s="159">
        <f t="shared" si="4"/>
        <v>40</v>
      </c>
      <c r="K27" s="16">
        <f t="shared" si="1"/>
        <v>33999</v>
      </c>
      <c r="L27" s="94">
        <f t="shared" si="2"/>
        <v>135996</v>
      </c>
      <c r="M27" s="11"/>
    </row>
    <row r="28" spans="1:14" s="114" customFormat="1">
      <c r="A28" s="96">
        <v>23</v>
      </c>
      <c r="B28" s="292" t="s">
        <v>719</v>
      </c>
      <c r="C28" s="11" t="s">
        <v>720</v>
      </c>
      <c r="D28" s="16">
        <v>500000</v>
      </c>
      <c r="E28" s="16">
        <v>66650</v>
      </c>
      <c r="F28" s="16">
        <v>566650</v>
      </c>
      <c r="G28" s="159">
        <v>50</v>
      </c>
      <c r="H28" s="318">
        <v>11333</v>
      </c>
      <c r="I28" s="101">
        <v>15</v>
      </c>
      <c r="J28" s="97">
        <f t="shared" si="4"/>
        <v>35</v>
      </c>
      <c r="K28" s="91">
        <f t="shared" si="1"/>
        <v>169995</v>
      </c>
      <c r="L28" s="94">
        <f t="shared" si="2"/>
        <v>396655</v>
      </c>
      <c r="M28" s="8"/>
    </row>
    <row r="29" spans="1:14" s="114" customFormat="1">
      <c r="A29" s="96">
        <v>24</v>
      </c>
      <c r="B29" s="292" t="s">
        <v>619</v>
      </c>
      <c r="C29" s="11" t="s">
        <v>620</v>
      </c>
      <c r="D29" s="16">
        <v>500000</v>
      </c>
      <c r="E29" s="16">
        <v>66650</v>
      </c>
      <c r="F29" s="16">
        <v>566650</v>
      </c>
      <c r="G29" s="159">
        <v>50</v>
      </c>
      <c r="H29" s="318">
        <v>11333</v>
      </c>
      <c r="I29" s="97">
        <v>41</v>
      </c>
      <c r="J29" s="97">
        <f t="shared" si="4"/>
        <v>9</v>
      </c>
      <c r="K29" s="91">
        <f t="shared" si="1"/>
        <v>464653</v>
      </c>
      <c r="L29" s="94">
        <f t="shared" si="2"/>
        <v>101997</v>
      </c>
      <c r="M29" s="11"/>
      <c r="N29" s="180" t="e">
        <f>#REF!-H29</f>
        <v>#REF!</v>
      </c>
    </row>
    <row r="30" spans="1:14" s="114" customFormat="1">
      <c r="A30" s="96">
        <v>25</v>
      </c>
      <c r="B30" s="292" t="s">
        <v>507</v>
      </c>
      <c r="C30" s="11" t="s">
        <v>508</v>
      </c>
      <c r="D30" s="16">
        <v>500000</v>
      </c>
      <c r="E30" s="16">
        <v>66650</v>
      </c>
      <c r="F30" s="16">
        <v>566650</v>
      </c>
      <c r="G30" s="159">
        <v>50</v>
      </c>
      <c r="H30" s="318">
        <v>11333</v>
      </c>
      <c r="I30" s="97">
        <v>27</v>
      </c>
      <c r="J30" s="97">
        <f t="shared" si="4"/>
        <v>23</v>
      </c>
      <c r="K30" s="91">
        <f t="shared" si="1"/>
        <v>305991</v>
      </c>
      <c r="L30" s="91">
        <f t="shared" si="2"/>
        <v>260659</v>
      </c>
      <c r="M30" s="11"/>
    </row>
    <row r="31" spans="1:14" s="114" customFormat="1">
      <c r="A31" s="96">
        <v>26</v>
      </c>
      <c r="B31" s="292" t="s">
        <v>726</v>
      </c>
      <c r="C31" s="11" t="s">
        <v>727</v>
      </c>
      <c r="D31" s="19">
        <v>500000</v>
      </c>
      <c r="E31" s="19">
        <v>66650</v>
      </c>
      <c r="F31" s="19">
        <v>566650</v>
      </c>
      <c r="G31" s="159">
        <v>50</v>
      </c>
      <c r="H31" s="318">
        <v>11333</v>
      </c>
      <c r="I31" s="97">
        <v>27</v>
      </c>
      <c r="J31" s="97">
        <f t="shared" si="4"/>
        <v>23</v>
      </c>
      <c r="K31" s="91">
        <f t="shared" si="1"/>
        <v>305991</v>
      </c>
      <c r="L31" s="91">
        <f t="shared" si="2"/>
        <v>260659</v>
      </c>
      <c r="M31" s="11"/>
    </row>
    <row r="32" spans="1:14" s="114" customFormat="1">
      <c r="A32" s="96">
        <v>27</v>
      </c>
      <c r="B32" s="292" t="s">
        <v>647</v>
      </c>
      <c r="C32" s="11" t="s">
        <v>648</v>
      </c>
      <c r="D32" s="16">
        <v>500000</v>
      </c>
      <c r="E32" s="16">
        <v>66650</v>
      </c>
      <c r="F32" s="41">
        <f>SUM(D32:E32)</f>
        <v>566650</v>
      </c>
      <c r="G32" s="159">
        <v>50</v>
      </c>
      <c r="H32" s="318">
        <v>11333</v>
      </c>
      <c r="I32" s="97">
        <v>19</v>
      </c>
      <c r="J32" s="97">
        <f t="shared" si="4"/>
        <v>31</v>
      </c>
      <c r="K32" s="91">
        <f>(1*11333)</f>
        <v>11333</v>
      </c>
      <c r="L32" s="91">
        <f t="shared" si="2"/>
        <v>555317</v>
      </c>
      <c r="M32" s="11"/>
      <c r="N32"/>
    </row>
    <row r="33" spans="1:14" s="114" customFormat="1">
      <c r="A33" s="96">
        <v>28</v>
      </c>
      <c r="B33" s="292" t="s">
        <v>657</v>
      </c>
      <c r="C33" s="11" t="s">
        <v>658</v>
      </c>
      <c r="D33" s="12">
        <v>500000</v>
      </c>
      <c r="E33" s="12">
        <v>66650</v>
      </c>
      <c r="F33" s="15">
        <f>SUM(D33:E33)</f>
        <v>566650</v>
      </c>
      <c r="G33" s="14">
        <v>50</v>
      </c>
      <c r="H33" s="146">
        <v>11333</v>
      </c>
      <c r="I33" s="14">
        <v>46</v>
      </c>
      <c r="J33" s="97">
        <f t="shared" si="4"/>
        <v>4</v>
      </c>
      <c r="K33" s="91">
        <f t="shared" ref="K33:K38" si="5">I33*H33</f>
        <v>521318</v>
      </c>
      <c r="L33" s="15">
        <f t="shared" si="2"/>
        <v>45332</v>
      </c>
      <c r="M33" s="8"/>
      <c r="N33" s="180" t="e">
        <f>#REF!-H33</f>
        <v>#REF!</v>
      </c>
    </row>
    <row r="34" spans="1:14" s="114" customFormat="1">
      <c r="A34" s="96">
        <v>29</v>
      </c>
      <c r="B34" s="292" t="s">
        <v>553</v>
      </c>
      <c r="C34" s="11" t="s">
        <v>554</v>
      </c>
      <c r="D34" s="16">
        <v>500000</v>
      </c>
      <c r="E34" s="16">
        <v>66650</v>
      </c>
      <c r="F34" s="41">
        <f>SUM(D34:E34)</f>
        <v>566650</v>
      </c>
      <c r="G34" s="159">
        <v>50</v>
      </c>
      <c r="H34" s="318">
        <v>11333</v>
      </c>
      <c r="I34" s="97">
        <v>62</v>
      </c>
      <c r="J34" s="97">
        <f t="shared" si="4"/>
        <v>-12</v>
      </c>
      <c r="K34" s="91">
        <f t="shared" si="5"/>
        <v>702646</v>
      </c>
      <c r="L34" s="94">
        <f t="shared" si="2"/>
        <v>-135996</v>
      </c>
      <c r="M34" s="11"/>
    </row>
    <row r="35" spans="1:14" s="114" customFormat="1">
      <c r="A35" s="96">
        <v>30</v>
      </c>
      <c r="B35" s="292" t="s">
        <v>698</v>
      </c>
      <c r="C35" s="11" t="s">
        <v>699</v>
      </c>
      <c r="D35" s="19">
        <v>500000</v>
      </c>
      <c r="E35" s="19">
        <v>66650</v>
      </c>
      <c r="F35" s="19">
        <v>566650</v>
      </c>
      <c r="G35" s="159">
        <v>50</v>
      </c>
      <c r="H35" s="318">
        <v>11333</v>
      </c>
      <c r="I35" s="97">
        <v>27</v>
      </c>
      <c r="J35" s="97">
        <f t="shared" si="4"/>
        <v>23</v>
      </c>
      <c r="K35" s="91">
        <f t="shared" si="5"/>
        <v>305991</v>
      </c>
      <c r="L35" s="91">
        <f t="shared" si="2"/>
        <v>260659</v>
      </c>
      <c r="M35" s="11"/>
      <c r="N35" s="180" t="e">
        <f>#REF!-H35</f>
        <v>#REF!</v>
      </c>
    </row>
    <row r="36" spans="1:14" s="114" customFormat="1">
      <c r="A36" s="96">
        <v>31</v>
      </c>
      <c r="B36" s="292" t="s">
        <v>514</v>
      </c>
      <c r="C36" s="11" t="s">
        <v>515</v>
      </c>
      <c r="D36" s="16">
        <v>500000</v>
      </c>
      <c r="E36" s="16">
        <v>66650</v>
      </c>
      <c r="F36" s="41">
        <f>SUM(D36:E36)</f>
        <v>566650</v>
      </c>
      <c r="G36" s="159">
        <v>50</v>
      </c>
      <c r="H36" s="318">
        <v>11333</v>
      </c>
      <c r="I36" s="97">
        <v>62</v>
      </c>
      <c r="J36" s="97">
        <f t="shared" si="4"/>
        <v>-12</v>
      </c>
      <c r="K36" s="91">
        <f t="shared" si="5"/>
        <v>702646</v>
      </c>
      <c r="L36" s="94">
        <f t="shared" si="2"/>
        <v>-135996</v>
      </c>
      <c r="M36" s="11"/>
      <c r="N36" s="180" t="e">
        <f>#REF!-H36</f>
        <v>#REF!</v>
      </c>
    </row>
    <row r="37" spans="1:14" s="114" customFormat="1">
      <c r="A37" s="96">
        <v>32</v>
      </c>
      <c r="B37" s="292" t="s">
        <v>551</v>
      </c>
      <c r="C37" s="11" t="s">
        <v>552</v>
      </c>
      <c r="D37" s="19">
        <v>500000</v>
      </c>
      <c r="E37" s="19">
        <v>66650</v>
      </c>
      <c r="F37" s="19">
        <v>566650</v>
      </c>
      <c r="G37" s="159">
        <v>50</v>
      </c>
      <c r="H37" s="318">
        <v>11333</v>
      </c>
      <c r="I37" s="97">
        <v>27</v>
      </c>
      <c r="J37" s="97">
        <f t="shared" si="4"/>
        <v>23</v>
      </c>
      <c r="K37" s="91">
        <f t="shared" si="5"/>
        <v>305991</v>
      </c>
      <c r="L37" s="91">
        <f t="shared" si="2"/>
        <v>260659</v>
      </c>
      <c r="M37" s="11"/>
    </row>
    <row r="38" spans="1:14" s="114" customFormat="1">
      <c r="A38" s="96">
        <v>33</v>
      </c>
      <c r="B38" s="293" t="s">
        <v>1231</v>
      </c>
      <c r="C38" s="123" t="s">
        <v>1232</v>
      </c>
      <c r="D38" s="19">
        <v>450000</v>
      </c>
      <c r="E38" s="19">
        <v>59985</v>
      </c>
      <c r="F38" s="19">
        <v>509985</v>
      </c>
      <c r="G38" s="159">
        <v>50</v>
      </c>
      <c r="H38" s="317">
        <v>10199.700000000001</v>
      </c>
      <c r="I38" s="159">
        <v>2</v>
      </c>
      <c r="J38" s="159">
        <f t="shared" si="4"/>
        <v>48</v>
      </c>
      <c r="K38" s="16">
        <f t="shared" si="5"/>
        <v>20399.400000000001</v>
      </c>
      <c r="L38" s="94">
        <f t="shared" ref="L38:L69" si="6">F38-K38</f>
        <v>489585.6</v>
      </c>
      <c r="M38" s="11"/>
      <c r="N38" s="180" t="e">
        <f>#REF!-H38</f>
        <v>#REF!</v>
      </c>
    </row>
    <row r="39" spans="1:14" s="114" customFormat="1">
      <c r="A39" s="96">
        <v>34</v>
      </c>
      <c r="B39" s="292" t="s">
        <v>534</v>
      </c>
      <c r="C39" s="11" t="s">
        <v>535</v>
      </c>
      <c r="D39" s="16">
        <v>450000</v>
      </c>
      <c r="E39" s="16">
        <v>59985</v>
      </c>
      <c r="F39" s="16">
        <v>509985</v>
      </c>
      <c r="G39" s="159">
        <v>50</v>
      </c>
      <c r="H39" s="318">
        <v>10199.700000000001</v>
      </c>
      <c r="I39" s="97">
        <v>19</v>
      </c>
      <c r="J39" s="97">
        <f t="shared" si="4"/>
        <v>31</v>
      </c>
      <c r="K39" s="91">
        <f>(1*10199.7)</f>
        <v>10199.700000000001</v>
      </c>
      <c r="L39" s="94">
        <f t="shared" si="6"/>
        <v>499785.3</v>
      </c>
      <c r="M39" s="11"/>
    </row>
    <row r="40" spans="1:14" s="114" customFormat="1">
      <c r="A40" s="96">
        <v>35</v>
      </c>
      <c r="B40" s="293" t="s">
        <v>678</v>
      </c>
      <c r="C40" s="123" t="s">
        <v>679</v>
      </c>
      <c r="D40" s="16">
        <v>500000</v>
      </c>
      <c r="E40" s="16">
        <v>66650</v>
      </c>
      <c r="F40" s="41">
        <f>SUM(D40:E40)</f>
        <v>566650</v>
      </c>
      <c r="G40" s="159">
        <v>50</v>
      </c>
      <c r="H40" s="317">
        <v>15222</v>
      </c>
      <c r="I40" s="159">
        <v>10</v>
      </c>
      <c r="J40" s="159">
        <f t="shared" si="4"/>
        <v>40</v>
      </c>
      <c r="K40" s="16">
        <f t="shared" ref="K40:K70" si="7">I40*H40</f>
        <v>152220</v>
      </c>
      <c r="L40" s="94">
        <f t="shared" si="6"/>
        <v>414430</v>
      </c>
      <c r="M40" s="11"/>
    </row>
    <row r="41" spans="1:14" s="114" customFormat="1">
      <c r="A41" s="96">
        <v>36</v>
      </c>
      <c r="B41" s="293" t="s">
        <v>899</v>
      </c>
      <c r="C41" s="123" t="s">
        <v>922</v>
      </c>
      <c r="D41" s="19">
        <v>330000</v>
      </c>
      <c r="E41" s="19">
        <v>43989</v>
      </c>
      <c r="F41" s="19">
        <f>SUM(D41:E41)</f>
        <v>373989</v>
      </c>
      <c r="G41" s="159">
        <v>50</v>
      </c>
      <c r="H41" s="317">
        <v>7479.78</v>
      </c>
      <c r="I41" s="159">
        <v>10</v>
      </c>
      <c r="J41" s="159">
        <f t="shared" si="4"/>
        <v>40</v>
      </c>
      <c r="K41" s="16">
        <f t="shared" si="7"/>
        <v>74797.8</v>
      </c>
      <c r="L41" s="94">
        <f t="shared" si="6"/>
        <v>299191.2</v>
      </c>
      <c r="M41" s="11"/>
      <c r="N41" s="180" t="e">
        <f>#REF!-H41</f>
        <v>#REF!</v>
      </c>
    </row>
    <row r="42" spans="1:14" s="114" customFormat="1">
      <c r="A42" s="96">
        <v>37</v>
      </c>
      <c r="B42" s="295" t="s">
        <v>941</v>
      </c>
      <c r="C42" s="8" t="s">
        <v>942</v>
      </c>
      <c r="D42" s="19">
        <v>330000</v>
      </c>
      <c r="E42" s="19">
        <v>43989</v>
      </c>
      <c r="F42" s="19">
        <f>SUM(D42:E42)</f>
        <v>373989</v>
      </c>
      <c r="G42" s="159">
        <v>50</v>
      </c>
      <c r="H42" s="319">
        <v>7479.78</v>
      </c>
      <c r="I42" s="159">
        <v>7</v>
      </c>
      <c r="J42" s="159">
        <f t="shared" si="4"/>
        <v>43</v>
      </c>
      <c r="K42" s="16">
        <f t="shared" si="7"/>
        <v>52358.46</v>
      </c>
      <c r="L42" s="94">
        <f t="shared" si="6"/>
        <v>321630.53999999998</v>
      </c>
      <c r="M42" s="8"/>
    </row>
    <row r="43" spans="1:14" s="114" customFormat="1">
      <c r="A43" s="96">
        <v>38</v>
      </c>
      <c r="B43" s="292" t="s">
        <v>692</v>
      </c>
      <c r="C43" s="11" t="s">
        <v>693</v>
      </c>
      <c r="D43" s="16">
        <v>330000</v>
      </c>
      <c r="E43" s="16">
        <v>43989</v>
      </c>
      <c r="F43" s="41">
        <f>SUM(D43:E43)</f>
        <v>373989</v>
      </c>
      <c r="G43" s="159">
        <v>50</v>
      </c>
      <c r="H43" s="318">
        <v>7478.78</v>
      </c>
      <c r="I43" s="159">
        <v>50</v>
      </c>
      <c r="J43" s="96">
        <f t="shared" si="4"/>
        <v>0</v>
      </c>
      <c r="K43" s="16">
        <f t="shared" si="7"/>
        <v>373939</v>
      </c>
      <c r="L43" s="41">
        <f t="shared" si="6"/>
        <v>50</v>
      </c>
      <c r="M43" s="11"/>
      <c r="N43" s="180" t="e">
        <f>#REF!-H43</f>
        <v>#REF!</v>
      </c>
    </row>
    <row r="44" spans="1:14" s="114" customFormat="1">
      <c r="A44" s="96">
        <v>39</v>
      </c>
      <c r="B44" s="292" t="s">
        <v>623</v>
      </c>
      <c r="C44" s="123" t="s">
        <v>954</v>
      </c>
      <c r="D44" s="19">
        <v>450000</v>
      </c>
      <c r="E44" s="19">
        <v>59985</v>
      </c>
      <c r="F44" s="19">
        <v>509985</v>
      </c>
      <c r="G44" s="159">
        <v>50</v>
      </c>
      <c r="H44" s="317">
        <v>10199.700000000001</v>
      </c>
      <c r="I44" s="159">
        <v>7</v>
      </c>
      <c r="J44" s="97">
        <f t="shared" si="4"/>
        <v>43</v>
      </c>
      <c r="K44" s="91">
        <f t="shared" si="7"/>
        <v>71397.900000000009</v>
      </c>
      <c r="L44" s="94">
        <f t="shared" si="6"/>
        <v>438587.1</v>
      </c>
      <c r="M44" s="11"/>
    </row>
    <row r="45" spans="1:14" s="114" customFormat="1">
      <c r="A45" s="96">
        <v>40</v>
      </c>
      <c r="B45" s="292" t="s">
        <v>503</v>
      </c>
      <c r="C45" s="11" t="s">
        <v>504</v>
      </c>
      <c r="D45" s="16">
        <v>150000</v>
      </c>
      <c r="E45" s="16">
        <v>19995</v>
      </c>
      <c r="F45" s="41">
        <f>SUM(D45:E45)</f>
        <v>169995</v>
      </c>
      <c r="G45" s="159">
        <v>50</v>
      </c>
      <c r="H45" s="318">
        <v>3399.9</v>
      </c>
      <c r="I45" s="97">
        <v>50</v>
      </c>
      <c r="J45" s="97">
        <f t="shared" si="4"/>
        <v>0</v>
      </c>
      <c r="K45" s="91">
        <f t="shared" si="7"/>
        <v>169995</v>
      </c>
      <c r="L45" s="94">
        <f t="shared" si="6"/>
        <v>0</v>
      </c>
      <c r="M45" s="11"/>
      <c r="N45" s="180" t="e">
        <f>#REF!-H45</f>
        <v>#REF!</v>
      </c>
    </row>
    <row r="46" spans="1:14" s="114" customFormat="1">
      <c r="A46" s="96">
        <v>41</v>
      </c>
      <c r="B46" s="292" t="s">
        <v>694</v>
      </c>
      <c r="C46" s="11" t="s">
        <v>695</v>
      </c>
      <c r="D46" s="16">
        <v>330000</v>
      </c>
      <c r="E46" s="16">
        <v>43989</v>
      </c>
      <c r="F46" s="41">
        <f>SUM(D46:E46)</f>
        <v>373989</v>
      </c>
      <c r="G46" s="159">
        <v>50</v>
      </c>
      <c r="H46" s="318">
        <v>7479.78</v>
      </c>
      <c r="I46" s="97">
        <v>62</v>
      </c>
      <c r="J46" s="97">
        <f t="shared" si="4"/>
        <v>-12</v>
      </c>
      <c r="K46" s="91">
        <f t="shared" si="7"/>
        <v>463746.36</v>
      </c>
      <c r="L46" s="94">
        <f t="shared" si="6"/>
        <v>-89757.359999999986</v>
      </c>
      <c r="M46" s="11"/>
    </row>
    <row r="47" spans="1:14" s="114" customFormat="1">
      <c r="A47" s="96">
        <v>42</v>
      </c>
      <c r="B47" s="293" t="s">
        <v>1243</v>
      </c>
      <c r="C47" s="123" t="s">
        <v>1244</v>
      </c>
      <c r="D47" s="19">
        <v>330000</v>
      </c>
      <c r="E47" s="19">
        <v>43989</v>
      </c>
      <c r="F47" s="19">
        <f>SUM(D47:E47)</f>
        <v>373989</v>
      </c>
      <c r="G47" s="159">
        <v>50</v>
      </c>
      <c r="H47" s="317">
        <v>7479.78</v>
      </c>
      <c r="I47" s="159">
        <v>2</v>
      </c>
      <c r="J47" s="159">
        <f t="shared" si="4"/>
        <v>48</v>
      </c>
      <c r="K47" s="16">
        <f t="shared" si="7"/>
        <v>14959.56</v>
      </c>
      <c r="L47" s="94">
        <f t="shared" si="6"/>
        <v>359029.44</v>
      </c>
      <c r="M47" s="11"/>
      <c r="N47" s="180" t="e">
        <f>#REF!-H47</f>
        <v>#REF!</v>
      </c>
    </row>
    <row r="48" spans="1:14" s="114" customFormat="1">
      <c r="A48" s="96">
        <v>43</v>
      </c>
      <c r="B48" s="293" t="s">
        <v>895</v>
      </c>
      <c r="C48" s="123" t="s">
        <v>918</v>
      </c>
      <c r="D48" s="19">
        <v>450000</v>
      </c>
      <c r="E48" s="19">
        <v>59985</v>
      </c>
      <c r="F48" s="19">
        <v>509985</v>
      </c>
      <c r="G48" s="159">
        <v>50</v>
      </c>
      <c r="H48" s="317">
        <v>10199.700000000001</v>
      </c>
      <c r="I48" s="159">
        <v>10</v>
      </c>
      <c r="J48" s="159">
        <f t="shared" si="4"/>
        <v>40</v>
      </c>
      <c r="K48" s="16">
        <f t="shared" si="7"/>
        <v>101997</v>
      </c>
      <c r="L48" s="94">
        <f t="shared" si="6"/>
        <v>407988</v>
      </c>
      <c r="M48" s="11"/>
    </row>
    <row r="49" spans="1:14" s="114" customFormat="1">
      <c r="A49" s="96">
        <v>44</v>
      </c>
      <c r="B49" s="293" t="s">
        <v>628</v>
      </c>
      <c r="C49" s="123" t="s">
        <v>917</v>
      </c>
      <c r="D49" s="19">
        <v>450000</v>
      </c>
      <c r="E49" s="19">
        <v>59985</v>
      </c>
      <c r="F49" s="19">
        <v>509985</v>
      </c>
      <c r="G49" s="159">
        <v>50</v>
      </c>
      <c r="H49" s="317">
        <v>10199.700000000001</v>
      </c>
      <c r="I49" s="159">
        <v>2</v>
      </c>
      <c r="J49" s="159">
        <f t="shared" si="4"/>
        <v>48</v>
      </c>
      <c r="K49" s="16">
        <f t="shared" si="7"/>
        <v>20399.400000000001</v>
      </c>
      <c r="L49" s="94">
        <f t="shared" si="6"/>
        <v>489585.6</v>
      </c>
      <c r="M49" s="11"/>
    </row>
    <row r="50" spans="1:14" s="114" customFormat="1">
      <c r="A50" s="96">
        <v>45</v>
      </c>
      <c r="B50" s="292" t="s">
        <v>717</v>
      </c>
      <c r="C50" s="11" t="s">
        <v>718</v>
      </c>
      <c r="D50" s="16">
        <v>450000</v>
      </c>
      <c r="E50" s="16">
        <v>59985</v>
      </c>
      <c r="F50" s="16">
        <v>509985</v>
      </c>
      <c r="G50" s="159">
        <v>50</v>
      </c>
      <c r="H50" s="318">
        <v>10199.700000000001</v>
      </c>
      <c r="I50" s="97">
        <v>29</v>
      </c>
      <c r="J50" s="97">
        <f t="shared" si="4"/>
        <v>21</v>
      </c>
      <c r="K50" s="91">
        <f t="shared" si="7"/>
        <v>295791.30000000005</v>
      </c>
      <c r="L50" s="94">
        <f t="shared" si="6"/>
        <v>214193.69999999995</v>
      </c>
      <c r="M50" s="11"/>
      <c r="N50" s="180" t="e">
        <f>#REF!-H50</f>
        <v>#REF!</v>
      </c>
    </row>
    <row r="51" spans="1:14" s="114" customFormat="1">
      <c r="A51" s="96">
        <v>46</v>
      </c>
      <c r="B51" s="293" t="s">
        <v>1182</v>
      </c>
      <c r="C51" s="123" t="s">
        <v>1183</v>
      </c>
      <c r="D51" s="19">
        <v>450000</v>
      </c>
      <c r="E51" s="19">
        <v>59985</v>
      </c>
      <c r="F51" s="19">
        <v>509985</v>
      </c>
      <c r="G51" s="159">
        <v>50</v>
      </c>
      <c r="H51" s="317">
        <v>10199.700000000001</v>
      </c>
      <c r="I51" s="159">
        <v>2</v>
      </c>
      <c r="J51" s="159">
        <f t="shared" si="4"/>
        <v>48</v>
      </c>
      <c r="K51" s="16">
        <f t="shared" si="7"/>
        <v>20399.400000000001</v>
      </c>
      <c r="L51" s="94">
        <f t="shared" si="6"/>
        <v>489585.6</v>
      </c>
      <c r="M51" s="11"/>
      <c r="N51" s="180" t="e">
        <f>#REF!-H51</f>
        <v>#REF!</v>
      </c>
    </row>
    <row r="52" spans="1:14" s="114" customFormat="1">
      <c r="A52" s="96">
        <v>47</v>
      </c>
      <c r="B52" s="292" t="s">
        <v>518</v>
      </c>
      <c r="C52" s="11" t="s">
        <v>519</v>
      </c>
      <c r="D52" s="19">
        <v>500000</v>
      </c>
      <c r="E52" s="19">
        <v>66650</v>
      </c>
      <c r="F52" s="19">
        <v>566650</v>
      </c>
      <c r="G52" s="159">
        <v>50</v>
      </c>
      <c r="H52" s="318">
        <v>11333</v>
      </c>
      <c r="I52" s="97">
        <v>27</v>
      </c>
      <c r="J52" s="97">
        <f t="shared" si="4"/>
        <v>23</v>
      </c>
      <c r="K52" s="91">
        <f t="shared" si="7"/>
        <v>305991</v>
      </c>
      <c r="L52" s="91">
        <f t="shared" si="6"/>
        <v>260659</v>
      </c>
      <c r="M52" s="11"/>
      <c r="N52" s="180" t="e">
        <f>#REF!-H52</f>
        <v>#REF!</v>
      </c>
    </row>
    <row r="53" spans="1:14" s="114" customFormat="1">
      <c r="A53" s="96">
        <v>48</v>
      </c>
      <c r="B53" s="292" t="s">
        <v>613</v>
      </c>
      <c r="C53" s="11" t="s">
        <v>614</v>
      </c>
      <c r="D53" s="16">
        <v>500000</v>
      </c>
      <c r="E53" s="16">
        <v>66650</v>
      </c>
      <c r="F53" s="41">
        <f>SUM(D53:E53)</f>
        <v>566650</v>
      </c>
      <c r="G53" s="159">
        <v>50</v>
      </c>
      <c r="H53" s="318">
        <v>11333</v>
      </c>
      <c r="I53" s="97">
        <v>61</v>
      </c>
      <c r="J53" s="97">
        <f t="shared" si="4"/>
        <v>-11</v>
      </c>
      <c r="K53" s="91">
        <f t="shared" si="7"/>
        <v>691313</v>
      </c>
      <c r="L53" s="94">
        <f t="shared" si="6"/>
        <v>-124663</v>
      </c>
      <c r="M53" s="11"/>
      <c r="N53" s="180" t="e">
        <f>#REF!-H53</f>
        <v>#REF!</v>
      </c>
    </row>
    <row r="54" spans="1:14" s="114" customFormat="1">
      <c r="A54" s="96">
        <v>49</v>
      </c>
      <c r="B54" s="292" t="s">
        <v>709</v>
      </c>
      <c r="C54" s="11" t="s">
        <v>710</v>
      </c>
      <c r="D54" s="19">
        <v>500000</v>
      </c>
      <c r="E54" s="19">
        <v>66650</v>
      </c>
      <c r="F54" s="19">
        <v>566650</v>
      </c>
      <c r="G54" s="159">
        <v>50</v>
      </c>
      <c r="H54" s="318">
        <v>11333</v>
      </c>
      <c r="I54" s="96">
        <v>27</v>
      </c>
      <c r="J54" s="96">
        <f t="shared" ref="J54:J85" si="8">G54-I54</f>
        <v>23</v>
      </c>
      <c r="K54" s="16">
        <f t="shared" si="7"/>
        <v>305991</v>
      </c>
      <c r="L54" s="16">
        <f t="shared" si="6"/>
        <v>260659</v>
      </c>
      <c r="M54" s="11"/>
      <c r="N54" s="180" t="e">
        <f>#REF!-H54</f>
        <v>#REF!</v>
      </c>
    </row>
    <row r="55" spans="1:14" s="114" customFormat="1">
      <c r="A55" s="96">
        <v>50</v>
      </c>
      <c r="B55" s="292" t="s">
        <v>642</v>
      </c>
      <c r="C55" s="11" t="s">
        <v>643</v>
      </c>
      <c r="D55" s="16">
        <v>500000</v>
      </c>
      <c r="E55" s="16">
        <v>66650</v>
      </c>
      <c r="F55" s="16">
        <v>566650</v>
      </c>
      <c r="G55" s="159">
        <v>50</v>
      </c>
      <c r="H55" s="252">
        <v>11333</v>
      </c>
      <c r="I55" s="101">
        <v>15</v>
      </c>
      <c r="J55" s="97">
        <f t="shared" si="8"/>
        <v>35</v>
      </c>
      <c r="K55" s="91">
        <f t="shared" si="7"/>
        <v>169995</v>
      </c>
      <c r="L55" s="94">
        <f t="shared" si="6"/>
        <v>396655</v>
      </c>
      <c r="M55" s="8"/>
      <c r="N55" s="180" t="e">
        <f>#REF!-H55</f>
        <v>#REF!</v>
      </c>
    </row>
    <row r="56" spans="1:14" s="114" customFormat="1">
      <c r="A56" s="96">
        <v>51</v>
      </c>
      <c r="B56" s="292" t="s">
        <v>664</v>
      </c>
      <c r="C56" s="11" t="s">
        <v>665</v>
      </c>
      <c r="D56" s="19">
        <v>330000</v>
      </c>
      <c r="E56" s="19">
        <v>43989</v>
      </c>
      <c r="F56" s="19">
        <f>SUM(D56:E56)</f>
        <v>373989</v>
      </c>
      <c r="G56" s="159">
        <v>50</v>
      </c>
      <c r="H56" s="252">
        <v>7479.78</v>
      </c>
      <c r="I56" s="101">
        <v>15</v>
      </c>
      <c r="J56" s="97">
        <f t="shared" si="8"/>
        <v>35</v>
      </c>
      <c r="K56" s="91">
        <f t="shared" si="7"/>
        <v>112196.7</v>
      </c>
      <c r="L56" s="94">
        <f t="shared" si="6"/>
        <v>261792.3</v>
      </c>
      <c r="M56" s="8"/>
    </row>
    <row r="57" spans="1:14" s="114" customFormat="1">
      <c r="A57" s="96">
        <v>52</v>
      </c>
      <c r="B57" s="292" t="s">
        <v>598</v>
      </c>
      <c r="C57" s="11" t="s">
        <v>599</v>
      </c>
      <c r="D57" s="16">
        <v>500000</v>
      </c>
      <c r="E57" s="16">
        <v>66650</v>
      </c>
      <c r="F57" s="41">
        <f>SUM(D57:E57)</f>
        <v>566650</v>
      </c>
      <c r="G57" s="159">
        <v>50</v>
      </c>
      <c r="H57" s="318">
        <v>11333</v>
      </c>
      <c r="I57" s="97">
        <v>62</v>
      </c>
      <c r="J57" s="97">
        <f t="shared" si="8"/>
        <v>-12</v>
      </c>
      <c r="K57" s="91">
        <f t="shared" si="7"/>
        <v>702646</v>
      </c>
      <c r="L57" s="94">
        <f t="shared" si="6"/>
        <v>-135996</v>
      </c>
      <c r="M57" s="11"/>
    </row>
    <row r="58" spans="1:14" s="114" customFormat="1">
      <c r="A58" s="96">
        <v>53</v>
      </c>
      <c r="B58" s="292" t="s">
        <v>633</v>
      </c>
      <c r="C58" s="11" t="s">
        <v>634</v>
      </c>
      <c r="D58" s="19">
        <v>150000</v>
      </c>
      <c r="E58" s="19">
        <v>19995</v>
      </c>
      <c r="F58" s="19">
        <f>SUM(D58:E58)</f>
        <v>169995</v>
      </c>
      <c r="G58" s="159">
        <v>50</v>
      </c>
      <c r="H58" s="252">
        <v>3399.9</v>
      </c>
      <c r="I58" s="101">
        <v>15</v>
      </c>
      <c r="J58" s="97">
        <f t="shared" si="8"/>
        <v>35</v>
      </c>
      <c r="K58" s="91">
        <f t="shared" si="7"/>
        <v>50998.5</v>
      </c>
      <c r="L58" s="94">
        <f t="shared" si="6"/>
        <v>118996.5</v>
      </c>
      <c r="M58" s="8"/>
    </row>
    <row r="59" spans="1:14" s="114" customFormat="1">
      <c r="A59" s="96">
        <v>54</v>
      </c>
      <c r="B59" s="292" t="s">
        <v>661</v>
      </c>
      <c r="C59" s="11" t="s">
        <v>662</v>
      </c>
      <c r="D59" s="19">
        <v>500000</v>
      </c>
      <c r="E59" s="19">
        <v>66650</v>
      </c>
      <c r="F59" s="19">
        <v>566650</v>
      </c>
      <c r="G59" s="159">
        <v>50</v>
      </c>
      <c r="H59" s="318">
        <v>11333</v>
      </c>
      <c r="I59" s="97">
        <v>26</v>
      </c>
      <c r="J59" s="97">
        <f t="shared" si="8"/>
        <v>24</v>
      </c>
      <c r="K59" s="91">
        <f t="shared" si="7"/>
        <v>294658</v>
      </c>
      <c r="L59" s="91">
        <f t="shared" si="6"/>
        <v>271992</v>
      </c>
      <c r="M59" s="11"/>
      <c r="N59" s="180" t="e">
        <f>#REF!-H59</f>
        <v>#REF!</v>
      </c>
    </row>
    <row r="60" spans="1:14" s="114" customFormat="1">
      <c r="A60" s="96">
        <v>55</v>
      </c>
      <c r="B60" s="292" t="s">
        <v>538</v>
      </c>
      <c r="C60" s="11" t="s">
        <v>539</v>
      </c>
      <c r="D60" s="12">
        <v>500000</v>
      </c>
      <c r="E60" s="12">
        <v>66650</v>
      </c>
      <c r="F60" s="15">
        <f>SUM(D60:E60)</f>
        <v>566650</v>
      </c>
      <c r="G60" s="14">
        <v>50</v>
      </c>
      <c r="H60" s="146">
        <v>11333</v>
      </c>
      <c r="I60" s="14">
        <v>46</v>
      </c>
      <c r="J60" s="97">
        <f t="shared" si="8"/>
        <v>4</v>
      </c>
      <c r="K60" s="91">
        <f t="shared" si="7"/>
        <v>521318</v>
      </c>
      <c r="L60" s="15">
        <f t="shared" si="6"/>
        <v>45332</v>
      </c>
      <c r="M60" s="8"/>
    </row>
    <row r="61" spans="1:14" s="114" customFormat="1">
      <c r="A61" s="96">
        <v>56</v>
      </c>
      <c r="B61" s="293" t="s">
        <v>1170</v>
      </c>
      <c r="C61" s="123" t="s">
        <v>1171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317">
        <v>11333</v>
      </c>
      <c r="I61" s="159">
        <v>2</v>
      </c>
      <c r="J61" s="159">
        <f t="shared" si="8"/>
        <v>48</v>
      </c>
      <c r="K61" s="16">
        <f t="shared" si="7"/>
        <v>22666</v>
      </c>
      <c r="L61" s="94">
        <f t="shared" si="6"/>
        <v>543984</v>
      </c>
      <c r="M61" s="11"/>
    </row>
    <row r="62" spans="1:14" s="114" customFormat="1">
      <c r="A62" s="96">
        <v>57</v>
      </c>
      <c r="B62" s="292" t="s">
        <v>596</v>
      </c>
      <c r="C62" s="11" t="s">
        <v>597</v>
      </c>
      <c r="D62" s="19">
        <v>500000</v>
      </c>
      <c r="E62" s="19">
        <v>66650</v>
      </c>
      <c r="F62" s="19">
        <v>566650</v>
      </c>
      <c r="G62" s="159">
        <v>50</v>
      </c>
      <c r="H62" s="318">
        <v>11333</v>
      </c>
      <c r="I62" s="97">
        <v>27</v>
      </c>
      <c r="J62" s="97">
        <f t="shared" si="8"/>
        <v>23</v>
      </c>
      <c r="K62" s="91">
        <f t="shared" si="7"/>
        <v>305991</v>
      </c>
      <c r="L62" s="91">
        <f t="shared" si="6"/>
        <v>260659</v>
      </c>
      <c r="M62" s="11"/>
      <c r="N62" s="180" t="e">
        <f>#REF!-H62</f>
        <v>#REF!</v>
      </c>
    </row>
    <row r="63" spans="1:14" s="114" customFormat="1">
      <c r="A63" s="96">
        <v>58</v>
      </c>
      <c r="B63" s="293" t="s">
        <v>1205</v>
      </c>
      <c r="C63" s="11" t="s">
        <v>1206</v>
      </c>
      <c r="D63" s="16">
        <v>500000</v>
      </c>
      <c r="E63" s="16">
        <v>66650</v>
      </c>
      <c r="F63" s="41">
        <f>SUM(D63:E63)</f>
        <v>566650</v>
      </c>
      <c r="G63" s="159">
        <v>50</v>
      </c>
      <c r="H63" s="317">
        <v>11333</v>
      </c>
      <c r="I63" s="96">
        <v>3</v>
      </c>
      <c r="J63" s="97">
        <f t="shared" si="8"/>
        <v>47</v>
      </c>
      <c r="K63" s="91">
        <f t="shared" si="7"/>
        <v>33999</v>
      </c>
      <c r="L63" s="94">
        <f t="shared" si="6"/>
        <v>532651</v>
      </c>
      <c r="M63" s="11"/>
      <c r="N63" s="180" t="e">
        <f>#REF!-H63</f>
        <v>#REF!</v>
      </c>
    </row>
    <row r="64" spans="1:14" s="114" customFormat="1">
      <c r="A64" s="96">
        <v>59</v>
      </c>
      <c r="B64" s="293" t="s">
        <v>1239</v>
      </c>
      <c r="C64" s="123" t="s">
        <v>1240</v>
      </c>
      <c r="D64" s="19">
        <v>150000</v>
      </c>
      <c r="E64" s="19">
        <v>19995</v>
      </c>
      <c r="F64" s="19">
        <f>SUM(D64:E64)</f>
        <v>169995</v>
      </c>
      <c r="G64" s="159">
        <v>40</v>
      </c>
      <c r="H64" s="317">
        <v>4149.8999999999996</v>
      </c>
      <c r="I64" s="159">
        <v>2</v>
      </c>
      <c r="J64" s="159">
        <f t="shared" si="8"/>
        <v>38</v>
      </c>
      <c r="K64" s="16">
        <f t="shared" si="7"/>
        <v>8299.7999999999993</v>
      </c>
      <c r="L64" s="94">
        <f t="shared" si="6"/>
        <v>161695.20000000001</v>
      </c>
      <c r="M64" s="11"/>
    </row>
    <row r="65" spans="1:14" s="114" customFormat="1">
      <c r="A65" s="96">
        <v>60</v>
      </c>
      <c r="B65" s="292" t="s">
        <v>668</v>
      </c>
      <c r="C65" s="11" t="s">
        <v>669</v>
      </c>
      <c r="D65" s="16">
        <v>450000</v>
      </c>
      <c r="E65" s="16">
        <v>59985</v>
      </c>
      <c r="F65" s="16">
        <v>509985</v>
      </c>
      <c r="G65" s="159">
        <v>50</v>
      </c>
      <c r="H65" s="318">
        <v>10199.700000000001</v>
      </c>
      <c r="I65" s="97">
        <v>26</v>
      </c>
      <c r="J65" s="97">
        <f t="shared" si="8"/>
        <v>24</v>
      </c>
      <c r="K65" s="91">
        <f t="shared" si="7"/>
        <v>265192.2</v>
      </c>
      <c r="L65" s="91">
        <f t="shared" si="6"/>
        <v>244792.8</v>
      </c>
      <c r="M65" s="11"/>
      <c r="N65" s="180" t="e">
        <f>#REF!-H65</f>
        <v>#REF!</v>
      </c>
    </row>
    <row r="66" spans="1:14" s="114" customFormat="1">
      <c r="A66" s="96">
        <v>61</v>
      </c>
      <c r="B66" s="293" t="s">
        <v>901</v>
      </c>
      <c r="C66" s="123" t="s">
        <v>924</v>
      </c>
      <c r="D66" s="19">
        <v>330000</v>
      </c>
      <c r="E66" s="19">
        <v>43989</v>
      </c>
      <c r="F66" s="19">
        <f t="shared" ref="F66:F71" si="9">SUM(D66:E66)</f>
        <v>373989</v>
      </c>
      <c r="G66" s="159">
        <v>50</v>
      </c>
      <c r="H66" s="317">
        <v>7479.78</v>
      </c>
      <c r="I66" s="159">
        <v>10</v>
      </c>
      <c r="J66" s="159">
        <f t="shared" si="8"/>
        <v>40</v>
      </c>
      <c r="K66" s="16">
        <f t="shared" si="7"/>
        <v>74797.8</v>
      </c>
      <c r="L66" s="94">
        <f t="shared" si="6"/>
        <v>299191.2</v>
      </c>
      <c r="M66" s="11"/>
    </row>
    <row r="67" spans="1:14" s="114" customFormat="1">
      <c r="A67" s="96">
        <v>62</v>
      </c>
      <c r="B67" s="292" t="s">
        <v>526</v>
      </c>
      <c r="C67" s="11" t="s">
        <v>527</v>
      </c>
      <c r="D67" s="16">
        <v>330000</v>
      </c>
      <c r="E67" s="16">
        <v>43989</v>
      </c>
      <c r="F67" s="41">
        <f t="shared" si="9"/>
        <v>373989</v>
      </c>
      <c r="G67" s="159">
        <v>50</v>
      </c>
      <c r="H67" s="146">
        <v>7479.78</v>
      </c>
      <c r="I67" s="97">
        <v>41</v>
      </c>
      <c r="J67" s="97">
        <f t="shared" si="8"/>
        <v>9</v>
      </c>
      <c r="K67" s="91">
        <f t="shared" si="7"/>
        <v>306670.98</v>
      </c>
      <c r="L67" s="94">
        <f t="shared" si="6"/>
        <v>67318.020000000019</v>
      </c>
      <c r="M67" s="11"/>
      <c r="N67" s="180" t="e">
        <f>#REF!-H67</f>
        <v>#REF!</v>
      </c>
    </row>
    <row r="68" spans="1:14" s="114" customFormat="1">
      <c r="A68" s="96">
        <v>63</v>
      </c>
      <c r="B68" s="293" t="s">
        <v>1178</v>
      </c>
      <c r="C68" s="11" t="s">
        <v>1179</v>
      </c>
      <c r="D68" s="12">
        <v>150000</v>
      </c>
      <c r="E68" s="12">
        <v>19995</v>
      </c>
      <c r="F68" s="15">
        <f t="shared" si="9"/>
        <v>169995</v>
      </c>
      <c r="G68" s="14">
        <v>50</v>
      </c>
      <c r="H68" s="317">
        <v>3399.9</v>
      </c>
      <c r="I68" s="96">
        <v>3</v>
      </c>
      <c r="J68" s="97">
        <f t="shared" si="8"/>
        <v>47</v>
      </c>
      <c r="K68" s="91">
        <f t="shared" si="7"/>
        <v>10199.700000000001</v>
      </c>
      <c r="L68" s="94">
        <f t="shared" si="6"/>
        <v>159795.29999999999</v>
      </c>
      <c r="M68" s="11"/>
      <c r="N68"/>
    </row>
    <row r="69" spans="1:14" s="114" customFormat="1">
      <c r="A69" s="96">
        <v>64</v>
      </c>
      <c r="B69" s="292" t="s">
        <v>528</v>
      </c>
      <c r="C69" s="11" t="s">
        <v>529</v>
      </c>
      <c r="D69" s="12">
        <v>500000</v>
      </c>
      <c r="E69" s="12">
        <v>66650</v>
      </c>
      <c r="F69" s="15">
        <f t="shared" si="9"/>
        <v>566650</v>
      </c>
      <c r="G69" s="14">
        <v>50</v>
      </c>
      <c r="H69" s="318">
        <v>11333</v>
      </c>
      <c r="I69" s="14">
        <v>46</v>
      </c>
      <c r="J69" s="97">
        <f t="shared" si="8"/>
        <v>4</v>
      </c>
      <c r="K69" s="91">
        <f t="shared" si="7"/>
        <v>521318</v>
      </c>
      <c r="L69" s="15">
        <f t="shared" si="6"/>
        <v>45332</v>
      </c>
      <c r="M69" s="8"/>
      <c r="N69" s="180" t="e">
        <f>#REF!-H69</f>
        <v>#REF!</v>
      </c>
    </row>
    <row r="70" spans="1:14" s="114" customFormat="1">
      <c r="A70" s="96">
        <v>65</v>
      </c>
      <c r="B70" s="293" t="s">
        <v>1229</v>
      </c>
      <c r="C70" s="123" t="s">
        <v>1230</v>
      </c>
      <c r="D70" s="19">
        <v>150000</v>
      </c>
      <c r="E70" s="19">
        <v>19995</v>
      </c>
      <c r="F70" s="19">
        <f t="shared" si="9"/>
        <v>169995</v>
      </c>
      <c r="G70" s="159">
        <v>40</v>
      </c>
      <c r="H70" s="317">
        <v>4149.8999999999996</v>
      </c>
      <c r="I70" s="159">
        <v>2</v>
      </c>
      <c r="J70" s="159">
        <f t="shared" si="8"/>
        <v>38</v>
      </c>
      <c r="K70" s="16">
        <f t="shared" si="7"/>
        <v>8299.7999999999993</v>
      </c>
      <c r="L70" s="94">
        <f t="shared" ref="L70:L101" si="10">F70-K70</f>
        <v>161695.20000000001</v>
      </c>
      <c r="M70" s="11"/>
      <c r="N70" s="180" t="e">
        <f>#REF!-H70</f>
        <v>#REF!</v>
      </c>
    </row>
    <row r="71" spans="1:14" s="114" customFormat="1">
      <c r="A71" s="96">
        <v>66</v>
      </c>
      <c r="B71" s="292" t="s">
        <v>638</v>
      </c>
      <c r="C71" s="11" t="s">
        <v>639</v>
      </c>
      <c r="D71" s="16">
        <v>500000</v>
      </c>
      <c r="E71" s="16">
        <v>66650</v>
      </c>
      <c r="F71" s="41">
        <f t="shared" si="9"/>
        <v>566650</v>
      </c>
      <c r="G71" s="159">
        <v>50</v>
      </c>
      <c r="H71" s="318">
        <v>11333</v>
      </c>
      <c r="I71" s="97">
        <v>19</v>
      </c>
      <c r="J71" s="97">
        <f t="shared" si="8"/>
        <v>31</v>
      </c>
      <c r="K71" s="91">
        <f>(1*11333)</f>
        <v>11333</v>
      </c>
      <c r="L71" s="91">
        <f t="shared" si="10"/>
        <v>555317</v>
      </c>
      <c r="M71" s="11"/>
    </row>
    <row r="72" spans="1:14" s="114" customFormat="1">
      <c r="A72" s="96">
        <v>67</v>
      </c>
      <c r="B72" s="292" t="s">
        <v>522</v>
      </c>
      <c r="C72" s="11" t="s">
        <v>523</v>
      </c>
      <c r="D72" s="19">
        <v>500000</v>
      </c>
      <c r="E72" s="19">
        <v>66650</v>
      </c>
      <c r="F72" s="19">
        <v>566650</v>
      </c>
      <c r="G72" s="159">
        <v>50</v>
      </c>
      <c r="H72" s="318">
        <v>11333</v>
      </c>
      <c r="I72" s="97">
        <v>27</v>
      </c>
      <c r="J72" s="97">
        <f t="shared" si="8"/>
        <v>23</v>
      </c>
      <c r="K72" s="91">
        <f t="shared" ref="K72:K103" si="11">I72*H72</f>
        <v>305991</v>
      </c>
      <c r="L72" s="91">
        <f t="shared" si="10"/>
        <v>260659</v>
      </c>
      <c r="M72" s="11"/>
      <c r="N72" s="180" t="e">
        <f>#REF!-H72</f>
        <v>#REF!</v>
      </c>
    </row>
    <row r="73" spans="1:14" s="114" customFormat="1">
      <c r="A73" s="96">
        <v>68</v>
      </c>
      <c r="B73" s="292" t="s">
        <v>715</v>
      </c>
      <c r="C73" s="11" t="s">
        <v>716</v>
      </c>
      <c r="D73" s="19">
        <v>450000</v>
      </c>
      <c r="E73" s="19">
        <v>59985</v>
      </c>
      <c r="F73" s="19">
        <v>509985</v>
      </c>
      <c r="G73" s="159">
        <v>50</v>
      </c>
      <c r="H73" s="318">
        <v>10199.700000000001</v>
      </c>
      <c r="I73" s="101">
        <v>15</v>
      </c>
      <c r="J73" s="97">
        <f t="shared" si="8"/>
        <v>35</v>
      </c>
      <c r="K73" s="91">
        <f t="shared" si="11"/>
        <v>152995.5</v>
      </c>
      <c r="L73" s="94">
        <f t="shared" si="10"/>
        <v>356989.5</v>
      </c>
      <c r="M73" s="8"/>
      <c r="N73" s="180" t="e">
        <f>#REF!-H73</f>
        <v>#REF!</v>
      </c>
    </row>
    <row r="74" spans="1:14" s="114" customFormat="1">
      <c r="A74" s="96">
        <v>69</v>
      </c>
      <c r="B74" s="292" t="s">
        <v>604</v>
      </c>
      <c r="C74" s="11" t="s">
        <v>605</v>
      </c>
      <c r="D74" s="16">
        <v>500000</v>
      </c>
      <c r="E74" s="16">
        <v>66650</v>
      </c>
      <c r="F74" s="41">
        <f>SUM(D74:E74)</f>
        <v>566650</v>
      </c>
      <c r="G74" s="159">
        <v>50</v>
      </c>
      <c r="H74" s="318">
        <v>11333</v>
      </c>
      <c r="I74" s="97">
        <v>62</v>
      </c>
      <c r="J74" s="97">
        <f t="shared" si="8"/>
        <v>-12</v>
      </c>
      <c r="K74" s="91">
        <f t="shared" si="11"/>
        <v>702646</v>
      </c>
      <c r="L74" s="94">
        <f t="shared" si="10"/>
        <v>-135996</v>
      </c>
      <c r="M74" s="11"/>
      <c r="N74" s="180" t="e">
        <f>#REF!-H74</f>
        <v>#REF!</v>
      </c>
    </row>
    <row r="75" spans="1:14" s="114" customFormat="1">
      <c r="A75" s="96">
        <v>70</v>
      </c>
      <c r="B75" s="292" t="s">
        <v>520</v>
      </c>
      <c r="C75" s="11" t="s">
        <v>521</v>
      </c>
      <c r="D75" s="19">
        <v>450000</v>
      </c>
      <c r="E75" s="19">
        <v>59985</v>
      </c>
      <c r="F75" s="19">
        <v>509985</v>
      </c>
      <c r="G75" s="159">
        <v>50</v>
      </c>
      <c r="H75" s="161">
        <v>10199.700000000001</v>
      </c>
      <c r="I75" s="97">
        <v>52</v>
      </c>
      <c r="J75" s="97">
        <f t="shared" si="8"/>
        <v>-2</v>
      </c>
      <c r="K75" s="91">
        <f t="shared" si="11"/>
        <v>530384.4</v>
      </c>
      <c r="L75" s="94">
        <f t="shared" si="10"/>
        <v>-20399.400000000023</v>
      </c>
      <c r="M75" s="11"/>
    </row>
    <row r="76" spans="1:14" s="114" customFormat="1">
      <c r="A76" s="96">
        <v>71</v>
      </c>
      <c r="B76" s="292" t="s">
        <v>501</v>
      </c>
      <c r="C76" s="11" t="s">
        <v>502</v>
      </c>
      <c r="D76" s="16">
        <v>500000</v>
      </c>
      <c r="E76" s="16">
        <v>66650</v>
      </c>
      <c r="F76" s="16">
        <v>566650</v>
      </c>
      <c r="G76" s="159">
        <v>50</v>
      </c>
      <c r="H76" s="146">
        <v>11333</v>
      </c>
      <c r="I76" s="159">
        <v>15</v>
      </c>
      <c r="J76" s="97">
        <f t="shared" si="8"/>
        <v>35</v>
      </c>
      <c r="K76" s="91">
        <f t="shared" si="11"/>
        <v>169995</v>
      </c>
      <c r="L76" s="94">
        <f t="shared" si="10"/>
        <v>396655</v>
      </c>
      <c r="M76" s="11"/>
      <c r="N76" s="180" t="e">
        <f>#REF!-H76</f>
        <v>#REF!</v>
      </c>
    </row>
    <row r="77" spans="1:14" s="114" customFormat="1">
      <c r="A77" s="96">
        <v>72</v>
      </c>
      <c r="B77" s="292" t="s">
        <v>600</v>
      </c>
      <c r="C77" s="11" t="s">
        <v>601</v>
      </c>
      <c r="D77" s="16">
        <v>450000</v>
      </c>
      <c r="E77" s="16">
        <v>59985</v>
      </c>
      <c r="F77" s="41">
        <f t="shared" ref="F77:F83" si="12">SUM(D77:E77)</f>
        <v>509985</v>
      </c>
      <c r="G77" s="159">
        <v>50</v>
      </c>
      <c r="H77" s="318">
        <v>10199.700000000001</v>
      </c>
      <c r="I77" s="97">
        <v>40</v>
      </c>
      <c r="J77" s="97">
        <f t="shared" si="8"/>
        <v>10</v>
      </c>
      <c r="K77" s="91">
        <f t="shared" si="11"/>
        <v>407988</v>
      </c>
      <c r="L77" s="94">
        <f t="shared" si="10"/>
        <v>101997</v>
      </c>
      <c r="M77" s="11"/>
      <c r="N77" s="180" t="e">
        <f>#REF!-H77</f>
        <v>#REF!</v>
      </c>
    </row>
    <row r="78" spans="1:14" s="114" customFormat="1">
      <c r="A78" s="96">
        <v>73</v>
      </c>
      <c r="B78" s="292" t="s">
        <v>688</v>
      </c>
      <c r="C78" s="11" t="s">
        <v>689</v>
      </c>
      <c r="D78" s="16">
        <v>500000</v>
      </c>
      <c r="E78" s="16">
        <v>66650</v>
      </c>
      <c r="F78" s="41">
        <f t="shared" si="12"/>
        <v>566650</v>
      </c>
      <c r="G78" s="159">
        <v>50</v>
      </c>
      <c r="H78" s="318">
        <v>11333</v>
      </c>
      <c r="I78" s="97">
        <v>46</v>
      </c>
      <c r="J78" s="97">
        <f t="shared" si="8"/>
        <v>4</v>
      </c>
      <c r="K78" s="91">
        <f t="shared" si="11"/>
        <v>521318</v>
      </c>
      <c r="L78" s="94">
        <f t="shared" si="10"/>
        <v>45332</v>
      </c>
      <c r="M78" s="11"/>
    </row>
    <row r="79" spans="1:14" s="114" customFormat="1">
      <c r="A79" s="96">
        <v>74</v>
      </c>
      <c r="B79" s="293" t="s">
        <v>887</v>
      </c>
      <c r="C79" s="123" t="s">
        <v>909</v>
      </c>
      <c r="D79" s="16">
        <v>500000</v>
      </c>
      <c r="E79" s="16">
        <v>66650</v>
      </c>
      <c r="F79" s="41">
        <f t="shared" si="12"/>
        <v>566650</v>
      </c>
      <c r="G79" s="159">
        <v>50</v>
      </c>
      <c r="H79" s="317">
        <v>11333</v>
      </c>
      <c r="I79" s="159">
        <v>10</v>
      </c>
      <c r="J79" s="159">
        <f t="shared" si="8"/>
        <v>40</v>
      </c>
      <c r="K79" s="16">
        <f t="shared" si="11"/>
        <v>113330</v>
      </c>
      <c r="L79" s="94">
        <f t="shared" si="10"/>
        <v>453320</v>
      </c>
      <c r="M79" s="11"/>
      <c r="N79" s="180" t="e">
        <f>#REF!-H79</f>
        <v>#REF!</v>
      </c>
    </row>
    <row r="80" spans="1:14" s="114" customFormat="1">
      <c r="A80" s="96">
        <v>75</v>
      </c>
      <c r="B80" s="292" t="s">
        <v>631</v>
      </c>
      <c r="C80" s="11" t="s">
        <v>632</v>
      </c>
      <c r="D80" s="16">
        <v>500000</v>
      </c>
      <c r="E80" s="16">
        <v>66650</v>
      </c>
      <c r="F80" s="41">
        <f t="shared" si="12"/>
        <v>566650</v>
      </c>
      <c r="G80" s="159">
        <v>50</v>
      </c>
      <c r="H80" s="318">
        <v>11333</v>
      </c>
      <c r="I80" s="159">
        <v>62</v>
      </c>
      <c r="J80" s="97">
        <f t="shared" si="8"/>
        <v>-12</v>
      </c>
      <c r="K80" s="91">
        <f t="shared" si="11"/>
        <v>702646</v>
      </c>
      <c r="L80" s="94">
        <f t="shared" si="10"/>
        <v>-135996</v>
      </c>
      <c r="M80" s="11"/>
    </row>
    <row r="81" spans="1:14" s="114" customFormat="1">
      <c r="A81" s="96">
        <v>76</v>
      </c>
      <c r="B81" s="292" t="s">
        <v>532</v>
      </c>
      <c r="C81" s="11" t="s">
        <v>533</v>
      </c>
      <c r="D81" s="16">
        <v>500000</v>
      </c>
      <c r="E81" s="16">
        <v>66650</v>
      </c>
      <c r="F81" s="41">
        <f t="shared" si="12"/>
        <v>566650</v>
      </c>
      <c r="G81" s="159">
        <v>50</v>
      </c>
      <c r="H81" s="318">
        <v>11333</v>
      </c>
      <c r="I81" s="97">
        <v>50</v>
      </c>
      <c r="J81" s="97">
        <f t="shared" si="8"/>
        <v>0</v>
      </c>
      <c r="K81" s="91">
        <f t="shared" si="11"/>
        <v>566650</v>
      </c>
      <c r="L81" s="94">
        <f t="shared" si="10"/>
        <v>0</v>
      </c>
      <c r="M81" s="11"/>
      <c r="N81" s="180" t="e">
        <f>#REF!-H81</f>
        <v>#REF!</v>
      </c>
    </row>
    <row r="82" spans="1:14" s="114" customFormat="1">
      <c r="A82" s="96">
        <v>77</v>
      </c>
      <c r="B82" s="292" t="s">
        <v>883</v>
      </c>
      <c r="C82" s="11" t="s">
        <v>905</v>
      </c>
      <c r="D82" s="16">
        <v>500000</v>
      </c>
      <c r="E82" s="16">
        <v>66650</v>
      </c>
      <c r="F82" s="41">
        <f t="shared" si="12"/>
        <v>566650</v>
      </c>
      <c r="G82" s="159">
        <v>50</v>
      </c>
      <c r="H82" s="318">
        <v>11333</v>
      </c>
      <c r="I82" s="97">
        <v>49</v>
      </c>
      <c r="J82" s="97">
        <f t="shared" si="8"/>
        <v>1</v>
      </c>
      <c r="K82" s="91">
        <f t="shared" si="11"/>
        <v>555317</v>
      </c>
      <c r="L82" s="94">
        <f t="shared" si="10"/>
        <v>11333</v>
      </c>
      <c r="M82" s="11"/>
    </row>
    <row r="83" spans="1:14" s="114" customFormat="1">
      <c r="A83" s="96">
        <v>78</v>
      </c>
      <c r="B83" s="292" t="s">
        <v>505</v>
      </c>
      <c r="C83" s="11" t="s">
        <v>506</v>
      </c>
      <c r="D83" s="16">
        <v>500000</v>
      </c>
      <c r="E83" s="16">
        <v>66650</v>
      </c>
      <c r="F83" s="41">
        <f t="shared" si="12"/>
        <v>566650</v>
      </c>
      <c r="G83" s="159">
        <v>50</v>
      </c>
      <c r="H83" s="318">
        <v>11333</v>
      </c>
      <c r="I83" s="97">
        <v>41</v>
      </c>
      <c r="J83" s="97">
        <f t="shared" si="8"/>
        <v>9</v>
      </c>
      <c r="K83" s="91">
        <f t="shared" si="11"/>
        <v>464653</v>
      </c>
      <c r="L83" s="94">
        <f t="shared" si="10"/>
        <v>101997</v>
      </c>
      <c r="M83" s="11"/>
    </row>
    <row r="84" spans="1:14" s="114" customFormat="1">
      <c r="A84" s="96">
        <v>79</v>
      </c>
      <c r="B84" s="292" t="s">
        <v>724</v>
      </c>
      <c r="C84" s="11" t="s">
        <v>725</v>
      </c>
      <c r="D84" s="19">
        <v>500000</v>
      </c>
      <c r="E84" s="19">
        <v>66650</v>
      </c>
      <c r="F84" s="19">
        <v>566650</v>
      </c>
      <c r="G84" s="159">
        <v>50</v>
      </c>
      <c r="H84" s="318">
        <v>11333</v>
      </c>
      <c r="I84" s="97">
        <v>26</v>
      </c>
      <c r="J84" s="97">
        <f t="shared" si="8"/>
        <v>24</v>
      </c>
      <c r="K84" s="91">
        <f t="shared" si="11"/>
        <v>294658</v>
      </c>
      <c r="L84" s="91">
        <f t="shared" si="10"/>
        <v>271992</v>
      </c>
      <c r="M84" s="11"/>
      <c r="N84" s="180" t="e">
        <f>#REF!-H84</f>
        <v>#REF!</v>
      </c>
    </row>
    <row r="85" spans="1:14" s="114" customFormat="1">
      <c r="A85" s="96">
        <v>80</v>
      </c>
      <c r="B85" s="292" t="s">
        <v>624</v>
      </c>
      <c r="C85" s="11" t="s">
        <v>625</v>
      </c>
      <c r="D85" s="16">
        <v>150000</v>
      </c>
      <c r="E85" s="16">
        <v>19995</v>
      </c>
      <c r="F85" s="41">
        <f t="shared" ref="F85:F101" si="13">SUM(D85:E85)</f>
        <v>169995</v>
      </c>
      <c r="G85" s="159">
        <v>50</v>
      </c>
      <c r="H85" s="318">
        <v>3399.9</v>
      </c>
      <c r="I85" s="97">
        <v>50</v>
      </c>
      <c r="J85" s="97">
        <f t="shared" si="8"/>
        <v>0</v>
      </c>
      <c r="K85" s="91">
        <f t="shared" si="11"/>
        <v>169995</v>
      </c>
      <c r="L85" s="94">
        <f t="shared" si="10"/>
        <v>0</v>
      </c>
      <c r="M85" s="11"/>
      <c r="N85" s="180" t="e">
        <f>#REF!-H85</f>
        <v>#REF!</v>
      </c>
    </row>
    <row r="86" spans="1:14" s="114" customFormat="1">
      <c r="A86" s="96">
        <v>81</v>
      </c>
      <c r="B86" s="295" t="s">
        <v>937</v>
      </c>
      <c r="C86" s="8" t="s">
        <v>938</v>
      </c>
      <c r="D86" s="19">
        <v>150000</v>
      </c>
      <c r="E86" s="19">
        <v>19995</v>
      </c>
      <c r="F86" s="19">
        <f t="shared" si="13"/>
        <v>169995</v>
      </c>
      <c r="G86" s="159">
        <v>50</v>
      </c>
      <c r="H86" s="319">
        <v>3399.9</v>
      </c>
      <c r="I86" s="159">
        <v>7</v>
      </c>
      <c r="J86" s="159">
        <f t="shared" ref="J86:J117" si="14">G86-I86</f>
        <v>43</v>
      </c>
      <c r="K86" s="16">
        <f t="shared" si="11"/>
        <v>23799.3</v>
      </c>
      <c r="L86" s="94">
        <f t="shared" si="10"/>
        <v>146195.70000000001</v>
      </c>
      <c r="M86" s="8"/>
      <c r="N86" s="180" t="e">
        <f>#REF!-H86</f>
        <v>#REF!</v>
      </c>
    </row>
    <row r="87" spans="1:14" s="114" customFormat="1">
      <c r="A87" s="96">
        <v>82</v>
      </c>
      <c r="B87" s="293" t="s">
        <v>1213</v>
      </c>
      <c r="C87" s="123" t="s">
        <v>1214</v>
      </c>
      <c r="D87" s="19">
        <v>330000</v>
      </c>
      <c r="E87" s="19">
        <v>43989</v>
      </c>
      <c r="F87" s="19">
        <f t="shared" si="13"/>
        <v>373989</v>
      </c>
      <c r="G87" s="159">
        <v>50</v>
      </c>
      <c r="H87" s="317">
        <v>7479.78</v>
      </c>
      <c r="I87" s="159">
        <v>2</v>
      </c>
      <c r="J87" s="159">
        <f t="shared" si="14"/>
        <v>48</v>
      </c>
      <c r="K87" s="16">
        <f t="shared" si="11"/>
        <v>14959.56</v>
      </c>
      <c r="L87" s="94">
        <f t="shared" si="10"/>
        <v>359029.44</v>
      </c>
      <c r="M87" s="11"/>
    </row>
    <row r="88" spans="1:14" s="114" customFormat="1">
      <c r="A88" s="96">
        <v>83</v>
      </c>
      <c r="B88" s="292" t="s">
        <v>557</v>
      </c>
      <c r="C88" s="11" t="s">
        <v>558</v>
      </c>
      <c r="D88" s="16">
        <v>450000</v>
      </c>
      <c r="E88" s="16">
        <v>59985</v>
      </c>
      <c r="F88" s="41">
        <f t="shared" si="13"/>
        <v>509985</v>
      </c>
      <c r="G88" s="159">
        <v>50</v>
      </c>
      <c r="H88" s="318">
        <v>10199.700000000001</v>
      </c>
      <c r="I88" s="97">
        <v>41</v>
      </c>
      <c r="J88" s="97">
        <f t="shared" si="14"/>
        <v>9</v>
      </c>
      <c r="K88" s="91">
        <f t="shared" si="11"/>
        <v>418187.7</v>
      </c>
      <c r="L88" s="94">
        <f t="shared" si="10"/>
        <v>91797.299999999988</v>
      </c>
      <c r="M88" s="11"/>
      <c r="N88" s="180" t="e">
        <f>#REF!-H88</f>
        <v>#REF!</v>
      </c>
    </row>
    <row r="89" spans="1:14" s="114" customFormat="1">
      <c r="A89" s="96">
        <v>84</v>
      </c>
      <c r="B89" s="294" t="s">
        <v>663</v>
      </c>
      <c r="C89" s="11" t="s">
        <v>953</v>
      </c>
      <c r="D89" s="19">
        <v>330000</v>
      </c>
      <c r="E89" s="19">
        <v>43989</v>
      </c>
      <c r="F89" s="19">
        <f t="shared" si="13"/>
        <v>373989</v>
      </c>
      <c r="G89" s="159">
        <v>50</v>
      </c>
      <c r="H89" s="317">
        <v>7479.78</v>
      </c>
      <c r="I89" s="159">
        <v>8</v>
      </c>
      <c r="J89" s="97">
        <f t="shared" si="14"/>
        <v>42</v>
      </c>
      <c r="K89" s="91">
        <f t="shared" si="11"/>
        <v>59838.239999999998</v>
      </c>
      <c r="L89" s="94">
        <f t="shared" si="10"/>
        <v>314150.76</v>
      </c>
      <c r="M89" s="11"/>
      <c r="N89" s="180" t="e">
        <f>#REF!-H89</f>
        <v>#REF!</v>
      </c>
    </row>
    <row r="90" spans="1:14" s="114" customFormat="1">
      <c r="A90" s="96">
        <v>85</v>
      </c>
      <c r="B90" s="294" t="s">
        <v>868</v>
      </c>
      <c r="C90" s="11" t="s">
        <v>925</v>
      </c>
      <c r="D90" s="19">
        <v>150000</v>
      </c>
      <c r="E90" s="19">
        <v>19995</v>
      </c>
      <c r="F90" s="19">
        <f t="shared" si="13"/>
        <v>169995</v>
      </c>
      <c r="G90" s="159">
        <v>50</v>
      </c>
      <c r="H90" s="317">
        <v>3399.9</v>
      </c>
      <c r="I90" s="159">
        <v>11</v>
      </c>
      <c r="J90" s="97">
        <f t="shared" si="14"/>
        <v>39</v>
      </c>
      <c r="K90" s="91">
        <f t="shared" si="11"/>
        <v>37398.9</v>
      </c>
      <c r="L90" s="94">
        <f t="shared" si="10"/>
        <v>132596.1</v>
      </c>
      <c r="M90" s="11"/>
      <c r="N90" s="180" t="e">
        <f>#REF!-H90</f>
        <v>#REF!</v>
      </c>
    </row>
    <row r="91" spans="1:14" s="114" customFormat="1">
      <c r="A91" s="96">
        <v>86</v>
      </c>
      <c r="B91" s="292" t="s">
        <v>682</v>
      </c>
      <c r="C91" s="11" t="s">
        <v>683</v>
      </c>
      <c r="D91" s="16">
        <v>500000</v>
      </c>
      <c r="E91" s="16">
        <v>66650</v>
      </c>
      <c r="F91" s="41">
        <f t="shared" si="13"/>
        <v>566650</v>
      </c>
      <c r="G91" s="159">
        <v>50</v>
      </c>
      <c r="H91" s="318">
        <v>11333</v>
      </c>
      <c r="I91" s="97">
        <v>41</v>
      </c>
      <c r="J91" s="97">
        <f t="shared" si="14"/>
        <v>9</v>
      </c>
      <c r="K91" s="91">
        <f t="shared" si="11"/>
        <v>464653</v>
      </c>
      <c r="L91" s="94">
        <f t="shared" si="10"/>
        <v>101997</v>
      </c>
      <c r="M91" s="11"/>
    </row>
    <row r="92" spans="1:14" s="114" customFormat="1">
      <c r="A92" s="96">
        <v>87</v>
      </c>
      <c r="B92" s="293" t="s">
        <v>1237</v>
      </c>
      <c r="C92" s="123" t="s">
        <v>1238</v>
      </c>
      <c r="D92" s="16">
        <v>500000</v>
      </c>
      <c r="E92" s="16">
        <v>66650</v>
      </c>
      <c r="F92" s="41">
        <f t="shared" si="13"/>
        <v>566650</v>
      </c>
      <c r="G92" s="159">
        <v>50</v>
      </c>
      <c r="H92" s="317">
        <v>11333</v>
      </c>
      <c r="I92" s="159">
        <v>2</v>
      </c>
      <c r="J92" s="159">
        <f t="shared" si="14"/>
        <v>48</v>
      </c>
      <c r="K92" s="16">
        <f t="shared" si="11"/>
        <v>22666</v>
      </c>
      <c r="L92" s="94">
        <f t="shared" si="10"/>
        <v>543984</v>
      </c>
      <c r="M92" s="11"/>
      <c r="N92" s="180" t="e">
        <f>#REF!-H92</f>
        <v>#REF!</v>
      </c>
    </row>
    <row r="93" spans="1:14" s="114" customFormat="1">
      <c r="A93" s="96">
        <v>88</v>
      </c>
      <c r="B93" s="292" t="s">
        <v>594</v>
      </c>
      <c r="C93" s="11" t="s">
        <v>595</v>
      </c>
      <c r="D93" s="16">
        <v>500000</v>
      </c>
      <c r="E93" s="16">
        <v>66650</v>
      </c>
      <c r="F93" s="41">
        <f t="shared" si="13"/>
        <v>566650</v>
      </c>
      <c r="G93" s="159">
        <v>50</v>
      </c>
      <c r="H93" s="318">
        <v>11333</v>
      </c>
      <c r="I93" s="97">
        <v>41</v>
      </c>
      <c r="J93" s="97">
        <f t="shared" si="14"/>
        <v>9</v>
      </c>
      <c r="K93" s="91">
        <f t="shared" si="11"/>
        <v>464653</v>
      </c>
      <c r="L93" s="94">
        <f t="shared" si="10"/>
        <v>101997</v>
      </c>
      <c r="M93" s="11"/>
      <c r="N93" s="180" t="e">
        <f>#REF!-H93</f>
        <v>#REF!</v>
      </c>
    </row>
    <row r="94" spans="1:14" s="114" customFormat="1">
      <c r="A94" s="96">
        <v>89</v>
      </c>
      <c r="B94" s="293" t="s">
        <v>1166</v>
      </c>
      <c r="C94" s="11" t="s">
        <v>1167</v>
      </c>
      <c r="D94" s="16">
        <v>500000</v>
      </c>
      <c r="E94" s="16">
        <v>66650</v>
      </c>
      <c r="F94" s="41">
        <f t="shared" si="13"/>
        <v>566650</v>
      </c>
      <c r="G94" s="159">
        <v>50</v>
      </c>
      <c r="H94" s="317">
        <v>11333</v>
      </c>
      <c r="I94" s="96">
        <v>3</v>
      </c>
      <c r="J94" s="97">
        <f t="shared" si="14"/>
        <v>47</v>
      </c>
      <c r="K94" s="91">
        <f t="shared" si="11"/>
        <v>33999</v>
      </c>
      <c r="L94" s="94">
        <f t="shared" si="10"/>
        <v>532651</v>
      </c>
      <c r="M94" s="11"/>
    </row>
    <row r="95" spans="1:14" s="114" customFormat="1">
      <c r="A95" s="96">
        <v>90</v>
      </c>
      <c r="B95" s="293" t="s">
        <v>1172</v>
      </c>
      <c r="C95" s="11" t="s">
        <v>1173</v>
      </c>
      <c r="D95" s="19">
        <v>330000</v>
      </c>
      <c r="E95" s="19">
        <v>43989</v>
      </c>
      <c r="F95" s="19">
        <f t="shared" si="13"/>
        <v>373989</v>
      </c>
      <c r="G95" s="159">
        <v>50</v>
      </c>
      <c r="H95" s="317">
        <v>7479.78</v>
      </c>
      <c r="I95" s="96">
        <v>3</v>
      </c>
      <c r="J95" s="97">
        <f t="shared" si="14"/>
        <v>47</v>
      </c>
      <c r="K95" s="91">
        <f t="shared" si="11"/>
        <v>22439.34</v>
      </c>
      <c r="L95" s="94">
        <f t="shared" si="10"/>
        <v>351549.66</v>
      </c>
      <c r="M95" s="11"/>
    </row>
    <row r="96" spans="1:14" s="114" customFormat="1">
      <c r="A96" s="96">
        <v>91</v>
      </c>
      <c r="B96" s="292" t="s">
        <v>659</v>
      </c>
      <c r="C96" s="11" t="s">
        <v>660</v>
      </c>
      <c r="D96" s="16">
        <v>500000</v>
      </c>
      <c r="E96" s="16">
        <v>66650</v>
      </c>
      <c r="F96" s="41">
        <f t="shared" si="13"/>
        <v>566650</v>
      </c>
      <c r="G96" s="159">
        <v>50</v>
      </c>
      <c r="H96" s="318">
        <v>11333</v>
      </c>
      <c r="I96" s="97">
        <v>51</v>
      </c>
      <c r="J96" s="97">
        <f t="shared" si="14"/>
        <v>-1</v>
      </c>
      <c r="K96" s="91">
        <f t="shared" si="11"/>
        <v>577983</v>
      </c>
      <c r="L96" s="94">
        <f t="shared" si="10"/>
        <v>-11333</v>
      </c>
      <c r="M96" s="11" t="s">
        <v>276</v>
      </c>
      <c r="N96" s="180" t="e">
        <f>#REF!-H96</f>
        <v>#REF!</v>
      </c>
    </row>
    <row r="97" spans="1:14" s="114" customFormat="1">
      <c r="A97" s="96">
        <v>92</v>
      </c>
      <c r="B97" s="292" t="s">
        <v>583</v>
      </c>
      <c r="C97" s="11" t="s">
        <v>584</v>
      </c>
      <c r="D97" s="16">
        <v>500000</v>
      </c>
      <c r="E97" s="16">
        <v>66650</v>
      </c>
      <c r="F97" s="41">
        <f t="shared" si="13"/>
        <v>566650</v>
      </c>
      <c r="G97" s="159">
        <v>50</v>
      </c>
      <c r="H97" s="318">
        <v>11333</v>
      </c>
      <c r="I97" s="97">
        <v>41</v>
      </c>
      <c r="J97" s="97">
        <f t="shared" si="14"/>
        <v>9</v>
      </c>
      <c r="K97" s="91">
        <f t="shared" si="11"/>
        <v>464653</v>
      </c>
      <c r="L97" s="94">
        <f t="shared" si="10"/>
        <v>101997</v>
      </c>
      <c r="M97" s="11"/>
      <c r="N97" s="180" t="e">
        <f>#REF!-H97</f>
        <v>#REF!</v>
      </c>
    </row>
    <row r="98" spans="1:14" s="114" customFormat="1">
      <c r="A98" s="96">
        <v>93</v>
      </c>
      <c r="B98" s="295" t="s">
        <v>884</v>
      </c>
      <c r="C98" s="8" t="s">
        <v>906</v>
      </c>
      <c r="D98" s="16">
        <v>500000</v>
      </c>
      <c r="E98" s="16">
        <v>66650</v>
      </c>
      <c r="F98" s="41">
        <f t="shared" si="13"/>
        <v>566650</v>
      </c>
      <c r="G98" s="159">
        <v>50</v>
      </c>
      <c r="H98" s="319">
        <v>11333</v>
      </c>
      <c r="I98" s="159">
        <v>10</v>
      </c>
      <c r="J98" s="97">
        <f t="shared" si="14"/>
        <v>40</v>
      </c>
      <c r="K98" s="16">
        <f t="shared" si="11"/>
        <v>113330</v>
      </c>
      <c r="L98" s="94">
        <f t="shared" si="10"/>
        <v>453320</v>
      </c>
      <c r="M98" s="8"/>
    </row>
    <row r="99" spans="1:14" s="114" customFormat="1">
      <c r="A99" s="96">
        <v>94</v>
      </c>
      <c r="B99" s="292" t="s">
        <v>561</v>
      </c>
      <c r="C99" s="11" t="s">
        <v>562</v>
      </c>
      <c r="D99" s="16">
        <v>450000</v>
      </c>
      <c r="E99" s="16">
        <v>59985</v>
      </c>
      <c r="F99" s="41">
        <f t="shared" si="13"/>
        <v>509985</v>
      </c>
      <c r="G99" s="159">
        <v>50</v>
      </c>
      <c r="H99" s="318">
        <v>10199.700000000001</v>
      </c>
      <c r="I99" s="97">
        <v>41</v>
      </c>
      <c r="J99" s="97">
        <f t="shared" si="14"/>
        <v>9</v>
      </c>
      <c r="K99" s="91">
        <f t="shared" si="11"/>
        <v>418187.7</v>
      </c>
      <c r="L99" s="94">
        <f t="shared" si="10"/>
        <v>91797.299999999988</v>
      </c>
      <c r="M99" s="11"/>
    </row>
    <row r="100" spans="1:14" s="114" customFormat="1">
      <c r="A100" s="96">
        <v>95</v>
      </c>
      <c r="B100" s="292" t="s">
        <v>607</v>
      </c>
      <c r="C100" s="11" t="s">
        <v>608</v>
      </c>
      <c r="D100" s="16">
        <v>450000</v>
      </c>
      <c r="E100" s="16">
        <v>59985</v>
      </c>
      <c r="F100" s="41">
        <f t="shared" si="13"/>
        <v>509985</v>
      </c>
      <c r="G100" s="159">
        <v>50</v>
      </c>
      <c r="H100" s="318">
        <v>10199.700000000001</v>
      </c>
      <c r="I100" s="159">
        <v>50</v>
      </c>
      <c r="J100" s="97">
        <f t="shared" si="14"/>
        <v>0</v>
      </c>
      <c r="K100" s="91">
        <f t="shared" si="11"/>
        <v>509985.00000000006</v>
      </c>
      <c r="L100" s="94">
        <f t="shared" si="10"/>
        <v>0</v>
      </c>
      <c r="M100" s="11"/>
      <c r="N100" s="180" t="e">
        <f>#REF!-H100</f>
        <v>#REF!</v>
      </c>
    </row>
    <row r="101" spans="1:14" s="114" customFormat="1">
      <c r="A101" s="96">
        <v>96</v>
      </c>
      <c r="B101" s="292" t="s">
        <v>499</v>
      </c>
      <c r="C101" s="11" t="s">
        <v>500</v>
      </c>
      <c r="D101" s="16">
        <v>450000</v>
      </c>
      <c r="E101" s="16">
        <v>59985</v>
      </c>
      <c r="F101" s="41">
        <f t="shared" si="13"/>
        <v>509985</v>
      </c>
      <c r="G101" s="159">
        <v>50</v>
      </c>
      <c r="H101" s="318">
        <v>11333</v>
      </c>
      <c r="I101" s="97">
        <v>30</v>
      </c>
      <c r="J101" s="97">
        <f t="shared" si="14"/>
        <v>20</v>
      </c>
      <c r="K101" s="91">
        <f t="shared" si="11"/>
        <v>339990</v>
      </c>
      <c r="L101" s="94">
        <f t="shared" si="10"/>
        <v>169995</v>
      </c>
      <c r="M101" s="11"/>
      <c r="N101" s="180" t="e">
        <f>#REF!-H101</f>
        <v>#REF!</v>
      </c>
    </row>
    <row r="102" spans="1:14" s="114" customFormat="1">
      <c r="A102" s="96">
        <v>97</v>
      </c>
      <c r="B102" s="292" t="s">
        <v>702</v>
      </c>
      <c r="C102" s="11" t="s">
        <v>703</v>
      </c>
      <c r="D102" s="16">
        <v>450000</v>
      </c>
      <c r="E102" s="16">
        <v>59985</v>
      </c>
      <c r="F102" s="16">
        <v>509985</v>
      </c>
      <c r="G102" s="159">
        <v>50</v>
      </c>
      <c r="H102" s="318">
        <v>10199.700000000001</v>
      </c>
      <c r="I102" s="97">
        <v>26</v>
      </c>
      <c r="J102" s="97">
        <f t="shared" si="14"/>
        <v>24</v>
      </c>
      <c r="K102" s="91">
        <f t="shared" si="11"/>
        <v>265192.2</v>
      </c>
      <c r="L102" s="91">
        <f t="shared" ref="L102:L133" si="15">F102-K102</f>
        <v>244792.8</v>
      </c>
      <c r="M102" s="11"/>
      <c r="N102" s="180" t="e">
        <f>#REF!-H102</f>
        <v>#REF!</v>
      </c>
    </row>
    <row r="103" spans="1:14" s="114" customFormat="1">
      <c r="A103" s="96">
        <v>98</v>
      </c>
      <c r="B103" s="294" t="s">
        <v>723</v>
      </c>
      <c r="C103" s="11" t="s">
        <v>955</v>
      </c>
      <c r="D103" s="16">
        <v>500000</v>
      </c>
      <c r="E103" s="16">
        <v>66650</v>
      </c>
      <c r="F103" s="41">
        <f>SUM(D103:E103)</f>
        <v>566650</v>
      </c>
      <c r="G103" s="159">
        <v>50</v>
      </c>
      <c r="H103" s="317">
        <v>11333</v>
      </c>
      <c r="I103" s="159">
        <v>8</v>
      </c>
      <c r="J103" s="97">
        <f t="shared" si="14"/>
        <v>42</v>
      </c>
      <c r="K103" s="91">
        <f t="shared" si="11"/>
        <v>90664</v>
      </c>
      <c r="L103" s="94">
        <f t="shared" si="15"/>
        <v>475986</v>
      </c>
      <c r="M103" s="11"/>
      <c r="N103" s="180" t="e">
        <f>#REF!-H103</f>
        <v>#REF!</v>
      </c>
    </row>
    <row r="104" spans="1:14" s="114" customFormat="1">
      <c r="A104" s="96">
        <v>99</v>
      </c>
      <c r="B104" s="292" t="s">
        <v>574</v>
      </c>
      <c r="C104" s="11" t="s">
        <v>575</v>
      </c>
      <c r="D104" s="16">
        <v>330000</v>
      </c>
      <c r="E104" s="16">
        <v>43989</v>
      </c>
      <c r="F104" s="41">
        <f>SUM(D104:E104)</f>
        <v>373989</v>
      </c>
      <c r="G104" s="159">
        <v>50</v>
      </c>
      <c r="H104" s="146">
        <v>7479.78</v>
      </c>
      <c r="I104" s="159">
        <v>50</v>
      </c>
      <c r="J104" s="97">
        <f t="shared" si="14"/>
        <v>0</v>
      </c>
      <c r="K104" s="91">
        <f>(32*7479.78)</f>
        <v>239352.95999999999</v>
      </c>
      <c r="L104" s="94">
        <f t="shared" si="15"/>
        <v>134636.04</v>
      </c>
      <c r="M104" s="11"/>
      <c r="N104" s="180" t="e">
        <f>#REF!-H104</f>
        <v>#REF!</v>
      </c>
    </row>
    <row r="105" spans="1:14" s="114" customFormat="1">
      <c r="A105" s="96">
        <v>100</v>
      </c>
      <c r="B105" s="292" t="s">
        <v>559</v>
      </c>
      <c r="C105" s="11" t="s">
        <v>560</v>
      </c>
      <c r="D105" s="16">
        <v>500000</v>
      </c>
      <c r="E105" s="16">
        <v>66650</v>
      </c>
      <c r="F105" s="16">
        <v>566650</v>
      </c>
      <c r="G105" s="159">
        <v>50</v>
      </c>
      <c r="H105" s="146">
        <v>11333</v>
      </c>
      <c r="I105" s="96">
        <v>15</v>
      </c>
      <c r="J105" s="97">
        <f t="shared" si="14"/>
        <v>35</v>
      </c>
      <c r="K105" s="91">
        <f t="shared" ref="K105:K136" si="16">I105*H105</f>
        <v>169995</v>
      </c>
      <c r="L105" s="94">
        <f t="shared" si="15"/>
        <v>396655</v>
      </c>
      <c r="M105" s="123"/>
      <c r="N105" s="180" t="e">
        <f>#REF!-H105</f>
        <v>#REF!</v>
      </c>
    </row>
    <row r="106" spans="1:14" s="114" customFormat="1">
      <c r="A106" s="96">
        <v>101</v>
      </c>
      <c r="B106" s="292" t="s">
        <v>629</v>
      </c>
      <c r="C106" s="11" t="s">
        <v>630</v>
      </c>
      <c r="D106" s="12">
        <v>330000</v>
      </c>
      <c r="E106" s="12">
        <v>43989</v>
      </c>
      <c r="F106" s="15">
        <f t="shared" ref="F106:F113" si="17">SUM(D106:E106)</f>
        <v>373989</v>
      </c>
      <c r="G106" s="14">
        <v>50</v>
      </c>
      <c r="H106" s="146">
        <v>7479.78</v>
      </c>
      <c r="I106" s="14">
        <v>46</v>
      </c>
      <c r="J106" s="97">
        <f t="shared" si="14"/>
        <v>4</v>
      </c>
      <c r="K106" s="91">
        <f t="shared" si="16"/>
        <v>344069.88</v>
      </c>
      <c r="L106" s="15">
        <f t="shared" si="15"/>
        <v>29919.119999999995</v>
      </c>
      <c r="M106" s="8"/>
      <c r="N106" s="180" t="e">
        <f>#REF!-H106</f>
        <v>#REF!</v>
      </c>
    </row>
    <row r="107" spans="1:14" s="114" customFormat="1">
      <c r="A107" s="96">
        <v>102</v>
      </c>
      <c r="B107" s="292" t="s">
        <v>635</v>
      </c>
      <c r="C107" s="11" t="s">
        <v>636</v>
      </c>
      <c r="D107" s="16">
        <v>500000</v>
      </c>
      <c r="E107" s="16">
        <v>66650</v>
      </c>
      <c r="F107" s="41">
        <f t="shared" si="17"/>
        <v>566650</v>
      </c>
      <c r="G107" s="159">
        <v>50</v>
      </c>
      <c r="H107" s="318">
        <v>11333</v>
      </c>
      <c r="I107" s="97">
        <v>62</v>
      </c>
      <c r="J107" s="97">
        <f t="shared" si="14"/>
        <v>-12</v>
      </c>
      <c r="K107" s="91">
        <f t="shared" si="16"/>
        <v>702646</v>
      </c>
      <c r="L107" s="94">
        <f t="shared" si="15"/>
        <v>-135996</v>
      </c>
      <c r="M107" s="11"/>
      <c r="N107" s="180" t="e">
        <f>#REF!-H107</f>
        <v>#REF!</v>
      </c>
    </row>
    <row r="108" spans="1:14" s="114" customFormat="1">
      <c r="A108" s="96">
        <v>103</v>
      </c>
      <c r="B108" s="295" t="s">
        <v>943</v>
      </c>
      <c r="C108" s="8" t="s">
        <v>944</v>
      </c>
      <c r="D108" s="16">
        <v>450000</v>
      </c>
      <c r="E108" s="16">
        <v>59985</v>
      </c>
      <c r="F108" s="41">
        <f t="shared" si="17"/>
        <v>509985</v>
      </c>
      <c r="G108" s="159">
        <v>50</v>
      </c>
      <c r="H108" s="319">
        <v>10199.700000000001</v>
      </c>
      <c r="I108" s="159">
        <v>40</v>
      </c>
      <c r="J108" s="159">
        <f t="shared" si="14"/>
        <v>10</v>
      </c>
      <c r="K108" s="16">
        <f t="shared" si="16"/>
        <v>407988</v>
      </c>
      <c r="L108" s="94">
        <f t="shared" si="15"/>
        <v>101997</v>
      </c>
      <c r="M108" s="8"/>
    </row>
    <row r="109" spans="1:14" s="114" customFormat="1">
      <c r="A109" s="96">
        <v>104</v>
      </c>
      <c r="B109" s="292" t="s">
        <v>676</v>
      </c>
      <c r="C109" s="11" t="s">
        <v>677</v>
      </c>
      <c r="D109" s="19">
        <v>150000</v>
      </c>
      <c r="E109" s="19">
        <v>19995</v>
      </c>
      <c r="F109" s="19">
        <f t="shared" si="17"/>
        <v>169995</v>
      </c>
      <c r="G109" s="159">
        <v>50</v>
      </c>
      <c r="H109" s="318">
        <v>3399.9</v>
      </c>
      <c r="I109" s="97">
        <v>27</v>
      </c>
      <c r="J109" s="97">
        <f t="shared" si="14"/>
        <v>23</v>
      </c>
      <c r="K109" s="91">
        <f t="shared" si="16"/>
        <v>91797.3</v>
      </c>
      <c r="L109" s="91">
        <f t="shared" si="15"/>
        <v>78197.7</v>
      </c>
      <c r="M109" s="11"/>
    </row>
    <row r="110" spans="1:14" s="114" customFormat="1">
      <c r="A110" s="96">
        <v>105</v>
      </c>
      <c r="B110" s="292" t="s">
        <v>686</v>
      </c>
      <c r="C110" s="11" t="s">
        <v>687</v>
      </c>
      <c r="D110" s="16">
        <v>500000</v>
      </c>
      <c r="E110" s="16">
        <v>66650</v>
      </c>
      <c r="F110" s="41">
        <f t="shared" si="17"/>
        <v>566650</v>
      </c>
      <c r="G110" s="159">
        <v>50</v>
      </c>
      <c r="H110" s="318">
        <v>11333</v>
      </c>
      <c r="I110" s="97">
        <v>40</v>
      </c>
      <c r="J110" s="97">
        <f t="shared" si="14"/>
        <v>10</v>
      </c>
      <c r="K110" s="91">
        <f t="shared" si="16"/>
        <v>453320</v>
      </c>
      <c r="L110" s="94">
        <f t="shared" si="15"/>
        <v>113330</v>
      </c>
      <c r="M110" s="11"/>
    </row>
    <row r="111" spans="1:14" s="114" customFormat="1">
      <c r="A111" s="96">
        <v>106</v>
      </c>
      <c r="B111" s="292" t="s">
        <v>700</v>
      </c>
      <c r="C111" s="11" t="s">
        <v>701</v>
      </c>
      <c r="D111" s="16">
        <v>500000</v>
      </c>
      <c r="E111" s="16">
        <v>66650</v>
      </c>
      <c r="F111" s="41">
        <f t="shared" si="17"/>
        <v>566650</v>
      </c>
      <c r="G111" s="159">
        <v>50</v>
      </c>
      <c r="H111" s="318">
        <v>11333</v>
      </c>
      <c r="I111" s="97">
        <v>62</v>
      </c>
      <c r="J111" s="97">
        <f t="shared" si="14"/>
        <v>-12</v>
      </c>
      <c r="K111" s="91">
        <f t="shared" si="16"/>
        <v>702646</v>
      </c>
      <c r="L111" s="94">
        <f t="shared" si="15"/>
        <v>-135996</v>
      </c>
      <c r="M111" s="11"/>
      <c r="N111" s="180" t="e">
        <f>#REF!-H111</f>
        <v>#REF!</v>
      </c>
    </row>
    <row r="112" spans="1:14" s="114" customFormat="1">
      <c r="A112" s="96">
        <v>107</v>
      </c>
      <c r="B112" s="292" t="s">
        <v>536</v>
      </c>
      <c r="C112" s="11" t="s">
        <v>537</v>
      </c>
      <c r="D112" s="12">
        <v>500000</v>
      </c>
      <c r="E112" s="12">
        <v>66650</v>
      </c>
      <c r="F112" s="15">
        <f t="shared" si="17"/>
        <v>566650</v>
      </c>
      <c r="G112" s="14">
        <v>50</v>
      </c>
      <c r="H112" s="237">
        <v>11333</v>
      </c>
      <c r="I112" s="14">
        <v>46</v>
      </c>
      <c r="J112" s="97">
        <f t="shared" si="14"/>
        <v>4</v>
      </c>
      <c r="K112" s="91">
        <f t="shared" si="16"/>
        <v>521318</v>
      </c>
      <c r="L112" s="15">
        <f t="shared" si="15"/>
        <v>45332</v>
      </c>
      <c r="M112" s="8"/>
      <c r="N112" s="180" t="e">
        <f>#REF!-H112</f>
        <v>#REF!</v>
      </c>
    </row>
    <row r="113" spans="1:15" s="114" customFormat="1">
      <c r="A113" s="96">
        <v>108</v>
      </c>
      <c r="B113" s="292" t="s">
        <v>546</v>
      </c>
      <c r="C113" s="11" t="s">
        <v>547</v>
      </c>
      <c r="D113" s="19">
        <v>330000</v>
      </c>
      <c r="E113" s="19">
        <v>43989</v>
      </c>
      <c r="F113" s="19">
        <f t="shared" si="17"/>
        <v>373989</v>
      </c>
      <c r="G113" s="159">
        <v>40</v>
      </c>
      <c r="H113" s="318">
        <v>9129.7800000000007</v>
      </c>
      <c r="I113" s="159">
        <v>15</v>
      </c>
      <c r="J113" s="97">
        <f t="shared" si="14"/>
        <v>25</v>
      </c>
      <c r="K113" s="91">
        <f t="shared" si="16"/>
        <v>136946.70000000001</v>
      </c>
      <c r="L113" s="94">
        <f t="shared" si="15"/>
        <v>237042.3</v>
      </c>
      <c r="M113" s="11"/>
    </row>
    <row r="114" spans="1:15" s="114" customFormat="1">
      <c r="A114" s="96">
        <v>109</v>
      </c>
      <c r="B114" s="293" t="s">
        <v>893</v>
      </c>
      <c r="C114" s="123" t="s">
        <v>915</v>
      </c>
      <c r="D114" s="19">
        <v>450000</v>
      </c>
      <c r="E114" s="19">
        <v>59985</v>
      </c>
      <c r="F114" s="19">
        <v>509985</v>
      </c>
      <c r="G114" s="159">
        <v>50</v>
      </c>
      <c r="H114" s="317">
        <v>10199.700000000001</v>
      </c>
      <c r="I114" s="159">
        <v>10</v>
      </c>
      <c r="J114" s="159">
        <f t="shared" si="14"/>
        <v>40</v>
      </c>
      <c r="K114" s="16">
        <f t="shared" si="16"/>
        <v>101997</v>
      </c>
      <c r="L114" s="94">
        <f t="shared" si="15"/>
        <v>407988</v>
      </c>
      <c r="M114" s="11"/>
      <c r="N114" s="180" t="e">
        <f>#REF!-H114</f>
        <v>#REF!</v>
      </c>
    </row>
    <row r="115" spans="1:15" s="114" customFormat="1">
      <c r="A115" s="96">
        <v>110</v>
      </c>
      <c r="B115" s="293" t="s">
        <v>1255</v>
      </c>
      <c r="C115" s="123" t="s">
        <v>1256</v>
      </c>
      <c r="D115" s="19">
        <v>450000</v>
      </c>
      <c r="E115" s="19">
        <v>59985</v>
      </c>
      <c r="F115" s="19">
        <v>509985</v>
      </c>
      <c r="G115" s="159">
        <v>50</v>
      </c>
      <c r="H115" s="317">
        <v>10199.700000000001</v>
      </c>
      <c r="I115" s="159">
        <v>2</v>
      </c>
      <c r="J115" s="159">
        <f t="shared" si="14"/>
        <v>48</v>
      </c>
      <c r="K115" s="16">
        <f t="shared" si="16"/>
        <v>20399.400000000001</v>
      </c>
      <c r="L115" s="94">
        <f t="shared" si="15"/>
        <v>489585.6</v>
      </c>
      <c r="M115" s="11"/>
    </row>
    <row r="116" spans="1:15" s="114" customFormat="1">
      <c r="A116" s="96">
        <v>111</v>
      </c>
      <c r="B116" s="295" t="s">
        <v>947</v>
      </c>
      <c r="C116" s="8" t="s">
        <v>948</v>
      </c>
      <c r="D116" s="16">
        <v>500000</v>
      </c>
      <c r="E116" s="16">
        <v>66650</v>
      </c>
      <c r="F116" s="41">
        <f t="shared" ref="F116:F121" si="18">SUM(D116:E116)</f>
        <v>566650</v>
      </c>
      <c r="G116" s="159">
        <v>50</v>
      </c>
      <c r="H116" s="319">
        <v>11333</v>
      </c>
      <c r="I116" s="159">
        <v>7</v>
      </c>
      <c r="J116" s="159">
        <f t="shared" si="14"/>
        <v>43</v>
      </c>
      <c r="K116" s="16">
        <f t="shared" si="16"/>
        <v>79331</v>
      </c>
      <c r="L116" s="94">
        <f t="shared" si="15"/>
        <v>487319</v>
      </c>
      <c r="M116" s="8"/>
      <c r="N116" s="180" t="e">
        <f>#REF!-H116</f>
        <v>#REF!</v>
      </c>
    </row>
    <row r="117" spans="1:15" s="114" customFormat="1">
      <c r="A117" s="96">
        <v>112</v>
      </c>
      <c r="B117" s="293" t="s">
        <v>1259</v>
      </c>
      <c r="C117" s="123" t="s">
        <v>1260</v>
      </c>
      <c r="D117" s="16">
        <v>500000</v>
      </c>
      <c r="E117" s="16">
        <v>66650</v>
      </c>
      <c r="F117" s="41">
        <f t="shared" si="18"/>
        <v>566650</v>
      </c>
      <c r="G117" s="159">
        <v>50</v>
      </c>
      <c r="H117" s="317">
        <v>11333</v>
      </c>
      <c r="I117" s="159">
        <v>2</v>
      </c>
      <c r="J117" s="159">
        <f t="shared" si="14"/>
        <v>48</v>
      </c>
      <c r="K117" s="16">
        <f t="shared" si="16"/>
        <v>22666</v>
      </c>
      <c r="L117" s="94">
        <f t="shared" si="15"/>
        <v>543984</v>
      </c>
      <c r="M117" s="11"/>
      <c r="N117" s="120"/>
    </row>
    <row r="118" spans="1:15" s="114" customFormat="1">
      <c r="A118" s="96">
        <v>113</v>
      </c>
      <c r="B118" s="292" t="s">
        <v>886</v>
      </c>
      <c r="C118" s="11" t="s">
        <v>908</v>
      </c>
      <c r="D118" s="16">
        <v>500000</v>
      </c>
      <c r="E118" s="16">
        <v>66650</v>
      </c>
      <c r="F118" s="41">
        <f t="shared" si="18"/>
        <v>566650</v>
      </c>
      <c r="G118" s="159">
        <v>50</v>
      </c>
      <c r="H118" s="318">
        <v>11333</v>
      </c>
      <c r="I118" s="97">
        <v>41</v>
      </c>
      <c r="J118" s="97">
        <f t="shared" ref="J118:J149" si="19">G118-I118</f>
        <v>9</v>
      </c>
      <c r="K118" s="91">
        <f t="shared" si="16"/>
        <v>464653</v>
      </c>
      <c r="L118" s="94">
        <f t="shared" si="15"/>
        <v>101997</v>
      </c>
      <c r="M118" s="11"/>
      <c r="N118"/>
    </row>
    <row r="119" spans="1:15" s="114" customFormat="1">
      <c r="A119" s="96">
        <v>114</v>
      </c>
      <c r="B119" s="293" t="s">
        <v>1190</v>
      </c>
      <c r="C119" s="123" t="s">
        <v>1191</v>
      </c>
      <c r="D119" s="16">
        <v>500000</v>
      </c>
      <c r="E119" s="16">
        <v>66650</v>
      </c>
      <c r="F119" s="41">
        <f t="shared" si="18"/>
        <v>566650</v>
      </c>
      <c r="G119" s="159">
        <v>50</v>
      </c>
      <c r="H119" s="317">
        <v>11333</v>
      </c>
      <c r="I119" s="159">
        <v>2</v>
      </c>
      <c r="J119" s="159">
        <f t="shared" si="19"/>
        <v>48</v>
      </c>
      <c r="K119" s="16">
        <f t="shared" si="16"/>
        <v>22666</v>
      </c>
      <c r="L119" s="94">
        <f t="shared" si="15"/>
        <v>543984</v>
      </c>
      <c r="M119" s="11"/>
      <c r="N119" s="180" t="e">
        <f>#REF!-H119</f>
        <v>#REF!</v>
      </c>
    </row>
    <row r="120" spans="1:15" s="114" customFormat="1">
      <c r="A120" s="96">
        <v>115</v>
      </c>
      <c r="B120" s="292" t="s">
        <v>542</v>
      </c>
      <c r="C120" s="11" t="s">
        <v>543</v>
      </c>
      <c r="D120" s="16">
        <v>500000</v>
      </c>
      <c r="E120" s="16">
        <v>66650</v>
      </c>
      <c r="F120" s="41">
        <f t="shared" si="18"/>
        <v>566650</v>
      </c>
      <c r="G120" s="159">
        <v>50</v>
      </c>
      <c r="H120" s="318">
        <v>11333</v>
      </c>
      <c r="I120" s="97">
        <v>40</v>
      </c>
      <c r="J120" s="97">
        <f t="shared" si="19"/>
        <v>10</v>
      </c>
      <c r="K120" s="91">
        <f t="shared" si="16"/>
        <v>453320</v>
      </c>
      <c r="L120" s="94">
        <f t="shared" si="15"/>
        <v>113330</v>
      </c>
      <c r="M120" s="11"/>
      <c r="N120" s="180" t="e">
        <f>#REF!-H120</f>
        <v>#REF!</v>
      </c>
    </row>
    <row r="121" spans="1:15" s="114" customFormat="1">
      <c r="A121" s="96">
        <v>116</v>
      </c>
      <c r="B121" s="292" t="s">
        <v>567</v>
      </c>
      <c r="C121" s="11" t="s">
        <v>568</v>
      </c>
      <c r="D121" s="16">
        <v>330000</v>
      </c>
      <c r="E121" s="16">
        <v>43989</v>
      </c>
      <c r="F121" s="41">
        <f t="shared" si="18"/>
        <v>373989</v>
      </c>
      <c r="G121" s="159">
        <v>50</v>
      </c>
      <c r="H121" s="318">
        <v>7479.78</v>
      </c>
      <c r="I121" s="97">
        <v>62</v>
      </c>
      <c r="J121" s="97">
        <f t="shared" si="19"/>
        <v>-12</v>
      </c>
      <c r="K121" s="91">
        <f t="shared" si="16"/>
        <v>463746.36</v>
      </c>
      <c r="L121" s="94">
        <f t="shared" si="15"/>
        <v>-89757.359999999986</v>
      </c>
      <c r="M121" s="11"/>
      <c r="N121" s="180" t="e">
        <f>#REF!-H121</f>
        <v>#REF!</v>
      </c>
    </row>
    <row r="122" spans="1:15" s="114" customFormat="1">
      <c r="A122" s="96">
        <v>117</v>
      </c>
      <c r="B122" s="292" t="s">
        <v>680</v>
      </c>
      <c r="C122" s="11" t="s">
        <v>681</v>
      </c>
      <c r="D122" s="19">
        <v>500000</v>
      </c>
      <c r="E122" s="19">
        <v>66650</v>
      </c>
      <c r="F122" s="19">
        <v>566650</v>
      </c>
      <c r="G122" s="159">
        <v>50</v>
      </c>
      <c r="H122" s="318">
        <v>11333</v>
      </c>
      <c r="I122" s="97">
        <v>27</v>
      </c>
      <c r="J122" s="97">
        <f t="shared" si="19"/>
        <v>23</v>
      </c>
      <c r="K122" s="91">
        <f t="shared" si="16"/>
        <v>305991</v>
      </c>
      <c r="L122" s="91">
        <f t="shared" si="15"/>
        <v>260659</v>
      </c>
      <c r="M122" s="11"/>
      <c r="N122"/>
    </row>
    <row r="123" spans="1:15" s="114" customFormat="1">
      <c r="A123" s="96">
        <v>118</v>
      </c>
      <c r="B123" s="292" t="s">
        <v>684</v>
      </c>
      <c r="C123" s="11" t="s">
        <v>685</v>
      </c>
      <c r="D123" s="19">
        <v>500000</v>
      </c>
      <c r="E123" s="19">
        <v>66650</v>
      </c>
      <c r="F123" s="19">
        <v>566650</v>
      </c>
      <c r="G123" s="159">
        <v>50</v>
      </c>
      <c r="H123" s="318">
        <v>11333</v>
      </c>
      <c r="I123" s="97">
        <v>27</v>
      </c>
      <c r="J123" s="97">
        <f t="shared" si="19"/>
        <v>23</v>
      </c>
      <c r="K123" s="91">
        <f t="shared" si="16"/>
        <v>305991</v>
      </c>
      <c r="L123" s="91">
        <f t="shared" si="15"/>
        <v>260659</v>
      </c>
      <c r="M123" s="11"/>
      <c r="N123" s="180" t="e">
        <f>#REF!-H123</f>
        <v>#REF!</v>
      </c>
    </row>
    <row r="124" spans="1:15" s="114" customFormat="1">
      <c r="A124" s="96">
        <v>119</v>
      </c>
      <c r="B124" s="292" t="s">
        <v>621</v>
      </c>
      <c r="C124" s="11" t="s">
        <v>622</v>
      </c>
      <c r="D124" s="16">
        <v>500000</v>
      </c>
      <c r="E124" s="16">
        <v>66650</v>
      </c>
      <c r="F124" s="41">
        <f t="shared" ref="F124:F132" si="20">SUM(D124:E124)</f>
        <v>566650</v>
      </c>
      <c r="G124" s="159">
        <v>50</v>
      </c>
      <c r="H124" s="318">
        <v>11333</v>
      </c>
      <c r="I124" s="97">
        <v>50</v>
      </c>
      <c r="J124" s="97">
        <f t="shared" si="19"/>
        <v>0</v>
      </c>
      <c r="K124" s="91">
        <f t="shared" si="16"/>
        <v>566650</v>
      </c>
      <c r="L124" s="94">
        <f t="shared" si="15"/>
        <v>0</v>
      </c>
      <c r="M124" s="11"/>
      <c r="N124" s="180" t="e">
        <f>#REF!-H124</f>
        <v>#REF!</v>
      </c>
      <c r="O124" s="120"/>
    </row>
    <row r="125" spans="1:15" s="114" customFormat="1">
      <c r="A125" s="96">
        <v>120</v>
      </c>
      <c r="B125" s="292" t="s">
        <v>730</v>
      </c>
      <c r="C125" s="11" t="s">
        <v>731</v>
      </c>
      <c r="D125" s="16">
        <v>500000</v>
      </c>
      <c r="E125" s="16">
        <v>66650</v>
      </c>
      <c r="F125" s="41">
        <f t="shared" si="20"/>
        <v>566650</v>
      </c>
      <c r="G125" s="159">
        <v>50</v>
      </c>
      <c r="H125" s="318">
        <v>11333</v>
      </c>
      <c r="I125" s="159">
        <v>17</v>
      </c>
      <c r="J125" s="159">
        <f t="shared" si="19"/>
        <v>33</v>
      </c>
      <c r="K125" s="91">
        <f t="shared" si="16"/>
        <v>192661</v>
      </c>
      <c r="L125" s="94">
        <f t="shared" si="15"/>
        <v>373989</v>
      </c>
      <c r="M125" s="11"/>
      <c r="N125" s="180" t="e">
        <f>#REF!-H125</f>
        <v>#REF!</v>
      </c>
    </row>
    <row r="126" spans="1:15" s="114" customFormat="1">
      <c r="A126" s="96">
        <v>121</v>
      </c>
      <c r="B126" s="296" t="s">
        <v>670</v>
      </c>
      <c r="C126" s="11" t="s">
        <v>671</v>
      </c>
      <c r="D126" s="16">
        <v>330000</v>
      </c>
      <c r="E126" s="16">
        <v>43989</v>
      </c>
      <c r="F126" s="41">
        <f t="shared" si="20"/>
        <v>373989</v>
      </c>
      <c r="G126" s="240">
        <v>50</v>
      </c>
      <c r="H126" s="318">
        <v>7479.78</v>
      </c>
      <c r="I126" s="247">
        <v>49</v>
      </c>
      <c r="J126" s="97">
        <f t="shared" si="19"/>
        <v>1</v>
      </c>
      <c r="K126" s="91">
        <f t="shared" si="16"/>
        <v>366509.22</v>
      </c>
      <c r="L126" s="94">
        <f t="shared" si="15"/>
        <v>7479.7800000000279</v>
      </c>
      <c r="M126" s="11"/>
      <c r="N126"/>
    </row>
    <row r="127" spans="1:15" s="114" customFormat="1">
      <c r="A127" s="96">
        <v>122</v>
      </c>
      <c r="B127" s="293" t="s">
        <v>888</v>
      </c>
      <c r="C127" s="123" t="s">
        <v>910</v>
      </c>
      <c r="D127" s="16">
        <v>500000</v>
      </c>
      <c r="E127" s="16">
        <v>66650</v>
      </c>
      <c r="F127" s="41">
        <f t="shared" si="20"/>
        <v>566650</v>
      </c>
      <c r="G127" s="159">
        <v>50</v>
      </c>
      <c r="H127" s="317">
        <v>11333</v>
      </c>
      <c r="I127" s="159">
        <v>10</v>
      </c>
      <c r="J127" s="159">
        <f t="shared" si="19"/>
        <v>40</v>
      </c>
      <c r="K127" s="16">
        <f t="shared" si="16"/>
        <v>113330</v>
      </c>
      <c r="L127" s="94">
        <f t="shared" si="15"/>
        <v>453320</v>
      </c>
      <c r="M127" s="11"/>
    </row>
    <row r="128" spans="1:15" s="114" customFormat="1">
      <c r="A128" s="96">
        <v>123</v>
      </c>
      <c r="B128" s="292" t="s">
        <v>949</v>
      </c>
      <c r="C128" s="11" t="s">
        <v>950</v>
      </c>
      <c r="D128" s="16">
        <v>500000</v>
      </c>
      <c r="E128" s="16">
        <v>66650</v>
      </c>
      <c r="F128" s="41">
        <f t="shared" si="20"/>
        <v>566650</v>
      </c>
      <c r="G128" s="159">
        <v>50</v>
      </c>
      <c r="H128" s="318">
        <v>11333</v>
      </c>
      <c r="I128" s="97">
        <v>40</v>
      </c>
      <c r="J128" s="97">
        <f t="shared" si="19"/>
        <v>10</v>
      </c>
      <c r="K128" s="91">
        <f t="shared" si="16"/>
        <v>453320</v>
      </c>
      <c r="L128" s="94">
        <f t="shared" si="15"/>
        <v>113330</v>
      </c>
      <c r="M128" s="11"/>
    </row>
    <row r="129" spans="1:14" s="114" customFormat="1">
      <c r="A129" s="96">
        <v>124</v>
      </c>
      <c r="B129" s="292" t="s">
        <v>711</v>
      </c>
      <c r="C129" s="11" t="s">
        <v>712</v>
      </c>
      <c r="D129" s="16">
        <v>500000</v>
      </c>
      <c r="E129" s="16">
        <v>66650</v>
      </c>
      <c r="F129" s="41">
        <f t="shared" si="20"/>
        <v>566650</v>
      </c>
      <c r="G129" s="159">
        <v>50</v>
      </c>
      <c r="H129" s="318">
        <v>11333</v>
      </c>
      <c r="I129" s="97">
        <v>40</v>
      </c>
      <c r="J129" s="97">
        <f t="shared" si="19"/>
        <v>10</v>
      </c>
      <c r="K129" s="91">
        <f t="shared" si="16"/>
        <v>453320</v>
      </c>
      <c r="L129" s="94">
        <f t="shared" si="15"/>
        <v>113330</v>
      </c>
      <c r="M129" s="11"/>
    </row>
    <row r="130" spans="1:14" s="114" customFormat="1">
      <c r="A130" s="96">
        <v>125</v>
      </c>
      <c r="B130" s="292" t="s">
        <v>585</v>
      </c>
      <c r="C130" s="11" t="s">
        <v>586</v>
      </c>
      <c r="D130" s="161">
        <v>500000</v>
      </c>
      <c r="E130" s="161">
        <v>66650</v>
      </c>
      <c r="F130" s="162">
        <f t="shared" si="20"/>
        <v>566650</v>
      </c>
      <c r="G130" s="96">
        <v>50</v>
      </c>
      <c r="H130" s="318">
        <v>11333</v>
      </c>
      <c r="I130" s="97">
        <v>41</v>
      </c>
      <c r="J130" s="97">
        <f t="shared" si="19"/>
        <v>9</v>
      </c>
      <c r="K130" s="146">
        <f t="shared" si="16"/>
        <v>464653</v>
      </c>
      <c r="L130" s="164">
        <f t="shared" si="15"/>
        <v>101997</v>
      </c>
      <c r="M130" s="123"/>
      <c r="N130" s="180" t="e">
        <f>#REF!-H130</f>
        <v>#REF!</v>
      </c>
    </row>
    <row r="131" spans="1:14" s="114" customFormat="1">
      <c r="A131" s="96">
        <v>126</v>
      </c>
      <c r="B131" s="292" t="s">
        <v>655</v>
      </c>
      <c r="C131" s="11" t="s">
        <v>656</v>
      </c>
      <c r="D131" s="16">
        <v>450000</v>
      </c>
      <c r="E131" s="16">
        <v>59985</v>
      </c>
      <c r="F131" s="41">
        <f t="shared" si="20"/>
        <v>509985</v>
      </c>
      <c r="G131" s="159">
        <v>50</v>
      </c>
      <c r="H131" s="318">
        <v>10199.700000000001</v>
      </c>
      <c r="I131" s="97">
        <v>41</v>
      </c>
      <c r="J131" s="97">
        <f t="shared" si="19"/>
        <v>9</v>
      </c>
      <c r="K131" s="91">
        <f t="shared" si="16"/>
        <v>418187.7</v>
      </c>
      <c r="L131" s="94">
        <f t="shared" si="15"/>
        <v>91797.299999999988</v>
      </c>
      <c r="M131" s="11"/>
      <c r="N131"/>
    </row>
    <row r="132" spans="1:14" s="114" customFormat="1">
      <c r="A132" s="96">
        <v>127</v>
      </c>
      <c r="B132" s="295" t="s">
        <v>939</v>
      </c>
      <c r="C132" s="8" t="s">
        <v>940</v>
      </c>
      <c r="D132" s="19">
        <v>330000</v>
      </c>
      <c r="E132" s="19">
        <v>43989</v>
      </c>
      <c r="F132" s="19">
        <f t="shared" si="20"/>
        <v>373989</v>
      </c>
      <c r="G132" s="159">
        <v>50</v>
      </c>
      <c r="H132" s="319">
        <v>7479.78</v>
      </c>
      <c r="I132" s="159">
        <v>7</v>
      </c>
      <c r="J132" s="159">
        <f t="shared" si="19"/>
        <v>43</v>
      </c>
      <c r="K132" s="16">
        <f t="shared" si="16"/>
        <v>52358.46</v>
      </c>
      <c r="L132" s="94">
        <f t="shared" si="15"/>
        <v>321630.53999999998</v>
      </c>
      <c r="M132" s="8"/>
      <c r="N132" s="180" t="e">
        <f>#REF!-H132</f>
        <v>#REF!</v>
      </c>
    </row>
    <row r="133" spans="1:14" s="114" customFormat="1">
      <c r="A133" s="96">
        <v>128</v>
      </c>
      <c r="B133" s="293" t="s">
        <v>1215</v>
      </c>
      <c r="C133" s="11" t="s">
        <v>1216</v>
      </c>
      <c r="D133" s="16">
        <v>450000</v>
      </c>
      <c r="E133" s="16">
        <v>59985</v>
      </c>
      <c r="F133" s="16">
        <v>509985</v>
      </c>
      <c r="G133" s="159">
        <v>50</v>
      </c>
      <c r="H133" s="317">
        <v>10199.700000000001</v>
      </c>
      <c r="I133" s="96">
        <v>3</v>
      </c>
      <c r="J133" s="97">
        <f t="shared" si="19"/>
        <v>47</v>
      </c>
      <c r="K133" s="91">
        <f t="shared" si="16"/>
        <v>30599.100000000002</v>
      </c>
      <c r="L133" s="94">
        <f t="shared" si="15"/>
        <v>479385.9</v>
      </c>
      <c r="M133" s="11"/>
      <c r="N133" s="180" t="e">
        <f>#REF!-H133</f>
        <v>#REF!</v>
      </c>
    </row>
    <row r="134" spans="1:14" s="114" customFormat="1">
      <c r="A134" s="96">
        <v>129</v>
      </c>
      <c r="B134" s="292" t="s">
        <v>581</v>
      </c>
      <c r="C134" s="11" t="s">
        <v>582</v>
      </c>
      <c r="D134" s="16">
        <v>330000</v>
      </c>
      <c r="E134" s="16">
        <v>43989</v>
      </c>
      <c r="F134" s="41">
        <f>SUM(D134:E134)</f>
        <v>373989</v>
      </c>
      <c r="G134" s="159">
        <v>50</v>
      </c>
      <c r="H134" s="318">
        <v>7479.78</v>
      </c>
      <c r="I134" s="97">
        <v>62</v>
      </c>
      <c r="J134" s="97">
        <f t="shared" si="19"/>
        <v>-12</v>
      </c>
      <c r="K134" s="91">
        <f t="shared" si="16"/>
        <v>463746.36</v>
      </c>
      <c r="L134" s="94">
        <f t="shared" ref="L134:L156" si="21">F134-K134</f>
        <v>-89757.359999999986</v>
      </c>
      <c r="M134" s="11"/>
      <c r="N134" s="180" t="e">
        <f>#REF!-H134</f>
        <v>#REF!</v>
      </c>
    </row>
    <row r="135" spans="1:14" s="114" customFormat="1">
      <c r="A135" s="96">
        <v>130</v>
      </c>
      <c r="B135" s="293" t="s">
        <v>602</v>
      </c>
      <c r="C135" s="11" t="s">
        <v>603</v>
      </c>
      <c r="D135" s="19">
        <v>330000</v>
      </c>
      <c r="E135" s="19">
        <v>43989</v>
      </c>
      <c r="F135" s="19">
        <f>SUM(D135:E135)</f>
        <v>373989</v>
      </c>
      <c r="G135" s="159">
        <v>50</v>
      </c>
      <c r="H135" s="317">
        <v>7479.78</v>
      </c>
      <c r="I135" s="96">
        <v>3</v>
      </c>
      <c r="J135" s="97">
        <f t="shared" si="19"/>
        <v>47</v>
      </c>
      <c r="K135" s="91">
        <f t="shared" si="16"/>
        <v>22439.34</v>
      </c>
      <c r="L135" s="94">
        <f t="shared" si="21"/>
        <v>351549.66</v>
      </c>
      <c r="M135" s="11"/>
      <c r="N135" s="180" t="e">
        <f>#REF!-H135</f>
        <v>#REF!</v>
      </c>
    </row>
    <row r="136" spans="1:14" s="114" customFormat="1">
      <c r="A136" s="96">
        <v>131</v>
      </c>
      <c r="B136" s="292" t="s">
        <v>548</v>
      </c>
      <c r="C136" s="11" t="s">
        <v>549</v>
      </c>
      <c r="D136" s="12">
        <v>330000</v>
      </c>
      <c r="E136" s="12">
        <v>43989</v>
      </c>
      <c r="F136" s="15">
        <f>SUM(D136:E136)</f>
        <v>373989</v>
      </c>
      <c r="G136" s="14">
        <v>50</v>
      </c>
      <c r="H136" s="146">
        <v>7479.78</v>
      </c>
      <c r="I136" s="14">
        <v>46</v>
      </c>
      <c r="J136" s="97">
        <f t="shared" si="19"/>
        <v>4</v>
      </c>
      <c r="K136" s="91">
        <f t="shared" si="16"/>
        <v>344069.88</v>
      </c>
      <c r="L136" s="15">
        <f t="shared" si="21"/>
        <v>29919.119999999995</v>
      </c>
      <c r="M136" s="8"/>
      <c r="N136" s="180" t="e">
        <f>#REF!-H136</f>
        <v>#REF!</v>
      </c>
    </row>
    <row r="137" spans="1:14" s="114" customFormat="1">
      <c r="A137" s="96">
        <v>132</v>
      </c>
      <c r="B137" s="293" t="s">
        <v>900</v>
      </c>
      <c r="C137" s="123" t="s">
        <v>923</v>
      </c>
      <c r="D137" s="19">
        <v>330000</v>
      </c>
      <c r="E137" s="19">
        <v>43989</v>
      </c>
      <c r="F137" s="19">
        <f>SUM(D137:E137)</f>
        <v>373989</v>
      </c>
      <c r="G137" s="159">
        <v>50</v>
      </c>
      <c r="H137" s="317">
        <v>7479.78</v>
      </c>
      <c r="I137" s="159">
        <v>10</v>
      </c>
      <c r="J137" s="159">
        <f t="shared" si="19"/>
        <v>40</v>
      </c>
      <c r="K137" s="16">
        <f t="shared" ref="K137:K156" si="22">I137*H137</f>
        <v>74797.8</v>
      </c>
      <c r="L137" s="94">
        <f t="shared" si="21"/>
        <v>299191.2</v>
      </c>
      <c r="M137" s="11"/>
      <c r="N137" s="180" t="e">
        <f>#REF!-H137</f>
        <v>#REF!</v>
      </c>
    </row>
    <row r="138" spans="1:14" s="114" customFormat="1">
      <c r="A138" s="96">
        <v>133</v>
      </c>
      <c r="B138" s="293" t="s">
        <v>1219</v>
      </c>
      <c r="C138" s="11" t="s">
        <v>1220</v>
      </c>
      <c r="D138" s="19">
        <v>330000</v>
      </c>
      <c r="E138" s="19">
        <v>43989</v>
      </c>
      <c r="F138" s="19">
        <f>SUM(D138:E138)</f>
        <v>373989</v>
      </c>
      <c r="G138" s="159">
        <v>50</v>
      </c>
      <c r="H138" s="317">
        <v>7479.78</v>
      </c>
      <c r="I138" s="96">
        <v>3</v>
      </c>
      <c r="J138" s="97">
        <f t="shared" si="19"/>
        <v>47</v>
      </c>
      <c r="K138" s="91">
        <f t="shared" si="22"/>
        <v>22439.34</v>
      </c>
      <c r="L138" s="94">
        <f t="shared" si="21"/>
        <v>351549.66</v>
      </c>
      <c r="M138" s="11"/>
      <c r="N138" s="180"/>
    </row>
    <row r="139" spans="1:14" s="114" customFormat="1">
      <c r="A139" s="96">
        <v>134</v>
      </c>
      <c r="B139" s="293" t="s">
        <v>1156</v>
      </c>
      <c r="C139" s="11" t="s">
        <v>1157</v>
      </c>
      <c r="D139" s="19"/>
      <c r="E139" s="19"/>
      <c r="F139" s="19">
        <v>200000</v>
      </c>
      <c r="G139" s="159">
        <v>50</v>
      </c>
      <c r="H139" s="317">
        <v>5099.8500000000004</v>
      </c>
      <c r="I139" s="96">
        <v>3</v>
      </c>
      <c r="J139" s="97">
        <f t="shared" si="19"/>
        <v>47</v>
      </c>
      <c r="K139" s="91">
        <f t="shared" si="22"/>
        <v>15299.550000000001</v>
      </c>
      <c r="L139" s="94">
        <f t="shared" si="21"/>
        <v>184700.45</v>
      </c>
      <c r="M139" s="11"/>
      <c r="N139" s="180"/>
    </row>
    <row r="140" spans="1:14" s="114" customFormat="1">
      <c r="A140" s="96">
        <v>135</v>
      </c>
      <c r="B140" s="292" t="s">
        <v>696</v>
      </c>
      <c r="C140" s="11" t="s">
        <v>697</v>
      </c>
      <c r="D140" s="16">
        <v>500000</v>
      </c>
      <c r="E140" s="16">
        <v>66650</v>
      </c>
      <c r="F140" s="41">
        <f>SUM(D140:E140)</f>
        <v>566650</v>
      </c>
      <c r="G140" s="159">
        <v>50</v>
      </c>
      <c r="H140" s="318">
        <v>11333</v>
      </c>
      <c r="I140" s="96">
        <v>62</v>
      </c>
      <c r="J140" s="96">
        <f t="shared" si="19"/>
        <v>-12</v>
      </c>
      <c r="K140" s="16">
        <f t="shared" si="22"/>
        <v>702646</v>
      </c>
      <c r="L140" s="41">
        <f t="shared" si="21"/>
        <v>-135996</v>
      </c>
      <c r="M140" s="11"/>
      <c r="N140" s="180"/>
    </row>
    <row r="141" spans="1:14" s="114" customFormat="1">
      <c r="A141" s="96">
        <v>136</v>
      </c>
      <c r="B141" s="293" t="s">
        <v>1225</v>
      </c>
      <c r="C141" s="11" t="s">
        <v>1226</v>
      </c>
      <c r="D141" s="16">
        <v>500000</v>
      </c>
      <c r="E141" s="16">
        <v>66650</v>
      </c>
      <c r="F141" s="41">
        <f>SUM(D141:E141)</f>
        <v>566650</v>
      </c>
      <c r="G141" s="159">
        <v>50</v>
      </c>
      <c r="H141" s="317">
        <v>11333</v>
      </c>
      <c r="I141" s="96">
        <v>3</v>
      </c>
      <c r="J141" s="97">
        <f t="shared" si="19"/>
        <v>47</v>
      </c>
      <c r="K141" s="91">
        <f t="shared" si="22"/>
        <v>33999</v>
      </c>
      <c r="L141" s="94">
        <f t="shared" si="21"/>
        <v>532651</v>
      </c>
      <c r="M141" s="11"/>
      <c r="N141" s="180"/>
    </row>
    <row r="142" spans="1:14" s="114" customFormat="1">
      <c r="A142" s="96">
        <v>137</v>
      </c>
      <c r="B142" s="292" t="s">
        <v>516</v>
      </c>
      <c r="C142" s="11" t="s">
        <v>517</v>
      </c>
      <c r="D142" s="16">
        <v>500000</v>
      </c>
      <c r="E142" s="16">
        <v>66650</v>
      </c>
      <c r="F142" s="41">
        <f>SUM(D142:E142)</f>
        <v>566650</v>
      </c>
      <c r="G142" s="159">
        <v>50</v>
      </c>
      <c r="H142" s="146">
        <v>11333</v>
      </c>
      <c r="I142" s="97">
        <v>41</v>
      </c>
      <c r="J142" s="97">
        <f t="shared" si="19"/>
        <v>9</v>
      </c>
      <c r="K142" s="91">
        <f t="shared" si="22"/>
        <v>464653</v>
      </c>
      <c r="L142" s="94">
        <f t="shared" si="21"/>
        <v>101997</v>
      </c>
      <c r="M142" s="11"/>
      <c r="N142" s="180"/>
    </row>
    <row r="143" spans="1:14" s="114" customFormat="1" ht="12.75" customHeight="1">
      <c r="A143" s="96">
        <v>138</v>
      </c>
      <c r="B143" s="294" t="s">
        <v>606</v>
      </c>
      <c r="C143" s="123" t="s">
        <v>952</v>
      </c>
      <c r="D143" s="19">
        <v>150000</v>
      </c>
      <c r="E143" s="19">
        <v>19995</v>
      </c>
      <c r="F143" s="19">
        <f>SUM(D143:E143)</f>
        <v>169995</v>
      </c>
      <c r="G143" s="159">
        <v>50</v>
      </c>
      <c r="H143" s="317">
        <v>3399.9</v>
      </c>
      <c r="I143" s="159">
        <v>8</v>
      </c>
      <c r="J143" s="97">
        <f t="shared" si="19"/>
        <v>42</v>
      </c>
      <c r="K143" s="91">
        <f t="shared" si="22"/>
        <v>27199.200000000001</v>
      </c>
      <c r="L143" s="94">
        <f t="shared" si="21"/>
        <v>142795.79999999999</v>
      </c>
      <c r="M143" s="11"/>
      <c r="N143" s="180"/>
    </row>
    <row r="144" spans="1:14" s="114" customFormat="1" ht="12.75" customHeight="1">
      <c r="A144" s="96">
        <v>139</v>
      </c>
      <c r="B144" s="292" t="s">
        <v>572</v>
      </c>
      <c r="C144" s="11" t="s">
        <v>573</v>
      </c>
      <c r="D144" s="12">
        <v>150000</v>
      </c>
      <c r="E144" s="12">
        <v>19995</v>
      </c>
      <c r="F144" s="15">
        <f>SUM(D144:E144)</f>
        <v>169995</v>
      </c>
      <c r="G144" s="14">
        <v>50</v>
      </c>
      <c r="H144" s="318">
        <v>3399.9</v>
      </c>
      <c r="I144" s="14">
        <v>46</v>
      </c>
      <c r="J144" s="97">
        <f t="shared" si="19"/>
        <v>4</v>
      </c>
      <c r="K144" s="91">
        <f t="shared" si="22"/>
        <v>156395.4</v>
      </c>
      <c r="L144" s="15">
        <f t="shared" si="21"/>
        <v>13599.600000000006</v>
      </c>
      <c r="M144" s="8"/>
      <c r="N144" s="180"/>
    </row>
    <row r="145" spans="1:14" s="114" customFormat="1">
      <c r="A145" s="96">
        <v>140</v>
      </c>
      <c r="B145" s="292" t="s">
        <v>649</v>
      </c>
      <c r="C145" s="11" t="s">
        <v>650</v>
      </c>
      <c r="D145" s="16">
        <v>450000</v>
      </c>
      <c r="E145" s="16">
        <v>59985</v>
      </c>
      <c r="F145" s="16">
        <v>509985</v>
      </c>
      <c r="G145" s="159">
        <v>50</v>
      </c>
      <c r="H145" s="318">
        <v>10199.700000000001</v>
      </c>
      <c r="I145" s="97">
        <v>26</v>
      </c>
      <c r="J145" s="97">
        <f t="shared" si="19"/>
        <v>24</v>
      </c>
      <c r="K145" s="91">
        <f t="shared" si="22"/>
        <v>265192.2</v>
      </c>
      <c r="L145" s="91">
        <f t="shared" si="21"/>
        <v>244792.8</v>
      </c>
      <c r="M145" s="11"/>
      <c r="N145" s="180"/>
    </row>
    <row r="146" spans="1:14" s="114" customFormat="1" ht="13.5" customHeight="1">
      <c r="A146" s="96">
        <v>141</v>
      </c>
      <c r="B146" s="293" t="s">
        <v>890</v>
      </c>
      <c r="C146" s="123" t="s">
        <v>912</v>
      </c>
      <c r="D146" s="16">
        <v>500000</v>
      </c>
      <c r="E146" s="16">
        <v>66650</v>
      </c>
      <c r="F146" s="41">
        <f>SUM(D146:E146)</f>
        <v>566650</v>
      </c>
      <c r="G146" s="159">
        <v>50</v>
      </c>
      <c r="H146" s="317">
        <v>11333</v>
      </c>
      <c r="I146" s="159">
        <v>10</v>
      </c>
      <c r="J146" s="159">
        <f t="shared" si="19"/>
        <v>40</v>
      </c>
      <c r="K146" s="16">
        <f t="shared" si="22"/>
        <v>113330</v>
      </c>
      <c r="L146" s="94">
        <f t="shared" si="21"/>
        <v>453320</v>
      </c>
      <c r="M146" s="11"/>
      <c r="N146" s="180"/>
    </row>
    <row r="147" spans="1:14" s="114" customFormat="1" ht="12.75" customHeight="1">
      <c r="A147" s="96">
        <v>142</v>
      </c>
      <c r="B147" s="292" t="s">
        <v>609</v>
      </c>
      <c r="C147" s="11" t="s">
        <v>610</v>
      </c>
      <c r="D147" s="16">
        <v>500000</v>
      </c>
      <c r="E147" s="16">
        <v>66650</v>
      </c>
      <c r="F147" s="41">
        <f>SUM(D147:E147)</f>
        <v>566650</v>
      </c>
      <c r="G147" s="159">
        <v>50</v>
      </c>
      <c r="H147" s="318">
        <v>11333</v>
      </c>
      <c r="I147" s="97">
        <v>40</v>
      </c>
      <c r="J147" s="97">
        <f t="shared" si="19"/>
        <v>10</v>
      </c>
      <c r="K147" s="91">
        <f t="shared" si="22"/>
        <v>453320</v>
      </c>
      <c r="L147" s="94">
        <f t="shared" si="21"/>
        <v>113330</v>
      </c>
      <c r="M147" s="11"/>
      <c r="N147" s="180"/>
    </row>
    <row r="148" spans="1:14" s="114" customFormat="1" ht="12.75" customHeight="1">
      <c r="A148" s="96">
        <v>143</v>
      </c>
      <c r="B148" s="293" t="s">
        <v>1241</v>
      </c>
      <c r="C148" s="123" t="s">
        <v>1242</v>
      </c>
      <c r="D148" s="19">
        <v>450000</v>
      </c>
      <c r="E148" s="19">
        <v>59985</v>
      </c>
      <c r="F148" s="19">
        <v>509985</v>
      </c>
      <c r="G148" s="159">
        <v>50</v>
      </c>
      <c r="H148" s="317">
        <v>10199.700000000001</v>
      </c>
      <c r="I148" s="159">
        <v>2</v>
      </c>
      <c r="J148" s="159">
        <f t="shared" si="19"/>
        <v>48</v>
      </c>
      <c r="K148" s="16">
        <f t="shared" si="22"/>
        <v>20399.400000000001</v>
      </c>
      <c r="L148" s="94">
        <f t="shared" si="21"/>
        <v>489585.6</v>
      </c>
      <c r="M148" s="11"/>
      <c r="N148" s="180"/>
    </row>
    <row r="149" spans="1:14" s="114" customFormat="1">
      <c r="A149" s="96">
        <v>144</v>
      </c>
      <c r="B149" s="292" t="s">
        <v>524</v>
      </c>
      <c r="C149" s="11" t="s">
        <v>525</v>
      </c>
      <c r="D149" s="19">
        <v>330000</v>
      </c>
      <c r="E149" s="19">
        <v>43989</v>
      </c>
      <c r="F149" s="19">
        <f>SUM(D149:E149)</f>
        <v>373989</v>
      </c>
      <c r="G149" s="159">
        <v>50</v>
      </c>
      <c r="H149" s="146">
        <v>7479.78</v>
      </c>
      <c r="I149" s="159">
        <v>15</v>
      </c>
      <c r="J149" s="97">
        <f t="shared" si="19"/>
        <v>35</v>
      </c>
      <c r="K149" s="91">
        <f t="shared" si="22"/>
        <v>112196.7</v>
      </c>
      <c r="L149" s="94">
        <f t="shared" si="21"/>
        <v>261792.3</v>
      </c>
      <c r="M149" s="11"/>
      <c r="N149" s="180"/>
    </row>
    <row r="150" spans="1:14" s="114" customFormat="1" ht="13.5" customHeight="1">
      <c r="A150" s="96">
        <v>145</v>
      </c>
      <c r="B150" s="292" t="s">
        <v>576</v>
      </c>
      <c r="C150" s="11" t="s">
        <v>927</v>
      </c>
      <c r="D150" s="16">
        <v>60000</v>
      </c>
      <c r="E150" s="16">
        <v>7998</v>
      </c>
      <c r="F150" s="41">
        <f>SUM(D150:E150)</f>
        <v>67998</v>
      </c>
      <c r="G150" s="159">
        <v>40</v>
      </c>
      <c r="H150" s="318">
        <v>1699.95</v>
      </c>
      <c r="I150" s="97">
        <v>16</v>
      </c>
      <c r="J150" s="97">
        <f t="shared" ref="J150:J156" si="23">G150-I150</f>
        <v>24</v>
      </c>
      <c r="K150" s="91">
        <f t="shared" si="22"/>
        <v>27199.200000000001</v>
      </c>
      <c r="L150" s="94">
        <f t="shared" si="21"/>
        <v>40798.800000000003</v>
      </c>
      <c r="M150" s="11"/>
      <c r="N150" s="180"/>
    </row>
    <row r="151" spans="1:14" s="114" customFormat="1">
      <c r="A151" s="96">
        <v>146</v>
      </c>
      <c r="B151" s="293" t="s">
        <v>653</v>
      </c>
      <c r="C151" s="11" t="s">
        <v>654</v>
      </c>
      <c r="D151" s="19">
        <v>330000</v>
      </c>
      <c r="E151" s="19">
        <v>43989</v>
      </c>
      <c r="F151" s="19">
        <f>SUM(D151:E151)</f>
        <v>373989</v>
      </c>
      <c r="G151" s="159">
        <v>50</v>
      </c>
      <c r="H151" s="317">
        <v>7479.78</v>
      </c>
      <c r="I151" s="96">
        <v>33</v>
      </c>
      <c r="J151" s="97">
        <f t="shared" si="23"/>
        <v>17</v>
      </c>
      <c r="K151" s="91">
        <f t="shared" si="22"/>
        <v>246832.74</v>
      </c>
      <c r="L151" s="94">
        <f t="shared" si="21"/>
        <v>127156.26000000001</v>
      </c>
      <c r="M151" s="11"/>
      <c r="N151" s="180"/>
    </row>
    <row r="152" spans="1:14" s="114" customFormat="1" ht="12.75" customHeight="1">
      <c r="A152" s="96">
        <v>147</v>
      </c>
      <c r="B152" s="293" t="s">
        <v>1160</v>
      </c>
      <c r="C152" s="123" t="s">
        <v>1161</v>
      </c>
      <c r="D152" s="19">
        <v>450000</v>
      </c>
      <c r="E152" s="19">
        <v>59985</v>
      </c>
      <c r="F152" s="19">
        <v>509985</v>
      </c>
      <c r="G152" s="159">
        <v>50</v>
      </c>
      <c r="H152" s="317">
        <v>10199.700000000001</v>
      </c>
      <c r="I152" s="159">
        <v>2</v>
      </c>
      <c r="J152" s="159">
        <f t="shared" si="23"/>
        <v>48</v>
      </c>
      <c r="K152" s="16">
        <f t="shared" si="22"/>
        <v>20399.400000000001</v>
      </c>
      <c r="L152" s="94">
        <f t="shared" si="21"/>
        <v>489585.6</v>
      </c>
      <c r="M152" s="11"/>
      <c r="N152" s="180"/>
    </row>
    <row r="153" spans="1:14" s="114" customFormat="1" ht="12.75" customHeight="1">
      <c r="A153" s="96">
        <v>148</v>
      </c>
      <c r="B153" s="293" t="s">
        <v>1192</v>
      </c>
      <c r="C153" s="123" t="s">
        <v>1193</v>
      </c>
      <c r="D153" s="19">
        <v>330000</v>
      </c>
      <c r="E153" s="19">
        <v>43989</v>
      </c>
      <c r="F153" s="19">
        <f>SUM(D153:E153)</f>
        <v>373989</v>
      </c>
      <c r="G153" s="159">
        <v>50</v>
      </c>
      <c r="H153" s="317">
        <v>7479.78</v>
      </c>
      <c r="I153" s="159">
        <v>1</v>
      </c>
      <c r="J153" s="159">
        <f t="shared" si="23"/>
        <v>49</v>
      </c>
      <c r="K153" s="16">
        <f t="shared" si="22"/>
        <v>7479.78</v>
      </c>
      <c r="L153" s="94">
        <f t="shared" si="21"/>
        <v>366509.22</v>
      </c>
      <c r="M153" s="11"/>
      <c r="N153" s="180"/>
    </row>
    <row r="154" spans="1:14" s="114" customFormat="1" ht="13.5" customHeight="1">
      <c r="A154" s="96">
        <v>150</v>
      </c>
      <c r="B154" s="293"/>
      <c r="C154" s="123" t="s">
        <v>1268</v>
      </c>
      <c r="D154" s="16">
        <v>500000</v>
      </c>
      <c r="E154" s="16">
        <v>66650</v>
      </c>
      <c r="F154" s="41">
        <f>SUM(D154:E154)</f>
        <v>566650</v>
      </c>
      <c r="G154" s="159">
        <v>50</v>
      </c>
      <c r="H154" s="317">
        <v>11749.67</v>
      </c>
      <c r="I154" s="159">
        <v>15</v>
      </c>
      <c r="J154" s="159">
        <f t="shared" si="23"/>
        <v>35</v>
      </c>
      <c r="K154" s="16">
        <f t="shared" si="22"/>
        <v>176245.05</v>
      </c>
      <c r="L154" s="94">
        <f t="shared" si="21"/>
        <v>390404.95</v>
      </c>
      <c r="M154" s="11"/>
      <c r="N154" s="180"/>
    </row>
    <row r="155" spans="1:14" s="114" customFormat="1" ht="12.75" customHeight="1">
      <c r="A155" s="96">
        <v>151</v>
      </c>
      <c r="B155" s="293"/>
      <c r="C155" s="123" t="s">
        <v>1269</v>
      </c>
      <c r="D155" s="19">
        <v>450000</v>
      </c>
      <c r="E155" s="19">
        <v>59985</v>
      </c>
      <c r="F155" s="19">
        <v>509985</v>
      </c>
      <c r="G155" s="159">
        <v>50</v>
      </c>
      <c r="H155" s="317">
        <v>10199.700000000001</v>
      </c>
      <c r="I155" s="159">
        <v>22</v>
      </c>
      <c r="J155" s="159">
        <f t="shared" si="23"/>
        <v>28</v>
      </c>
      <c r="K155" s="16">
        <f t="shared" si="22"/>
        <v>224393.40000000002</v>
      </c>
      <c r="L155" s="94">
        <f t="shared" si="21"/>
        <v>285591.59999999998</v>
      </c>
      <c r="M155" s="11"/>
      <c r="N155" s="180"/>
    </row>
    <row r="156" spans="1:14" s="114" customFormat="1" ht="14.25" customHeight="1">
      <c r="A156" s="96">
        <v>152.666666666667</v>
      </c>
      <c r="B156" s="293"/>
      <c r="C156" s="123" t="s">
        <v>1270</v>
      </c>
      <c r="D156" s="19">
        <v>150000</v>
      </c>
      <c r="E156" s="19">
        <v>19995</v>
      </c>
      <c r="F156" s="19">
        <f>SUM(D156:E156)</f>
        <v>169995</v>
      </c>
      <c r="G156" s="159">
        <v>50</v>
      </c>
      <c r="H156" s="317">
        <v>3399.9</v>
      </c>
      <c r="I156" s="159">
        <v>26</v>
      </c>
      <c r="J156" s="159">
        <f t="shared" si="23"/>
        <v>24</v>
      </c>
      <c r="K156" s="16">
        <f t="shared" si="22"/>
        <v>88397.400000000009</v>
      </c>
      <c r="L156" s="94">
        <f t="shared" si="21"/>
        <v>81597.599999999991</v>
      </c>
      <c r="M156" s="11"/>
      <c r="N156" s="180"/>
    </row>
    <row r="157" spans="1:14" s="114" customFormat="1" ht="13.5" customHeight="1">
      <c r="A157" s="96">
        <v>154.166666666667</v>
      </c>
      <c r="B157" s="293"/>
      <c r="C157" s="123" t="s">
        <v>1271</v>
      </c>
      <c r="D157" s="19">
        <v>330000</v>
      </c>
      <c r="E157" s="19">
        <v>43989</v>
      </c>
      <c r="F157" s="19">
        <f>SUM(D157:E157)</f>
        <v>373989</v>
      </c>
      <c r="G157" s="159">
        <v>50</v>
      </c>
      <c r="H157" s="317">
        <v>7479.78</v>
      </c>
      <c r="I157" s="159"/>
      <c r="J157" s="159">
        <f>G157-I157</f>
        <v>50</v>
      </c>
      <c r="K157" s="16">
        <f>I157*H157</f>
        <v>0</v>
      </c>
      <c r="L157" s="94">
        <f>F157-K157</f>
        <v>373989</v>
      </c>
      <c r="M157" s="11"/>
      <c r="N157" s="180"/>
    </row>
    <row r="158" spans="1:14" s="114" customFormat="1">
      <c r="A158" s="126"/>
      <c r="B158" s="295"/>
      <c r="C158" s="8"/>
      <c r="D158" s="34">
        <f>SUM(D6:D157)</f>
        <v>63040000</v>
      </c>
      <c r="E158" s="34">
        <f>SUM(E6:E157)</f>
        <v>8372257.2000000002</v>
      </c>
      <c r="F158" s="34">
        <f>SUM(F6:F157)</f>
        <v>71612257.200000003</v>
      </c>
      <c r="G158" s="34"/>
      <c r="H158" s="34">
        <f>SUM(H6:H157)</f>
        <v>1449288.12</v>
      </c>
      <c r="I158" s="34"/>
      <c r="J158" s="34"/>
      <c r="K158" s="34">
        <f>SUM(K6:K157)</f>
        <v>38647631.120000012</v>
      </c>
      <c r="L158" s="34">
        <f>SUM(L6:L157)</f>
        <v>32964626.080000013</v>
      </c>
      <c r="M158" s="8"/>
    </row>
    <row r="159" spans="1:14" s="114" customFormat="1">
      <c r="A159" s="270"/>
      <c r="B159" s="297"/>
      <c r="C159" s="69"/>
      <c r="D159" s="67"/>
      <c r="E159" s="67"/>
      <c r="F159" s="67"/>
      <c r="G159" s="67"/>
      <c r="H159" s="276"/>
      <c r="I159" s="67"/>
      <c r="J159" s="67"/>
      <c r="K159" s="67"/>
      <c r="L159" s="67"/>
      <c r="M159" s="69"/>
    </row>
    <row r="160" spans="1:14" s="114" customFormat="1">
      <c r="A160" s="270"/>
      <c r="B160"/>
      <c r="C160"/>
      <c r="D160" s="165"/>
      <c r="E160" s="67"/>
      <c r="F160" s="67"/>
      <c r="G160" s="67"/>
      <c r="H160" s="67"/>
      <c r="I160" s="67"/>
      <c r="J160" s="67"/>
      <c r="K160" s="67"/>
      <c r="L160" s="67"/>
      <c r="M160" s="69"/>
    </row>
    <row r="161" spans="1:14" s="114" customFormat="1">
      <c r="A161" s="44"/>
      <c r="D161" s="312"/>
      <c r="E161"/>
      <c r="F161"/>
      <c r="G161" s="43"/>
      <c r="H161" s="39"/>
      <c r="I161" s="99"/>
      <c r="J161" s="99"/>
      <c r="K161"/>
      <c r="L161"/>
      <c r="M161"/>
    </row>
    <row r="162" spans="1:14" s="114" customFormat="1">
      <c r="A162" s="44"/>
      <c r="B162" s="298"/>
      <c r="C162" s="184"/>
      <c r="D162"/>
      <c r="E162"/>
      <c r="F162"/>
      <c r="G162" s="43"/>
      <c r="H162"/>
      <c r="I162" s="99"/>
      <c r="J162" s="99"/>
      <c r="K162"/>
      <c r="L162"/>
      <c r="M162"/>
      <c r="N162"/>
    </row>
  </sheetData>
  <sortState ref="B6:M154">
    <sortCondition ref="B6:B154"/>
  </sortState>
  <mergeCells count="2">
    <mergeCell ref="A3:M3"/>
    <mergeCell ref="A4:M4"/>
  </mergeCells>
  <conditionalFormatting sqref="C3">
    <cfRule type="duplicateValues" dxfId="231" priority="12"/>
  </conditionalFormatting>
  <conditionalFormatting sqref="C162:C1048576 C1:C160">
    <cfRule type="duplicateValues" dxfId="230" priority="17"/>
    <cfRule type="duplicateValues" dxfId="229" priority="18"/>
  </conditionalFormatting>
  <conditionalFormatting sqref="C1:C1048576">
    <cfRule type="duplicateValues" dxfId="228" priority="23"/>
  </conditionalFormatting>
  <conditionalFormatting sqref="B1:B1048576">
    <cfRule type="duplicateValues" dxfId="227" priority="26"/>
  </conditionalFormatting>
  <conditionalFormatting sqref="C162:C1048576 C1:C5">
    <cfRule type="duplicateValues" dxfId="226" priority="28"/>
  </conditionalFormatting>
  <conditionalFormatting sqref="C162:C1048576 C4:C5 C1:C2">
    <cfRule type="duplicateValues" dxfId="225" priority="32"/>
  </conditionalFormatting>
  <conditionalFormatting sqref="C162:C1048576">
    <cfRule type="duplicateValues" dxfId="224" priority="37"/>
  </conditionalFormatting>
  <conditionalFormatting sqref="C154:C157">
    <cfRule type="duplicateValues" dxfId="223" priority="3"/>
    <cfRule type="duplicateValues" dxfId="222" priority="4"/>
  </conditionalFormatting>
  <conditionalFormatting sqref="C154:C157">
    <cfRule type="duplicateValues" dxfId="221" priority="2"/>
  </conditionalFormatting>
  <conditionalFormatting sqref="B154:B157">
    <cfRule type="duplicateValues" dxfId="220" priority="1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3:O172"/>
  <sheetViews>
    <sheetView topLeftCell="A78" workbookViewId="0">
      <selection activeCell="C78" sqref="C78"/>
    </sheetView>
  </sheetViews>
  <sheetFormatPr defaultRowHeight="15"/>
  <cols>
    <col min="1" max="1" width="4.5703125" style="44" customWidth="1"/>
    <col min="2" max="2" width="13.140625" style="298" customWidth="1"/>
    <col min="3" max="3" width="37" style="184" customWidth="1"/>
    <col min="4" max="4" width="14" bestFit="1" customWidth="1"/>
    <col min="5" max="5" width="12.85546875" bestFit="1" customWidth="1"/>
    <col min="6" max="6" width="14.42578125" customWidth="1"/>
    <col min="7" max="7" width="10.140625" style="43" customWidth="1"/>
    <col min="8" max="8" width="13.28515625" bestFit="1" customWidth="1"/>
    <col min="9" max="9" width="11.140625" style="99" customWidth="1"/>
    <col min="10" max="10" width="11.85546875" style="99" customWidth="1"/>
    <col min="11" max="11" width="14" customWidth="1"/>
    <col min="12" max="12" width="14" bestFit="1" customWidth="1"/>
    <col min="13" max="13" width="10.5703125" customWidth="1"/>
    <col min="14" max="14" width="11.28515625" bestFit="1" customWidth="1"/>
  </cols>
  <sheetData>
    <row r="3" spans="1:14" ht="20.25">
      <c r="A3" s="419" t="s">
        <v>245</v>
      </c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</row>
    <row r="4" spans="1:14" ht="18">
      <c r="A4" s="418" t="s">
        <v>1273</v>
      </c>
      <c r="B4" s="418"/>
      <c r="C4" s="418"/>
      <c r="D4" s="418"/>
      <c r="E4" s="418"/>
      <c r="F4" s="418"/>
      <c r="G4" s="418"/>
      <c r="H4" s="418"/>
      <c r="I4" s="418"/>
      <c r="J4" s="418"/>
      <c r="K4" s="418"/>
      <c r="L4" s="418"/>
      <c r="M4" s="418"/>
    </row>
    <row r="5" spans="1:14" s="44" customFormat="1" ht="38.25">
      <c r="A5" s="5" t="s">
        <v>0</v>
      </c>
      <c r="B5" s="291" t="s">
        <v>869</v>
      </c>
      <c r="C5" s="5" t="s">
        <v>1</v>
      </c>
      <c r="D5" s="7" t="s">
        <v>2</v>
      </c>
      <c r="E5" s="7" t="s">
        <v>3</v>
      </c>
      <c r="F5" s="5" t="s">
        <v>4</v>
      </c>
      <c r="G5" s="7" t="s">
        <v>5</v>
      </c>
      <c r="H5" s="6" t="s">
        <v>6</v>
      </c>
      <c r="I5" s="7" t="s">
        <v>7</v>
      </c>
      <c r="J5" s="7" t="s">
        <v>8</v>
      </c>
      <c r="K5" s="7" t="s">
        <v>9</v>
      </c>
      <c r="L5" s="6" t="s">
        <v>10</v>
      </c>
      <c r="M5" s="6" t="s">
        <v>11</v>
      </c>
    </row>
    <row r="6" spans="1:14" s="114" customFormat="1">
      <c r="A6" s="96">
        <v>1</v>
      </c>
      <c r="B6" s="293" t="s">
        <v>1235</v>
      </c>
      <c r="C6" s="123" t="s">
        <v>1236</v>
      </c>
      <c r="D6" s="19">
        <v>330000</v>
      </c>
      <c r="E6" s="19">
        <v>43989</v>
      </c>
      <c r="F6" s="19">
        <f>SUM(D6:E6)</f>
        <v>373989</v>
      </c>
      <c r="G6" s="159">
        <v>50</v>
      </c>
      <c r="H6" s="314">
        <v>7479.78</v>
      </c>
      <c r="I6" s="159">
        <v>10</v>
      </c>
      <c r="J6" s="159">
        <f t="shared" ref="J6:J37" si="0">G6-I6</f>
        <v>40</v>
      </c>
      <c r="K6" s="16">
        <f t="shared" ref="K6:K30" si="1">I6*H6</f>
        <v>74797.8</v>
      </c>
      <c r="L6" s="94">
        <f t="shared" ref="L6:L37" si="2">F6-K6</f>
        <v>299191.2</v>
      </c>
      <c r="M6" s="11"/>
      <c r="N6" s="120"/>
    </row>
    <row r="7" spans="1:14" s="114" customFormat="1">
      <c r="A7" s="96">
        <v>2</v>
      </c>
      <c r="B7" s="293" t="s">
        <v>894</v>
      </c>
      <c r="C7" s="123" t="s">
        <v>916</v>
      </c>
      <c r="D7" s="19">
        <v>450000</v>
      </c>
      <c r="E7" s="19">
        <v>59985</v>
      </c>
      <c r="F7" s="19">
        <v>509985</v>
      </c>
      <c r="G7" s="159">
        <v>50</v>
      </c>
      <c r="H7" s="314">
        <v>10199.700000000001</v>
      </c>
      <c r="I7" s="159">
        <v>11</v>
      </c>
      <c r="J7" s="159">
        <f t="shared" si="0"/>
        <v>39</v>
      </c>
      <c r="K7" s="16">
        <f t="shared" si="1"/>
        <v>112196.70000000001</v>
      </c>
      <c r="L7" s="94">
        <f t="shared" si="2"/>
        <v>397788.3</v>
      </c>
      <c r="M7" s="11"/>
      <c r="N7" s="180" t="e">
        <f>#REF!-H7</f>
        <v>#REF!</v>
      </c>
    </row>
    <row r="8" spans="1:14" s="114" customFormat="1">
      <c r="A8" s="96">
        <v>3</v>
      </c>
      <c r="B8" s="292" t="s">
        <v>666</v>
      </c>
      <c r="C8" s="11" t="s">
        <v>667</v>
      </c>
      <c r="D8" s="19">
        <v>150000</v>
      </c>
      <c r="E8" s="19">
        <v>19995</v>
      </c>
      <c r="F8" s="19">
        <f>SUM(D8:E8)</f>
        <v>169995</v>
      </c>
      <c r="G8" s="159">
        <v>50</v>
      </c>
      <c r="H8" s="315">
        <v>3339.9</v>
      </c>
      <c r="I8" s="159">
        <v>14</v>
      </c>
      <c r="J8" s="97">
        <f t="shared" si="0"/>
        <v>36</v>
      </c>
      <c r="K8" s="91">
        <f t="shared" si="1"/>
        <v>46758.6</v>
      </c>
      <c r="L8" s="94">
        <f t="shared" si="2"/>
        <v>123236.4</v>
      </c>
      <c r="M8" s="11"/>
    </row>
    <row r="9" spans="1:14" s="114" customFormat="1">
      <c r="A9" s="96">
        <v>4</v>
      </c>
      <c r="B9" s="293" t="s">
        <v>896</v>
      </c>
      <c r="C9" s="123" t="s">
        <v>919</v>
      </c>
      <c r="D9" s="19">
        <v>450000</v>
      </c>
      <c r="E9" s="19">
        <v>59985</v>
      </c>
      <c r="F9" s="19">
        <v>509985</v>
      </c>
      <c r="G9" s="159">
        <v>50</v>
      </c>
      <c r="H9" s="314">
        <v>10199.700000000001</v>
      </c>
      <c r="I9" s="159">
        <v>11</v>
      </c>
      <c r="J9" s="159">
        <f t="shared" si="0"/>
        <v>39</v>
      </c>
      <c r="K9" s="16">
        <f t="shared" si="1"/>
        <v>112196.70000000001</v>
      </c>
      <c r="L9" s="94">
        <f t="shared" si="2"/>
        <v>397788.3</v>
      </c>
      <c r="M9" s="11"/>
    </row>
    <row r="10" spans="1:14" s="114" customFormat="1">
      <c r="A10" s="96">
        <v>5</v>
      </c>
      <c r="B10" s="293" t="s">
        <v>945</v>
      </c>
      <c r="C10" s="123" t="s">
        <v>946</v>
      </c>
      <c r="D10" s="16">
        <v>500000</v>
      </c>
      <c r="E10" s="16">
        <v>66650</v>
      </c>
      <c r="F10" s="41">
        <f>SUM(D10:E10)</f>
        <v>566650</v>
      </c>
      <c r="G10" s="159">
        <v>50</v>
      </c>
      <c r="H10" s="314">
        <v>11333</v>
      </c>
      <c r="I10" s="159">
        <v>11</v>
      </c>
      <c r="J10" s="159">
        <f t="shared" si="0"/>
        <v>39</v>
      </c>
      <c r="K10" s="16">
        <f t="shared" si="1"/>
        <v>124663</v>
      </c>
      <c r="L10" s="94">
        <f t="shared" si="2"/>
        <v>441987</v>
      </c>
      <c r="M10" s="11"/>
      <c r="N10" s="180" t="e">
        <f>#REF!-H10</f>
        <v>#REF!</v>
      </c>
    </row>
    <row r="11" spans="1:14" s="114" customFormat="1">
      <c r="A11" s="96">
        <v>6</v>
      </c>
      <c r="B11" s="292" t="s">
        <v>530</v>
      </c>
      <c r="C11" s="11" t="s">
        <v>531</v>
      </c>
      <c r="D11" s="16">
        <v>500000</v>
      </c>
      <c r="E11" s="16">
        <v>66650</v>
      </c>
      <c r="F11" s="16">
        <v>566650</v>
      </c>
      <c r="G11" s="159">
        <v>50</v>
      </c>
      <c r="H11" s="315">
        <v>11333</v>
      </c>
      <c r="I11" s="97">
        <v>41</v>
      </c>
      <c r="J11" s="97">
        <f t="shared" si="0"/>
        <v>9</v>
      </c>
      <c r="K11" s="91">
        <f t="shared" si="1"/>
        <v>464653</v>
      </c>
      <c r="L11" s="94">
        <f t="shared" si="2"/>
        <v>101997</v>
      </c>
      <c r="M11" s="11"/>
      <c r="N11" s="180" t="e">
        <f>#REF!-H11</f>
        <v>#REF!</v>
      </c>
    </row>
    <row r="12" spans="1:14" s="114" customFormat="1">
      <c r="A12" s="96">
        <v>7</v>
      </c>
      <c r="B12" s="292" t="s">
        <v>590</v>
      </c>
      <c r="C12" s="11" t="s">
        <v>591</v>
      </c>
      <c r="D12" s="19">
        <v>150000</v>
      </c>
      <c r="E12" s="19">
        <v>19995</v>
      </c>
      <c r="F12" s="19">
        <f t="shared" ref="F12:F17" si="3">SUM(D12:E12)</f>
        <v>169995</v>
      </c>
      <c r="G12" s="159">
        <v>50</v>
      </c>
      <c r="H12" s="280">
        <v>3399.9</v>
      </c>
      <c r="I12" s="97">
        <v>41</v>
      </c>
      <c r="J12" s="97">
        <f t="shared" si="0"/>
        <v>9</v>
      </c>
      <c r="K12" s="91">
        <f t="shared" si="1"/>
        <v>139395.9</v>
      </c>
      <c r="L12" s="94">
        <f t="shared" si="2"/>
        <v>30599.100000000006</v>
      </c>
      <c r="M12" s="11"/>
    </row>
    <row r="13" spans="1:14" s="114" customFormat="1">
      <c r="A13" s="96">
        <v>8</v>
      </c>
      <c r="B13" s="293" t="s">
        <v>929</v>
      </c>
      <c r="C13" s="11" t="s">
        <v>932</v>
      </c>
      <c r="D13" s="16">
        <v>500000</v>
      </c>
      <c r="E13" s="16">
        <v>66650</v>
      </c>
      <c r="F13" s="41">
        <f t="shared" si="3"/>
        <v>566650</v>
      </c>
      <c r="G13" s="159">
        <v>50</v>
      </c>
      <c r="H13" s="314">
        <v>11333</v>
      </c>
      <c r="I13" s="159">
        <v>41</v>
      </c>
      <c r="J13" s="159">
        <f t="shared" si="0"/>
        <v>9</v>
      </c>
      <c r="K13" s="16">
        <f t="shared" si="1"/>
        <v>464653</v>
      </c>
      <c r="L13" s="94">
        <f t="shared" si="2"/>
        <v>101997</v>
      </c>
      <c r="M13" s="11"/>
      <c r="N13" s="180" t="e">
        <f>#REF!-H13</f>
        <v>#REF!</v>
      </c>
    </row>
    <row r="14" spans="1:14" s="114" customFormat="1">
      <c r="A14" s="96">
        <v>9</v>
      </c>
      <c r="B14" s="293" t="s">
        <v>1207</v>
      </c>
      <c r="C14" s="123" t="s">
        <v>1208</v>
      </c>
      <c r="D14" s="19">
        <v>330000</v>
      </c>
      <c r="E14" s="19">
        <v>43989</v>
      </c>
      <c r="F14" s="19">
        <f t="shared" si="3"/>
        <v>373989</v>
      </c>
      <c r="G14" s="159">
        <v>50</v>
      </c>
      <c r="H14" s="314">
        <v>7479.78</v>
      </c>
      <c r="I14" s="159">
        <v>3</v>
      </c>
      <c r="J14" s="159">
        <f t="shared" si="0"/>
        <v>47</v>
      </c>
      <c r="K14" s="16">
        <f t="shared" si="1"/>
        <v>22439.34</v>
      </c>
      <c r="L14" s="94">
        <f t="shared" si="2"/>
        <v>351549.66</v>
      </c>
      <c r="M14" s="11"/>
    </row>
    <row r="15" spans="1:14" s="114" customFormat="1">
      <c r="A15" s="96">
        <v>10</v>
      </c>
      <c r="B15" s="292" t="s">
        <v>690</v>
      </c>
      <c r="C15" s="11" t="s">
        <v>691</v>
      </c>
      <c r="D15" s="16">
        <v>500000</v>
      </c>
      <c r="E15" s="16">
        <v>66650</v>
      </c>
      <c r="F15" s="41">
        <f t="shared" si="3"/>
        <v>566650</v>
      </c>
      <c r="G15" s="159">
        <v>50</v>
      </c>
      <c r="H15" s="315">
        <v>11333</v>
      </c>
      <c r="I15" s="159">
        <v>14</v>
      </c>
      <c r="J15" s="97">
        <f t="shared" si="0"/>
        <v>36</v>
      </c>
      <c r="K15" s="91">
        <f t="shared" si="1"/>
        <v>158662</v>
      </c>
      <c r="L15" s="94">
        <f t="shared" si="2"/>
        <v>407988</v>
      </c>
      <c r="M15" s="11"/>
      <c r="N15" s="180" t="e">
        <f>#REF!-H15</f>
        <v>#REF!</v>
      </c>
    </row>
    <row r="16" spans="1:14" s="114" customFormat="1">
      <c r="A16" s="96">
        <v>11</v>
      </c>
      <c r="B16" s="293" t="s">
        <v>1162</v>
      </c>
      <c r="C16" s="123" t="s">
        <v>1163</v>
      </c>
      <c r="D16" s="16">
        <v>500000</v>
      </c>
      <c r="E16" s="16">
        <v>66650</v>
      </c>
      <c r="F16" s="41">
        <f t="shared" si="3"/>
        <v>566650</v>
      </c>
      <c r="G16" s="159">
        <v>50</v>
      </c>
      <c r="H16" s="314">
        <v>11333</v>
      </c>
      <c r="I16" s="159">
        <v>3</v>
      </c>
      <c r="J16" s="159">
        <f t="shared" si="0"/>
        <v>47</v>
      </c>
      <c r="K16" s="16">
        <f t="shared" si="1"/>
        <v>33999</v>
      </c>
      <c r="L16" s="94">
        <f t="shared" si="2"/>
        <v>532651</v>
      </c>
      <c r="M16" s="11"/>
      <c r="N16" s="180" t="e">
        <f>#REF!-H16</f>
        <v>#REF!</v>
      </c>
    </row>
    <row r="17" spans="1:14" s="114" customFormat="1">
      <c r="A17" s="96">
        <v>12</v>
      </c>
      <c r="B17" s="292" t="s">
        <v>728</v>
      </c>
      <c r="C17" s="11" t="s">
        <v>729</v>
      </c>
      <c r="D17" s="16">
        <v>500000</v>
      </c>
      <c r="E17" s="16">
        <v>47992</v>
      </c>
      <c r="F17" s="41">
        <f t="shared" si="3"/>
        <v>547992</v>
      </c>
      <c r="G17" s="159">
        <v>36</v>
      </c>
      <c r="H17" s="280">
        <v>15222</v>
      </c>
      <c r="I17" s="97">
        <v>41</v>
      </c>
      <c r="J17" s="97">
        <f t="shared" si="0"/>
        <v>-5</v>
      </c>
      <c r="K17" s="91">
        <f t="shared" si="1"/>
        <v>624102</v>
      </c>
      <c r="L17" s="94">
        <f t="shared" si="2"/>
        <v>-76110</v>
      </c>
      <c r="M17" s="11"/>
      <c r="N17" s="180" t="e">
        <f>#REF!-H17</f>
        <v>#REF!</v>
      </c>
    </row>
    <row r="18" spans="1:14" s="114" customFormat="1">
      <c r="A18" s="96">
        <v>13</v>
      </c>
      <c r="B18" s="292" t="s">
        <v>645</v>
      </c>
      <c r="C18" s="11" t="s">
        <v>646</v>
      </c>
      <c r="D18" s="16">
        <v>500000</v>
      </c>
      <c r="E18" s="16">
        <v>66650</v>
      </c>
      <c r="F18" s="41">
        <f>SUM(D18:E18)</f>
        <v>566650</v>
      </c>
      <c r="G18" s="159">
        <v>50</v>
      </c>
      <c r="H18" s="315">
        <v>11333</v>
      </c>
      <c r="I18" s="97">
        <v>41</v>
      </c>
      <c r="J18" s="97">
        <f t="shared" si="0"/>
        <v>9</v>
      </c>
      <c r="K18" s="91">
        <f t="shared" si="1"/>
        <v>464653</v>
      </c>
      <c r="L18" s="94">
        <f t="shared" si="2"/>
        <v>101997</v>
      </c>
      <c r="M18" s="11"/>
    </row>
    <row r="19" spans="1:14" s="114" customFormat="1">
      <c r="A19" s="96">
        <v>14</v>
      </c>
      <c r="B19" s="293" t="s">
        <v>885</v>
      </c>
      <c r="C19" s="123" t="s">
        <v>907</v>
      </c>
      <c r="D19" s="16">
        <v>500000</v>
      </c>
      <c r="E19" s="16">
        <v>66650</v>
      </c>
      <c r="F19" s="41">
        <f>SUM(D19:E19)</f>
        <v>566650</v>
      </c>
      <c r="G19" s="159">
        <v>50</v>
      </c>
      <c r="H19" s="314">
        <v>11333</v>
      </c>
      <c r="I19" s="159">
        <v>11</v>
      </c>
      <c r="J19" s="159">
        <f t="shared" si="0"/>
        <v>39</v>
      </c>
      <c r="K19" s="16">
        <f t="shared" si="1"/>
        <v>124663</v>
      </c>
      <c r="L19" s="94">
        <f t="shared" si="2"/>
        <v>441987</v>
      </c>
      <c r="M19" s="11"/>
      <c r="N19" s="180" t="e">
        <f>#REF!-H19</f>
        <v>#REF!</v>
      </c>
    </row>
    <row r="20" spans="1:14" s="114" customFormat="1">
      <c r="A20" s="96">
        <v>15</v>
      </c>
      <c r="B20" s="295" t="s">
        <v>930</v>
      </c>
      <c r="C20" s="8" t="s">
        <v>933</v>
      </c>
      <c r="D20" s="19">
        <v>330000</v>
      </c>
      <c r="E20" s="19">
        <v>31672.200000000012</v>
      </c>
      <c r="F20" s="19">
        <f>SUM(D20:E20)</f>
        <v>361672.2</v>
      </c>
      <c r="G20" s="159">
        <v>36</v>
      </c>
      <c r="H20" s="316">
        <v>10046.450000000001</v>
      </c>
      <c r="I20" s="159">
        <v>15</v>
      </c>
      <c r="J20" s="159">
        <f t="shared" si="0"/>
        <v>21</v>
      </c>
      <c r="K20" s="16">
        <f t="shared" si="1"/>
        <v>150696.75</v>
      </c>
      <c r="L20" s="94">
        <f t="shared" si="2"/>
        <v>210975.45</v>
      </c>
      <c r="M20" s="8"/>
      <c r="N20" s="180" t="e">
        <f>#REF!-H20</f>
        <v>#REF!</v>
      </c>
    </row>
    <row r="21" spans="1:14" s="114" customFormat="1">
      <c r="A21" s="96">
        <v>16</v>
      </c>
      <c r="B21" s="292" t="s">
        <v>626</v>
      </c>
      <c r="C21" s="11" t="s">
        <v>627</v>
      </c>
      <c r="D21" s="16">
        <v>330000</v>
      </c>
      <c r="E21" s="16">
        <v>43989</v>
      </c>
      <c r="F21" s="41">
        <f>SUM(D21:E21)</f>
        <v>373989</v>
      </c>
      <c r="G21" s="159">
        <v>50</v>
      </c>
      <c r="H21" s="315">
        <v>7479.78</v>
      </c>
      <c r="I21" s="97">
        <v>42</v>
      </c>
      <c r="J21" s="97">
        <f t="shared" si="0"/>
        <v>8</v>
      </c>
      <c r="K21" s="91">
        <f t="shared" si="1"/>
        <v>314150.76</v>
      </c>
      <c r="L21" s="94">
        <f t="shared" si="2"/>
        <v>59838.239999999991</v>
      </c>
      <c r="M21" s="11"/>
      <c r="N21" s="180" t="e">
        <f>#REF!-H21</f>
        <v>#REF!</v>
      </c>
    </row>
    <row r="22" spans="1:14" s="114" customFormat="1">
      <c r="A22" s="96">
        <v>17</v>
      </c>
      <c r="B22" s="292" t="s">
        <v>617</v>
      </c>
      <c r="C22" s="11" t="s">
        <v>618</v>
      </c>
      <c r="D22" s="16">
        <v>450000</v>
      </c>
      <c r="E22" s="16">
        <v>59985</v>
      </c>
      <c r="F22" s="16">
        <v>509985</v>
      </c>
      <c r="G22" s="159">
        <v>50</v>
      </c>
      <c r="H22" s="315">
        <v>10199.700000000001</v>
      </c>
      <c r="I22" s="97">
        <v>42</v>
      </c>
      <c r="J22" s="97">
        <f t="shared" si="0"/>
        <v>8</v>
      </c>
      <c r="K22" s="91">
        <f t="shared" si="1"/>
        <v>428387.4</v>
      </c>
      <c r="L22" s="94">
        <f t="shared" si="2"/>
        <v>81597.599999999977</v>
      </c>
      <c r="M22" s="11"/>
      <c r="N22" s="180" t="e">
        <f>#REF!-H22</f>
        <v>#REF!</v>
      </c>
    </row>
    <row r="23" spans="1:14" s="114" customFormat="1">
      <c r="A23" s="96">
        <v>18</v>
      </c>
      <c r="B23" s="293" t="s">
        <v>1249</v>
      </c>
      <c r="C23" s="11" t="s">
        <v>1250</v>
      </c>
      <c r="D23" s="19">
        <v>330000</v>
      </c>
      <c r="E23" s="19">
        <v>43989</v>
      </c>
      <c r="F23" s="19">
        <f>SUM(D23:E23)</f>
        <v>373989</v>
      </c>
      <c r="G23" s="159">
        <v>50</v>
      </c>
      <c r="H23" s="314">
        <v>7479.78</v>
      </c>
      <c r="I23" s="96">
        <v>4</v>
      </c>
      <c r="J23" s="97">
        <f t="shared" si="0"/>
        <v>46</v>
      </c>
      <c r="K23" s="91">
        <f t="shared" si="1"/>
        <v>29919.119999999999</v>
      </c>
      <c r="L23" s="94">
        <f t="shared" si="2"/>
        <v>344069.88</v>
      </c>
      <c r="M23" s="11"/>
    </row>
    <row r="24" spans="1:14" s="114" customFormat="1">
      <c r="A24" s="96">
        <v>19</v>
      </c>
      <c r="B24" s="292" t="s">
        <v>721</v>
      </c>
      <c r="C24" s="11" t="s">
        <v>722</v>
      </c>
      <c r="D24" s="16">
        <v>500000</v>
      </c>
      <c r="E24" s="16">
        <v>66650</v>
      </c>
      <c r="F24" s="41">
        <f>SUM(D24:E24)</f>
        <v>566650</v>
      </c>
      <c r="G24" s="159">
        <v>50</v>
      </c>
      <c r="H24" s="315">
        <v>11333</v>
      </c>
      <c r="I24" s="97">
        <v>50</v>
      </c>
      <c r="J24" s="97">
        <f t="shared" si="0"/>
        <v>0</v>
      </c>
      <c r="K24" s="91">
        <f t="shared" si="1"/>
        <v>566650</v>
      </c>
      <c r="L24" s="94">
        <f t="shared" si="2"/>
        <v>0</v>
      </c>
      <c r="M24" s="11"/>
      <c r="N24" s="180" t="e">
        <f>#REF!-H24</f>
        <v>#REF!</v>
      </c>
    </row>
    <row r="25" spans="1:14" s="114" customFormat="1">
      <c r="A25" s="96">
        <v>20</v>
      </c>
      <c r="B25" s="292" t="s">
        <v>509</v>
      </c>
      <c r="C25" s="11" t="s">
        <v>510</v>
      </c>
      <c r="D25" s="19">
        <v>450000</v>
      </c>
      <c r="E25" s="19">
        <v>59985</v>
      </c>
      <c r="F25" s="19">
        <v>509985</v>
      </c>
      <c r="G25" s="159">
        <v>50</v>
      </c>
      <c r="H25" s="315">
        <v>10199.700000000001</v>
      </c>
      <c r="I25" s="97">
        <v>28</v>
      </c>
      <c r="J25" s="97">
        <f t="shared" si="0"/>
        <v>22</v>
      </c>
      <c r="K25" s="91">
        <f t="shared" si="1"/>
        <v>285591.60000000003</v>
      </c>
      <c r="L25" s="91">
        <f t="shared" si="2"/>
        <v>224393.39999999997</v>
      </c>
      <c r="M25" s="11"/>
    </row>
    <row r="26" spans="1:14" s="114" customFormat="1">
      <c r="A26" s="96">
        <v>21</v>
      </c>
      <c r="B26" s="293" t="s">
        <v>902</v>
      </c>
      <c r="C26" s="123" t="s">
        <v>926</v>
      </c>
      <c r="D26" s="19">
        <v>150000</v>
      </c>
      <c r="E26" s="19">
        <v>19995</v>
      </c>
      <c r="F26" s="19">
        <f>SUM(D26:E26)</f>
        <v>169995</v>
      </c>
      <c r="G26" s="159">
        <v>50</v>
      </c>
      <c r="H26" s="314">
        <v>3399.9</v>
      </c>
      <c r="I26" s="159">
        <v>11</v>
      </c>
      <c r="J26" s="159">
        <f t="shared" si="0"/>
        <v>39</v>
      </c>
      <c r="K26" s="16">
        <f t="shared" si="1"/>
        <v>37398.9</v>
      </c>
      <c r="L26" s="94">
        <f t="shared" si="2"/>
        <v>132596.1</v>
      </c>
      <c r="M26" s="11"/>
    </row>
    <row r="27" spans="1:14" s="114" customFormat="1">
      <c r="A27" s="96">
        <v>22</v>
      </c>
      <c r="B27" s="292" t="s">
        <v>719</v>
      </c>
      <c r="C27" s="11" t="s">
        <v>720</v>
      </c>
      <c r="D27" s="16">
        <v>500000</v>
      </c>
      <c r="E27" s="16">
        <v>66650</v>
      </c>
      <c r="F27" s="16">
        <v>566650</v>
      </c>
      <c r="G27" s="159">
        <v>50</v>
      </c>
      <c r="H27" s="315">
        <v>11333</v>
      </c>
      <c r="I27" s="101">
        <v>16</v>
      </c>
      <c r="J27" s="97">
        <f t="shared" si="0"/>
        <v>34</v>
      </c>
      <c r="K27" s="91">
        <f t="shared" si="1"/>
        <v>181328</v>
      </c>
      <c r="L27" s="94">
        <f t="shared" si="2"/>
        <v>385322</v>
      </c>
      <c r="M27" s="8"/>
    </row>
    <row r="28" spans="1:14" s="114" customFormat="1">
      <c r="A28" s="96">
        <v>23</v>
      </c>
      <c r="B28" s="292" t="s">
        <v>619</v>
      </c>
      <c r="C28" s="11" t="s">
        <v>620</v>
      </c>
      <c r="D28" s="16">
        <v>500000</v>
      </c>
      <c r="E28" s="16">
        <v>66650</v>
      </c>
      <c r="F28" s="16">
        <v>566650</v>
      </c>
      <c r="G28" s="159">
        <v>50</v>
      </c>
      <c r="H28" s="315">
        <v>11333</v>
      </c>
      <c r="I28" s="97">
        <v>42</v>
      </c>
      <c r="J28" s="97">
        <f t="shared" si="0"/>
        <v>8</v>
      </c>
      <c r="K28" s="91">
        <f t="shared" si="1"/>
        <v>475986</v>
      </c>
      <c r="L28" s="94">
        <f t="shared" si="2"/>
        <v>90664</v>
      </c>
      <c r="M28" s="11"/>
      <c r="N28" s="180" t="e">
        <f>#REF!-H28</f>
        <v>#REF!</v>
      </c>
    </row>
    <row r="29" spans="1:14" s="114" customFormat="1">
      <c r="A29" s="96">
        <v>24</v>
      </c>
      <c r="B29" s="292" t="s">
        <v>507</v>
      </c>
      <c r="C29" s="11" t="s">
        <v>508</v>
      </c>
      <c r="D29" s="16">
        <v>500000</v>
      </c>
      <c r="E29" s="16">
        <v>66650</v>
      </c>
      <c r="F29" s="16">
        <v>566650</v>
      </c>
      <c r="G29" s="159">
        <v>50</v>
      </c>
      <c r="H29" s="315">
        <v>11333</v>
      </c>
      <c r="I29" s="97">
        <v>28</v>
      </c>
      <c r="J29" s="97">
        <f t="shared" si="0"/>
        <v>22</v>
      </c>
      <c r="K29" s="91">
        <f t="shared" si="1"/>
        <v>317324</v>
      </c>
      <c r="L29" s="91">
        <f t="shared" si="2"/>
        <v>249326</v>
      </c>
      <c r="M29" s="11"/>
    </row>
    <row r="30" spans="1:14" s="114" customFormat="1">
      <c r="A30" s="96">
        <v>25</v>
      </c>
      <c r="B30" s="292" t="s">
        <v>726</v>
      </c>
      <c r="C30" s="11" t="s">
        <v>727</v>
      </c>
      <c r="D30" s="19">
        <v>500000</v>
      </c>
      <c r="E30" s="19">
        <v>66650</v>
      </c>
      <c r="F30" s="19">
        <v>566650</v>
      </c>
      <c r="G30" s="159">
        <v>50</v>
      </c>
      <c r="H30" s="315">
        <v>11333</v>
      </c>
      <c r="I30" s="97">
        <v>28</v>
      </c>
      <c r="J30" s="97">
        <f t="shared" si="0"/>
        <v>22</v>
      </c>
      <c r="K30" s="91">
        <f t="shared" si="1"/>
        <v>317324</v>
      </c>
      <c r="L30" s="91">
        <f t="shared" si="2"/>
        <v>249326</v>
      </c>
      <c r="M30" s="11"/>
    </row>
    <row r="31" spans="1:14" s="114" customFormat="1">
      <c r="A31" s="96">
        <v>26</v>
      </c>
      <c r="B31" s="292" t="s">
        <v>647</v>
      </c>
      <c r="C31" s="11" t="s">
        <v>648</v>
      </c>
      <c r="D31" s="16">
        <v>500000</v>
      </c>
      <c r="E31" s="16">
        <v>66650</v>
      </c>
      <c r="F31" s="41">
        <f>SUM(D31:E31)</f>
        <v>566650</v>
      </c>
      <c r="G31" s="159">
        <v>50</v>
      </c>
      <c r="H31" s="315">
        <v>11333</v>
      </c>
      <c r="I31" s="97">
        <v>20</v>
      </c>
      <c r="J31" s="97">
        <f t="shared" si="0"/>
        <v>30</v>
      </c>
      <c r="K31" s="91">
        <f>(1*11333)</f>
        <v>11333</v>
      </c>
      <c r="L31" s="91">
        <f t="shared" si="2"/>
        <v>555317</v>
      </c>
      <c r="M31" s="11"/>
      <c r="N31"/>
    </row>
    <row r="32" spans="1:14" s="114" customFormat="1">
      <c r="A32" s="96">
        <v>27</v>
      </c>
      <c r="B32" s="292" t="s">
        <v>657</v>
      </c>
      <c r="C32" s="11" t="s">
        <v>658</v>
      </c>
      <c r="D32" s="12">
        <v>500000</v>
      </c>
      <c r="E32" s="12">
        <v>66650</v>
      </c>
      <c r="F32" s="15">
        <f>SUM(D32:E32)</f>
        <v>566650</v>
      </c>
      <c r="G32" s="14">
        <v>50</v>
      </c>
      <c r="H32" s="280">
        <v>11333</v>
      </c>
      <c r="I32" s="14">
        <v>47</v>
      </c>
      <c r="J32" s="97">
        <f t="shared" si="0"/>
        <v>3</v>
      </c>
      <c r="K32" s="91">
        <f t="shared" ref="K32:K37" si="4">I32*H32</f>
        <v>532651</v>
      </c>
      <c r="L32" s="15">
        <f t="shared" si="2"/>
        <v>33999</v>
      </c>
      <c r="M32" s="8"/>
      <c r="N32" s="180" t="e">
        <f>#REF!-H32</f>
        <v>#REF!</v>
      </c>
    </row>
    <row r="33" spans="1:14" s="114" customFormat="1">
      <c r="A33" s="96">
        <v>28</v>
      </c>
      <c r="B33" s="292" t="s">
        <v>553</v>
      </c>
      <c r="C33" s="11" t="s">
        <v>554</v>
      </c>
      <c r="D33" s="16">
        <v>500000</v>
      </c>
      <c r="E33" s="16">
        <v>66650</v>
      </c>
      <c r="F33" s="41">
        <f>SUM(D33:E33)</f>
        <v>566650</v>
      </c>
      <c r="G33" s="159">
        <v>50</v>
      </c>
      <c r="H33" s="315">
        <v>11333</v>
      </c>
      <c r="I33" s="97">
        <v>50</v>
      </c>
      <c r="J33" s="97">
        <f t="shared" si="0"/>
        <v>0</v>
      </c>
      <c r="K33" s="91">
        <f t="shared" si="4"/>
        <v>566650</v>
      </c>
      <c r="L33" s="94">
        <f t="shared" si="2"/>
        <v>0</v>
      </c>
      <c r="M33" s="11"/>
    </row>
    <row r="34" spans="1:14" s="114" customFormat="1">
      <c r="A34" s="96">
        <v>29</v>
      </c>
      <c r="B34" s="292" t="s">
        <v>698</v>
      </c>
      <c r="C34" s="11" t="s">
        <v>699</v>
      </c>
      <c r="D34" s="19">
        <v>500000</v>
      </c>
      <c r="E34" s="19">
        <v>66650</v>
      </c>
      <c r="F34" s="19">
        <v>566650</v>
      </c>
      <c r="G34" s="159">
        <v>50</v>
      </c>
      <c r="H34" s="315">
        <v>11333</v>
      </c>
      <c r="I34" s="97">
        <v>28</v>
      </c>
      <c r="J34" s="97">
        <f t="shared" si="0"/>
        <v>22</v>
      </c>
      <c r="K34" s="91">
        <f t="shared" si="4"/>
        <v>317324</v>
      </c>
      <c r="L34" s="91">
        <f t="shared" si="2"/>
        <v>249326</v>
      </c>
      <c r="M34" s="11"/>
      <c r="N34" s="180" t="e">
        <f>#REF!-H34</f>
        <v>#REF!</v>
      </c>
    </row>
    <row r="35" spans="1:14" s="114" customFormat="1">
      <c r="A35" s="96">
        <v>30</v>
      </c>
      <c r="B35" s="292" t="s">
        <v>514</v>
      </c>
      <c r="C35" s="11" t="s">
        <v>515</v>
      </c>
      <c r="D35" s="16">
        <v>500000</v>
      </c>
      <c r="E35" s="16">
        <v>66650</v>
      </c>
      <c r="F35" s="41">
        <f>SUM(D35:E35)</f>
        <v>566650</v>
      </c>
      <c r="G35" s="159">
        <v>50</v>
      </c>
      <c r="H35" s="315">
        <v>11333</v>
      </c>
      <c r="I35" s="97">
        <v>50</v>
      </c>
      <c r="J35" s="97">
        <f t="shared" si="0"/>
        <v>0</v>
      </c>
      <c r="K35" s="91">
        <f t="shared" si="4"/>
        <v>566650</v>
      </c>
      <c r="L35" s="94">
        <f t="shared" si="2"/>
        <v>0</v>
      </c>
      <c r="M35" s="11"/>
      <c r="N35" s="180" t="e">
        <f>#REF!-H35</f>
        <v>#REF!</v>
      </c>
    </row>
    <row r="36" spans="1:14" s="114" customFormat="1">
      <c r="A36" s="96">
        <v>31</v>
      </c>
      <c r="B36" s="292" t="s">
        <v>551</v>
      </c>
      <c r="C36" s="11" t="s">
        <v>552</v>
      </c>
      <c r="D36" s="19">
        <v>500000</v>
      </c>
      <c r="E36" s="19">
        <v>66650</v>
      </c>
      <c r="F36" s="19">
        <v>566650</v>
      </c>
      <c r="G36" s="159">
        <v>50</v>
      </c>
      <c r="H36" s="315">
        <v>11333</v>
      </c>
      <c r="I36" s="97">
        <v>28</v>
      </c>
      <c r="J36" s="97">
        <f t="shared" si="0"/>
        <v>22</v>
      </c>
      <c r="K36" s="91">
        <f t="shared" si="4"/>
        <v>317324</v>
      </c>
      <c r="L36" s="91">
        <f t="shared" si="2"/>
        <v>249326</v>
      </c>
      <c r="M36" s="11"/>
    </row>
    <row r="37" spans="1:14" s="114" customFormat="1">
      <c r="A37" s="96">
        <v>32</v>
      </c>
      <c r="B37" s="293" t="s">
        <v>1231</v>
      </c>
      <c r="C37" s="123" t="s">
        <v>1232</v>
      </c>
      <c r="D37" s="19">
        <v>450000</v>
      </c>
      <c r="E37" s="19">
        <v>59985</v>
      </c>
      <c r="F37" s="19">
        <v>509985</v>
      </c>
      <c r="G37" s="159">
        <v>50</v>
      </c>
      <c r="H37" s="314">
        <v>10199.700000000001</v>
      </c>
      <c r="I37" s="159">
        <v>3</v>
      </c>
      <c r="J37" s="159">
        <f t="shared" si="0"/>
        <v>47</v>
      </c>
      <c r="K37" s="16">
        <f t="shared" si="4"/>
        <v>30599.100000000002</v>
      </c>
      <c r="L37" s="94">
        <f t="shared" si="2"/>
        <v>479385.9</v>
      </c>
      <c r="M37" s="11"/>
      <c r="N37" s="180" t="e">
        <f>#REF!-H37</f>
        <v>#REF!</v>
      </c>
    </row>
    <row r="38" spans="1:14" s="114" customFormat="1">
      <c r="A38" s="96">
        <v>33</v>
      </c>
      <c r="B38" s="292" t="s">
        <v>534</v>
      </c>
      <c r="C38" s="11" t="s">
        <v>535</v>
      </c>
      <c r="D38" s="16">
        <v>450000</v>
      </c>
      <c r="E38" s="16">
        <v>59985</v>
      </c>
      <c r="F38" s="16">
        <v>509985</v>
      </c>
      <c r="G38" s="159">
        <v>50</v>
      </c>
      <c r="H38" s="315">
        <v>10199.700000000001</v>
      </c>
      <c r="I38" s="97">
        <v>20</v>
      </c>
      <c r="J38" s="97">
        <f t="shared" ref="J38:J69" si="5">G38-I38</f>
        <v>30</v>
      </c>
      <c r="K38" s="91">
        <f>(1*10199.7)</f>
        <v>10199.700000000001</v>
      </c>
      <c r="L38" s="94">
        <f t="shared" ref="L38:L69" si="6">F38-K38</f>
        <v>499785.3</v>
      </c>
      <c r="M38" s="11"/>
    </row>
    <row r="39" spans="1:14" s="114" customFormat="1">
      <c r="A39" s="96">
        <v>34</v>
      </c>
      <c r="B39" s="293" t="s">
        <v>678</v>
      </c>
      <c r="C39" s="123" t="s">
        <v>679</v>
      </c>
      <c r="D39" s="16">
        <v>500000</v>
      </c>
      <c r="E39" s="16">
        <v>66650</v>
      </c>
      <c r="F39" s="41">
        <f>SUM(D39:E39)</f>
        <v>566650</v>
      </c>
      <c r="G39" s="159">
        <v>50</v>
      </c>
      <c r="H39" s="314">
        <v>15222</v>
      </c>
      <c r="I39" s="159">
        <v>11</v>
      </c>
      <c r="J39" s="159">
        <f t="shared" si="5"/>
        <v>39</v>
      </c>
      <c r="K39" s="16">
        <f t="shared" ref="K39:K68" si="7">I39*H39</f>
        <v>167442</v>
      </c>
      <c r="L39" s="94">
        <f t="shared" si="6"/>
        <v>399208</v>
      </c>
      <c r="M39" s="11"/>
    </row>
    <row r="40" spans="1:14" s="114" customFormat="1">
      <c r="A40" s="96">
        <v>35</v>
      </c>
      <c r="B40" s="293" t="s">
        <v>899</v>
      </c>
      <c r="C40" s="123" t="s">
        <v>922</v>
      </c>
      <c r="D40" s="19">
        <v>330000</v>
      </c>
      <c r="E40" s="19">
        <v>43989</v>
      </c>
      <c r="F40" s="19">
        <f>SUM(D40:E40)</f>
        <v>373989</v>
      </c>
      <c r="G40" s="159">
        <v>50</v>
      </c>
      <c r="H40" s="314">
        <v>7479.78</v>
      </c>
      <c r="I40" s="159">
        <v>11</v>
      </c>
      <c r="J40" s="159">
        <f t="shared" si="5"/>
        <v>39</v>
      </c>
      <c r="K40" s="16">
        <f t="shared" si="7"/>
        <v>82277.58</v>
      </c>
      <c r="L40" s="94">
        <f t="shared" si="6"/>
        <v>291711.42</v>
      </c>
      <c r="M40" s="11"/>
      <c r="N40" s="180" t="e">
        <f>#REF!-H40</f>
        <v>#REF!</v>
      </c>
    </row>
    <row r="41" spans="1:14" s="114" customFormat="1">
      <c r="A41" s="96">
        <v>36</v>
      </c>
      <c r="B41" s="295" t="s">
        <v>941</v>
      </c>
      <c r="C41" s="8" t="s">
        <v>942</v>
      </c>
      <c r="D41" s="19">
        <v>330000</v>
      </c>
      <c r="E41" s="19">
        <v>43989</v>
      </c>
      <c r="F41" s="19">
        <f>SUM(D41:E41)</f>
        <v>373989</v>
      </c>
      <c r="G41" s="159">
        <v>50</v>
      </c>
      <c r="H41" s="316">
        <v>7479.78</v>
      </c>
      <c r="I41" s="159">
        <v>8</v>
      </c>
      <c r="J41" s="159">
        <f t="shared" si="5"/>
        <v>42</v>
      </c>
      <c r="K41" s="16">
        <f t="shared" si="7"/>
        <v>59838.239999999998</v>
      </c>
      <c r="L41" s="94">
        <f t="shared" si="6"/>
        <v>314150.76</v>
      </c>
      <c r="M41" s="8"/>
    </row>
    <row r="42" spans="1:14" s="114" customFormat="1">
      <c r="A42" s="96">
        <v>37</v>
      </c>
      <c r="B42" s="292" t="s">
        <v>692</v>
      </c>
      <c r="C42" s="11" t="s">
        <v>693</v>
      </c>
      <c r="D42" s="16">
        <v>330000</v>
      </c>
      <c r="E42" s="16">
        <v>43989</v>
      </c>
      <c r="F42" s="41">
        <f>SUM(D42:E42)</f>
        <v>373989</v>
      </c>
      <c r="G42" s="159">
        <v>50</v>
      </c>
      <c r="H42" s="315">
        <v>7478.78</v>
      </c>
      <c r="I42" s="159">
        <v>51</v>
      </c>
      <c r="J42" s="96">
        <f t="shared" si="5"/>
        <v>-1</v>
      </c>
      <c r="K42" s="16">
        <f t="shared" si="7"/>
        <v>381417.77999999997</v>
      </c>
      <c r="L42" s="41">
        <f t="shared" si="6"/>
        <v>-7428.7799999999697</v>
      </c>
      <c r="M42" s="11"/>
      <c r="N42" s="180" t="e">
        <f>#REF!-H42</f>
        <v>#REF!</v>
      </c>
    </row>
    <row r="43" spans="1:14" s="114" customFormat="1">
      <c r="A43" s="96">
        <v>38</v>
      </c>
      <c r="B43" s="292" t="s">
        <v>623</v>
      </c>
      <c r="C43" s="123" t="s">
        <v>954</v>
      </c>
      <c r="D43" s="19">
        <v>450000</v>
      </c>
      <c r="E43" s="19">
        <v>59985</v>
      </c>
      <c r="F43" s="19">
        <v>509985</v>
      </c>
      <c r="G43" s="159">
        <v>50</v>
      </c>
      <c r="H43" s="314">
        <v>10199.700000000001</v>
      </c>
      <c r="I43" s="159">
        <v>8</v>
      </c>
      <c r="J43" s="97">
        <f t="shared" si="5"/>
        <v>42</v>
      </c>
      <c r="K43" s="91">
        <f t="shared" si="7"/>
        <v>81597.600000000006</v>
      </c>
      <c r="L43" s="94">
        <f t="shared" si="6"/>
        <v>428387.4</v>
      </c>
      <c r="M43" s="11"/>
    </row>
    <row r="44" spans="1:14" s="114" customFormat="1">
      <c r="A44" s="96">
        <v>39</v>
      </c>
      <c r="B44" s="292" t="s">
        <v>694</v>
      </c>
      <c r="C44" s="11" t="s">
        <v>695</v>
      </c>
      <c r="D44" s="16">
        <v>330000</v>
      </c>
      <c r="E44" s="16">
        <v>43989</v>
      </c>
      <c r="F44" s="41">
        <f>SUM(D44:E44)</f>
        <v>373989</v>
      </c>
      <c r="G44" s="159">
        <v>50</v>
      </c>
      <c r="H44" s="315">
        <v>7479.78</v>
      </c>
      <c r="I44" s="97">
        <v>50</v>
      </c>
      <c r="J44" s="97">
        <f t="shared" si="5"/>
        <v>0</v>
      </c>
      <c r="K44" s="91">
        <f t="shared" si="7"/>
        <v>373989</v>
      </c>
      <c r="L44" s="94">
        <f t="shared" si="6"/>
        <v>0</v>
      </c>
      <c r="M44" s="11"/>
    </row>
    <row r="45" spans="1:14" s="114" customFormat="1">
      <c r="A45" s="96">
        <v>40</v>
      </c>
      <c r="B45" s="293" t="s">
        <v>1243</v>
      </c>
      <c r="C45" s="123" t="s">
        <v>1244</v>
      </c>
      <c r="D45" s="19">
        <v>330000</v>
      </c>
      <c r="E45" s="19">
        <v>43989</v>
      </c>
      <c r="F45" s="19">
        <f>SUM(D45:E45)</f>
        <v>373989</v>
      </c>
      <c r="G45" s="159">
        <v>50</v>
      </c>
      <c r="H45" s="314">
        <v>7479.78</v>
      </c>
      <c r="I45" s="159">
        <v>3</v>
      </c>
      <c r="J45" s="159">
        <f t="shared" si="5"/>
        <v>47</v>
      </c>
      <c r="K45" s="16">
        <f t="shared" si="7"/>
        <v>22439.34</v>
      </c>
      <c r="L45" s="94">
        <f t="shared" si="6"/>
        <v>351549.66</v>
      </c>
      <c r="M45" s="11"/>
      <c r="N45" s="180" t="e">
        <f>#REF!-H45</f>
        <v>#REF!</v>
      </c>
    </row>
    <row r="46" spans="1:14" s="114" customFormat="1">
      <c r="A46" s="96">
        <v>41</v>
      </c>
      <c r="B46" s="293" t="s">
        <v>895</v>
      </c>
      <c r="C46" s="123" t="s">
        <v>918</v>
      </c>
      <c r="D46" s="19">
        <v>450000</v>
      </c>
      <c r="E46" s="19">
        <v>59985</v>
      </c>
      <c r="F46" s="19">
        <v>509985</v>
      </c>
      <c r="G46" s="159">
        <v>50</v>
      </c>
      <c r="H46" s="314">
        <v>10199.700000000001</v>
      </c>
      <c r="I46" s="159">
        <v>11</v>
      </c>
      <c r="J46" s="159">
        <f t="shared" si="5"/>
        <v>39</v>
      </c>
      <c r="K46" s="16">
        <f t="shared" si="7"/>
        <v>112196.70000000001</v>
      </c>
      <c r="L46" s="94">
        <f t="shared" si="6"/>
        <v>397788.3</v>
      </c>
      <c r="M46" s="11"/>
    </row>
    <row r="47" spans="1:14" s="114" customFormat="1">
      <c r="A47" s="96">
        <v>42</v>
      </c>
      <c r="B47" s="293" t="s">
        <v>628</v>
      </c>
      <c r="C47" s="123" t="s">
        <v>917</v>
      </c>
      <c r="D47" s="19">
        <v>450000</v>
      </c>
      <c r="E47" s="19">
        <v>59985</v>
      </c>
      <c r="F47" s="19">
        <v>509985</v>
      </c>
      <c r="G47" s="159">
        <v>50</v>
      </c>
      <c r="H47" s="314">
        <v>10199.700000000001</v>
      </c>
      <c r="I47" s="159">
        <v>3</v>
      </c>
      <c r="J47" s="159">
        <f t="shared" si="5"/>
        <v>47</v>
      </c>
      <c r="K47" s="16">
        <f t="shared" si="7"/>
        <v>30599.100000000002</v>
      </c>
      <c r="L47" s="94">
        <f t="shared" si="6"/>
        <v>479385.9</v>
      </c>
      <c r="M47" s="11"/>
    </row>
    <row r="48" spans="1:14" s="114" customFormat="1">
      <c r="A48" s="96">
        <v>43</v>
      </c>
      <c r="B48" s="292" t="s">
        <v>717</v>
      </c>
      <c r="C48" s="11" t="s">
        <v>718</v>
      </c>
      <c r="D48" s="16">
        <v>450000</v>
      </c>
      <c r="E48" s="16">
        <v>59985</v>
      </c>
      <c r="F48" s="16">
        <v>509985</v>
      </c>
      <c r="G48" s="159">
        <v>50</v>
      </c>
      <c r="H48" s="315">
        <v>10199.700000000001</v>
      </c>
      <c r="I48" s="97">
        <v>30</v>
      </c>
      <c r="J48" s="97">
        <f t="shared" si="5"/>
        <v>20</v>
      </c>
      <c r="K48" s="91">
        <f t="shared" si="7"/>
        <v>305991</v>
      </c>
      <c r="L48" s="94">
        <f t="shared" si="6"/>
        <v>203994</v>
      </c>
      <c r="M48" s="11"/>
      <c r="N48" s="180" t="e">
        <f>#REF!-H48</f>
        <v>#REF!</v>
      </c>
    </row>
    <row r="49" spans="1:14" s="114" customFormat="1">
      <c r="A49" s="96">
        <v>44</v>
      </c>
      <c r="B49" s="293" t="s">
        <v>1182</v>
      </c>
      <c r="C49" s="123" t="s">
        <v>1183</v>
      </c>
      <c r="D49" s="19">
        <v>450000</v>
      </c>
      <c r="E49" s="19">
        <v>59985</v>
      </c>
      <c r="F49" s="19">
        <v>509985</v>
      </c>
      <c r="G49" s="159">
        <v>50</v>
      </c>
      <c r="H49" s="314">
        <v>10199.700000000001</v>
      </c>
      <c r="I49" s="159">
        <v>3</v>
      </c>
      <c r="J49" s="159">
        <f t="shared" si="5"/>
        <v>47</v>
      </c>
      <c r="K49" s="16">
        <f t="shared" si="7"/>
        <v>30599.100000000002</v>
      </c>
      <c r="L49" s="94">
        <f t="shared" si="6"/>
        <v>479385.9</v>
      </c>
      <c r="M49" s="11"/>
      <c r="N49" s="180" t="e">
        <f>#REF!-H49</f>
        <v>#REF!</v>
      </c>
    </row>
    <row r="50" spans="1:14" s="114" customFormat="1">
      <c r="A50" s="96">
        <v>45</v>
      </c>
      <c r="B50" s="292" t="s">
        <v>518</v>
      </c>
      <c r="C50" s="11" t="s">
        <v>519</v>
      </c>
      <c r="D50" s="19">
        <v>500000</v>
      </c>
      <c r="E50" s="19">
        <v>66650</v>
      </c>
      <c r="F50" s="19">
        <v>566650</v>
      </c>
      <c r="G50" s="159">
        <v>50</v>
      </c>
      <c r="H50" s="315">
        <v>11333</v>
      </c>
      <c r="I50" s="97">
        <v>28</v>
      </c>
      <c r="J50" s="97">
        <f t="shared" si="5"/>
        <v>22</v>
      </c>
      <c r="K50" s="91">
        <f t="shared" si="7"/>
        <v>317324</v>
      </c>
      <c r="L50" s="91">
        <f t="shared" si="6"/>
        <v>249326</v>
      </c>
      <c r="M50" s="11"/>
      <c r="N50" s="180" t="e">
        <f>#REF!-H50</f>
        <v>#REF!</v>
      </c>
    </row>
    <row r="51" spans="1:14" s="114" customFormat="1">
      <c r="A51" s="96">
        <v>46</v>
      </c>
      <c r="B51" s="292" t="s">
        <v>613</v>
      </c>
      <c r="C51" s="11" t="s">
        <v>614</v>
      </c>
      <c r="D51" s="16">
        <v>500000</v>
      </c>
      <c r="E51" s="16">
        <v>66650</v>
      </c>
      <c r="F51" s="41">
        <f>SUM(D51:E51)</f>
        <v>566650</v>
      </c>
      <c r="G51" s="159">
        <v>50</v>
      </c>
      <c r="H51" s="315">
        <v>11333</v>
      </c>
      <c r="I51" s="97">
        <v>50</v>
      </c>
      <c r="J51" s="97">
        <f t="shared" si="5"/>
        <v>0</v>
      </c>
      <c r="K51" s="91">
        <f t="shared" si="7"/>
        <v>566650</v>
      </c>
      <c r="L51" s="94">
        <f t="shared" si="6"/>
        <v>0</v>
      </c>
      <c r="M51" s="11"/>
      <c r="N51" s="180" t="e">
        <f>#REF!-H51</f>
        <v>#REF!</v>
      </c>
    </row>
    <row r="52" spans="1:14" s="114" customFormat="1">
      <c r="A52" s="96">
        <v>47</v>
      </c>
      <c r="B52" s="292" t="s">
        <v>709</v>
      </c>
      <c r="C52" s="11" t="s">
        <v>710</v>
      </c>
      <c r="D52" s="19">
        <v>500000</v>
      </c>
      <c r="E52" s="19">
        <v>66650</v>
      </c>
      <c r="F52" s="19">
        <v>566650</v>
      </c>
      <c r="G52" s="159">
        <v>50</v>
      </c>
      <c r="H52" s="315">
        <v>11333</v>
      </c>
      <c r="I52" s="96">
        <v>28</v>
      </c>
      <c r="J52" s="96">
        <f t="shared" si="5"/>
        <v>22</v>
      </c>
      <c r="K52" s="16">
        <f t="shared" si="7"/>
        <v>317324</v>
      </c>
      <c r="L52" s="16">
        <f t="shared" si="6"/>
        <v>249326</v>
      </c>
      <c r="M52" s="11"/>
      <c r="N52" s="180" t="e">
        <f>#REF!-H52</f>
        <v>#REF!</v>
      </c>
    </row>
    <row r="53" spans="1:14" s="114" customFormat="1">
      <c r="A53" s="96">
        <v>48</v>
      </c>
      <c r="B53" s="292" t="s">
        <v>642</v>
      </c>
      <c r="C53" s="11" t="s">
        <v>643</v>
      </c>
      <c r="D53" s="16">
        <v>500000</v>
      </c>
      <c r="E53" s="16">
        <v>66650</v>
      </c>
      <c r="F53" s="16">
        <v>566650</v>
      </c>
      <c r="G53" s="159">
        <v>50</v>
      </c>
      <c r="H53" s="281">
        <v>11333</v>
      </c>
      <c r="I53" s="101">
        <v>16</v>
      </c>
      <c r="J53" s="97">
        <f t="shared" si="5"/>
        <v>34</v>
      </c>
      <c r="K53" s="91">
        <f t="shared" si="7"/>
        <v>181328</v>
      </c>
      <c r="L53" s="94">
        <f t="shared" si="6"/>
        <v>385322</v>
      </c>
      <c r="M53" s="8"/>
      <c r="N53" s="180" t="e">
        <f>#REF!-H53</f>
        <v>#REF!</v>
      </c>
    </row>
    <row r="54" spans="1:14" s="114" customFormat="1">
      <c r="A54" s="96">
        <v>49</v>
      </c>
      <c r="B54" s="292" t="s">
        <v>664</v>
      </c>
      <c r="C54" s="11" t="s">
        <v>665</v>
      </c>
      <c r="D54" s="19">
        <v>330000</v>
      </c>
      <c r="E54" s="19">
        <v>43989</v>
      </c>
      <c r="F54" s="19">
        <f>SUM(D54:E54)</f>
        <v>373989</v>
      </c>
      <c r="G54" s="159">
        <v>50</v>
      </c>
      <c r="H54" s="281">
        <v>7479.78</v>
      </c>
      <c r="I54" s="101">
        <v>16</v>
      </c>
      <c r="J54" s="97">
        <f t="shared" si="5"/>
        <v>34</v>
      </c>
      <c r="K54" s="91">
        <f t="shared" si="7"/>
        <v>119676.48</v>
      </c>
      <c r="L54" s="94">
        <f t="shared" si="6"/>
        <v>254312.52000000002</v>
      </c>
      <c r="M54" s="8"/>
    </row>
    <row r="55" spans="1:14" s="114" customFormat="1">
      <c r="A55" s="96">
        <v>50</v>
      </c>
      <c r="B55" s="292" t="s">
        <v>598</v>
      </c>
      <c r="C55" s="11" t="s">
        <v>599</v>
      </c>
      <c r="D55" s="16">
        <v>500000</v>
      </c>
      <c r="E55" s="16">
        <v>66650</v>
      </c>
      <c r="F55" s="41">
        <f>SUM(D55:E55)</f>
        <v>566650</v>
      </c>
      <c r="G55" s="159">
        <v>50</v>
      </c>
      <c r="H55" s="315">
        <v>11333</v>
      </c>
      <c r="I55" s="97">
        <v>50</v>
      </c>
      <c r="J55" s="97">
        <f t="shared" si="5"/>
        <v>0</v>
      </c>
      <c r="K55" s="91">
        <f t="shared" si="7"/>
        <v>566650</v>
      </c>
      <c r="L55" s="94">
        <f t="shared" si="6"/>
        <v>0</v>
      </c>
      <c r="M55" s="11"/>
    </row>
    <row r="56" spans="1:14" s="114" customFormat="1">
      <c r="A56" s="96">
        <v>51</v>
      </c>
      <c r="B56" s="292" t="s">
        <v>633</v>
      </c>
      <c r="C56" s="11" t="s">
        <v>634</v>
      </c>
      <c r="D56" s="19">
        <v>150000</v>
      </c>
      <c r="E56" s="19">
        <v>19995</v>
      </c>
      <c r="F56" s="19">
        <f>SUM(D56:E56)</f>
        <v>169995</v>
      </c>
      <c r="G56" s="159">
        <v>50</v>
      </c>
      <c r="H56" s="281">
        <v>3399.9</v>
      </c>
      <c r="I56" s="101">
        <v>16</v>
      </c>
      <c r="J56" s="97">
        <f t="shared" si="5"/>
        <v>34</v>
      </c>
      <c r="K56" s="91">
        <f t="shared" si="7"/>
        <v>54398.400000000001</v>
      </c>
      <c r="L56" s="94">
        <f t="shared" si="6"/>
        <v>115596.6</v>
      </c>
      <c r="M56" s="8"/>
    </row>
    <row r="57" spans="1:14" s="114" customFormat="1">
      <c r="A57" s="96">
        <v>52</v>
      </c>
      <c r="B57" s="292" t="s">
        <v>661</v>
      </c>
      <c r="C57" s="11" t="s">
        <v>662</v>
      </c>
      <c r="D57" s="19">
        <v>500000</v>
      </c>
      <c r="E57" s="19">
        <v>66650</v>
      </c>
      <c r="F57" s="19">
        <v>566650</v>
      </c>
      <c r="G57" s="159">
        <v>50</v>
      </c>
      <c r="H57" s="315">
        <v>11333</v>
      </c>
      <c r="I57" s="97">
        <v>27</v>
      </c>
      <c r="J57" s="97">
        <f t="shared" si="5"/>
        <v>23</v>
      </c>
      <c r="K57" s="91">
        <f t="shared" si="7"/>
        <v>305991</v>
      </c>
      <c r="L57" s="91">
        <f t="shared" si="6"/>
        <v>260659</v>
      </c>
      <c r="M57" s="11"/>
      <c r="N57" s="180" t="e">
        <f>#REF!-H57</f>
        <v>#REF!</v>
      </c>
    </row>
    <row r="58" spans="1:14" s="114" customFormat="1">
      <c r="A58" s="96">
        <v>53</v>
      </c>
      <c r="B58" s="292" t="s">
        <v>538</v>
      </c>
      <c r="C58" s="11" t="s">
        <v>539</v>
      </c>
      <c r="D58" s="12">
        <v>500000</v>
      </c>
      <c r="E58" s="12">
        <v>66650</v>
      </c>
      <c r="F58" s="15">
        <f>SUM(D58:E58)</f>
        <v>566650</v>
      </c>
      <c r="G58" s="14">
        <v>50</v>
      </c>
      <c r="H58" s="280">
        <v>11333</v>
      </c>
      <c r="I58" s="14">
        <v>47</v>
      </c>
      <c r="J58" s="97">
        <f t="shared" si="5"/>
        <v>3</v>
      </c>
      <c r="K58" s="91">
        <f t="shared" si="7"/>
        <v>532651</v>
      </c>
      <c r="L58" s="15">
        <f t="shared" si="6"/>
        <v>33999</v>
      </c>
      <c r="M58" s="8"/>
    </row>
    <row r="59" spans="1:14" s="114" customFormat="1">
      <c r="A59" s="96">
        <v>54</v>
      </c>
      <c r="B59" s="293" t="s">
        <v>1170</v>
      </c>
      <c r="C59" s="123" t="s">
        <v>1171</v>
      </c>
      <c r="D59" s="16">
        <v>500000</v>
      </c>
      <c r="E59" s="16">
        <v>66650</v>
      </c>
      <c r="F59" s="41">
        <f>SUM(D59:E59)</f>
        <v>566650</v>
      </c>
      <c r="G59" s="159">
        <v>50</v>
      </c>
      <c r="H59" s="314">
        <v>11333</v>
      </c>
      <c r="I59" s="159">
        <v>3</v>
      </c>
      <c r="J59" s="159">
        <f t="shared" si="5"/>
        <v>47</v>
      </c>
      <c r="K59" s="16">
        <f t="shared" si="7"/>
        <v>33999</v>
      </c>
      <c r="L59" s="94">
        <f t="shared" si="6"/>
        <v>532651</v>
      </c>
      <c r="M59" s="11"/>
    </row>
    <row r="60" spans="1:14" s="114" customFormat="1">
      <c r="A60" s="96">
        <v>55</v>
      </c>
      <c r="B60" s="292" t="s">
        <v>596</v>
      </c>
      <c r="C60" s="11" t="s">
        <v>597</v>
      </c>
      <c r="D60" s="19">
        <v>500000</v>
      </c>
      <c r="E60" s="19">
        <v>66650</v>
      </c>
      <c r="F60" s="19">
        <v>566650</v>
      </c>
      <c r="G60" s="159">
        <v>50</v>
      </c>
      <c r="H60" s="315">
        <v>11333</v>
      </c>
      <c r="I60" s="97">
        <v>28</v>
      </c>
      <c r="J60" s="97">
        <f t="shared" si="5"/>
        <v>22</v>
      </c>
      <c r="K60" s="91">
        <f t="shared" si="7"/>
        <v>317324</v>
      </c>
      <c r="L60" s="91">
        <f t="shared" si="6"/>
        <v>249326</v>
      </c>
      <c r="M60" s="11"/>
      <c r="N60" s="180" t="e">
        <f>#REF!-H60</f>
        <v>#REF!</v>
      </c>
    </row>
    <row r="61" spans="1:14" s="114" customFormat="1">
      <c r="A61" s="96">
        <v>56</v>
      </c>
      <c r="B61" s="293" t="s">
        <v>1205</v>
      </c>
      <c r="C61" s="11" t="s">
        <v>1206</v>
      </c>
      <c r="D61" s="16">
        <v>500000</v>
      </c>
      <c r="E61" s="16">
        <v>66650</v>
      </c>
      <c r="F61" s="41">
        <f>SUM(D61:E61)</f>
        <v>566650</v>
      </c>
      <c r="G61" s="159">
        <v>50</v>
      </c>
      <c r="H61" s="314">
        <v>11333</v>
      </c>
      <c r="I61" s="96">
        <v>4</v>
      </c>
      <c r="J61" s="97">
        <f t="shared" si="5"/>
        <v>46</v>
      </c>
      <c r="K61" s="91">
        <f t="shared" si="7"/>
        <v>45332</v>
      </c>
      <c r="L61" s="94">
        <f t="shared" si="6"/>
        <v>521318</v>
      </c>
      <c r="M61" s="11"/>
      <c r="N61" s="180" t="e">
        <f>#REF!-H61</f>
        <v>#REF!</v>
      </c>
    </row>
    <row r="62" spans="1:14" s="114" customFormat="1">
      <c r="A62" s="96">
        <v>57</v>
      </c>
      <c r="B62" s="293" t="s">
        <v>1239</v>
      </c>
      <c r="C62" s="123" t="s">
        <v>1240</v>
      </c>
      <c r="D62" s="19">
        <v>150000</v>
      </c>
      <c r="E62" s="19">
        <v>19995</v>
      </c>
      <c r="F62" s="19">
        <f>SUM(D62:E62)</f>
        <v>169995</v>
      </c>
      <c r="G62" s="159">
        <v>40</v>
      </c>
      <c r="H62" s="314">
        <v>4149.8999999999996</v>
      </c>
      <c r="I62" s="159">
        <v>3</v>
      </c>
      <c r="J62" s="159">
        <f t="shared" si="5"/>
        <v>37</v>
      </c>
      <c r="K62" s="16">
        <f t="shared" si="7"/>
        <v>12449.699999999999</v>
      </c>
      <c r="L62" s="94">
        <f t="shared" si="6"/>
        <v>157545.29999999999</v>
      </c>
      <c r="M62" s="11"/>
    </row>
    <row r="63" spans="1:14" s="114" customFormat="1">
      <c r="A63" s="96">
        <v>58</v>
      </c>
      <c r="B63" s="292" t="s">
        <v>668</v>
      </c>
      <c r="C63" s="11" t="s">
        <v>669</v>
      </c>
      <c r="D63" s="16">
        <v>450000</v>
      </c>
      <c r="E63" s="16">
        <v>59985</v>
      </c>
      <c r="F63" s="16">
        <v>509985</v>
      </c>
      <c r="G63" s="159">
        <v>50</v>
      </c>
      <c r="H63" s="315">
        <v>10199.700000000001</v>
      </c>
      <c r="I63" s="97">
        <v>27</v>
      </c>
      <c r="J63" s="97">
        <f t="shared" si="5"/>
        <v>23</v>
      </c>
      <c r="K63" s="91">
        <f t="shared" si="7"/>
        <v>275391.90000000002</v>
      </c>
      <c r="L63" s="91">
        <f t="shared" si="6"/>
        <v>234593.09999999998</v>
      </c>
      <c r="M63" s="11"/>
      <c r="N63" s="180" t="e">
        <f>#REF!-H63</f>
        <v>#REF!</v>
      </c>
    </row>
    <row r="64" spans="1:14" s="114" customFormat="1">
      <c r="A64" s="96">
        <v>59</v>
      </c>
      <c r="B64" s="293" t="s">
        <v>901</v>
      </c>
      <c r="C64" s="123" t="s">
        <v>924</v>
      </c>
      <c r="D64" s="19">
        <v>330000</v>
      </c>
      <c r="E64" s="19">
        <v>43989</v>
      </c>
      <c r="F64" s="19">
        <f t="shared" ref="F64:F69" si="8">SUM(D64:E64)</f>
        <v>373989</v>
      </c>
      <c r="G64" s="159">
        <v>50</v>
      </c>
      <c r="H64" s="314">
        <v>7479.78</v>
      </c>
      <c r="I64" s="159">
        <v>11</v>
      </c>
      <c r="J64" s="159">
        <f t="shared" si="5"/>
        <v>39</v>
      </c>
      <c r="K64" s="16">
        <f t="shared" si="7"/>
        <v>82277.58</v>
      </c>
      <c r="L64" s="94">
        <f t="shared" si="6"/>
        <v>291711.42</v>
      </c>
      <c r="M64" s="11"/>
    </row>
    <row r="65" spans="1:14" s="114" customFormat="1">
      <c r="A65" s="96">
        <v>60</v>
      </c>
      <c r="B65" s="292" t="s">
        <v>526</v>
      </c>
      <c r="C65" s="11" t="s">
        <v>527</v>
      </c>
      <c r="D65" s="16">
        <v>330000</v>
      </c>
      <c r="E65" s="16">
        <v>43989</v>
      </c>
      <c r="F65" s="41">
        <f t="shared" si="8"/>
        <v>373989</v>
      </c>
      <c r="G65" s="159">
        <v>50</v>
      </c>
      <c r="H65" s="280">
        <v>7479.78</v>
      </c>
      <c r="I65" s="97">
        <v>42</v>
      </c>
      <c r="J65" s="97">
        <f t="shared" si="5"/>
        <v>8</v>
      </c>
      <c r="K65" s="91">
        <f t="shared" si="7"/>
        <v>314150.76</v>
      </c>
      <c r="L65" s="94">
        <f t="shared" si="6"/>
        <v>59838.239999999991</v>
      </c>
      <c r="M65" s="11"/>
      <c r="N65" s="180" t="e">
        <f>#REF!-H65</f>
        <v>#REF!</v>
      </c>
    </row>
    <row r="66" spans="1:14" s="114" customFormat="1">
      <c r="A66" s="96">
        <v>61</v>
      </c>
      <c r="B66" s="293" t="s">
        <v>1178</v>
      </c>
      <c r="C66" s="11" t="s">
        <v>1179</v>
      </c>
      <c r="D66" s="12">
        <v>150000</v>
      </c>
      <c r="E66" s="12">
        <v>19995</v>
      </c>
      <c r="F66" s="15">
        <f t="shared" si="8"/>
        <v>169995</v>
      </c>
      <c r="G66" s="14">
        <v>50</v>
      </c>
      <c r="H66" s="314">
        <v>3399.9</v>
      </c>
      <c r="I66" s="96">
        <v>4</v>
      </c>
      <c r="J66" s="97">
        <f t="shared" si="5"/>
        <v>46</v>
      </c>
      <c r="K66" s="91">
        <f t="shared" si="7"/>
        <v>13599.6</v>
      </c>
      <c r="L66" s="94">
        <f t="shared" si="6"/>
        <v>156395.4</v>
      </c>
      <c r="M66" s="11"/>
      <c r="N66"/>
    </row>
    <row r="67" spans="1:14" s="114" customFormat="1">
      <c r="A67" s="96">
        <v>62</v>
      </c>
      <c r="B67" s="292" t="s">
        <v>528</v>
      </c>
      <c r="C67" s="11" t="s">
        <v>529</v>
      </c>
      <c r="D67" s="12">
        <v>500000</v>
      </c>
      <c r="E67" s="12">
        <v>66650</v>
      </c>
      <c r="F67" s="15">
        <f t="shared" si="8"/>
        <v>566650</v>
      </c>
      <c r="G67" s="14">
        <v>50</v>
      </c>
      <c r="H67" s="315">
        <v>11333</v>
      </c>
      <c r="I67" s="14">
        <v>47</v>
      </c>
      <c r="J67" s="97">
        <f t="shared" si="5"/>
        <v>3</v>
      </c>
      <c r="K67" s="91">
        <f t="shared" si="7"/>
        <v>532651</v>
      </c>
      <c r="L67" s="15">
        <f t="shared" si="6"/>
        <v>33999</v>
      </c>
      <c r="M67" s="8"/>
      <c r="N67" s="180" t="e">
        <f>#REF!-H67</f>
        <v>#REF!</v>
      </c>
    </row>
    <row r="68" spans="1:14" s="114" customFormat="1">
      <c r="A68" s="96">
        <v>63</v>
      </c>
      <c r="B68" s="293" t="s">
        <v>1229</v>
      </c>
      <c r="C68" s="123" t="s">
        <v>1230</v>
      </c>
      <c r="D68" s="19">
        <v>150000</v>
      </c>
      <c r="E68" s="19">
        <v>19995</v>
      </c>
      <c r="F68" s="19">
        <f t="shared" si="8"/>
        <v>169995</v>
      </c>
      <c r="G68" s="159">
        <v>40</v>
      </c>
      <c r="H68" s="314">
        <v>4149.8999999999996</v>
      </c>
      <c r="I68" s="159">
        <v>3</v>
      </c>
      <c r="J68" s="159">
        <f t="shared" si="5"/>
        <v>37</v>
      </c>
      <c r="K68" s="16">
        <f t="shared" si="7"/>
        <v>12449.699999999999</v>
      </c>
      <c r="L68" s="94">
        <f t="shared" si="6"/>
        <v>157545.29999999999</v>
      </c>
      <c r="M68" s="11"/>
      <c r="N68" s="180" t="e">
        <f>#REF!-H68</f>
        <v>#REF!</v>
      </c>
    </row>
    <row r="69" spans="1:14" s="114" customFormat="1">
      <c r="A69" s="96">
        <v>64</v>
      </c>
      <c r="B69" s="292" t="s">
        <v>638</v>
      </c>
      <c r="C69" s="11" t="s">
        <v>639</v>
      </c>
      <c r="D69" s="16">
        <v>500000</v>
      </c>
      <c r="E69" s="16">
        <v>66650</v>
      </c>
      <c r="F69" s="41">
        <f t="shared" si="8"/>
        <v>566650</v>
      </c>
      <c r="G69" s="159">
        <v>50</v>
      </c>
      <c r="H69" s="315">
        <v>11333</v>
      </c>
      <c r="I69" s="97">
        <v>20</v>
      </c>
      <c r="J69" s="97">
        <f t="shared" si="5"/>
        <v>30</v>
      </c>
      <c r="K69" s="91">
        <f>(1*11333)</f>
        <v>11333</v>
      </c>
      <c r="L69" s="91">
        <f t="shared" si="6"/>
        <v>555317</v>
      </c>
      <c r="M69" s="11"/>
    </row>
    <row r="70" spans="1:14" s="114" customFormat="1">
      <c r="A70" s="96">
        <v>65</v>
      </c>
      <c r="B70" s="292" t="s">
        <v>522</v>
      </c>
      <c r="C70" s="11" t="s">
        <v>523</v>
      </c>
      <c r="D70" s="19">
        <v>500000</v>
      </c>
      <c r="E70" s="19">
        <v>66650</v>
      </c>
      <c r="F70" s="19">
        <v>566650</v>
      </c>
      <c r="G70" s="159">
        <v>50</v>
      </c>
      <c r="H70" s="315">
        <v>11333</v>
      </c>
      <c r="I70" s="97">
        <v>28</v>
      </c>
      <c r="J70" s="97">
        <f t="shared" ref="J70:J101" si="9">G70-I70</f>
        <v>22</v>
      </c>
      <c r="K70" s="91">
        <f t="shared" ref="K70:K95" si="10">I70*H70</f>
        <v>317324</v>
      </c>
      <c r="L70" s="91">
        <f t="shared" ref="L70:L101" si="11">F70-K70</f>
        <v>249326</v>
      </c>
      <c r="M70" s="11"/>
      <c r="N70" s="180" t="e">
        <f>#REF!-H70</f>
        <v>#REF!</v>
      </c>
    </row>
    <row r="71" spans="1:14" s="114" customFormat="1">
      <c r="A71" s="96">
        <v>66</v>
      </c>
      <c r="B71" s="292" t="s">
        <v>715</v>
      </c>
      <c r="C71" s="11" t="s">
        <v>716</v>
      </c>
      <c r="D71" s="19">
        <v>450000</v>
      </c>
      <c r="E71" s="19">
        <v>59985</v>
      </c>
      <c r="F71" s="19">
        <v>509985</v>
      </c>
      <c r="G71" s="159">
        <v>50</v>
      </c>
      <c r="H71" s="315">
        <v>10199.700000000001</v>
      </c>
      <c r="I71" s="101">
        <v>16</v>
      </c>
      <c r="J71" s="97">
        <f t="shared" si="9"/>
        <v>34</v>
      </c>
      <c r="K71" s="91">
        <f t="shared" si="10"/>
        <v>163195.20000000001</v>
      </c>
      <c r="L71" s="94">
        <f t="shared" si="11"/>
        <v>346789.8</v>
      </c>
      <c r="M71" s="8"/>
      <c r="N71" s="180" t="e">
        <f>#REF!-H71</f>
        <v>#REF!</v>
      </c>
    </row>
    <row r="72" spans="1:14" s="114" customFormat="1">
      <c r="A72" s="96">
        <v>67</v>
      </c>
      <c r="B72" s="292" t="s">
        <v>604</v>
      </c>
      <c r="C72" s="11" t="s">
        <v>605</v>
      </c>
      <c r="D72" s="16">
        <v>500000</v>
      </c>
      <c r="E72" s="16">
        <v>66650</v>
      </c>
      <c r="F72" s="41">
        <f>SUM(D72:E72)</f>
        <v>566650</v>
      </c>
      <c r="G72" s="159">
        <v>50</v>
      </c>
      <c r="H72" s="315">
        <v>11333</v>
      </c>
      <c r="I72" s="97">
        <v>50</v>
      </c>
      <c r="J72" s="97">
        <f t="shared" si="9"/>
        <v>0</v>
      </c>
      <c r="K72" s="91">
        <f t="shared" si="10"/>
        <v>566650</v>
      </c>
      <c r="L72" s="94">
        <f t="shared" si="11"/>
        <v>0</v>
      </c>
      <c r="M72" s="11"/>
      <c r="N72" s="180" t="e">
        <f>#REF!-H72</f>
        <v>#REF!</v>
      </c>
    </row>
    <row r="73" spans="1:14" s="114" customFormat="1">
      <c r="A73" s="96">
        <v>68</v>
      </c>
      <c r="B73" s="292" t="s">
        <v>501</v>
      </c>
      <c r="C73" s="11" t="s">
        <v>502</v>
      </c>
      <c r="D73" s="16">
        <v>500000</v>
      </c>
      <c r="E73" s="16">
        <v>66650</v>
      </c>
      <c r="F73" s="16">
        <v>566650</v>
      </c>
      <c r="G73" s="159">
        <v>50</v>
      </c>
      <c r="H73" s="280">
        <v>11333</v>
      </c>
      <c r="I73" s="159">
        <v>16</v>
      </c>
      <c r="J73" s="97">
        <f t="shared" si="9"/>
        <v>34</v>
      </c>
      <c r="K73" s="91">
        <f t="shared" si="10"/>
        <v>181328</v>
      </c>
      <c r="L73" s="94">
        <f t="shared" si="11"/>
        <v>385322</v>
      </c>
      <c r="M73" s="11"/>
    </row>
    <row r="74" spans="1:14" s="114" customFormat="1">
      <c r="A74" s="96">
        <v>69</v>
      </c>
      <c r="B74" s="292" t="s">
        <v>600</v>
      </c>
      <c r="C74" s="11" t="s">
        <v>601</v>
      </c>
      <c r="D74" s="16">
        <v>450000</v>
      </c>
      <c r="E74" s="16">
        <v>59985</v>
      </c>
      <c r="F74" s="41">
        <f t="shared" ref="F74:F79" si="12">SUM(D74:E74)</f>
        <v>509985</v>
      </c>
      <c r="G74" s="159">
        <v>50</v>
      </c>
      <c r="H74" s="315">
        <v>10199.700000000001</v>
      </c>
      <c r="I74" s="97">
        <v>41</v>
      </c>
      <c r="J74" s="97">
        <f t="shared" si="9"/>
        <v>9</v>
      </c>
      <c r="K74" s="91">
        <f t="shared" si="10"/>
        <v>418187.7</v>
      </c>
      <c r="L74" s="94">
        <f t="shared" si="11"/>
        <v>91797.299999999988</v>
      </c>
      <c r="M74" s="11"/>
      <c r="N74" s="180" t="e">
        <f>#REF!-H73</f>
        <v>#REF!</v>
      </c>
    </row>
    <row r="75" spans="1:14" s="114" customFormat="1">
      <c r="A75" s="96">
        <v>70</v>
      </c>
      <c r="B75" s="292" t="s">
        <v>688</v>
      </c>
      <c r="C75" s="11" t="s">
        <v>689</v>
      </c>
      <c r="D75" s="16">
        <v>500000</v>
      </c>
      <c r="E75" s="16">
        <v>66650</v>
      </c>
      <c r="F75" s="41">
        <f t="shared" si="12"/>
        <v>566650</v>
      </c>
      <c r="G75" s="159">
        <v>50</v>
      </c>
      <c r="H75" s="315">
        <v>11333</v>
      </c>
      <c r="I75" s="97">
        <v>50</v>
      </c>
      <c r="J75" s="97">
        <f t="shared" si="9"/>
        <v>0</v>
      </c>
      <c r="K75" s="91">
        <f t="shared" si="10"/>
        <v>566650</v>
      </c>
      <c r="L75" s="94">
        <f t="shared" si="11"/>
        <v>0</v>
      </c>
      <c r="M75" s="11"/>
      <c r="N75" s="180" t="e">
        <f>#REF!-H74</f>
        <v>#REF!</v>
      </c>
    </row>
    <row r="76" spans="1:14" s="114" customFormat="1">
      <c r="A76" s="96">
        <v>71</v>
      </c>
      <c r="B76" s="293" t="s">
        <v>887</v>
      </c>
      <c r="C76" s="123" t="s">
        <v>909</v>
      </c>
      <c r="D76" s="16">
        <v>500000</v>
      </c>
      <c r="E76" s="16">
        <v>66650</v>
      </c>
      <c r="F76" s="41">
        <f t="shared" si="12"/>
        <v>566650</v>
      </c>
      <c r="G76" s="159">
        <v>50</v>
      </c>
      <c r="H76" s="314">
        <v>11333</v>
      </c>
      <c r="I76" s="159">
        <v>11</v>
      </c>
      <c r="J76" s="159">
        <f t="shared" si="9"/>
        <v>39</v>
      </c>
      <c r="K76" s="16">
        <f t="shared" si="10"/>
        <v>124663</v>
      </c>
      <c r="L76" s="94">
        <f t="shared" si="11"/>
        <v>441987</v>
      </c>
      <c r="M76" s="11"/>
    </row>
    <row r="77" spans="1:14" s="114" customFormat="1">
      <c r="A77" s="96">
        <v>72</v>
      </c>
      <c r="B77" s="292" t="s">
        <v>631</v>
      </c>
      <c r="C77" s="11" t="s">
        <v>632</v>
      </c>
      <c r="D77" s="16">
        <v>500000</v>
      </c>
      <c r="E77" s="16">
        <v>66650</v>
      </c>
      <c r="F77" s="41">
        <f t="shared" si="12"/>
        <v>566650</v>
      </c>
      <c r="G77" s="159">
        <v>50</v>
      </c>
      <c r="H77" s="315">
        <v>11333</v>
      </c>
      <c r="I77" s="159">
        <v>50</v>
      </c>
      <c r="J77" s="97">
        <f t="shared" si="9"/>
        <v>0</v>
      </c>
      <c r="K77" s="91">
        <f t="shared" si="10"/>
        <v>566650</v>
      </c>
      <c r="L77" s="94">
        <f t="shared" si="11"/>
        <v>0</v>
      </c>
      <c r="M77" s="11"/>
      <c r="N77" s="180" t="e">
        <f>#REF!-H76</f>
        <v>#REF!</v>
      </c>
    </row>
    <row r="78" spans="1:14" s="114" customFormat="1">
      <c r="A78" s="96">
        <v>73</v>
      </c>
      <c r="B78" s="292" t="s">
        <v>883</v>
      </c>
      <c r="C78" s="11" t="s">
        <v>905</v>
      </c>
      <c r="D78" s="16">
        <v>500000</v>
      </c>
      <c r="E78" s="16">
        <v>66650</v>
      </c>
      <c r="F78" s="41">
        <f t="shared" si="12"/>
        <v>566650</v>
      </c>
      <c r="G78" s="159">
        <v>50</v>
      </c>
      <c r="H78" s="315">
        <v>11333</v>
      </c>
      <c r="I78" s="97">
        <v>50</v>
      </c>
      <c r="J78" s="97">
        <f t="shared" si="9"/>
        <v>0</v>
      </c>
      <c r="K78" s="91">
        <f t="shared" si="10"/>
        <v>566650</v>
      </c>
      <c r="L78" s="94">
        <f t="shared" si="11"/>
        <v>0</v>
      </c>
      <c r="M78" s="11"/>
      <c r="N78" s="180" t="e">
        <f>#REF!-#REF!</f>
        <v>#REF!</v>
      </c>
    </row>
    <row r="79" spans="1:14" s="114" customFormat="1">
      <c r="A79" s="96">
        <v>74</v>
      </c>
      <c r="B79" s="292" t="s">
        <v>505</v>
      </c>
      <c r="C79" s="11" t="s">
        <v>506</v>
      </c>
      <c r="D79" s="16">
        <v>500000</v>
      </c>
      <c r="E79" s="16">
        <v>66650</v>
      </c>
      <c r="F79" s="41">
        <f t="shared" si="12"/>
        <v>566650</v>
      </c>
      <c r="G79" s="159">
        <v>50</v>
      </c>
      <c r="H79" s="315">
        <v>11333</v>
      </c>
      <c r="I79" s="97">
        <v>42</v>
      </c>
      <c r="J79" s="97">
        <f t="shared" si="9"/>
        <v>8</v>
      </c>
      <c r="K79" s="91">
        <f t="shared" si="10"/>
        <v>475986</v>
      </c>
      <c r="L79" s="94">
        <f t="shared" si="11"/>
        <v>90664</v>
      </c>
      <c r="M79" s="11"/>
    </row>
    <row r="80" spans="1:14" s="114" customFormat="1">
      <c r="A80" s="96">
        <v>75</v>
      </c>
      <c r="B80" s="292" t="s">
        <v>724</v>
      </c>
      <c r="C80" s="11" t="s">
        <v>725</v>
      </c>
      <c r="D80" s="19">
        <v>500000</v>
      </c>
      <c r="E80" s="19">
        <v>66650</v>
      </c>
      <c r="F80" s="19">
        <v>566650</v>
      </c>
      <c r="G80" s="159">
        <v>50</v>
      </c>
      <c r="H80" s="315">
        <v>11333</v>
      </c>
      <c r="I80" s="97">
        <v>27</v>
      </c>
      <c r="J80" s="97">
        <f t="shared" si="9"/>
        <v>23</v>
      </c>
      <c r="K80" s="91">
        <f t="shared" si="10"/>
        <v>305991</v>
      </c>
      <c r="L80" s="91">
        <f t="shared" si="11"/>
        <v>260659</v>
      </c>
      <c r="M80" s="11"/>
    </row>
    <row r="81" spans="1:14" s="114" customFormat="1">
      <c r="A81" s="96">
        <v>76</v>
      </c>
      <c r="B81" s="295" t="s">
        <v>937</v>
      </c>
      <c r="C81" s="8" t="s">
        <v>938</v>
      </c>
      <c r="D81" s="19">
        <v>150000</v>
      </c>
      <c r="E81" s="19">
        <v>19995</v>
      </c>
      <c r="F81" s="19">
        <f t="shared" ref="F81:F93" si="13">SUM(D81:E81)</f>
        <v>169995</v>
      </c>
      <c r="G81" s="159">
        <v>50</v>
      </c>
      <c r="H81" s="316">
        <v>3399.9</v>
      </c>
      <c r="I81" s="159">
        <v>8</v>
      </c>
      <c r="J81" s="159">
        <f t="shared" si="9"/>
        <v>42</v>
      </c>
      <c r="K81" s="16">
        <f t="shared" si="10"/>
        <v>27199.200000000001</v>
      </c>
      <c r="L81" s="94">
        <f t="shared" si="11"/>
        <v>142795.79999999999</v>
      </c>
      <c r="M81" s="8"/>
      <c r="N81" s="180" t="e">
        <f>#REF!-#REF!</f>
        <v>#REF!</v>
      </c>
    </row>
    <row r="82" spans="1:14" s="114" customFormat="1">
      <c r="A82" s="96">
        <v>77</v>
      </c>
      <c r="B82" s="293" t="s">
        <v>1213</v>
      </c>
      <c r="C82" s="123" t="s">
        <v>1214</v>
      </c>
      <c r="D82" s="19">
        <v>330000</v>
      </c>
      <c r="E82" s="19">
        <v>43989</v>
      </c>
      <c r="F82" s="19">
        <f t="shared" si="13"/>
        <v>373989</v>
      </c>
      <c r="G82" s="159">
        <v>50</v>
      </c>
      <c r="H82" s="314">
        <v>7479.78</v>
      </c>
      <c r="I82" s="159">
        <v>3</v>
      </c>
      <c r="J82" s="159">
        <f t="shared" si="9"/>
        <v>47</v>
      </c>
      <c r="K82" s="16">
        <f t="shared" si="10"/>
        <v>22439.34</v>
      </c>
      <c r="L82" s="94">
        <f t="shared" si="11"/>
        <v>351549.66</v>
      </c>
      <c r="M82" s="11"/>
      <c r="N82" s="180" t="e">
        <f>#REF!-H81</f>
        <v>#REF!</v>
      </c>
    </row>
    <row r="83" spans="1:14" s="114" customFormat="1">
      <c r="A83" s="96">
        <v>78</v>
      </c>
      <c r="B83" s="294" t="s">
        <v>663</v>
      </c>
      <c r="C83" s="11" t="s">
        <v>953</v>
      </c>
      <c r="D83" s="19">
        <v>330000</v>
      </c>
      <c r="E83" s="19">
        <v>43989</v>
      </c>
      <c r="F83" s="19">
        <f t="shared" si="13"/>
        <v>373989</v>
      </c>
      <c r="G83" s="159">
        <v>50</v>
      </c>
      <c r="H83" s="314">
        <v>7479.78</v>
      </c>
      <c r="I83" s="159">
        <v>9</v>
      </c>
      <c r="J83" s="97">
        <f t="shared" si="9"/>
        <v>41</v>
      </c>
      <c r="K83" s="91">
        <f t="shared" si="10"/>
        <v>67318.02</v>
      </c>
      <c r="L83" s="94">
        <f t="shared" si="11"/>
        <v>306670.98</v>
      </c>
      <c r="M83" s="11"/>
    </row>
    <row r="84" spans="1:14" s="114" customFormat="1">
      <c r="A84" s="96">
        <v>79</v>
      </c>
      <c r="B84" s="294" t="s">
        <v>868</v>
      </c>
      <c r="C84" s="11" t="s">
        <v>925</v>
      </c>
      <c r="D84" s="19">
        <v>150000</v>
      </c>
      <c r="E84" s="19">
        <v>19995</v>
      </c>
      <c r="F84" s="19">
        <f t="shared" si="13"/>
        <v>169995</v>
      </c>
      <c r="G84" s="159">
        <v>50</v>
      </c>
      <c r="H84" s="314">
        <v>3399.9</v>
      </c>
      <c r="I84" s="159">
        <v>12</v>
      </c>
      <c r="J84" s="97">
        <f t="shared" si="9"/>
        <v>38</v>
      </c>
      <c r="K84" s="91">
        <f t="shared" si="10"/>
        <v>40798.800000000003</v>
      </c>
      <c r="L84" s="94">
        <f t="shared" si="11"/>
        <v>129196.2</v>
      </c>
      <c r="M84" s="11"/>
      <c r="N84" s="180" t="e">
        <f>#REF!-H83</f>
        <v>#REF!</v>
      </c>
    </row>
    <row r="85" spans="1:14" s="114" customFormat="1">
      <c r="A85" s="96">
        <v>80</v>
      </c>
      <c r="B85" s="292" t="s">
        <v>682</v>
      </c>
      <c r="C85" s="11" t="s">
        <v>683</v>
      </c>
      <c r="D85" s="16">
        <v>500000</v>
      </c>
      <c r="E85" s="16">
        <v>66650</v>
      </c>
      <c r="F85" s="41">
        <f t="shared" si="13"/>
        <v>566650</v>
      </c>
      <c r="G85" s="159">
        <v>50</v>
      </c>
      <c r="H85" s="315">
        <v>11333</v>
      </c>
      <c r="I85" s="97">
        <v>42</v>
      </c>
      <c r="J85" s="97">
        <f t="shared" si="9"/>
        <v>8</v>
      </c>
      <c r="K85" s="91">
        <f t="shared" si="10"/>
        <v>475986</v>
      </c>
      <c r="L85" s="94">
        <f t="shared" si="11"/>
        <v>90664</v>
      </c>
      <c r="M85" s="11"/>
      <c r="N85" s="180" t="e">
        <f>#REF!-H84</f>
        <v>#REF!</v>
      </c>
    </row>
    <row r="86" spans="1:14" s="114" customFormat="1">
      <c r="A86" s="96">
        <v>81</v>
      </c>
      <c r="B86" s="293" t="s">
        <v>1237</v>
      </c>
      <c r="C86" s="123" t="s">
        <v>1238</v>
      </c>
      <c r="D86" s="16">
        <v>500000</v>
      </c>
      <c r="E86" s="16">
        <v>66650</v>
      </c>
      <c r="F86" s="41">
        <f t="shared" si="13"/>
        <v>566650</v>
      </c>
      <c r="G86" s="159">
        <v>50</v>
      </c>
      <c r="H86" s="314">
        <v>11333</v>
      </c>
      <c r="I86" s="159">
        <v>3</v>
      </c>
      <c r="J86" s="159">
        <f t="shared" si="9"/>
        <v>47</v>
      </c>
      <c r="K86" s="16">
        <f t="shared" si="10"/>
        <v>33999</v>
      </c>
      <c r="L86" s="94">
        <f t="shared" si="11"/>
        <v>532651</v>
      </c>
      <c r="M86" s="11"/>
    </row>
    <row r="87" spans="1:14" s="114" customFormat="1">
      <c r="A87" s="96">
        <v>82</v>
      </c>
      <c r="B87" s="292" t="s">
        <v>594</v>
      </c>
      <c r="C87" s="11" t="s">
        <v>595</v>
      </c>
      <c r="D87" s="16">
        <v>500000</v>
      </c>
      <c r="E87" s="16">
        <v>66650</v>
      </c>
      <c r="F87" s="41">
        <f t="shared" si="13"/>
        <v>566650</v>
      </c>
      <c r="G87" s="159">
        <v>50</v>
      </c>
      <c r="H87" s="315">
        <v>11333</v>
      </c>
      <c r="I87" s="97">
        <v>42</v>
      </c>
      <c r="J87" s="97">
        <f t="shared" si="9"/>
        <v>8</v>
      </c>
      <c r="K87" s="91">
        <f t="shared" si="10"/>
        <v>475986</v>
      </c>
      <c r="L87" s="94">
        <f t="shared" si="11"/>
        <v>90664</v>
      </c>
      <c r="M87" s="11"/>
      <c r="N87" s="180" t="e">
        <f>#REF!-H86</f>
        <v>#REF!</v>
      </c>
    </row>
    <row r="88" spans="1:14" s="114" customFormat="1">
      <c r="A88" s="96">
        <v>83</v>
      </c>
      <c r="B88" s="293" t="s">
        <v>1166</v>
      </c>
      <c r="C88" s="11" t="s">
        <v>1167</v>
      </c>
      <c r="D88" s="16">
        <v>500000</v>
      </c>
      <c r="E88" s="16">
        <v>66650</v>
      </c>
      <c r="F88" s="41">
        <f t="shared" si="13"/>
        <v>566650</v>
      </c>
      <c r="G88" s="159">
        <v>50</v>
      </c>
      <c r="H88" s="314">
        <v>11333</v>
      </c>
      <c r="I88" s="96">
        <v>4</v>
      </c>
      <c r="J88" s="97">
        <f t="shared" si="9"/>
        <v>46</v>
      </c>
      <c r="K88" s="91">
        <f t="shared" si="10"/>
        <v>45332</v>
      </c>
      <c r="L88" s="94">
        <f t="shared" si="11"/>
        <v>521318</v>
      </c>
      <c r="M88" s="11"/>
      <c r="N88" s="180" t="e">
        <f>#REF!-H87</f>
        <v>#REF!</v>
      </c>
    </row>
    <row r="89" spans="1:14" s="114" customFormat="1">
      <c r="A89" s="96">
        <v>84</v>
      </c>
      <c r="B89" s="293" t="s">
        <v>1172</v>
      </c>
      <c r="C89" s="11" t="s">
        <v>1173</v>
      </c>
      <c r="D89" s="19">
        <v>330000</v>
      </c>
      <c r="E89" s="19">
        <v>43989</v>
      </c>
      <c r="F89" s="19">
        <f t="shared" si="13"/>
        <v>373989</v>
      </c>
      <c r="G89" s="159">
        <v>50</v>
      </c>
      <c r="H89" s="314">
        <v>7479.78</v>
      </c>
      <c r="I89" s="96">
        <v>4</v>
      </c>
      <c r="J89" s="97">
        <f t="shared" si="9"/>
        <v>46</v>
      </c>
      <c r="K89" s="91">
        <f t="shared" si="10"/>
        <v>29919.119999999999</v>
      </c>
      <c r="L89" s="94">
        <f t="shared" si="11"/>
        <v>344069.88</v>
      </c>
      <c r="M89" s="11"/>
    </row>
    <row r="90" spans="1:14" s="114" customFormat="1">
      <c r="A90" s="96">
        <v>85</v>
      </c>
      <c r="B90" s="292" t="s">
        <v>659</v>
      </c>
      <c r="C90" s="11" t="s">
        <v>660</v>
      </c>
      <c r="D90" s="16">
        <v>500000</v>
      </c>
      <c r="E90" s="16">
        <v>66650</v>
      </c>
      <c r="F90" s="41">
        <f t="shared" si="13"/>
        <v>566650</v>
      </c>
      <c r="G90" s="159">
        <v>50</v>
      </c>
      <c r="H90" s="315">
        <v>11333</v>
      </c>
      <c r="I90" s="97">
        <v>50</v>
      </c>
      <c r="J90" s="97">
        <f t="shared" si="9"/>
        <v>0</v>
      </c>
      <c r="K90" s="91">
        <f t="shared" si="10"/>
        <v>566650</v>
      </c>
      <c r="L90" s="94">
        <f t="shared" si="11"/>
        <v>0</v>
      </c>
      <c r="M90" s="11" t="s">
        <v>276</v>
      </c>
    </row>
    <row r="91" spans="1:14" s="114" customFormat="1">
      <c r="A91" s="96">
        <v>86</v>
      </c>
      <c r="B91" s="292" t="s">
        <v>583</v>
      </c>
      <c r="C91" s="11" t="s">
        <v>584</v>
      </c>
      <c r="D91" s="16">
        <v>500000</v>
      </c>
      <c r="E91" s="16">
        <v>66650</v>
      </c>
      <c r="F91" s="41">
        <f t="shared" si="13"/>
        <v>566650</v>
      </c>
      <c r="G91" s="159">
        <v>50</v>
      </c>
      <c r="H91" s="315">
        <v>11333</v>
      </c>
      <c r="I91" s="97">
        <v>42</v>
      </c>
      <c r="J91" s="97">
        <f t="shared" si="9"/>
        <v>8</v>
      </c>
      <c r="K91" s="91">
        <f t="shared" si="10"/>
        <v>475986</v>
      </c>
      <c r="L91" s="94">
        <f t="shared" si="11"/>
        <v>90664</v>
      </c>
      <c r="M91" s="11"/>
      <c r="N91" s="180" t="e">
        <f>#REF!-H90</f>
        <v>#REF!</v>
      </c>
    </row>
    <row r="92" spans="1:14" s="114" customFormat="1">
      <c r="A92" s="96">
        <v>87</v>
      </c>
      <c r="B92" s="295" t="s">
        <v>884</v>
      </c>
      <c r="C92" s="8" t="s">
        <v>906</v>
      </c>
      <c r="D92" s="16">
        <v>500000</v>
      </c>
      <c r="E92" s="16">
        <v>66650</v>
      </c>
      <c r="F92" s="41">
        <f t="shared" si="13"/>
        <v>566650</v>
      </c>
      <c r="G92" s="159">
        <v>50</v>
      </c>
      <c r="H92" s="316">
        <v>11333</v>
      </c>
      <c r="I92" s="159">
        <v>11</v>
      </c>
      <c r="J92" s="97">
        <f t="shared" si="9"/>
        <v>39</v>
      </c>
      <c r="K92" s="16">
        <f t="shared" si="10"/>
        <v>124663</v>
      </c>
      <c r="L92" s="94">
        <f t="shared" si="11"/>
        <v>441987</v>
      </c>
      <c r="M92" s="8"/>
      <c r="N92" s="180" t="e">
        <f>#REF!-H91</f>
        <v>#REF!</v>
      </c>
    </row>
    <row r="93" spans="1:14" s="114" customFormat="1">
      <c r="A93" s="96">
        <v>88</v>
      </c>
      <c r="B93" s="292" t="s">
        <v>561</v>
      </c>
      <c r="C93" s="11" t="s">
        <v>562</v>
      </c>
      <c r="D93" s="16">
        <v>450000</v>
      </c>
      <c r="E93" s="16">
        <v>59985</v>
      </c>
      <c r="F93" s="41">
        <f t="shared" si="13"/>
        <v>509985</v>
      </c>
      <c r="G93" s="159">
        <v>50</v>
      </c>
      <c r="H93" s="315">
        <v>10199.700000000001</v>
      </c>
      <c r="I93" s="97">
        <v>42</v>
      </c>
      <c r="J93" s="97">
        <f t="shared" si="9"/>
        <v>8</v>
      </c>
      <c r="K93" s="91">
        <f t="shared" si="10"/>
        <v>428387.4</v>
      </c>
      <c r="L93" s="94">
        <f t="shared" si="11"/>
        <v>81597.599999999977</v>
      </c>
      <c r="M93" s="11"/>
    </row>
    <row r="94" spans="1:14" s="114" customFormat="1">
      <c r="A94" s="96">
        <v>89</v>
      </c>
      <c r="B94" s="292" t="s">
        <v>702</v>
      </c>
      <c r="C94" s="11" t="s">
        <v>703</v>
      </c>
      <c r="D94" s="16">
        <v>450000</v>
      </c>
      <c r="E94" s="16">
        <v>59985</v>
      </c>
      <c r="F94" s="16">
        <v>509985</v>
      </c>
      <c r="G94" s="159">
        <v>50</v>
      </c>
      <c r="H94" s="315">
        <v>10199.700000000001</v>
      </c>
      <c r="I94" s="97">
        <v>27</v>
      </c>
      <c r="J94" s="97">
        <f t="shared" si="9"/>
        <v>23</v>
      </c>
      <c r="K94" s="91">
        <f t="shared" si="10"/>
        <v>275391.90000000002</v>
      </c>
      <c r="L94" s="91">
        <f t="shared" si="11"/>
        <v>234593.09999999998</v>
      </c>
      <c r="M94" s="11"/>
      <c r="N94" s="180" t="e">
        <f>#REF!-#REF!</f>
        <v>#REF!</v>
      </c>
    </row>
    <row r="95" spans="1:14" s="114" customFormat="1">
      <c r="A95" s="96">
        <v>90</v>
      </c>
      <c r="B95" s="294" t="s">
        <v>723</v>
      </c>
      <c r="C95" s="11" t="s">
        <v>955</v>
      </c>
      <c r="D95" s="16">
        <v>500000</v>
      </c>
      <c r="E95" s="16">
        <v>66650</v>
      </c>
      <c r="F95" s="41">
        <f>SUM(D95:E95)</f>
        <v>566650</v>
      </c>
      <c r="G95" s="159">
        <v>50</v>
      </c>
      <c r="H95" s="314">
        <v>11333</v>
      </c>
      <c r="I95" s="159">
        <v>9</v>
      </c>
      <c r="J95" s="97">
        <f t="shared" si="9"/>
        <v>41</v>
      </c>
      <c r="K95" s="91">
        <f t="shared" si="10"/>
        <v>101997</v>
      </c>
      <c r="L95" s="94">
        <f t="shared" si="11"/>
        <v>464653</v>
      </c>
      <c r="M95" s="11"/>
      <c r="N95" s="180" t="e">
        <f>#REF!-H94</f>
        <v>#REF!</v>
      </c>
    </row>
    <row r="96" spans="1:14" s="114" customFormat="1">
      <c r="A96" s="96">
        <v>91</v>
      </c>
      <c r="B96" s="292" t="s">
        <v>574</v>
      </c>
      <c r="C96" s="11" t="s">
        <v>575</v>
      </c>
      <c r="D96" s="16">
        <v>330000</v>
      </c>
      <c r="E96" s="16">
        <v>43989</v>
      </c>
      <c r="F96" s="41">
        <f>SUM(D96:E96)</f>
        <v>373989</v>
      </c>
      <c r="G96" s="159">
        <v>50</v>
      </c>
      <c r="H96" s="280">
        <v>7479.78</v>
      </c>
      <c r="I96" s="159">
        <v>49</v>
      </c>
      <c r="J96" s="97">
        <f t="shared" si="9"/>
        <v>1</v>
      </c>
      <c r="K96" s="91">
        <f>(32*7479.78)</f>
        <v>239352.95999999999</v>
      </c>
      <c r="L96" s="94">
        <f t="shared" si="11"/>
        <v>134636.04</v>
      </c>
      <c r="M96" s="11"/>
      <c r="N96" s="180" t="e">
        <f>#REF!-H95</f>
        <v>#REF!</v>
      </c>
    </row>
    <row r="97" spans="1:14" s="114" customFormat="1">
      <c r="A97" s="96">
        <v>92</v>
      </c>
      <c r="B97" s="292" t="s">
        <v>559</v>
      </c>
      <c r="C97" s="11" t="s">
        <v>560</v>
      </c>
      <c r="D97" s="16">
        <v>500000</v>
      </c>
      <c r="E97" s="16">
        <v>66650</v>
      </c>
      <c r="F97" s="16">
        <v>566650</v>
      </c>
      <c r="G97" s="159">
        <v>50</v>
      </c>
      <c r="H97" s="280">
        <v>11333</v>
      </c>
      <c r="I97" s="96">
        <v>16</v>
      </c>
      <c r="J97" s="97">
        <f t="shared" si="9"/>
        <v>34</v>
      </c>
      <c r="K97" s="91">
        <f t="shared" ref="K97:K143" si="14">I97*H97</f>
        <v>181328</v>
      </c>
      <c r="L97" s="94">
        <f t="shared" si="11"/>
        <v>385322</v>
      </c>
      <c r="M97" s="123"/>
      <c r="N97" s="180" t="e">
        <f>#REF!-H96</f>
        <v>#REF!</v>
      </c>
    </row>
    <row r="98" spans="1:14" s="114" customFormat="1">
      <c r="A98" s="96">
        <v>93</v>
      </c>
      <c r="B98" s="292" t="s">
        <v>629</v>
      </c>
      <c r="C98" s="11" t="s">
        <v>630</v>
      </c>
      <c r="D98" s="12">
        <v>330000</v>
      </c>
      <c r="E98" s="12">
        <v>43989</v>
      </c>
      <c r="F98" s="15">
        <f t="shared" ref="F98:F105" si="15">SUM(D98:E98)</f>
        <v>373989</v>
      </c>
      <c r="G98" s="14">
        <v>50</v>
      </c>
      <c r="H98" s="280">
        <v>7479.78</v>
      </c>
      <c r="I98" s="14">
        <v>47</v>
      </c>
      <c r="J98" s="97">
        <f t="shared" si="9"/>
        <v>3</v>
      </c>
      <c r="K98" s="91">
        <f t="shared" si="14"/>
        <v>351549.66</v>
      </c>
      <c r="L98" s="15">
        <f t="shared" si="11"/>
        <v>22439.340000000026</v>
      </c>
      <c r="M98" s="8"/>
      <c r="N98" s="180" t="e">
        <f>#REF!-H97</f>
        <v>#REF!</v>
      </c>
    </row>
    <row r="99" spans="1:14" s="114" customFormat="1">
      <c r="A99" s="96">
        <v>94</v>
      </c>
      <c r="B99" s="292" t="s">
        <v>635</v>
      </c>
      <c r="C99" s="11" t="s">
        <v>636</v>
      </c>
      <c r="D99" s="16">
        <v>500000</v>
      </c>
      <c r="E99" s="16">
        <v>66650</v>
      </c>
      <c r="F99" s="41">
        <f t="shared" si="15"/>
        <v>566650</v>
      </c>
      <c r="G99" s="159">
        <v>50</v>
      </c>
      <c r="H99" s="315">
        <v>11333</v>
      </c>
      <c r="I99" s="97">
        <v>50</v>
      </c>
      <c r="J99" s="97">
        <f t="shared" si="9"/>
        <v>0</v>
      </c>
      <c r="K99" s="91">
        <f t="shared" si="14"/>
        <v>566650</v>
      </c>
      <c r="L99" s="94">
        <f t="shared" si="11"/>
        <v>0</v>
      </c>
      <c r="M99" s="11"/>
      <c r="N99" s="180" t="e">
        <f>#REF!-H98</f>
        <v>#REF!</v>
      </c>
    </row>
    <row r="100" spans="1:14" s="114" customFormat="1">
      <c r="A100" s="96">
        <v>95</v>
      </c>
      <c r="B100" s="295" t="s">
        <v>943</v>
      </c>
      <c r="C100" s="8" t="s">
        <v>944</v>
      </c>
      <c r="D100" s="16">
        <v>450000</v>
      </c>
      <c r="E100" s="16">
        <v>59985</v>
      </c>
      <c r="F100" s="41">
        <f t="shared" si="15"/>
        <v>509985</v>
      </c>
      <c r="G100" s="159">
        <v>50</v>
      </c>
      <c r="H100" s="316">
        <v>10199.700000000001</v>
      </c>
      <c r="I100" s="159">
        <v>41</v>
      </c>
      <c r="J100" s="159">
        <f t="shared" si="9"/>
        <v>9</v>
      </c>
      <c r="K100" s="16">
        <f t="shared" si="14"/>
        <v>418187.7</v>
      </c>
      <c r="L100" s="94">
        <f t="shared" si="11"/>
        <v>91797.299999999988</v>
      </c>
      <c r="M100" s="8"/>
      <c r="N100" s="180" t="e">
        <f>#REF!-H99</f>
        <v>#REF!</v>
      </c>
    </row>
    <row r="101" spans="1:14" s="114" customFormat="1">
      <c r="A101" s="96">
        <v>96</v>
      </c>
      <c r="B101" s="292" t="s">
        <v>676</v>
      </c>
      <c r="C101" s="11" t="s">
        <v>677</v>
      </c>
      <c r="D101" s="19">
        <v>150000</v>
      </c>
      <c r="E101" s="19">
        <v>19995</v>
      </c>
      <c r="F101" s="19">
        <f t="shared" si="15"/>
        <v>169995</v>
      </c>
      <c r="G101" s="159">
        <v>50</v>
      </c>
      <c r="H101" s="315">
        <v>3399.9</v>
      </c>
      <c r="I101" s="97">
        <v>28</v>
      </c>
      <c r="J101" s="97">
        <f t="shared" si="9"/>
        <v>22</v>
      </c>
      <c r="K101" s="91">
        <f t="shared" si="14"/>
        <v>95197.2</v>
      </c>
      <c r="L101" s="91">
        <f t="shared" si="11"/>
        <v>74797.8</v>
      </c>
      <c r="M101" s="11"/>
    </row>
    <row r="102" spans="1:14" s="114" customFormat="1">
      <c r="A102" s="96">
        <v>97</v>
      </c>
      <c r="B102" s="292" t="s">
        <v>686</v>
      </c>
      <c r="C102" s="11" t="s">
        <v>687</v>
      </c>
      <c r="D102" s="16">
        <v>500000</v>
      </c>
      <c r="E102" s="16">
        <v>66650</v>
      </c>
      <c r="F102" s="41">
        <f t="shared" si="15"/>
        <v>566650</v>
      </c>
      <c r="G102" s="159">
        <v>50</v>
      </c>
      <c r="H102" s="315">
        <v>11333</v>
      </c>
      <c r="I102" s="97">
        <v>41</v>
      </c>
      <c r="J102" s="97">
        <f t="shared" ref="J102:J133" si="16">G102-I102</f>
        <v>9</v>
      </c>
      <c r="K102" s="91">
        <f t="shared" si="14"/>
        <v>464653</v>
      </c>
      <c r="L102" s="94">
        <f t="shared" ref="L102:L133" si="17">F102-K102</f>
        <v>101997</v>
      </c>
      <c r="M102" s="11"/>
    </row>
    <row r="103" spans="1:14" s="114" customFormat="1">
      <c r="A103" s="96">
        <v>98</v>
      </c>
      <c r="B103" s="292" t="s">
        <v>700</v>
      </c>
      <c r="C103" s="11" t="s">
        <v>701</v>
      </c>
      <c r="D103" s="16">
        <v>500000</v>
      </c>
      <c r="E103" s="16">
        <v>66650</v>
      </c>
      <c r="F103" s="41">
        <f t="shared" si="15"/>
        <v>566650</v>
      </c>
      <c r="G103" s="159">
        <v>50</v>
      </c>
      <c r="H103" s="315">
        <v>11333</v>
      </c>
      <c r="I103" s="97">
        <v>50</v>
      </c>
      <c r="J103" s="97">
        <f t="shared" si="16"/>
        <v>0</v>
      </c>
      <c r="K103" s="91">
        <f t="shared" si="14"/>
        <v>566650</v>
      </c>
      <c r="L103" s="94">
        <f t="shared" si="17"/>
        <v>0</v>
      </c>
      <c r="M103" s="11"/>
    </row>
    <row r="104" spans="1:14" s="114" customFormat="1">
      <c r="A104" s="96">
        <v>99</v>
      </c>
      <c r="B104" s="292" t="s">
        <v>536</v>
      </c>
      <c r="C104" s="11" t="s">
        <v>537</v>
      </c>
      <c r="D104" s="12">
        <v>500000</v>
      </c>
      <c r="E104" s="12">
        <v>66650</v>
      </c>
      <c r="F104" s="15">
        <f t="shared" si="15"/>
        <v>566650</v>
      </c>
      <c r="G104" s="14">
        <v>50</v>
      </c>
      <c r="H104" s="285">
        <v>11333</v>
      </c>
      <c r="I104" s="14">
        <v>47</v>
      </c>
      <c r="J104" s="97">
        <f t="shared" si="16"/>
        <v>3</v>
      </c>
      <c r="K104" s="91">
        <f t="shared" si="14"/>
        <v>532651</v>
      </c>
      <c r="L104" s="15">
        <f t="shared" si="17"/>
        <v>33999</v>
      </c>
      <c r="M104" s="8"/>
      <c r="N104" s="180" t="e">
        <f>#REF!-H103</f>
        <v>#REF!</v>
      </c>
    </row>
    <row r="105" spans="1:14" s="114" customFormat="1">
      <c r="A105" s="96">
        <v>100</v>
      </c>
      <c r="B105" s="292" t="s">
        <v>546</v>
      </c>
      <c r="C105" s="11" t="s">
        <v>547</v>
      </c>
      <c r="D105" s="19">
        <v>330000</v>
      </c>
      <c r="E105" s="19">
        <v>43989</v>
      </c>
      <c r="F105" s="19">
        <f t="shared" si="15"/>
        <v>373989</v>
      </c>
      <c r="G105" s="159">
        <v>40</v>
      </c>
      <c r="H105" s="315">
        <v>9129.7800000000007</v>
      </c>
      <c r="I105" s="159">
        <v>16</v>
      </c>
      <c r="J105" s="97">
        <f t="shared" si="16"/>
        <v>24</v>
      </c>
      <c r="K105" s="91">
        <f t="shared" si="14"/>
        <v>146076.48000000001</v>
      </c>
      <c r="L105" s="94">
        <f t="shared" si="17"/>
        <v>227912.52</v>
      </c>
      <c r="M105" s="11"/>
      <c r="N105" s="180" t="e">
        <f>#REF!-H104</f>
        <v>#REF!</v>
      </c>
    </row>
    <row r="106" spans="1:14" s="114" customFormat="1">
      <c r="A106" s="96">
        <v>101</v>
      </c>
      <c r="B106" s="293" t="s">
        <v>893</v>
      </c>
      <c r="C106" s="123" t="s">
        <v>915</v>
      </c>
      <c r="D106" s="19">
        <v>450000</v>
      </c>
      <c r="E106" s="19">
        <v>59985</v>
      </c>
      <c r="F106" s="19">
        <v>509985</v>
      </c>
      <c r="G106" s="159">
        <v>50</v>
      </c>
      <c r="H106" s="314">
        <v>10199.700000000001</v>
      </c>
      <c r="I106" s="159">
        <v>11</v>
      </c>
      <c r="J106" s="159">
        <f t="shared" si="16"/>
        <v>39</v>
      </c>
      <c r="K106" s="16">
        <f t="shared" si="14"/>
        <v>112196.70000000001</v>
      </c>
      <c r="L106" s="94">
        <f t="shared" si="17"/>
        <v>397788.3</v>
      </c>
      <c r="M106" s="11"/>
    </row>
    <row r="107" spans="1:14" s="114" customFormat="1">
      <c r="A107" s="96">
        <v>102</v>
      </c>
      <c r="B107" s="293" t="s">
        <v>1255</v>
      </c>
      <c r="C107" s="123" t="s">
        <v>1256</v>
      </c>
      <c r="D107" s="19">
        <v>450000</v>
      </c>
      <c r="E107" s="19">
        <v>59985</v>
      </c>
      <c r="F107" s="19">
        <v>509985</v>
      </c>
      <c r="G107" s="159">
        <v>50</v>
      </c>
      <c r="H107" s="314">
        <v>10199.700000000001</v>
      </c>
      <c r="I107" s="159">
        <v>3</v>
      </c>
      <c r="J107" s="159">
        <f t="shared" si="16"/>
        <v>47</v>
      </c>
      <c r="K107" s="16">
        <f t="shared" si="14"/>
        <v>30599.100000000002</v>
      </c>
      <c r="L107" s="94">
        <f t="shared" si="17"/>
        <v>479385.9</v>
      </c>
      <c r="M107" s="11"/>
      <c r="N107" s="180" t="e">
        <f>#REF!-H106</f>
        <v>#REF!</v>
      </c>
    </row>
    <row r="108" spans="1:14" s="114" customFormat="1">
      <c r="A108" s="96">
        <v>103</v>
      </c>
      <c r="B108" s="295" t="s">
        <v>947</v>
      </c>
      <c r="C108" s="8" t="s">
        <v>948</v>
      </c>
      <c r="D108" s="16">
        <v>500000</v>
      </c>
      <c r="E108" s="16">
        <v>66650</v>
      </c>
      <c r="F108" s="41">
        <f t="shared" ref="F108:F114" si="18">SUM(D108:E108)</f>
        <v>566650</v>
      </c>
      <c r="G108" s="159">
        <v>50</v>
      </c>
      <c r="H108" s="316">
        <v>11333</v>
      </c>
      <c r="I108" s="159">
        <v>8</v>
      </c>
      <c r="J108" s="159">
        <f t="shared" si="16"/>
        <v>42</v>
      </c>
      <c r="K108" s="16">
        <f t="shared" si="14"/>
        <v>90664</v>
      </c>
      <c r="L108" s="94">
        <f t="shared" si="17"/>
        <v>475986</v>
      </c>
      <c r="M108" s="8"/>
    </row>
    <row r="109" spans="1:14" s="114" customFormat="1">
      <c r="A109" s="96">
        <v>104</v>
      </c>
      <c r="B109" s="293" t="s">
        <v>1259</v>
      </c>
      <c r="C109" s="123" t="s">
        <v>1260</v>
      </c>
      <c r="D109" s="16">
        <v>500000</v>
      </c>
      <c r="E109" s="16">
        <v>66650</v>
      </c>
      <c r="F109" s="41">
        <f t="shared" si="18"/>
        <v>566650</v>
      </c>
      <c r="G109" s="159">
        <v>50</v>
      </c>
      <c r="H109" s="314">
        <v>11333</v>
      </c>
      <c r="I109" s="159">
        <v>3</v>
      </c>
      <c r="J109" s="159">
        <f t="shared" si="16"/>
        <v>47</v>
      </c>
      <c r="K109" s="16">
        <f t="shared" si="14"/>
        <v>33999</v>
      </c>
      <c r="L109" s="94">
        <f t="shared" si="17"/>
        <v>532651</v>
      </c>
      <c r="M109" s="11"/>
      <c r="N109" s="180" t="e">
        <f>#REF!-H108</f>
        <v>#REF!</v>
      </c>
    </row>
    <row r="110" spans="1:14" s="114" customFormat="1">
      <c r="A110" s="96">
        <v>105</v>
      </c>
      <c r="B110" s="293" t="s">
        <v>1192</v>
      </c>
      <c r="C110" s="123" t="s">
        <v>1193</v>
      </c>
      <c r="D110" s="19">
        <v>330000</v>
      </c>
      <c r="E110" s="19">
        <v>43989</v>
      </c>
      <c r="F110" s="19">
        <f t="shared" si="18"/>
        <v>373989</v>
      </c>
      <c r="G110" s="159">
        <v>50</v>
      </c>
      <c r="H110" s="314">
        <v>7479.78</v>
      </c>
      <c r="I110" s="159">
        <v>2</v>
      </c>
      <c r="J110" s="159">
        <f t="shared" si="16"/>
        <v>48</v>
      </c>
      <c r="K110" s="16">
        <f t="shared" si="14"/>
        <v>14959.56</v>
      </c>
      <c r="L110" s="94">
        <f t="shared" si="17"/>
        <v>359029.44</v>
      </c>
      <c r="M110" s="11"/>
      <c r="N110" s="120"/>
    </row>
    <row r="111" spans="1:14" s="114" customFormat="1">
      <c r="A111" s="96">
        <v>106</v>
      </c>
      <c r="B111" s="292" t="s">
        <v>886</v>
      </c>
      <c r="C111" s="11" t="s">
        <v>908</v>
      </c>
      <c r="D111" s="16">
        <v>500000</v>
      </c>
      <c r="E111" s="16">
        <v>66650</v>
      </c>
      <c r="F111" s="41">
        <f t="shared" si="18"/>
        <v>566650</v>
      </c>
      <c r="G111" s="159">
        <v>50</v>
      </c>
      <c r="H111" s="315">
        <v>11333</v>
      </c>
      <c r="I111" s="97">
        <v>42</v>
      </c>
      <c r="J111" s="97">
        <f t="shared" si="16"/>
        <v>8</v>
      </c>
      <c r="K111" s="91">
        <f t="shared" si="14"/>
        <v>475986</v>
      </c>
      <c r="L111" s="94">
        <f t="shared" si="17"/>
        <v>90664</v>
      </c>
      <c r="M111" s="11"/>
      <c r="N111"/>
    </row>
    <row r="112" spans="1:14" s="114" customFormat="1">
      <c r="A112" s="96">
        <v>107</v>
      </c>
      <c r="B112" s="293" t="s">
        <v>1190</v>
      </c>
      <c r="C112" s="123" t="s">
        <v>1191</v>
      </c>
      <c r="D112" s="16">
        <v>500000</v>
      </c>
      <c r="E112" s="16">
        <v>66650</v>
      </c>
      <c r="F112" s="41">
        <f t="shared" si="18"/>
        <v>566650</v>
      </c>
      <c r="G112" s="159">
        <v>50</v>
      </c>
      <c r="H112" s="314">
        <v>11333</v>
      </c>
      <c r="I112" s="159">
        <v>3</v>
      </c>
      <c r="J112" s="159">
        <f t="shared" si="16"/>
        <v>47</v>
      </c>
      <c r="K112" s="16">
        <f t="shared" si="14"/>
        <v>33999</v>
      </c>
      <c r="L112" s="94">
        <f t="shared" si="17"/>
        <v>532651</v>
      </c>
      <c r="M112" s="11"/>
      <c r="N112" s="180" t="e">
        <f>#REF!-H111</f>
        <v>#REF!</v>
      </c>
    </row>
    <row r="113" spans="1:15" s="114" customFormat="1">
      <c r="A113" s="96">
        <v>108</v>
      </c>
      <c r="B113" s="292" t="s">
        <v>542</v>
      </c>
      <c r="C113" s="11" t="s">
        <v>543</v>
      </c>
      <c r="D113" s="16">
        <v>500000</v>
      </c>
      <c r="E113" s="16">
        <v>66650</v>
      </c>
      <c r="F113" s="41">
        <f t="shared" si="18"/>
        <v>566650</v>
      </c>
      <c r="G113" s="159">
        <v>50</v>
      </c>
      <c r="H113" s="315">
        <v>11333</v>
      </c>
      <c r="I113" s="97">
        <v>41</v>
      </c>
      <c r="J113" s="97">
        <f t="shared" si="16"/>
        <v>9</v>
      </c>
      <c r="K113" s="91">
        <f t="shared" si="14"/>
        <v>464653</v>
      </c>
      <c r="L113" s="94">
        <f t="shared" si="17"/>
        <v>101997</v>
      </c>
      <c r="M113" s="11"/>
      <c r="N113" s="180" t="e">
        <f>#REF!-H112</f>
        <v>#REF!</v>
      </c>
    </row>
    <row r="114" spans="1:15" s="114" customFormat="1">
      <c r="A114" s="96">
        <v>109</v>
      </c>
      <c r="B114" s="292" t="s">
        <v>567</v>
      </c>
      <c r="C114" s="11" t="s">
        <v>568</v>
      </c>
      <c r="D114" s="16">
        <v>330000</v>
      </c>
      <c r="E114" s="16">
        <v>43989</v>
      </c>
      <c r="F114" s="41">
        <f t="shared" si="18"/>
        <v>373989</v>
      </c>
      <c r="G114" s="159">
        <v>50</v>
      </c>
      <c r="H114" s="315">
        <v>7479.78</v>
      </c>
      <c r="I114" s="97">
        <v>50</v>
      </c>
      <c r="J114" s="97">
        <f t="shared" si="16"/>
        <v>0</v>
      </c>
      <c r="K114" s="91">
        <f t="shared" si="14"/>
        <v>373989</v>
      </c>
      <c r="L114" s="94">
        <f t="shared" si="17"/>
        <v>0</v>
      </c>
      <c r="M114" s="11"/>
      <c r="N114" s="180" t="e">
        <f>#REF!-H113</f>
        <v>#REF!</v>
      </c>
    </row>
    <row r="115" spans="1:15" s="114" customFormat="1">
      <c r="A115" s="96">
        <v>110</v>
      </c>
      <c r="B115" s="292" t="s">
        <v>680</v>
      </c>
      <c r="C115" s="11" t="s">
        <v>681</v>
      </c>
      <c r="D115" s="19">
        <v>500000</v>
      </c>
      <c r="E115" s="19">
        <v>66650</v>
      </c>
      <c r="F115" s="19">
        <v>566650</v>
      </c>
      <c r="G115" s="159">
        <v>50</v>
      </c>
      <c r="H115" s="315">
        <v>11333</v>
      </c>
      <c r="I115" s="97">
        <v>28</v>
      </c>
      <c r="J115" s="97">
        <f t="shared" si="16"/>
        <v>22</v>
      </c>
      <c r="K115" s="91">
        <f t="shared" si="14"/>
        <v>317324</v>
      </c>
      <c r="L115" s="91">
        <f t="shared" si="17"/>
        <v>249326</v>
      </c>
      <c r="M115" s="11"/>
      <c r="N115"/>
    </row>
    <row r="116" spans="1:15" s="114" customFormat="1">
      <c r="A116" s="96">
        <v>111</v>
      </c>
      <c r="B116" s="292" t="s">
        <v>684</v>
      </c>
      <c r="C116" s="11" t="s">
        <v>685</v>
      </c>
      <c r="D116" s="19">
        <v>500000</v>
      </c>
      <c r="E116" s="19">
        <v>66650</v>
      </c>
      <c r="F116" s="19">
        <v>566650</v>
      </c>
      <c r="G116" s="159">
        <v>50</v>
      </c>
      <c r="H116" s="315">
        <v>11333</v>
      </c>
      <c r="I116" s="97">
        <v>28</v>
      </c>
      <c r="J116" s="97">
        <f t="shared" si="16"/>
        <v>22</v>
      </c>
      <c r="K116" s="91">
        <f t="shared" si="14"/>
        <v>317324</v>
      </c>
      <c r="L116" s="91">
        <f t="shared" si="17"/>
        <v>249326</v>
      </c>
      <c r="M116" s="11"/>
      <c r="N116" s="180" t="e">
        <f>#REF!-H115</f>
        <v>#REF!</v>
      </c>
    </row>
    <row r="117" spans="1:15" s="114" customFormat="1">
      <c r="A117" s="96">
        <v>112</v>
      </c>
      <c r="B117" s="296" t="s">
        <v>730</v>
      </c>
      <c r="C117" s="11" t="s">
        <v>731</v>
      </c>
      <c r="D117" s="16">
        <v>500000</v>
      </c>
      <c r="E117" s="16">
        <v>66650</v>
      </c>
      <c r="F117" s="41">
        <f t="shared" ref="F117:F123" si="19">SUM(D117:E117)</f>
        <v>566650</v>
      </c>
      <c r="G117" s="240">
        <v>50</v>
      </c>
      <c r="H117" s="315">
        <v>11333</v>
      </c>
      <c r="I117" s="247">
        <v>18</v>
      </c>
      <c r="J117" s="159">
        <f t="shared" si="16"/>
        <v>32</v>
      </c>
      <c r="K117" s="91">
        <f t="shared" si="14"/>
        <v>203994</v>
      </c>
      <c r="L117" s="94">
        <f t="shared" si="17"/>
        <v>362656</v>
      </c>
      <c r="M117" s="11"/>
      <c r="N117" s="180" t="e">
        <f>#REF!-#REF!</f>
        <v>#REF!</v>
      </c>
    </row>
    <row r="118" spans="1:15" s="114" customFormat="1">
      <c r="A118" s="96">
        <v>113</v>
      </c>
      <c r="B118" s="293" t="s">
        <v>888</v>
      </c>
      <c r="C118" s="123" t="s">
        <v>910</v>
      </c>
      <c r="D118" s="16">
        <v>500000</v>
      </c>
      <c r="E118" s="16">
        <v>66650</v>
      </c>
      <c r="F118" s="41">
        <f t="shared" si="19"/>
        <v>566650</v>
      </c>
      <c r="G118" s="159">
        <v>50</v>
      </c>
      <c r="H118" s="314">
        <v>11333</v>
      </c>
      <c r="I118" s="159">
        <v>11</v>
      </c>
      <c r="J118" s="159">
        <f t="shared" si="16"/>
        <v>39</v>
      </c>
      <c r="K118" s="16">
        <f t="shared" si="14"/>
        <v>124663</v>
      </c>
      <c r="L118" s="94">
        <f t="shared" si="17"/>
        <v>441987</v>
      </c>
      <c r="M118" s="11"/>
      <c r="N118"/>
    </row>
    <row r="119" spans="1:15" s="114" customFormat="1">
      <c r="A119" s="96">
        <v>114</v>
      </c>
      <c r="B119" s="292" t="s">
        <v>949</v>
      </c>
      <c r="C119" s="11" t="s">
        <v>950</v>
      </c>
      <c r="D119" s="16">
        <v>500000</v>
      </c>
      <c r="E119" s="16">
        <v>66650</v>
      </c>
      <c r="F119" s="41">
        <f t="shared" si="19"/>
        <v>566650</v>
      </c>
      <c r="G119" s="159">
        <v>50</v>
      </c>
      <c r="H119" s="315">
        <v>11333</v>
      </c>
      <c r="I119" s="97">
        <v>41</v>
      </c>
      <c r="J119" s="97">
        <f t="shared" si="16"/>
        <v>9</v>
      </c>
      <c r="K119" s="91">
        <f t="shared" si="14"/>
        <v>464653</v>
      </c>
      <c r="L119" s="94">
        <f t="shared" si="17"/>
        <v>101997</v>
      </c>
      <c r="M119" s="11"/>
    </row>
    <row r="120" spans="1:15" s="114" customFormat="1">
      <c r="A120" s="96">
        <v>115</v>
      </c>
      <c r="B120" s="292" t="s">
        <v>711</v>
      </c>
      <c r="C120" s="11" t="s">
        <v>712</v>
      </c>
      <c r="D120" s="16">
        <v>500000</v>
      </c>
      <c r="E120" s="16">
        <v>66650</v>
      </c>
      <c r="F120" s="41">
        <f t="shared" si="19"/>
        <v>566650</v>
      </c>
      <c r="G120" s="159">
        <v>50</v>
      </c>
      <c r="H120" s="315">
        <v>11333</v>
      </c>
      <c r="I120" s="97">
        <v>41</v>
      </c>
      <c r="J120" s="97">
        <f t="shared" si="16"/>
        <v>9</v>
      </c>
      <c r="K120" s="91">
        <f t="shared" si="14"/>
        <v>464653</v>
      </c>
      <c r="L120" s="94">
        <f t="shared" si="17"/>
        <v>101997</v>
      </c>
      <c r="M120" s="11"/>
    </row>
    <row r="121" spans="1:15" s="114" customFormat="1">
      <c r="A121" s="96">
        <v>116</v>
      </c>
      <c r="B121" s="292" t="s">
        <v>585</v>
      </c>
      <c r="C121" s="11" t="s">
        <v>586</v>
      </c>
      <c r="D121" s="161">
        <v>500000</v>
      </c>
      <c r="E121" s="161">
        <v>66650</v>
      </c>
      <c r="F121" s="162">
        <f t="shared" si="19"/>
        <v>566650</v>
      </c>
      <c r="G121" s="96">
        <v>50</v>
      </c>
      <c r="H121" s="315">
        <v>11333</v>
      </c>
      <c r="I121" s="97">
        <v>42</v>
      </c>
      <c r="J121" s="97">
        <f t="shared" si="16"/>
        <v>8</v>
      </c>
      <c r="K121" s="146">
        <f t="shared" si="14"/>
        <v>475986</v>
      </c>
      <c r="L121" s="164">
        <f t="shared" si="17"/>
        <v>90664</v>
      </c>
      <c r="M121" s="123"/>
    </row>
    <row r="122" spans="1:15" s="114" customFormat="1">
      <c r="A122" s="96">
        <v>117</v>
      </c>
      <c r="B122" s="292" t="s">
        <v>655</v>
      </c>
      <c r="C122" s="11" t="s">
        <v>656</v>
      </c>
      <c r="D122" s="16">
        <v>450000</v>
      </c>
      <c r="E122" s="16">
        <v>59985</v>
      </c>
      <c r="F122" s="41">
        <f t="shared" si="19"/>
        <v>509985</v>
      </c>
      <c r="G122" s="159">
        <v>50</v>
      </c>
      <c r="H122" s="315">
        <v>10199.700000000001</v>
      </c>
      <c r="I122" s="97">
        <v>42</v>
      </c>
      <c r="J122" s="97">
        <f t="shared" si="16"/>
        <v>8</v>
      </c>
      <c r="K122" s="91">
        <f t="shared" si="14"/>
        <v>428387.4</v>
      </c>
      <c r="L122" s="94">
        <f t="shared" si="17"/>
        <v>81597.599999999977</v>
      </c>
      <c r="M122" s="11"/>
      <c r="N122" s="180" t="e">
        <f>#REF!-H120</f>
        <v>#REF!</v>
      </c>
    </row>
    <row r="123" spans="1:15" s="114" customFormat="1">
      <c r="A123" s="96">
        <v>118</v>
      </c>
      <c r="B123" s="295" t="s">
        <v>939</v>
      </c>
      <c r="C123" s="8" t="s">
        <v>940</v>
      </c>
      <c r="D123" s="19">
        <v>330000</v>
      </c>
      <c r="E123" s="19">
        <v>43989</v>
      </c>
      <c r="F123" s="19">
        <f t="shared" si="19"/>
        <v>373989</v>
      </c>
      <c r="G123" s="159">
        <v>50</v>
      </c>
      <c r="H123" s="316">
        <v>7479.78</v>
      </c>
      <c r="I123" s="159">
        <v>8</v>
      </c>
      <c r="J123" s="159">
        <f t="shared" si="16"/>
        <v>42</v>
      </c>
      <c r="K123" s="16">
        <f t="shared" si="14"/>
        <v>59838.239999999998</v>
      </c>
      <c r="L123" s="94">
        <f t="shared" si="17"/>
        <v>314150.76</v>
      </c>
      <c r="M123" s="8"/>
      <c r="N123"/>
    </row>
    <row r="124" spans="1:15" s="114" customFormat="1">
      <c r="A124" s="96">
        <v>119</v>
      </c>
      <c r="B124" s="293" t="s">
        <v>1215</v>
      </c>
      <c r="C124" s="11" t="s">
        <v>1216</v>
      </c>
      <c r="D124" s="16">
        <v>450000</v>
      </c>
      <c r="E124" s="16">
        <v>59985</v>
      </c>
      <c r="F124" s="16">
        <v>509985</v>
      </c>
      <c r="G124" s="159">
        <v>50</v>
      </c>
      <c r="H124" s="314">
        <v>10199.700000000001</v>
      </c>
      <c r="I124" s="96">
        <v>4</v>
      </c>
      <c r="J124" s="97">
        <f t="shared" si="16"/>
        <v>46</v>
      </c>
      <c r="K124" s="91">
        <f t="shared" si="14"/>
        <v>40798.800000000003</v>
      </c>
      <c r="L124" s="94">
        <f t="shared" si="17"/>
        <v>469186.2</v>
      </c>
      <c r="M124" s="11"/>
      <c r="N124" s="180" t="e">
        <f>#REF!-H122</f>
        <v>#REF!</v>
      </c>
      <c r="O124" s="120"/>
    </row>
    <row r="125" spans="1:15" s="114" customFormat="1">
      <c r="A125" s="96">
        <v>120</v>
      </c>
      <c r="B125" s="292" t="s">
        <v>581</v>
      </c>
      <c r="C125" s="11" t="s">
        <v>582</v>
      </c>
      <c r="D125" s="16">
        <v>330000</v>
      </c>
      <c r="E125" s="16">
        <v>43989</v>
      </c>
      <c r="F125" s="41">
        <f>SUM(D125:E125)</f>
        <v>373989</v>
      </c>
      <c r="G125" s="159">
        <v>50</v>
      </c>
      <c r="H125" s="315">
        <v>7479.78</v>
      </c>
      <c r="I125" s="97">
        <v>50</v>
      </c>
      <c r="J125" s="97">
        <f t="shared" si="16"/>
        <v>0</v>
      </c>
      <c r="K125" s="91">
        <f t="shared" si="14"/>
        <v>373989</v>
      </c>
      <c r="L125" s="94">
        <f t="shared" si="17"/>
        <v>0</v>
      </c>
      <c r="M125" s="11"/>
      <c r="N125" s="180" t="e">
        <f>#REF!-H123</f>
        <v>#REF!</v>
      </c>
    </row>
    <row r="126" spans="1:15" s="114" customFormat="1">
      <c r="A126" s="96">
        <v>121</v>
      </c>
      <c r="B126" s="293" t="s">
        <v>602</v>
      </c>
      <c r="C126" s="11" t="s">
        <v>603</v>
      </c>
      <c r="D126" s="19">
        <v>330000</v>
      </c>
      <c r="E126" s="19">
        <v>43989</v>
      </c>
      <c r="F126" s="19">
        <f>SUM(D126:E126)</f>
        <v>373989</v>
      </c>
      <c r="G126" s="159">
        <v>50</v>
      </c>
      <c r="H126" s="314">
        <v>7479.78</v>
      </c>
      <c r="I126" s="96">
        <v>4</v>
      </c>
      <c r="J126" s="97">
        <f t="shared" si="16"/>
        <v>46</v>
      </c>
      <c r="K126" s="91">
        <f t="shared" si="14"/>
        <v>29919.119999999999</v>
      </c>
      <c r="L126" s="94">
        <f t="shared" si="17"/>
        <v>344069.88</v>
      </c>
      <c r="M126" s="11"/>
      <c r="N126" s="180" t="e">
        <f>#REF!-H124</f>
        <v>#REF!</v>
      </c>
    </row>
    <row r="127" spans="1:15" s="114" customFormat="1">
      <c r="A127" s="96">
        <v>122</v>
      </c>
      <c r="B127" s="292" t="s">
        <v>548</v>
      </c>
      <c r="C127" s="11" t="s">
        <v>549</v>
      </c>
      <c r="D127" s="12">
        <v>330000</v>
      </c>
      <c r="E127" s="12">
        <v>43989</v>
      </c>
      <c r="F127" s="15">
        <f>SUM(D127:E127)</f>
        <v>373989</v>
      </c>
      <c r="G127" s="14">
        <v>50</v>
      </c>
      <c r="H127" s="280">
        <v>7479.78</v>
      </c>
      <c r="I127" s="14">
        <v>47</v>
      </c>
      <c r="J127" s="97">
        <f t="shared" si="16"/>
        <v>3</v>
      </c>
      <c r="K127" s="91">
        <f t="shared" si="14"/>
        <v>351549.66</v>
      </c>
      <c r="L127" s="15">
        <f t="shared" si="17"/>
        <v>22439.340000000026</v>
      </c>
      <c r="M127" s="8"/>
      <c r="N127" s="180" t="e">
        <f>#REF!-H125</f>
        <v>#REF!</v>
      </c>
    </row>
    <row r="128" spans="1:15" s="114" customFormat="1">
      <c r="A128" s="96">
        <v>123</v>
      </c>
      <c r="B128" s="293" t="s">
        <v>900</v>
      </c>
      <c r="C128" s="123" t="s">
        <v>923</v>
      </c>
      <c r="D128" s="19">
        <v>330000</v>
      </c>
      <c r="E128" s="19">
        <v>43989</v>
      </c>
      <c r="F128" s="19">
        <f>SUM(D128:E128)</f>
        <v>373989</v>
      </c>
      <c r="G128" s="159">
        <v>50</v>
      </c>
      <c r="H128" s="314">
        <v>7479.78</v>
      </c>
      <c r="I128" s="159">
        <v>46</v>
      </c>
      <c r="J128" s="159">
        <f t="shared" si="16"/>
        <v>4</v>
      </c>
      <c r="K128" s="16">
        <f t="shared" si="14"/>
        <v>344069.88</v>
      </c>
      <c r="L128" s="94">
        <f t="shared" si="17"/>
        <v>29919.119999999995</v>
      </c>
      <c r="M128" s="11"/>
      <c r="N128" s="180" t="e">
        <f>#REF!-H126</f>
        <v>#REF!</v>
      </c>
    </row>
    <row r="129" spans="1:14" s="114" customFormat="1">
      <c r="A129" s="96">
        <v>124</v>
      </c>
      <c r="B129" s="293" t="s">
        <v>1219</v>
      </c>
      <c r="C129" s="11" t="s">
        <v>1220</v>
      </c>
      <c r="D129" s="19">
        <v>330000</v>
      </c>
      <c r="E129" s="19">
        <v>43989</v>
      </c>
      <c r="F129" s="19">
        <f>SUM(D129:E129)</f>
        <v>373989</v>
      </c>
      <c r="G129" s="159">
        <v>50</v>
      </c>
      <c r="H129" s="314">
        <v>7479.78</v>
      </c>
      <c r="I129" s="96">
        <v>4</v>
      </c>
      <c r="J129" s="97">
        <f t="shared" si="16"/>
        <v>46</v>
      </c>
      <c r="K129" s="91">
        <f t="shared" si="14"/>
        <v>29919.119999999999</v>
      </c>
      <c r="L129" s="94">
        <f t="shared" si="17"/>
        <v>344069.88</v>
      </c>
      <c r="M129" s="11"/>
      <c r="N129" s="180" t="e">
        <f>#REF!-H127</f>
        <v>#REF!</v>
      </c>
    </row>
    <row r="130" spans="1:14" s="114" customFormat="1">
      <c r="A130" s="96">
        <v>125</v>
      </c>
      <c r="B130" s="293" t="s">
        <v>1156</v>
      </c>
      <c r="C130" s="11" t="s">
        <v>1157</v>
      </c>
      <c r="D130" s="19"/>
      <c r="E130" s="19"/>
      <c r="F130" s="19">
        <v>200000</v>
      </c>
      <c r="G130" s="159">
        <v>50</v>
      </c>
      <c r="H130" s="314">
        <v>5099.8500000000004</v>
      </c>
      <c r="I130" s="96">
        <v>4</v>
      </c>
      <c r="J130" s="97">
        <f t="shared" si="16"/>
        <v>46</v>
      </c>
      <c r="K130" s="91">
        <f t="shared" si="14"/>
        <v>20399.400000000001</v>
      </c>
      <c r="L130" s="94">
        <f t="shared" si="17"/>
        <v>179600.6</v>
      </c>
      <c r="M130" s="11"/>
      <c r="N130" s="180"/>
    </row>
    <row r="131" spans="1:14" s="114" customFormat="1">
      <c r="A131" s="96">
        <v>126</v>
      </c>
      <c r="B131" s="292" t="s">
        <v>696</v>
      </c>
      <c r="C131" s="11" t="s">
        <v>697</v>
      </c>
      <c r="D131" s="16">
        <v>500000</v>
      </c>
      <c r="E131" s="16">
        <v>66650</v>
      </c>
      <c r="F131" s="41">
        <f>SUM(D131:E131)</f>
        <v>566650</v>
      </c>
      <c r="G131" s="159">
        <v>50</v>
      </c>
      <c r="H131" s="315">
        <v>11333</v>
      </c>
      <c r="I131" s="96">
        <v>50</v>
      </c>
      <c r="J131" s="96">
        <f t="shared" si="16"/>
        <v>0</v>
      </c>
      <c r="K131" s="16">
        <f t="shared" si="14"/>
        <v>566650</v>
      </c>
      <c r="L131" s="41">
        <f t="shared" si="17"/>
        <v>0</v>
      </c>
      <c r="M131" s="11"/>
      <c r="N131" s="180"/>
    </row>
    <row r="132" spans="1:14" s="114" customFormat="1">
      <c r="A132" s="96">
        <v>127</v>
      </c>
      <c r="B132" s="293" t="s">
        <v>1225</v>
      </c>
      <c r="C132" s="11" t="s">
        <v>1226</v>
      </c>
      <c r="D132" s="16">
        <v>500000</v>
      </c>
      <c r="E132" s="16">
        <v>66650</v>
      </c>
      <c r="F132" s="41">
        <f>SUM(D132:E132)</f>
        <v>566650</v>
      </c>
      <c r="G132" s="159">
        <v>50</v>
      </c>
      <c r="H132" s="314">
        <v>11333</v>
      </c>
      <c r="I132" s="96">
        <v>4</v>
      </c>
      <c r="J132" s="97">
        <f t="shared" si="16"/>
        <v>46</v>
      </c>
      <c r="K132" s="91">
        <f t="shared" si="14"/>
        <v>45332</v>
      </c>
      <c r="L132" s="94">
        <f t="shared" si="17"/>
        <v>521318</v>
      </c>
      <c r="M132" s="11"/>
      <c r="N132" s="180"/>
    </row>
    <row r="133" spans="1:14" s="114" customFormat="1">
      <c r="A133" s="96">
        <v>128</v>
      </c>
      <c r="B133" s="292" t="s">
        <v>516</v>
      </c>
      <c r="C133" s="11" t="s">
        <v>517</v>
      </c>
      <c r="D133" s="16">
        <v>500000</v>
      </c>
      <c r="E133" s="16">
        <v>66650</v>
      </c>
      <c r="F133" s="41">
        <f>SUM(D133:E133)</f>
        <v>566650</v>
      </c>
      <c r="G133" s="159">
        <v>50</v>
      </c>
      <c r="H133" s="280">
        <v>11333</v>
      </c>
      <c r="I133" s="97">
        <v>42</v>
      </c>
      <c r="J133" s="97">
        <f t="shared" si="16"/>
        <v>8</v>
      </c>
      <c r="K133" s="91">
        <f t="shared" si="14"/>
        <v>475986</v>
      </c>
      <c r="L133" s="94">
        <f t="shared" si="17"/>
        <v>90664</v>
      </c>
      <c r="M133" s="11"/>
      <c r="N133" s="180"/>
    </row>
    <row r="134" spans="1:14" s="114" customFormat="1">
      <c r="A134" s="96">
        <v>129</v>
      </c>
      <c r="B134" s="294" t="s">
        <v>606</v>
      </c>
      <c r="C134" s="123" t="s">
        <v>952</v>
      </c>
      <c r="D134" s="19">
        <v>150000</v>
      </c>
      <c r="E134" s="19">
        <v>19995</v>
      </c>
      <c r="F134" s="19">
        <f>SUM(D134:E134)</f>
        <v>169995</v>
      </c>
      <c r="G134" s="159">
        <v>50</v>
      </c>
      <c r="H134" s="314">
        <v>3399.9</v>
      </c>
      <c r="I134" s="159">
        <v>9</v>
      </c>
      <c r="J134" s="97">
        <f t="shared" ref="J134:J143" si="20">G134-I134</f>
        <v>41</v>
      </c>
      <c r="K134" s="91">
        <f t="shared" si="14"/>
        <v>30599.100000000002</v>
      </c>
      <c r="L134" s="94">
        <f t="shared" ref="L134:L143" si="21">F134-K134</f>
        <v>139395.9</v>
      </c>
      <c r="M134" s="11"/>
      <c r="N134" s="180"/>
    </row>
    <row r="135" spans="1:14" s="114" customFormat="1">
      <c r="A135" s="96">
        <v>130</v>
      </c>
      <c r="B135" s="292" t="s">
        <v>572</v>
      </c>
      <c r="C135" s="11" t="s">
        <v>573</v>
      </c>
      <c r="D135" s="12">
        <v>150000</v>
      </c>
      <c r="E135" s="12">
        <v>19995</v>
      </c>
      <c r="F135" s="15">
        <f>SUM(D135:E135)</f>
        <v>169995</v>
      </c>
      <c r="G135" s="14">
        <v>50</v>
      </c>
      <c r="H135" s="315">
        <v>3399.9</v>
      </c>
      <c r="I135" s="14">
        <v>47</v>
      </c>
      <c r="J135" s="97">
        <f t="shared" si="20"/>
        <v>3</v>
      </c>
      <c r="K135" s="91">
        <f t="shared" si="14"/>
        <v>159795.30000000002</v>
      </c>
      <c r="L135" s="15">
        <f t="shared" si="21"/>
        <v>10199.699999999983</v>
      </c>
      <c r="M135" s="8"/>
      <c r="N135" s="180"/>
    </row>
    <row r="136" spans="1:14" s="114" customFormat="1">
      <c r="A136" s="96">
        <v>131</v>
      </c>
      <c r="B136" s="292" t="s">
        <v>649</v>
      </c>
      <c r="C136" s="11" t="s">
        <v>650</v>
      </c>
      <c r="D136" s="16">
        <v>450000</v>
      </c>
      <c r="E136" s="16">
        <v>59985</v>
      </c>
      <c r="F136" s="16">
        <v>509985</v>
      </c>
      <c r="G136" s="159">
        <v>50</v>
      </c>
      <c r="H136" s="315">
        <v>10199.700000000001</v>
      </c>
      <c r="I136" s="97">
        <v>27</v>
      </c>
      <c r="J136" s="97">
        <f t="shared" si="20"/>
        <v>23</v>
      </c>
      <c r="K136" s="91">
        <f t="shared" si="14"/>
        <v>275391.90000000002</v>
      </c>
      <c r="L136" s="91">
        <f t="shared" si="21"/>
        <v>234593.09999999998</v>
      </c>
      <c r="M136" s="11"/>
      <c r="N136" s="180"/>
    </row>
    <row r="137" spans="1:14" s="114" customFormat="1">
      <c r="A137" s="96">
        <v>132</v>
      </c>
      <c r="B137" s="293" t="s">
        <v>890</v>
      </c>
      <c r="C137" s="123" t="s">
        <v>912</v>
      </c>
      <c r="D137" s="16">
        <v>500000</v>
      </c>
      <c r="E137" s="16">
        <v>66650</v>
      </c>
      <c r="F137" s="41">
        <f>SUM(D137:E137)</f>
        <v>566650</v>
      </c>
      <c r="G137" s="159">
        <v>50</v>
      </c>
      <c r="H137" s="314">
        <v>11333</v>
      </c>
      <c r="I137" s="159">
        <v>11</v>
      </c>
      <c r="J137" s="159">
        <f t="shared" si="20"/>
        <v>39</v>
      </c>
      <c r="K137" s="16">
        <f t="shared" si="14"/>
        <v>124663</v>
      </c>
      <c r="L137" s="94">
        <f t="shared" si="21"/>
        <v>441987</v>
      </c>
      <c r="M137" s="11"/>
      <c r="N137" s="180"/>
    </row>
    <row r="138" spans="1:14" s="114" customFormat="1">
      <c r="A138" s="96">
        <v>133</v>
      </c>
      <c r="B138" s="292" t="s">
        <v>609</v>
      </c>
      <c r="C138" s="11" t="s">
        <v>610</v>
      </c>
      <c r="D138" s="16">
        <v>500000</v>
      </c>
      <c r="E138" s="16">
        <v>66650</v>
      </c>
      <c r="F138" s="41">
        <f>SUM(D138:E138)</f>
        <v>566650</v>
      </c>
      <c r="G138" s="159">
        <v>50</v>
      </c>
      <c r="H138" s="315">
        <v>11333</v>
      </c>
      <c r="I138" s="97">
        <v>41</v>
      </c>
      <c r="J138" s="97">
        <f t="shared" si="20"/>
        <v>9</v>
      </c>
      <c r="K138" s="91">
        <f t="shared" si="14"/>
        <v>464653</v>
      </c>
      <c r="L138" s="94">
        <f t="shared" si="21"/>
        <v>101997</v>
      </c>
      <c r="M138" s="11"/>
      <c r="N138" s="180"/>
    </row>
    <row r="139" spans="1:14" s="114" customFormat="1">
      <c r="A139" s="96">
        <v>134</v>
      </c>
      <c r="B139" s="293" t="s">
        <v>1241</v>
      </c>
      <c r="C139" s="123" t="s">
        <v>1242</v>
      </c>
      <c r="D139" s="19">
        <v>450000</v>
      </c>
      <c r="E139" s="19">
        <v>59985</v>
      </c>
      <c r="F139" s="19">
        <v>509985</v>
      </c>
      <c r="G139" s="159">
        <v>50</v>
      </c>
      <c r="H139" s="314">
        <v>10199.700000000001</v>
      </c>
      <c r="I139" s="159">
        <v>3</v>
      </c>
      <c r="J139" s="159">
        <f t="shared" si="20"/>
        <v>47</v>
      </c>
      <c r="K139" s="16">
        <f t="shared" si="14"/>
        <v>30599.100000000002</v>
      </c>
      <c r="L139" s="94">
        <f t="shared" si="21"/>
        <v>479385.9</v>
      </c>
      <c r="M139" s="11"/>
      <c r="N139" s="180"/>
    </row>
    <row r="140" spans="1:14" s="114" customFormat="1">
      <c r="A140" s="96">
        <v>135</v>
      </c>
      <c r="B140" s="292" t="s">
        <v>524</v>
      </c>
      <c r="C140" s="11" t="s">
        <v>525</v>
      </c>
      <c r="D140" s="19">
        <v>330000</v>
      </c>
      <c r="E140" s="19">
        <v>43989</v>
      </c>
      <c r="F140" s="19">
        <f>SUM(D140:E140)</f>
        <v>373989</v>
      </c>
      <c r="G140" s="159">
        <v>50</v>
      </c>
      <c r="H140" s="280">
        <v>7479.78</v>
      </c>
      <c r="I140" s="159">
        <v>16</v>
      </c>
      <c r="J140" s="97">
        <f t="shared" si="20"/>
        <v>34</v>
      </c>
      <c r="K140" s="91">
        <f t="shared" si="14"/>
        <v>119676.48</v>
      </c>
      <c r="L140" s="94">
        <f t="shared" si="21"/>
        <v>254312.52000000002</v>
      </c>
      <c r="M140" s="11"/>
      <c r="N140" s="180"/>
    </row>
    <row r="141" spans="1:14" s="114" customFormat="1">
      <c r="A141" s="96">
        <v>136</v>
      </c>
      <c r="B141" s="292" t="s">
        <v>576</v>
      </c>
      <c r="C141" s="11" t="s">
        <v>927</v>
      </c>
      <c r="D141" s="16">
        <v>60000</v>
      </c>
      <c r="E141" s="16">
        <v>7998</v>
      </c>
      <c r="F141" s="41">
        <f>SUM(D141:E141)</f>
        <v>67998</v>
      </c>
      <c r="G141" s="159">
        <v>40</v>
      </c>
      <c r="H141" s="315">
        <v>1699.95</v>
      </c>
      <c r="I141" s="97">
        <v>17</v>
      </c>
      <c r="J141" s="97">
        <f t="shared" si="20"/>
        <v>23</v>
      </c>
      <c r="K141" s="91">
        <f t="shared" si="14"/>
        <v>28899.15</v>
      </c>
      <c r="L141" s="94">
        <f t="shared" si="21"/>
        <v>39098.85</v>
      </c>
      <c r="M141" s="11"/>
      <c r="N141" s="180"/>
    </row>
    <row r="142" spans="1:14" s="114" customFormat="1">
      <c r="A142" s="96">
        <v>137</v>
      </c>
      <c r="B142" s="293" t="s">
        <v>653</v>
      </c>
      <c r="C142" s="11" t="s">
        <v>654</v>
      </c>
      <c r="D142" s="19">
        <v>330000</v>
      </c>
      <c r="E142" s="19">
        <v>43989</v>
      </c>
      <c r="F142" s="19">
        <f>SUM(D142:E142)</f>
        <v>373989</v>
      </c>
      <c r="G142" s="159">
        <v>50</v>
      </c>
      <c r="H142" s="314">
        <v>7479.78</v>
      </c>
      <c r="I142" s="96">
        <v>34</v>
      </c>
      <c r="J142" s="97">
        <f t="shared" si="20"/>
        <v>16</v>
      </c>
      <c r="K142" s="91">
        <f t="shared" si="14"/>
        <v>254312.52</v>
      </c>
      <c r="L142" s="94">
        <f t="shared" si="21"/>
        <v>119676.48000000001</v>
      </c>
      <c r="M142" s="11"/>
      <c r="N142" s="180"/>
    </row>
    <row r="143" spans="1:14" s="114" customFormat="1" ht="12.75" customHeight="1">
      <c r="A143" s="96">
        <v>138</v>
      </c>
      <c r="B143" s="293" t="s">
        <v>1160</v>
      </c>
      <c r="C143" s="123" t="s">
        <v>1161</v>
      </c>
      <c r="D143" s="19">
        <v>450000</v>
      </c>
      <c r="E143" s="19">
        <v>59985</v>
      </c>
      <c r="F143" s="19">
        <v>509985</v>
      </c>
      <c r="G143" s="159">
        <v>50</v>
      </c>
      <c r="H143" s="314">
        <v>10199.700000000001</v>
      </c>
      <c r="I143" s="159">
        <v>3</v>
      </c>
      <c r="J143" s="159">
        <f t="shared" si="20"/>
        <v>47</v>
      </c>
      <c r="K143" s="16">
        <f t="shared" si="14"/>
        <v>30599.100000000002</v>
      </c>
      <c r="L143" s="94">
        <f t="shared" si="21"/>
        <v>479385.9</v>
      </c>
      <c r="M143" s="11"/>
      <c r="N143" s="180"/>
    </row>
    <row r="144" spans="1:14" s="114" customFormat="1" ht="12.75" customHeight="1">
      <c r="A144" s="96">
        <v>139</v>
      </c>
      <c r="B144" s="122" t="s">
        <v>1253</v>
      </c>
      <c r="C144" s="122" t="s">
        <v>1254</v>
      </c>
      <c r="D144" s="16">
        <v>500000</v>
      </c>
      <c r="E144" s="16">
        <v>66650</v>
      </c>
      <c r="F144" s="41">
        <f t="shared" ref="F144:F150" si="22">SUM(D144:E144)</f>
        <v>566650</v>
      </c>
      <c r="G144" s="159">
        <v>50</v>
      </c>
      <c r="H144" s="321">
        <v>11333</v>
      </c>
      <c r="I144" s="188">
        <v>1</v>
      </c>
      <c r="J144" s="159">
        <f t="shared" ref="J144:J151" si="23">G144-I144</f>
        <v>49</v>
      </c>
      <c r="K144" s="16">
        <f t="shared" ref="K144:K151" si="24">I144*H144</f>
        <v>11333</v>
      </c>
      <c r="L144" s="94">
        <f t="shared" ref="L144:L151" si="25">F144-K144</f>
        <v>555317</v>
      </c>
      <c r="M144" s="122"/>
      <c r="N144" s="180"/>
    </row>
    <row r="145" spans="1:14" s="114" customFormat="1">
      <c r="A145" s="96">
        <v>140</v>
      </c>
      <c r="B145" s="122" t="s">
        <v>1227</v>
      </c>
      <c r="C145" s="122" t="s">
        <v>1228</v>
      </c>
      <c r="D145" s="16">
        <v>500000</v>
      </c>
      <c r="E145" s="16">
        <v>66650</v>
      </c>
      <c r="F145" s="41">
        <f t="shared" si="22"/>
        <v>566650</v>
      </c>
      <c r="G145" s="159">
        <v>50</v>
      </c>
      <c r="H145" s="321">
        <v>11333</v>
      </c>
      <c r="I145" s="188">
        <v>1</v>
      </c>
      <c r="J145" s="159">
        <f t="shared" si="23"/>
        <v>49</v>
      </c>
      <c r="K145" s="16">
        <f t="shared" si="24"/>
        <v>11333</v>
      </c>
      <c r="L145" s="94">
        <f t="shared" si="25"/>
        <v>555317</v>
      </c>
      <c r="M145" s="122"/>
      <c r="N145" s="180"/>
    </row>
    <row r="146" spans="1:14" s="114" customFormat="1" ht="13.5" customHeight="1">
      <c r="A146" s="96">
        <v>141</v>
      </c>
      <c r="B146" s="122" t="s">
        <v>1174</v>
      </c>
      <c r="C146" s="122" t="s">
        <v>1175</v>
      </c>
      <c r="D146" s="16">
        <v>500000</v>
      </c>
      <c r="E146" s="16">
        <v>66650</v>
      </c>
      <c r="F146" s="41">
        <f t="shared" si="22"/>
        <v>566650</v>
      </c>
      <c r="G146" s="159">
        <v>50</v>
      </c>
      <c r="H146" s="321">
        <v>11333</v>
      </c>
      <c r="I146" s="188">
        <v>1</v>
      </c>
      <c r="J146" s="159">
        <f t="shared" si="23"/>
        <v>49</v>
      </c>
      <c r="K146" s="16">
        <f t="shared" si="24"/>
        <v>11333</v>
      </c>
      <c r="L146" s="94">
        <f t="shared" si="25"/>
        <v>555317</v>
      </c>
      <c r="M146" s="122"/>
      <c r="N146" s="180"/>
    </row>
    <row r="147" spans="1:14" s="114" customFormat="1" ht="12.75" customHeight="1">
      <c r="A147" s="96">
        <v>142</v>
      </c>
      <c r="B147" s="122" t="s">
        <v>1194</v>
      </c>
      <c r="C147" s="122" t="s">
        <v>1195</v>
      </c>
      <c r="D147" s="16">
        <v>500000</v>
      </c>
      <c r="E147" s="16">
        <v>66650</v>
      </c>
      <c r="F147" s="41">
        <f t="shared" si="22"/>
        <v>566650</v>
      </c>
      <c r="G147" s="159">
        <v>50</v>
      </c>
      <c r="H147" s="321">
        <v>11333</v>
      </c>
      <c r="I147" s="188">
        <v>1</v>
      </c>
      <c r="J147" s="159">
        <f t="shared" si="23"/>
        <v>49</v>
      </c>
      <c r="K147" s="16">
        <f t="shared" si="24"/>
        <v>11333</v>
      </c>
      <c r="L147" s="94">
        <f t="shared" si="25"/>
        <v>555317</v>
      </c>
      <c r="M147" s="122"/>
      <c r="N147" s="180"/>
    </row>
    <row r="148" spans="1:14" s="114" customFormat="1" ht="12.75" customHeight="1">
      <c r="A148" s="96">
        <v>143</v>
      </c>
      <c r="B148" s="122" t="s">
        <v>1176</v>
      </c>
      <c r="C148" s="122" t="s">
        <v>1177</v>
      </c>
      <c r="D148" s="16">
        <v>500000</v>
      </c>
      <c r="E148" s="16">
        <v>66650</v>
      </c>
      <c r="F148" s="41">
        <f t="shared" si="22"/>
        <v>566650</v>
      </c>
      <c r="G148" s="159">
        <v>50</v>
      </c>
      <c r="H148" s="321">
        <v>11333</v>
      </c>
      <c r="I148" s="188">
        <v>1</v>
      </c>
      <c r="J148" s="159">
        <f t="shared" si="23"/>
        <v>49</v>
      </c>
      <c r="K148" s="16">
        <f t="shared" si="24"/>
        <v>11333</v>
      </c>
      <c r="L148" s="94">
        <f t="shared" si="25"/>
        <v>555317</v>
      </c>
      <c r="M148" s="122"/>
      <c r="N148" s="180"/>
    </row>
    <row r="149" spans="1:14" s="114" customFormat="1">
      <c r="A149" s="96">
        <v>144</v>
      </c>
      <c r="B149" s="295" t="s">
        <v>1233</v>
      </c>
      <c r="C149" s="8" t="s">
        <v>1234</v>
      </c>
      <c r="D149" s="16">
        <v>500000</v>
      </c>
      <c r="E149" s="16">
        <v>66650</v>
      </c>
      <c r="F149" s="41">
        <f t="shared" si="22"/>
        <v>566650</v>
      </c>
      <c r="G149" s="159">
        <v>50</v>
      </c>
      <c r="H149" s="322">
        <v>11333</v>
      </c>
      <c r="I149" s="323">
        <v>1</v>
      </c>
      <c r="J149" s="159">
        <f t="shared" si="23"/>
        <v>49</v>
      </c>
      <c r="K149" s="16">
        <f t="shared" si="24"/>
        <v>11333</v>
      </c>
      <c r="L149" s="94">
        <f t="shared" si="25"/>
        <v>555317</v>
      </c>
      <c r="M149" s="8"/>
      <c r="N149" s="180"/>
    </row>
    <row r="150" spans="1:14" s="114" customFormat="1" ht="13.5" customHeight="1">
      <c r="A150" s="96">
        <v>145</v>
      </c>
      <c r="B150" s="1" t="s">
        <v>1152</v>
      </c>
      <c r="C150" s="1" t="s">
        <v>1153</v>
      </c>
      <c r="D150" s="16">
        <v>500000</v>
      </c>
      <c r="E150" s="16">
        <v>66650</v>
      </c>
      <c r="F150" s="41">
        <f t="shared" si="22"/>
        <v>566650</v>
      </c>
      <c r="G150" s="159">
        <v>50</v>
      </c>
      <c r="H150" s="322">
        <v>11333</v>
      </c>
      <c r="I150" s="323">
        <v>1</v>
      </c>
      <c r="J150" s="159">
        <f t="shared" si="23"/>
        <v>49</v>
      </c>
      <c r="K150" s="16">
        <f t="shared" si="24"/>
        <v>11333</v>
      </c>
      <c r="L150" s="94">
        <f t="shared" si="25"/>
        <v>555317</v>
      </c>
      <c r="M150" s="8"/>
    </row>
    <row r="151" spans="1:14" s="114" customFormat="1">
      <c r="A151" s="96">
        <v>146</v>
      </c>
      <c r="B151" s="1" t="s">
        <v>1168</v>
      </c>
      <c r="C151" s="1" t="s">
        <v>1169</v>
      </c>
      <c r="D151" s="19">
        <v>330000</v>
      </c>
      <c r="E151" s="19">
        <v>43989</v>
      </c>
      <c r="F151" s="19">
        <f>SUM(D151:E151)</f>
        <v>373989</v>
      </c>
      <c r="G151" s="159">
        <v>50</v>
      </c>
      <c r="H151" s="322">
        <v>7479.78</v>
      </c>
      <c r="I151" s="323">
        <v>1</v>
      </c>
      <c r="J151" s="159">
        <f t="shared" si="23"/>
        <v>49</v>
      </c>
      <c r="K151" s="16">
        <f t="shared" si="24"/>
        <v>7479.78</v>
      </c>
      <c r="L151" s="94">
        <f t="shared" si="25"/>
        <v>366509.22</v>
      </c>
      <c r="M151" s="8"/>
    </row>
    <row r="152" spans="1:14" s="114" customFormat="1">
      <c r="A152" s="96">
        <v>147</v>
      </c>
      <c r="B152" s="293"/>
      <c r="C152" s="123" t="s">
        <v>1268</v>
      </c>
      <c r="D152" s="16">
        <v>500000</v>
      </c>
      <c r="E152" s="16">
        <v>66650</v>
      </c>
      <c r="F152" s="41">
        <f>SUM(D152:E152)</f>
        <v>566650</v>
      </c>
      <c r="G152" s="159">
        <v>50</v>
      </c>
      <c r="H152" s="317">
        <v>11749.67</v>
      </c>
      <c r="I152" s="159">
        <v>16</v>
      </c>
      <c r="J152" s="159">
        <f>G152-I152</f>
        <v>34</v>
      </c>
      <c r="K152" s="16">
        <f>I152*H152</f>
        <v>187994.72</v>
      </c>
      <c r="L152" s="94">
        <f>F152-K152</f>
        <v>378655.28</v>
      </c>
      <c r="M152" s="11"/>
    </row>
    <row r="153" spans="1:14" s="114" customFormat="1">
      <c r="A153" s="96">
        <v>148</v>
      </c>
      <c r="B153" s="293"/>
      <c r="C153" s="123" t="s">
        <v>1269</v>
      </c>
      <c r="D153" s="19">
        <v>450000</v>
      </c>
      <c r="E153" s="19">
        <v>59985</v>
      </c>
      <c r="F153" s="19">
        <v>509985</v>
      </c>
      <c r="G153" s="159">
        <v>50</v>
      </c>
      <c r="H153" s="317">
        <v>10199.700000000001</v>
      </c>
      <c r="I153" s="159">
        <v>23</v>
      </c>
      <c r="J153" s="159">
        <f>G153-I153</f>
        <v>27</v>
      </c>
      <c r="K153" s="16">
        <f>I153*H153</f>
        <v>234593.1</v>
      </c>
      <c r="L153" s="94">
        <f>F153-K153</f>
        <v>275391.90000000002</v>
      </c>
      <c r="M153" s="11"/>
    </row>
    <row r="154" spans="1:14" s="114" customFormat="1">
      <c r="A154" s="96">
        <v>149</v>
      </c>
      <c r="B154" s="293"/>
      <c r="C154" s="123" t="s">
        <v>1270</v>
      </c>
      <c r="D154" s="19">
        <v>150000</v>
      </c>
      <c r="E154" s="19">
        <v>19995</v>
      </c>
      <c r="F154" s="19">
        <f>SUM(D154:E154)</f>
        <v>169995</v>
      </c>
      <c r="G154" s="159">
        <v>50</v>
      </c>
      <c r="H154" s="317">
        <v>3399.9</v>
      </c>
      <c r="I154" s="159">
        <v>27</v>
      </c>
      <c r="J154" s="159">
        <f>G154-I154</f>
        <v>23</v>
      </c>
      <c r="K154" s="16">
        <f>I154*H154</f>
        <v>91797.3</v>
      </c>
      <c r="L154" s="94">
        <f>F154-K154</f>
        <v>78197.7</v>
      </c>
      <c r="M154" s="11"/>
    </row>
    <row r="155" spans="1:14" s="114" customFormat="1">
      <c r="A155" s="96">
        <v>150</v>
      </c>
      <c r="B155" s="293"/>
      <c r="C155" s="123" t="s">
        <v>1271</v>
      </c>
      <c r="D155" s="19">
        <v>330000</v>
      </c>
      <c r="E155" s="19">
        <v>43989</v>
      </c>
      <c r="F155" s="19">
        <f>SUM(D155:E155)</f>
        <v>373989</v>
      </c>
      <c r="G155" s="159">
        <v>50</v>
      </c>
      <c r="H155" s="317">
        <v>7479.78</v>
      </c>
      <c r="I155" s="159">
        <v>1</v>
      </c>
      <c r="J155" s="159">
        <f>G155-I155</f>
        <v>49</v>
      </c>
      <c r="K155" s="16">
        <f>I155*H155</f>
        <v>7479.78</v>
      </c>
      <c r="L155" s="94">
        <f>F155-K155</f>
        <v>366509.22</v>
      </c>
      <c r="M155" s="11"/>
    </row>
    <row r="156" spans="1:14" s="114" customFormat="1">
      <c r="A156" s="96">
        <v>151</v>
      </c>
      <c r="B156" s="293"/>
      <c r="C156" s="123" t="s">
        <v>1272</v>
      </c>
      <c r="D156" s="19">
        <v>450000</v>
      </c>
      <c r="E156" s="19">
        <v>59985</v>
      </c>
      <c r="F156" s="19">
        <v>509985</v>
      </c>
      <c r="G156" s="159">
        <v>50</v>
      </c>
      <c r="H156" s="317">
        <v>10199.700000000001</v>
      </c>
      <c r="I156" s="159">
        <v>1</v>
      </c>
      <c r="J156" s="159">
        <f>G156-I156</f>
        <v>49</v>
      </c>
      <c r="K156" s="16">
        <f>I156*H156</f>
        <v>10199.700000000001</v>
      </c>
      <c r="L156" s="94">
        <f>F156-K156</f>
        <v>499785.3</v>
      </c>
      <c r="M156" s="11"/>
    </row>
    <row r="157" spans="1:14" s="114" customFormat="1">
      <c r="A157" s="126"/>
      <c r="B157" s="295"/>
      <c r="C157" s="8"/>
      <c r="D157" s="34">
        <f>SUM(D6:D156)</f>
        <v>63440000</v>
      </c>
      <c r="E157" s="34">
        <f>SUM(E6:E156)</f>
        <v>8425577.1999999993</v>
      </c>
      <c r="F157" s="34">
        <f>SUM(F6:F156)</f>
        <v>72065577.200000003</v>
      </c>
      <c r="G157" s="34"/>
      <c r="H157" s="34">
        <f>SUM(H6:H156)</f>
        <v>1457221.22</v>
      </c>
      <c r="I157" s="34"/>
      <c r="J157" s="34"/>
      <c r="K157" s="34">
        <f>SUM(K6:K156)</f>
        <v>34598827.619999997</v>
      </c>
      <c r="L157" s="34">
        <f>SUM(L6:L156)</f>
        <v>37466749.580000006</v>
      </c>
      <c r="M157" s="8"/>
    </row>
    <row r="158" spans="1:14" s="114" customFormat="1">
      <c r="A158" s="270"/>
      <c r="B158"/>
      <c r="C158"/>
      <c r="D158" s="165"/>
      <c r="E158" s="67"/>
      <c r="F158" s="67"/>
      <c r="G158" s="67"/>
      <c r="H158" s="276"/>
      <c r="I158" s="67"/>
      <c r="J158" s="67"/>
      <c r="K158" s="67"/>
      <c r="L158" s="67"/>
      <c r="M158" s="69"/>
    </row>
    <row r="159" spans="1:14" s="114" customFormat="1">
      <c r="A159" s="270"/>
      <c r="B159"/>
      <c r="C159"/>
      <c r="D159" s="165"/>
      <c r="E159" s="67"/>
      <c r="F159" s="67"/>
      <c r="G159" s="67"/>
      <c r="H159" s="311"/>
      <c r="I159" s="67"/>
      <c r="J159" s="67"/>
      <c r="K159" s="67"/>
      <c r="L159" s="67"/>
      <c r="M159" s="69"/>
    </row>
    <row r="160" spans="1:14" s="114" customFormat="1">
      <c r="A160" s="270"/>
      <c r="B160"/>
      <c r="C160"/>
      <c r="D160" s="165"/>
      <c r="E160" s="67"/>
      <c r="F160" s="67"/>
      <c r="G160" s="67"/>
      <c r="H160" s="67"/>
      <c r="I160" s="67"/>
      <c r="J160" s="67"/>
      <c r="K160" s="67"/>
      <c r="L160" s="67"/>
      <c r="M160" s="69"/>
    </row>
    <row r="161" spans="1:13" s="114" customFormat="1">
      <c r="A161" s="270"/>
      <c r="B161"/>
      <c r="C161"/>
      <c r="D161" s="165"/>
      <c r="E161" s="67"/>
      <c r="F161" s="67"/>
      <c r="G161" s="67"/>
      <c r="H161" s="67"/>
      <c r="I161" s="67"/>
      <c r="J161" s="67"/>
      <c r="K161" s="67"/>
      <c r="L161" s="67"/>
      <c r="M161" s="69"/>
    </row>
    <row r="162" spans="1:13" s="114" customFormat="1">
      <c r="A162" s="270"/>
      <c r="B162"/>
      <c r="C162"/>
      <c r="D162" s="165"/>
      <c r="E162" s="67"/>
      <c r="F162" s="67"/>
      <c r="G162" s="67"/>
      <c r="H162" s="67"/>
      <c r="I162" s="67"/>
      <c r="J162" s="67"/>
      <c r="K162" s="67"/>
      <c r="L162" s="67"/>
      <c r="M162" s="69"/>
    </row>
    <row r="163" spans="1:13" s="114" customFormat="1">
      <c r="A163" s="270"/>
      <c r="B163"/>
      <c r="C163"/>
      <c r="D163" s="165"/>
      <c r="E163" s="67"/>
      <c r="F163" s="67"/>
      <c r="G163" s="67"/>
      <c r="H163" s="67"/>
      <c r="I163" s="67"/>
      <c r="J163" s="67"/>
      <c r="K163" s="67"/>
      <c r="L163" s="67"/>
      <c r="M163" s="69"/>
    </row>
    <row r="164" spans="1:13" s="114" customFormat="1">
      <c r="A164" s="270"/>
      <c r="B164"/>
      <c r="C164"/>
      <c r="D164" s="165"/>
      <c r="E164" s="67"/>
      <c r="F164" s="67"/>
      <c r="G164" s="67"/>
      <c r="H164" s="67"/>
      <c r="I164" s="67"/>
      <c r="J164" s="67"/>
      <c r="K164" s="67"/>
      <c r="L164" s="67"/>
      <c r="M164" s="69"/>
    </row>
    <row r="165" spans="1:13" s="114" customFormat="1">
      <c r="A165" s="270"/>
      <c r="B165"/>
      <c r="C165"/>
      <c r="D165" s="165"/>
      <c r="E165" s="67"/>
      <c r="F165" s="67"/>
      <c r="G165" s="67"/>
      <c r="H165" s="67"/>
      <c r="I165" s="67"/>
      <c r="J165" s="67"/>
      <c r="K165" s="67"/>
      <c r="L165" s="67"/>
      <c r="M165" s="69"/>
    </row>
    <row r="166" spans="1:13" s="114" customFormat="1">
      <c r="A166" s="270"/>
      <c r="B166"/>
      <c r="C166"/>
      <c r="D166" s="165"/>
      <c r="E166" s="67"/>
      <c r="F166" s="67"/>
      <c r="G166" s="67"/>
      <c r="H166" s="67"/>
      <c r="I166" s="67"/>
      <c r="J166" s="67"/>
      <c r="K166" s="67"/>
      <c r="L166" s="67"/>
      <c r="M166" s="69"/>
    </row>
    <row r="167" spans="1:13" s="114" customFormat="1">
      <c r="A167" s="270"/>
      <c r="B167"/>
      <c r="C167"/>
      <c r="D167" s="165"/>
      <c r="E167" s="67"/>
      <c r="F167" s="67"/>
      <c r="G167" s="67"/>
      <c r="H167" s="67"/>
      <c r="I167" s="67"/>
      <c r="J167" s="67"/>
      <c r="K167" s="67"/>
      <c r="L167" s="67"/>
      <c r="M167" s="69"/>
    </row>
    <row r="168" spans="1:13" s="114" customFormat="1">
      <c r="A168" s="270"/>
      <c r="B168"/>
      <c r="C168"/>
      <c r="D168" s="165"/>
      <c r="E168" s="67"/>
      <c r="F168" s="67"/>
      <c r="G168" s="67"/>
      <c r="H168" s="67"/>
      <c r="I168" s="67"/>
      <c r="J168" s="67"/>
      <c r="K168" s="67"/>
      <c r="L168" s="67"/>
      <c r="M168" s="69"/>
    </row>
    <row r="169" spans="1:13" s="114" customFormat="1">
      <c r="A169" s="270"/>
      <c r="B169"/>
      <c r="C169"/>
      <c r="D169" s="165"/>
      <c r="E169" s="67"/>
      <c r="F169" s="67"/>
      <c r="G169" s="67"/>
      <c r="H169" s="67"/>
      <c r="I169" s="67"/>
      <c r="J169" s="67"/>
      <c r="K169" s="67"/>
      <c r="L169" s="67"/>
      <c r="M169" s="69"/>
    </row>
    <row r="170" spans="1:13" s="114" customFormat="1">
      <c r="A170" s="270"/>
      <c r="B170"/>
      <c r="C170"/>
      <c r="D170" s="165"/>
      <c r="E170" s="67"/>
      <c r="F170" s="67"/>
      <c r="G170" s="67"/>
      <c r="H170" s="67"/>
      <c r="I170" s="67"/>
      <c r="J170" s="67"/>
      <c r="K170" s="67"/>
      <c r="L170" s="67"/>
      <c r="M170" s="69"/>
    </row>
    <row r="171" spans="1:13" s="114" customFormat="1">
      <c r="A171" s="270"/>
      <c r="B171"/>
      <c r="C171"/>
      <c r="D171" s="165"/>
      <c r="E171" s="67"/>
      <c r="F171" s="67"/>
      <c r="G171" s="67"/>
      <c r="H171" s="67"/>
      <c r="I171" s="67"/>
      <c r="J171" s="67"/>
      <c r="K171" s="67"/>
      <c r="L171" s="67"/>
      <c r="M171" s="69"/>
    </row>
    <row r="172" spans="1:13" s="114" customFormat="1">
      <c r="A172" s="270"/>
      <c r="B172"/>
      <c r="C172"/>
      <c r="D172" s="165"/>
      <c r="E172" s="67"/>
      <c r="F172" s="67"/>
      <c r="G172" s="67"/>
      <c r="H172" s="67"/>
      <c r="I172" s="67"/>
      <c r="J172" s="67"/>
      <c r="K172" s="67"/>
      <c r="L172" s="67"/>
      <c r="M172" s="69"/>
    </row>
  </sheetData>
  <sortState ref="B6:M153">
    <sortCondition ref="B6:B153"/>
  </sortState>
  <mergeCells count="2">
    <mergeCell ref="A3:M3"/>
    <mergeCell ref="A4:M4"/>
  </mergeCells>
  <conditionalFormatting sqref="C3">
    <cfRule type="duplicateValues" dxfId="219" priority="12"/>
  </conditionalFormatting>
  <conditionalFormatting sqref="C1:C143 C149:C1048576">
    <cfRule type="duplicateValues" dxfId="218" priority="9"/>
  </conditionalFormatting>
  <conditionalFormatting sqref="B1:B143 B149:B1048576">
    <cfRule type="duplicateValues" dxfId="217" priority="8"/>
  </conditionalFormatting>
  <conditionalFormatting sqref="C152:C156">
    <cfRule type="duplicateValues" dxfId="216" priority="3"/>
    <cfRule type="duplicateValues" dxfId="215" priority="4"/>
  </conditionalFormatting>
  <conditionalFormatting sqref="C152:C156">
    <cfRule type="duplicateValues" dxfId="214" priority="2"/>
  </conditionalFormatting>
  <conditionalFormatting sqref="B152:B156">
    <cfRule type="duplicateValues" dxfId="213" priority="1"/>
  </conditionalFormatting>
  <conditionalFormatting sqref="C1:C143 C149:C1048576">
    <cfRule type="duplicateValues" dxfId="212" priority="4416"/>
    <cfRule type="duplicateValues" dxfId="211" priority="4417"/>
  </conditionalFormatting>
  <conditionalFormatting sqref="C173:C1048576 C1:C5">
    <cfRule type="duplicateValues" dxfId="210" priority="4432"/>
  </conditionalFormatting>
  <conditionalFormatting sqref="C173:C1048576 C1:C2 C4:C5">
    <cfRule type="duplicateValues" dxfId="209" priority="4435"/>
  </conditionalFormatting>
  <conditionalFormatting sqref="C173:C1048576">
    <cfRule type="duplicateValues" dxfId="208" priority="4439"/>
  </conditionalFormatting>
  <pageMargins left="0.43307086614173201" right="0.43307086614173201" top="7.8740157480315001E-2" bottom="0.118110236220472" header="0.31496062992126" footer="0.31496062992126"/>
  <pageSetup paperSize="9" scale="7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3:Q154"/>
  <sheetViews>
    <sheetView topLeftCell="B35" workbookViewId="0">
      <selection activeCell="C71" sqref="C71"/>
    </sheetView>
  </sheetViews>
  <sheetFormatPr defaultRowHeight="15"/>
  <cols>
    <col min="1" max="1" width="13.140625" style="298" customWidth="1"/>
    <col min="2" max="2" width="4.5703125" style="44" customWidth="1"/>
    <col min="3" max="3" width="37" style="184" customWidth="1"/>
    <col min="4" max="4" width="10.85546875" style="184" customWidth="1"/>
    <col min="5" max="5" width="14" bestFit="1" customWidth="1"/>
    <col min="6" max="6" width="12.85546875" bestFit="1" customWidth="1"/>
    <col min="7" max="7" width="14.42578125" customWidth="1"/>
    <col min="8" max="8" width="13.28515625" bestFit="1" customWidth="1"/>
    <col min="9" max="9" width="10.140625" style="43" customWidth="1"/>
    <col min="10" max="10" width="9.5703125" style="99" customWidth="1"/>
    <col min="11" max="11" width="14" customWidth="1"/>
    <col min="12" max="12" width="14" bestFit="1" customWidth="1"/>
    <col min="13" max="13" width="11.28515625" style="99" customWidth="1"/>
    <col min="14" max="14" width="8.28515625" style="99" customWidth="1"/>
    <col min="15" max="15" width="8.85546875" style="99" customWidth="1"/>
    <col min="16" max="16" width="7.85546875" customWidth="1"/>
  </cols>
  <sheetData>
    <row r="3" spans="1:16" ht="20.25">
      <c r="A3" s="260"/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</row>
    <row r="4" spans="1:16" ht="18">
      <c r="A4" s="324"/>
      <c r="B4" s="424" t="s">
        <v>1274</v>
      </c>
      <c r="C4" s="424"/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</row>
    <row r="5" spans="1:16" s="44" customFormat="1" ht="51">
      <c r="A5" s="291" t="s">
        <v>869</v>
      </c>
      <c r="B5" s="5" t="s">
        <v>0</v>
      </c>
      <c r="C5" s="328" t="s">
        <v>1</v>
      </c>
      <c r="D5" s="325" t="s">
        <v>1275</v>
      </c>
      <c r="E5" s="7" t="s">
        <v>2</v>
      </c>
      <c r="F5" s="7" t="s">
        <v>3</v>
      </c>
      <c r="G5" s="5" t="s">
        <v>4</v>
      </c>
      <c r="H5" s="6" t="s">
        <v>6</v>
      </c>
      <c r="I5" s="7" t="s">
        <v>5</v>
      </c>
      <c r="J5" s="326" t="s">
        <v>7</v>
      </c>
      <c r="K5" s="7" t="s">
        <v>9</v>
      </c>
      <c r="L5" s="6" t="s">
        <v>10</v>
      </c>
      <c r="M5" s="7" t="s">
        <v>8</v>
      </c>
      <c r="N5" s="326" t="s">
        <v>1277</v>
      </c>
      <c r="O5" s="6" t="s">
        <v>11</v>
      </c>
      <c r="P5" s="325" t="s">
        <v>1276</v>
      </c>
    </row>
    <row r="6" spans="1:16" s="114" customFormat="1">
      <c r="A6" s="293" t="s">
        <v>1235</v>
      </c>
      <c r="B6" s="96">
        <v>1</v>
      </c>
      <c r="C6" s="269" t="s">
        <v>1236</v>
      </c>
      <c r="D6" s="123"/>
      <c r="E6" s="19">
        <v>330000</v>
      </c>
      <c r="F6" s="19">
        <v>43989</v>
      </c>
      <c r="G6" s="19">
        <f>SUM(E6:F6)</f>
        <v>373989</v>
      </c>
      <c r="H6" s="317">
        <v>7479.78</v>
      </c>
      <c r="I6" s="159">
        <v>50</v>
      </c>
      <c r="J6" s="159">
        <v>11</v>
      </c>
      <c r="K6" s="16">
        <f>J6*H6</f>
        <v>82277.58</v>
      </c>
      <c r="L6" s="94">
        <f t="shared" ref="L6:L37" si="0">G6-K6</f>
        <v>291711.42</v>
      </c>
      <c r="M6" s="159">
        <f>I6-J6</f>
        <v>39</v>
      </c>
      <c r="N6" s="159"/>
      <c r="O6" s="159"/>
      <c r="P6" s="11"/>
    </row>
    <row r="7" spans="1:16" s="114" customFormat="1">
      <c r="A7" s="293" t="s">
        <v>894</v>
      </c>
      <c r="B7" s="96">
        <v>2</v>
      </c>
      <c r="C7" s="269" t="s">
        <v>916</v>
      </c>
      <c r="D7" s="123"/>
      <c r="E7" s="19">
        <v>450000</v>
      </c>
      <c r="F7" s="19">
        <v>59985</v>
      </c>
      <c r="G7" s="19">
        <v>509985</v>
      </c>
      <c r="H7" s="317">
        <v>10199.700000000001</v>
      </c>
      <c r="I7" s="159">
        <v>50</v>
      </c>
      <c r="J7" s="159">
        <v>12</v>
      </c>
      <c r="K7" s="16">
        <f t="shared" ref="K7:K30" si="1">J7*H7</f>
        <v>122396.40000000001</v>
      </c>
      <c r="L7" s="94">
        <f t="shared" si="0"/>
        <v>387588.6</v>
      </c>
      <c r="M7" s="159">
        <f t="shared" ref="M7:M70" si="2">I7-J7</f>
        <v>38</v>
      </c>
      <c r="N7" s="159"/>
      <c r="O7" s="159"/>
      <c r="P7" s="11"/>
    </row>
    <row r="8" spans="1:16" s="114" customFormat="1">
      <c r="A8" s="292" t="s">
        <v>666</v>
      </c>
      <c r="B8" s="96">
        <v>3</v>
      </c>
      <c r="C8" s="132" t="s">
        <v>667</v>
      </c>
      <c r="D8" s="11"/>
      <c r="E8" s="19">
        <v>150000</v>
      </c>
      <c r="F8" s="19">
        <v>19995</v>
      </c>
      <c r="G8" s="19">
        <f>SUM(E8:F8)</f>
        <v>169995</v>
      </c>
      <c r="H8" s="318">
        <v>3339.9</v>
      </c>
      <c r="I8" s="159">
        <v>50</v>
      </c>
      <c r="J8" s="159">
        <v>15</v>
      </c>
      <c r="K8" s="91">
        <f t="shared" si="1"/>
        <v>50098.5</v>
      </c>
      <c r="L8" s="94">
        <f t="shared" si="0"/>
        <v>119896.5</v>
      </c>
      <c r="M8" s="159">
        <f t="shared" si="2"/>
        <v>35</v>
      </c>
      <c r="N8" s="159"/>
      <c r="O8" s="97"/>
      <c r="P8" s="11"/>
    </row>
    <row r="9" spans="1:16" s="114" customFormat="1">
      <c r="A9" s="293" t="s">
        <v>896</v>
      </c>
      <c r="B9" s="96">
        <v>4</v>
      </c>
      <c r="C9" s="269" t="s">
        <v>919</v>
      </c>
      <c r="D9" s="123"/>
      <c r="E9" s="19">
        <v>450000</v>
      </c>
      <c r="F9" s="19">
        <v>59985</v>
      </c>
      <c r="G9" s="19">
        <v>509985</v>
      </c>
      <c r="H9" s="317">
        <v>10199.700000000001</v>
      </c>
      <c r="I9" s="159">
        <v>50</v>
      </c>
      <c r="J9" s="159">
        <v>12</v>
      </c>
      <c r="K9" s="16">
        <f t="shared" si="1"/>
        <v>122396.40000000001</v>
      </c>
      <c r="L9" s="94">
        <f t="shared" si="0"/>
        <v>387588.6</v>
      </c>
      <c r="M9" s="159">
        <f t="shared" si="2"/>
        <v>38</v>
      </c>
      <c r="N9" s="159"/>
      <c r="O9" s="159"/>
      <c r="P9" s="11"/>
    </row>
    <row r="10" spans="1:16" s="114" customFormat="1">
      <c r="A10" s="293" t="s">
        <v>945</v>
      </c>
      <c r="B10" s="96">
        <v>5</v>
      </c>
      <c r="C10" s="269" t="s">
        <v>946</v>
      </c>
      <c r="D10" s="123"/>
      <c r="E10" s="16">
        <v>500000</v>
      </c>
      <c r="F10" s="16">
        <v>66650</v>
      </c>
      <c r="G10" s="41">
        <f>SUM(E10:F10)</f>
        <v>566650</v>
      </c>
      <c r="H10" s="317">
        <v>11333</v>
      </c>
      <c r="I10" s="159">
        <v>50</v>
      </c>
      <c r="J10" s="159">
        <v>12</v>
      </c>
      <c r="K10" s="16">
        <f t="shared" si="1"/>
        <v>135996</v>
      </c>
      <c r="L10" s="94">
        <f t="shared" si="0"/>
        <v>430654</v>
      </c>
      <c r="M10" s="159">
        <f t="shared" si="2"/>
        <v>38</v>
      </c>
      <c r="N10" s="159"/>
      <c r="O10" s="159"/>
      <c r="P10" s="11"/>
    </row>
    <row r="11" spans="1:16" s="114" customFormat="1">
      <c r="A11" s="292" t="s">
        <v>530</v>
      </c>
      <c r="B11" s="96">
        <v>6</v>
      </c>
      <c r="C11" s="132" t="s">
        <v>531</v>
      </c>
      <c r="D11" s="11"/>
      <c r="E11" s="16">
        <v>500000</v>
      </c>
      <c r="F11" s="16">
        <v>66650</v>
      </c>
      <c r="G11" s="16">
        <v>566650</v>
      </c>
      <c r="H11" s="318">
        <v>11333</v>
      </c>
      <c r="I11" s="159">
        <v>50</v>
      </c>
      <c r="J11" s="97">
        <v>42</v>
      </c>
      <c r="K11" s="91">
        <f t="shared" si="1"/>
        <v>475986</v>
      </c>
      <c r="L11" s="94">
        <f t="shared" si="0"/>
        <v>90664</v>
      </c>
      <c r="M11" s="159">
        <f t="shared" si="2"/>
        <v>8</v>
      </c>
      <c r="N11" s="159"/>
      <c r="O11" s="97"/>
      <c r="P11" s="11"/>
    </row>
    <row r="12" spans="1:16" s="114" customFormat="1">
      <c r="A12" s="292" t="s">
        <v>590</v>
      </c>
      <c r="B12" s="96">
        <v>7</v>
      </c>
      <c r="C12" s="132" t="s">
        <v>591</v>
      </c>
      <c r="D12" s="11"/>
      <c r="E12" s="19">
        <v>150000</v>
      </c>
      <c r="F12" s="19">
        <v>19995</v>
      </c>
      <c r="G12" s="19">
        <f t="shared" ref="G12:G22" si="3">SUM(E12:F12)</f>
        <v>169995</v>
      </c>
      <c r="H12" s="146">
        <v>3399.9</v>
      </c>
      <c r="I12" s="159">
        <v>50</v>
      </c>
      <c r="J12" s="97">
        <v>42</v>
      </c>
      <c r="K12" s="91">
        <f t="shared" si="1"/>
        <v>142795.80000000002</v>
      </c>
      <c r="L12" s="94">
        <f t="shared" si="0"/>
        <v>27199.199999999983</v>
      </c>
      <c r="M12" s="159">
        <f t="shared" si="2"/>
        <v>8</v>
      </c>
      <c r="N12" s="159"/>
      <c r="O12" s="97"/>
      <c r="P12" s="11"/>
    </row>
    <row r="13" spans="1:16" s="114" customFormat="1">
      <c r="A13" s="293" t="s">
        <v>929</v>
      </c>
      <c r="B13" s="96">
        <v>8</v>
      </c>
      <c r="C13" s="132" t="s">
        <v>932</v>
      </c>
      <c r="D13" s="11"/>
      <c r="E13" s="16">
        <v>500000</v>
      </c>
      <c r="F13" s="16">
        <v>66650</v>
      </c>
      <c r="G13" s="41">
        <f t="shared" si="3"/>
        <v>566650</v>
      </c>
      <c r="H13" s="317">
        <v>11333</v>
      </c>
      <c r="I13" s="159">
        <v>50</v>
      </c>
      <c r="J13" s="159">
        <v>42</v>
      </c>
      <c r="K13" s="16">
        <f t="shared" si="1"/>
        <v>475986</v>
      </c>
      <c r="L13" s="94">
        <f t="shared" si="0"/>
        <v>90664</v>
      </c>
      <c r="M13" s="159">
        <f t="shared" si="2"/>
        <v>8</v>
      </c>
      <c r="N13" s="159"/>
      <c r="O13" s="159"/>
      <c r="P13" s="11"/>
    </row>
    <row r="14" spans="1:16" s="114" customFormat="1">
      <c r="A14" s="293" t="s">
        <v>1207</v>
      </c>
      <c r="B14" s="96">
        <v>9</v>
      </c>
      <c r="C14" s="123" t="s">
        <v>1208</v>
      </c>
      <c r="D14" s="123"/>
      <c r="E14" s="19">
        <v>330000</v>
      </c>
      <c r="F14" s="19">
        <v>43989</v>
      </c>
      <c r="G14" s="19">
        <f t="shared" si="3"/>
        <v>373989</v>
      </c>
      <c r="H14" s="317">
        <v>7479.78</v>
      </c>
      <c r="I14" s="159">
        <v>50</v>
      </c>
      <c r="J14" s="159">
        <v>4</v>
      </c>
      <c r="K14" s="16">
        <f t="shared" si="1"/>
        <v>29919.119999999999</v>
      </c>
      <c r="L14" s="94">
        <f t="shared" si="0"/>
        <v>344069.88</v>
      </c>
      <c r="M14" s="159">
        <f t="shared" si="2"/>
        <v>46</v>
      </c>
      <c r="N14" s="159"/>
      <c r="O14" s="159"/>
      <c r="P14" s="11"/>
    </row>
    <row r="15" spans="1:16" s="114" customFormat="1">
      <c r="A15" s="292" t="s">
        <v>690</v>
      </c>
      <c r="B15" s="96">
        <v>10</v>
      </c>
      <c r="C15" s="132" t="s">
        <v>691</v>
      </c>
      <c r="D15" s="11"/>
      <c r="E15" s="16">
        <v>500000</v>
      </c>
      <c r="F15" s="16">
        <v>66650</v>
      </c>
      <c r="G15" s="41">
        <f t="shared" si="3"/>
        <v>566650</v>
      </c>
      <c r="H15" s="318">
        <v>11333</v>
      </c>
      <c r="I15" s="159">
        <v>50</v>
      </c>
      <c r="J15" s="159">
        <v>15</v>
      </c>
      <c r="K15" s="91">
        <f t="shared" si="1"/>
        <v>169995</v>
      </c>
      <c r="L15" s="94">
        <f t="shared" si="0"/>
        <v>396655</v>
      </c>
      <c r="M15" s="159">
        <f t="shared" si="2"/>
        <v>35</v>
      </c>
      <c r="N15" s="159"/>
      <c r="O15" s="97"/>
      <c r="P15" s="11"/>
    </row>
    <row r="16" spans="1:16" s="114" customFormat="1">
      <c r="A16" s="293" t="s">
        <v>1162</v>
      </c>
      <c r="B16" s="96">
        <v>11</v>
      </c>
      <c r="C16" s="123" t="s">
        <v>1163</v>
      </c>
      <c r="D16" s="123"/>
      <c r="E16" s="16">
        <v>500000</v>
      </c>
      <c r="F16" s="16">
        <v>66650</v>
      </c>
      <c r="G16" s="41">
        <f t="shared" si="3"/>
        <v>566650</v>
      </c>
      <c r="H16" s="317">
        <v>11333</v>
      </c>
      <c r="I16" s="159">
        <v>50</v>
      </c>
      <c r="J16" s="159">
        <v>4</v>
      </c>
      <c r="K16" s="16">
        <f t="shared" si="1"/>
        <v>45332</v>
      </c>
      <c r="L16" s="94">
        <f t="shared" si="0"/>
        <v>521318</v>
      </c>
      <c r="M16" s="159">
        <f t="shared" si="2"/>
        <v>46</v>
      </c>
      <c r="N16" s="159"/>
      <c r="O16" s="159"/>
      <c r="P16" s="11"/>
    </row>
    <row r="17" spans="1:16" s="114" customFormat="1">
      <c r="A17" s="122" t="s">
        <v>1253</v>
      </c>
      <c r="B17" s="96">
        <v>12</v>
      </c>
      <c r="C17" s="11" t="s">
        <v>1254</v>
      </c>
      <c r="D17" s="122"/>
      <c r="E17" s="16">
        <v>500000</v>
      </c>
      <c r="F17" s="16">
        <v>66650</v>
      </c>
      <c r="G17" s="41">
        <f t="shared" si="3"/>
        <v>566650</v>
      </c>
      <c r="H17" s="271">
        <v>11333</v>
      </c>
      <c r="I17" s="159">
        <v>50</v>
      </c>
      <c r="J17" s="188">
        <v>2</v>
      </c>
      <c r="K17" s="16">
        <f t="shared" si="1"/>
        <v>22666</v>
      </c>
      <c r="L17" s="94">
        <f t="shared" si="0"/>
        <v>543984</v>
      </c>
      <c r="M17" s="159">
        <f t="shared" si="2"/>
        <v>48</v>
      </c>
      <c r="N17" s="159"/>
      <c r="O17" s="159"/>
      <c r="P17" s="122"/>
    </row>
    <row r="18" spans="1:16" s="114" customFormat="1">
      <c r="A18" s="292" t="s">
        <v>728</v>
      </c>
      <c r="B18" s="96">
        <v>13</v>
      </c>
      <c r="C18" s="132" t="s">
        <v>729</v>
      </c>
      <c r="D18" s="11"/>
      <c r="E18" s="16">
        <v>500000</v>
      </c>
      <c r="F18" s="16">
        <v>47992</v>
      </c>
      <c r="G18" s="41">
        <f t="shared" si="3"/>
        <v>547992</v>
      </c>
      <c r="H18" s="146">
        <v>15222</v>
      </c>
      <c r="I18" s="159">
        <v>36</v>
      </c>
      <c r="J18" s="97">
        <v>33</v>
      </c>
      <c r="K18" s="91">
        <f t="shared" si="1"/>
        <v>502326</v>
      </c>
      <c r="L18" s="94">
        <f t="shared" si="0"/>
        <v>45666</v>
      </c>
      <c r="M18" s="159">
        <f t="shared" si="2"/>
        <v>3</v>
      </c>
      <c r="N18" s="159"/>
      <c r="O18" s="97"/>
      <c r="P18" s="11"/>
    </row>
    <row r="19" spans="1:16" s="114" customFormat="1">
      <c r="A19" s="292" t="s">
        <v>645</v>
      </c>
      <c r="B19" s="96">
        <v>14</v>
      </c>
      <c r="C19" s="132" t="s">
        <v>646</v>
      </c>
      <c r="D19" s="11"/>
      <c r="E19" s="16">
        <v>500000</v>
      </c>
      <c r="F19" s="16">
        <v>66650</v>
      </c>
      <c r="G19" s="41">
        <f t="shared" si="3"/>
        <v>566650</v>
      </c>
      <c r="H19" s="318">
        <v>11333</v>
      </c>
      <c r="I19" s="159">
        <v>50</v>
      </c>
      <c r="J19" s="97">
        <v>42</v>
      </c>
      <c r="K19" s="91">
        <f t="shared" si="1"/>
        <v>475986</v>
      </c>
      <c r="L19" s="94">
        <f t="shared" si="0"/>
        <v>90664</v>
      </c>
      <c r="M19" s="159">
        <f t="shared" si="2"/>
        <v>8</v>
      </c>
      <c r="N19" s="159"/>
      <c r="O19" s="97"/>
      <c r="P19" s="11"/>
    </row>
    <row r="20" spans="1:16" s="114" customFormat="1">
      <c r="A20" s="293" t="s">
        <v>885</v>
      </c>
      <c r="B20" s="96">
        <v>15</v>
      </c>
      <c r="C20" s="269" t="s">
        <v>907</v>
      </c>
      <c r="D20" s="123"/>
      <c r="E20" s="16">
        <v>500000</v>
      </c>
      <c r="F20" s="16">
        <v>66650</v>
      </c>
      <c r="G20" s="41">
        <f t="shared" si="3"/>
        <v>566650</v>
      </c>
      <c r="H20" s="317">
        <v>11333</v>
      </c>
      <c r="I20" s="159">
        <v>50</v>
      </c>
      <c r="J20" s="159">
        <v>12</v>
      </c>
      <c r="K20" s="16">
        <f t="shared" si="1"/>
        <v>135996</v>
      </c>
      <c r="L20" s="94">
        <f t="shared" si="0"/>
        <v>430654</v>
      </c>
      <c r="M20" s="159">
        <f t="shared" si="2"/>
        <v>38</v>
      </c>
      <c r="N20" s="159"/>
      <c r="O20" s="159"/>
      <c r="P20" s="11"/>
    </row>
    <row r="21" spans="1:16" s="114" customFormat="1">
      <c r="A21" s="295" t="s">
        <v>930</v>
      </c>
      <c r="B21" s="96">
        <v>16</v>
      </c>
      <c r="C21" s="132" t="s">
        <v>933</v>
      </c>
      <c r="D21" s="8"/>
      <c r="E21" s="19">
        <v>330000</v>
      </c>
      <c r="F21" s="19">
        <v>31672.200000000012</v>
      </c>
      <c r="G21" s="19">
        <f t="shared" si="3"/>
        <v>361672.2</v>
      </c>
      <c r="H21" s="319">
        <v>10046.450000000001</v>
      </c>
      <c r="I21" s="159">
        <v>36</v>
      </c>
      <c r="J21" s="159">
        <v>16</v>
      </c>
      <c r="K21" s="16">
        <f t="shared" si="1"/>
        <v>160743.20000000001</v>
      </c>
      <c r="L21" s="94">
        <f t="shared" si="0"/>
        <v>200929</v>
      </c>
      <c r="M21" s="159">
        <f t="shared" si="2"/>
        <v>20</v>
      </c>
      <c r="N21" s="159"/>
      <c r="O21" s="159"/>
      <c r="P21" s="8"/>
    </row>
    <row r="22" spans="1:16" s="114" customFormat="1">
      <c r="A22" s="292" t="s">
        <v>626</v>
      </c>
      <c r="B22" s="96">
        <v>17</v>
      </c>
      <c r="C22" s="132" t="s">
        <v>627</v>
      </c>
      <c r="D22" s="11"/>
      <c r="E22" s="16">
        <v>330000</v>
      </c>
      <c r="F22" s="16">
        <v>43989</v>
      </c>
      <c r="G22" s="41">
        <f t="shared" si="3"/>
        <v>373989</v>
      </c>
      <c r="H22" s="318">
        <v>7479.78</v>
      </c>
      <c r="I22" s="159">
        <v>50</v>
      </c>
      <c r="J22" s="97">
        <v>43</v>
      </c>
      <c r="K22" s="91">
        <f t="shared" si="1"/>
        <v>321630.53999999998</v>
      </c>
      <c r="L22" s="94">
        <f t="shared" si="0"/>
        <v>52358.460000000021</v>
      </c>
      <c r="M22" s="159">
        <f t="shared" si="2"/>
        <v>7</v>
      </c>
      <c r="N22" s="159"/>
      <c r="O22" s="97"/>
      <c r="P22" s="11"/>
    </row>
    <row r="23" spans="1:16" s="114" customFormat="1">
      <c r="A23" s="292" t="s">
        <v>617</v>
      </c>
      <c r="B23" s="96">
        <v>18</v>
      </c>
      <c r="C23" s="132" t="s">
        <v>618</v>
      </c>
      <c r="D23" s="11"/>
      <c r="E23" s="16">
        <v>450000</v>
      </c>
      <c r="F23" s="16">
        <v>59985</v>
      </c>
      <c r="G23" s="16">
        <v>509985</v>
      </c>
      <c r="H23" s="318">
        <v>10199.700000000001</v>
      </c>
      <c r="I23" s="159">
        <v>50</v>
      </c>
      <c r="J23" s="97">
        <v>43</v>
      </c>
      <c r="K23" s="91">
        <f t="shared" si="1"/>
        <v>438587.10000000003</v>
      </c>
      <c r="L23" s="94">
        <f t="shared" si="0"/>
        <v>71397.899999999965</v>
      </c>
      <c r="M23" s="159">
        <f t="shared" si="2"/>
        <v>7</v>
      </c>
      <c r="N23" s="159"/>
      <c r="O23" s="97"/>
      <c r="P23" s="11"/>
    </row>
    <row r="24" spans="1:16" s="114" customFormat="1">
      <c r="A24" s="293" t="s">
        <v>1249</v>
      </c>
      <c r="B24" s="96">
        <v>19</v>
      </c>
      <c r="C24" s="132" t="s">
        <v>1250</v>
      </c>
      <c r="D24" s="11"/>
      <c r="E24" s="19">
        <v>330000</v>
      </c>
      <c r="F24" s="19">
        <v>43989</v>
      </c>
      <c r="G24" s="19">
        <f>SUM(E24:F24)</f>
        <v>373989</v>
      </c>
      <c r="H24" s="317">
        <v>7479.78</v>
      </c>
      <c r="I24" s="159">
        <v>50</v>
      </c>
      <c r="J24" s="96">
        <v>5</v>
      </c>
      <c r="K24" s="91">
        <f t="shared" si="1"/>
        <v>37398.9</v>
      </c>
      <c r="L24" s="94">
        <f t="shared" si="0"/>
        <v>336590.1</v>
      </c>
      <c r="M24" s="159">
        <f t="shared" si="2"/>
        <v>45</v>
      </c>
      <c r="N24" s="159"/>
      <c r="O24" s="97"/>
      <c r="P24" s="11"/>
    </row>
    <row r="25" spans="1:16" s="114" customFormat="1">
      <c r="A25" s="292" t="s">
        <v>509</v>
      </c>
      <c r="B25" s="96">
        <v>20</v>
      </c>
      <c r="C25" s="132" t="s">
        <v>510</v>
      </c>
      <c r="D25" s="11"/>
      <c r="E25" s="19">
        <v>450000</v>
      </c>
      <c r="F25" s="19">
        <v>59985</v>
      </c>
      <c r="G25" s="19">
        <v>509985</v>
      </c>
      <c r="H25" s="318">
        <v>10199.700000000001</v>
      </c>
      <c r="I25" s="159">
        <v>50</v>
      </c>
      <c r="J25" s="97">
        <v>29</v>
      </c>
      <c r="K25" s="91">
        <f t="shared" si="1"/>
        <v>295791.30000000005</v>
      </c>
      <c r="L25" s="91">
        <f t="shared" si="0"/>
        <v>214193.69999999995</v>
      </c>
      <c r="M25" s="159">
        <f t="shared" si="2"/>
        <v>21</v>
      </c>
      <c r="N25" s="159"/>
      <c r="O25" s="97"/>
      <c r="P25" s="11"/>
    </row>
    <row r="26" spans="1:16" s="114" customFormat="1">
      <c r="A26" s="293" t="s">
        <v>902</v>
      </c>
      <c r="B26" s="96">
        <v>21</v>
      </c>
      <c r="C26" s="269" t="s">
        <v>926</v>
      </c>
      <c r="D26" s="123"/>
      <c r="E26" s="19">
        <v>150000</v>
      </c>
      <c r="F26" s="19">
        <v>19995</v>
      </c>
      <c r="G26" s="19">
        <f>SUM(E26:F26)</f>
        <v>169995</v>
      </c>
      <c r="H26" s="317">
        <v>3399.9</v>
      </c>
      <c r="I26" s="159">
        <v>50</v>
      </c>
      <c r="J26" s="159">
        <v>12</v>
      </c>
      <c r="K26" s="16">
        <f t="shared" si="1"/>
        <v>40798.800000000003</v>
      </c>
      <c r="L26" s="94">
        <f t="shared" si="0"/>
        <v>129196.2</v>
      </c>
      <c r="M26" s="159">
        <f t="shared" si="2"/>
        <v>38</v>
      </c>
      <c r="N26" s="159"/>
      <c r="O26" s="159"/>
      <c r="P26" s="11"/>
    </row>
    <row r="27" spans="1:16" s="114" customFormat="1">
      <c r="A27" s="292" t="s">
        <v>719</v>
      </c>
      <c r="B27" s="96">
        <v>22</v>
      </c>
      <c r="C27" s="132" t="s">
        <v>720</v>
      </c>
      <c r="D27" s="11"/>
      <c r="E27" s="16">
        <v>500000</v>
      </c>
      <c r="F27" s="16">
        <v>66650</v>
      </c>
      <c r="G27" s="16">
        <v>566650</v>
      </c>
      <c r="H27" s="318">
        <v>11333</v>
      </c>
      <c r="I27" s="159">
        <v>50</v>
      </c>
      <c r="J27" s="101">
        <v>17</v>
      </c>
      <c r="K27" s="91">
        <f t="shared" si="1"/>
        <v>192661</v>
      </c>
      <c r="L27" s="94">
        <f t="shared" si="0"/>
        <v>373989</v>
      </c>
      <c r="M27" s="159">
        <f t="shared" si="2"/>
        <v>33</v>
      </c>
      <c r="N27" s="159"/>
      <c r="O27" s="97"/>
      <c r="P27" s="8"/>
    </row>
    <row r="28" spans="1:16" s="114" customFormat="1">
      <c r="A28" s="292" t="s">
        <v>619</v>
      </c>
      <c r="B28" s="96">
        <v>23</v>
      </c>
      <c r="C28" s="132" t="s">
        <v>620</v>
      </c>
      <c r="D28" s="11"/>
      <c r="E28" s="16">
        <v>500000</v>
      </c>
      <c r="F28" s="16">
        <v>66650</v>
      </c>
      <c r="G28" s="16">
        <v>566650</v>
      </c>
      <c r="H28" s="318">
        <v>11333</v>
      </c>
      <c r="I28" s="159">
        <v>50</v>
      </c>
      <c r="J28" s="97">
        <v>43</v>
      </c>
      <c r="K28" s="91">
        <f t="shared" si="1"/>
        <v>487319</v>
      </c>
      <c r="L28" s="94">
        <f t="shared" si="0"/>
        <v>79331</v>
      </c>
      <c r="M28" s="159">
        <f t="shared" si="2"/>
        <v>7</v>
      </c>
      <c r="N28" s="159"/>
      <c r="O28" s="97"/>
      <c r="P28" s="11"/>
    </row>
    <row r="29" spans="1:16" s="114" customFormat="1">
      <c r="A29" s="292" t="s">
        <v>507</v>
      </c>
      <c r="B29" s="96">
        <v>24</v>
      </c>
      <c r="C29" s="132" t="s">
        <v>508</v>
      </c>
      <c r="D29" s="11"/>
      <c r="E29" s="16">
        <v>500000</v>
      </c>
      <c r="F29" s="16">
        <v>66650</v>
      </c>
      <c r="G29" s="16">
        <v>566650</v>
      </c>
      <c r="H29" s="318">
        <v>11333</v>
      </c>
      <c r="I29" s="159">
        <v>50</v>
      </c>
      <c r="J29" s="97">
        <v>29</v>
      </c>
      <c r="K29" s="91">
        <f t="shared" si="1"/>
        <v>328657</v>
      </c>
      <c r="L29" s="91">
        <f t="shared" si="0"/>
        <v>237993</v>
      </c>
      <c r="M29" s="159">
        <f t="shared" si="2"/>
        <v>21</v>
      </c>
      <c r="N29" s="159"/>
      <c r="O29" s="97"/>
      <c r="P29" s="11"/>
    </row>
    <row r="30" spans="1:16" s="114" customFormat="1">
      <c r="A30" s="292" t="s">
        <v>726</v>
      </c>
      <c r="B30" s="96">
        <v>25</v>
      </c>
      <c r="C30" s="132" t="s">
        <v>727</v>
      </c>
      <c r="D30" s="11"/>
      <c r="E30" s="19">
        <v>500000</v>
      </c>
      <c r="F30" s="19">
        <v>66650</v>
      </c>
      <c r="G30" s="19">
        <v>566650</v>
      </c>
      <c r="H30" s="318">
        <v>11333</v>
      </c>
      <c r="I30" s="159">
        <v>50</v>
      </c>
      <c r="J30" s="97">
        <v>29</v>
      </c>
      <c r="K30" s="91">
        <f t="shared" si="1"/>
        <v>328657</v>
      </c>
      <c r="L30" s="91">
        <f t="shared" si="0"/>
        <v>237993</v>
      </c>
      <c r="M30" s="159">
        <f t="shared" si="2"/>
        <v>21</v>
      </c>
      <c r="N30" s="159"/>
      <c r="O30" s="97"/>
      <c r="P30" s="11"/>
    </row>
    <row r="31" spans="1:16" s="114" customFormat="1">
      <c r="A31" s="292" t="s">
        <v>647</v>
      </c>
      <c r="B31" s="96">
        <v>26</v>
      </c>
      <c r="C31" s="132" t="s">
        <v>648</v>
      </c>
      <c r="D31" s="11"/>
      <c r="E31" s="16">
        <v>500000</v>
      </c>
      <c r="F31" s="16">
        <v>66650</v>
      </c>
      <c r="G31" s="41">
        <f>SUM(E31:F31)</f>
        <v>566650</v>
      </c>
      <c r="H31" s="318">
        <v>11333</v>
      </c>
      <c r="I31" s="159">
        <v>50</v>
      </c>
      <c r="J31" s="97">
        <v>21</v>
      </c>
      <c r="K31" s="91">
        <f>(1*11333)</f>
        <v>11333</v>
      </c>
      <c r="L31" s="91">
        <f t="shared" si="0"/>
        <v>555317</v>
      </c>
      <c r="M31" s="159">
        <f t="shared" si="2"/>
        <v>29</v>
      </c>
      <c r="N31" s="159"/>
      <c r="O31" s="97"/>
      <c r="P31" s="11"/>
    </row>
    <row r="32" spans="1:16" s="114" customFormat="1">
      <c r="A32" s="292" t="s">
        <v>657</v>
      </c>
      <c r="B32" s="96">
        <v>27</v>
      </c>
      <c r="C32" s="132" t="s">
        <v>658</v>
      </c>
      <c r="D32" s="11"/>
      <c r="E32" s="12">
        <v>500000</v>
      </c>
      <c r="F32" s="12">
        <v>66650</v>
      </c>
      <c r="G32" s="15">
        <f>SUM(E32:F32)</f>
        <v>566650</v>
      </c>
      <c r="H32" s="146">
        <v>11333</v>
      </c>
      <c r="I32" s="14">
        <v>50</v>
      </c>
      <c r="J32" s="14">
        <v>48</v>
      </c>
      <c r="K32" s="91">
        <f>J32*H32</f>
        <v>543984</v>
      </c>
      <c r="L32" s="15">
        <f t="shared" si="0"/>
        <v>22666</v>
      </c>
      <c r="M32" s="159">
        <f t="shared" si="2"/>
        <v>2</v>
      </c>
      <c r="N32" s="159"/>
      <c r="O32" s="97"/>
      <c r="P32" s="8"/>
    </row>
    <row r="33" spans="1:16" s="114" customFormat="1">
      <c r="A33" s="292" t="s">
        <v>698</v>
      </c>
      <c r="B33" s="96">
        <v>28</v>
      </c>
      <c r="C33" s="132" t="s">
        <v>699</v>
      </c>
      <c r="D33" s="11"/>
      <c r="E33" s="19">
        <v>500000</v>
      </c>
      <c r="F33" s="19">
        <v>66650</v>
      </c>
      <c r="G33" s="19">
        <v>566650</v>
      </c>
      <c r="H33" s="318">
        <v>11333</v>
      </c>
      <c r="I33" s="159">
        <v>50</v>
      </c>
      <c r="J33" s="97">
        <v>29</v>
      </c>
      <c r="K33" s="91">
        <f>J33*H33</f>
        <v>328657</v>
      </c>
      <c r="L33" s="91">
        <f t="shared" si="0"/>
        <v>237993</v>
      </c>
      <c r="M33" s="159">
        <f t="shared" si="2"/>
        <v>21</v>
      </c>
      <c r="N33" s="159"/>
      <c r="O33" s="97"/>
      <c r="P33" s="11"/>
    </row>
    <row r="34" spans="1:16" s="114" customFormat="1">
      <c r="A34" s="122" t="s">
        <v>1227</v>
      </c>
      <c r="B34" s="96">
        <v>29</v>
      </c>
      <c r="C34" s="122" t="s">
        <v>1228</v>
      </c>
      <c r="D34" s="122"/>
      <c r="E34" s="16">
        <v>500000</v>
      </c>
      <c r="F34" s="16">
        <v>66650</v>
      </c>
      <c r="G34" s="41">
        <f>SUM(E34:F34)</f>
        <v>566650</v>
      </c>
      <c r="H34" s="271">
        <v>11333</v>
      </c>
      <c r="I34" s="159">
        <v>50</v>
      </c>
      <c r="J34" s="188">
        <v>2</v>
      </c>
      <c r="K34" s="16">
        <f>J34*H34</f>
        <v>22666</v>
      </c>
      <c r="L34" s="94">
        <f t="shared" si="0"/>
        <v>543984</v>
      </c>
      <c r="M34" s="159">
        <f t="shared" si="2"/>
        <v>48</v>
      </c>
      <c r="N34" s="159"/>
      <c r="O34" s="159"/>
      <c r="P34" s="122"/>
    </row>
    <row r="35" spans="1:16" s="114" customFormat="1">
      <c r="A35" s="292" t="s">
        <v>551</v>
      </c>
      <c r="B35" s="96">
        <v>30</v>
      </c>
      <c r="C35" s="132" t="s">
        <v>552</v>
      </c>
      <c r="D35" s="11"/>
      <c r="E35" s="19">
        <v>500000</v>
      </c>
      <c r="F35" s="19">
        <v>66650</v>
      </c>
      <c r="G35" s="19">
        <v>566650</v>
      </c>
      <c r="H35" s="318">
        <v>11333</v>
      </c>
      <c r="I35" s="159">
        <v>50</v>
      </c>
      <c r="J35" s="97">
        <v>29</v>
      </c>
      <c r="K35" s="91">
        <f>J35*H35</f>
        <v>328657</v>
      </c>
      <c r="L35" s="91">
        <f t="shared" si="0"/>
        <v>237993</v>
      </c>
      <c r="M35" s="159">
        <f t="shared" si="2"/>
        <v>21</v>
      </c>
      <c r="N35" s="159"/>
      <c r="O35" s="97"/>
      <c r="P35" s="11"/>
    </row>
    <row r="36" spans="1:16" s="114" customFormat="1">
      <c r="A36" s="293" t="s">
        <v>1231</v>
      </c>
      <c r="B36" s="96">
        <v>31</v>
      </c>
      <c r="C36" s="123" t="s">
        <v>1232</v>
      </c>
      <c r="D36" s="123"/>
      <c r="E36" s="19">
        <v>450000</v>
      </c>
      <c r="F36" s="19">
        <v>59985</v>
      </c>
      <c r="G36" s="19">
        <v>509985</v>
      </c>
      <c r="H36" s="317">
        <v>10199.700000000001</v>
      </c>
      <c r="I36" s="159">
        <v>50</v>
      </c>
      <c r="J36" s="159">
        <v>4</v>
      </c>
      <c r="K36" s="16">
        <f>J36*H36</f>
        <v>40798.800000000003</v>
      </c>
      <c r="L36" s="94">
        <f t="shared" si="0"/>
        <v>469186.2</v>
      </c>
      <c r="M36" s="159">
        <f t="shared" si="2"/>
        <v>46</v>
      </c>
      <c r="N36" s="159"/>
      <c r="O36" s="159"/>
      <c r="P36" s="11"/>
    </row>
    <row r="37" spans="1:16" s="114" customFormat="1">
      <c r="A37" s="292" t="s">
        <v>534</v>
      </c>
      <c r="B37" s="96">
        <v>32</v>
      </c>
      <c r="C37" s="132" t="s">
        <v>535</v>
      </c>
      <c r="D37" s="11"/>
      <c r="E37" s="16">
        <v>450000</v>
      </c>
      <c r="F37" s="16">
        <v>59985</v>
      </c>
      <c r="G37" s="16">
        <v>509985</v>
      </c>
      <c r="H37" s="318">
        <v>10199.700000000001</v>
      </c>
      <c r="I37" s="159">
        <v>50</v>
      </c>
      <c r="J37" s="97">
        <v>21</v>
      </c>
      <c r="K37" s="91">
        <f>(1*10199.7)</f>
        <v>10199.700000000001</v>
      </c>
      <c r="L37" s="94">
        <f t="shared" si="0"/>
        <v>499785.3</v>
      </c>
      <c r="M37" s="159">
        <f t="shared" si="2"/>
        <v>29</v>
      </c>
      <c r="N37" s="159"/>
      <c r="O37" s="97"/>
      <c r="P37" s="11"/>
    </row>
    <row r="38" spans="1:16" s="114" customFormat="1">
      <c r="A38" s="293" t="s">
        <v>678</v>
      </c>
      <c r="B38" s="96">
        <v>33</v>
      </c>
      <c r="C38" s="269" t="s">
        <v>679</v>
      </c>
      <c r="D38" s="123"/>
      <c r="E38" s="16">
        <v>500000</v>
      </c>
      <c r="F38" s="16">
        <v>66650</v>
      </c>
      <c r="G38" s="41">
        <f>SUM(E38:F38)</f>
        <v>566650</v>
      </c>
      <c r="H38" s="317">
        <v>15222</v>
      </c>
      <c r="I38" s="159">
        <v>50</v>
      </c>
      <c r="J38" s="159">
        <v>12</v>
      </c>
      <c r="K38" s="16">
        <f t="shared" ref="K38:K64" si="4">J38*H38</f>
        <v>182664</v>
      </c>
      <c r="L38" s="94">
        <f t="shared" ref="L38:L69" si="5">G38-K38</f>
        <v>383986</v>
      </c>
      <c r="M38" s="159">
        <f t="shared" si="2"/>
        <v>38</v>
      </c>
      <c r="N38" s="159"/>
      <c r="O38" s="159"/>
      <c r="P38" s="11"/>
    </row>
    <row r="39" spans="1:16" s="114" customFormat="1">
      <c r="A39" s="293" t="s">
        <v>899</v>
      </c>
      <c r="B39" s="96">
        <v>34</v>
      </c>
      <c r="C39" s="269" t="s">
        <v>922</v>
      </c>
      <c r="D39" s="123"/>
      <c r="E39" s="19">
        <v>330000</v>
      </c>
      <c r="F39" s="19">
        <v>43989</v>
      </c>
      <c r="G39" s="19">
        <f>SUM(E39:F39)</f>
        <v>373989</v>
      </c>
      <c r="H39" s="317">
        <v>7479.78</v>
      </c>
      <c r="I39" s="159">
        <v>50</v>
      </c>
      <c r="J39" s="159">
        <v>12</v>
      </c>
      <c r="K39" s="16">
        <f t="shared" si="4"/>
        <v>89757.36</v>
      </c>
      <c r="L39" s="94">
        <f t="shared" si="5"/>
        <v>284231.64</v>
      </c>
      <c r="M39" s="159">
        <f t="shared" si="2"/>
        <v>38</v>
      </c>
      <c r="N39" s="159"/>
      <c r="O39" s="159"/>
      <c r="P39" s="11"/>
    </row>
    <row r="40" spans="1:16" s="114" customFormat="1">
      <c r="A40" s="295" t="s">
        <v>941</v>
      </c>
      <c r="B40" s="96">
        <v>35</v>
      </c>
      <c r="C40" s="132" t="s">
        <v>942</v>
      </c>
      <c r="D40" s="8"/>
      <c r="E40" s="19">
        <v>330000</v>
      </c>
      <c r="F40" s="19">
        <v>43989</v>
      </c>
      <c r="G40" s="19">
        <f>SUM(E40:F40)</f>
        <v>373989</v>
      </c>
      <c r="H40" s="319">
        <v>7479.78</v>
      </c>
      <c r="I40" s="159">
        <v>50</v>
      </c>
      <c r="J40" s="159">
        <v>9</v>
      </c>
      <c r="K40" s="16">
        <f t="shared" si="4"/>
        <v>67318.02</v>
      </c>
      <c r="L40" s="94">
        <f t="shared" si="5"/>
        <v>306670.98</v>
      </c>
      <c r="M40" s="159">
        <f t="shared" si="2"/>
        <v>41</v>
      </c>
      <c r="N40" s="159"/>
      <c r="O40" s="159"/>
      <c r="P40" s="8"/>
    </row>
    <row r="41" spans="1:16" s="114" customFormat="1">
      <c r="A41" s="292" t="s">
        <v>692</v>
      </c>
      <c r="B41" s="96">
        <v>36</v>
      </c>
      <c r="C41" s="11" t="s">
        <v>693</v>
      </c>
      <c r="D41" s="11"/>
      <c r="E41" s="16">
        <v>330000</v>
      </c>
      <c r="F41" s="16">
        <v>43989</v>
      </c>
      <c r="G41" s="41">
        <f>SUM(E41:F41)</f>
        <v>373989</v>
      </c>
      <c r="H41" s="318">
        <v>7478.78</v>
      </c>
      <c r="I41" s="159">
        <v>50</v>
      </c>
      <c r="J41" s="159">
        <v>52</v>
      </c>
      <c r="K41" s="16">
        <f t="shared" si="4"/>
        <v>388896.56</v>
      </c>
      <c r="L41" s="41">
        <f t="shared" si="5"/>
        <v>-14907.559999999998</v>
      </c>
      <c r="M41" s="159">
        <f t="shared" si="2"/>
        <v>-2</v>
      </c>
      <c r="N41" s="159"/>
      <c r="O41" s="96"/>
      <c r="P41" s="11"/>
    </row>
    <row r="42" spans="1:16" s="114" customFormat="1">
      <c r="A42" s="292" t="s">
        <v>623</v>
      </c>
      <c r="B42" s="96">
        <v>37</v>
      </c>
      <c r="C42" s="269" t="s">
        <v>954</v>
      </c>
      <c r="D42" s="123"/>
      <c r="E42" s="19">
        <v>450000</v>
      </c>
      <c r="F42" s="19">
        <v>59985</v>
      </c>
      <c r="G42" s="19">
        <v>509985</v>
      </c>
      <c r="H42" s="317">
        <v>10199.700000000001</v>
      </c>
      <c r="I42" s="159">
        <v>50</v>
      </c>
      <c r="J42" s="159">
        <v>9</v>
      </c>
      <c r="K42" s="91">
        <f t="shared" si="4"/>
        <v>91797.3</v>
      </c>
      <c r="L42" s="94">
        <f t="shared" si="5"/>
        <v>418187.7</v>
      </c>
      <c r="M42" s="159">
        <f t="shared" si="2"/>
        <v>41</v>
      </c>
      <c r="N42" s="159"/>
      <c r="O42" s="97"/>
      <c r="P42" s="11"/>
    </row>
    <row r="43" spans="1:16" s="114" customFormat="1">
      <c r="A43" s="293" t="s">
        <v>1243</v>
      </c>
      <c r="B43" s="96">
        <v>38</v>
      </c>
      <c r="C43" s="123" t="s">
        <v>1244</v>
      </c>
      <c r="D43" s="123"/>
      <c r="E43" s="19">
        <v>330000</v>
      </c>
      <c r="F43" s="19">
        <v>43989</v>
      </c>
      <c r="G43" s="19">
        <f>SUM(E43:F43)</f>
        <v>373989</v>
      </c>
      <c r="H43" s="317">
        <v>7479.78</v>
      </c>
      <c r="I43" s="159">
        <v>50</v>
      </c>
      <c r="J43" s="159">
        <v>4</v>
      </c>
      <c r="K43" s="16">
        <f t="shared" si="4"/>
        <v>29919.119999999999</v>
      </c>
      <c r="L43" s="94">
        <f t="shared" si="5"/>
        <v>344069.88</v>
      </c>
      <c r="M43" s="159">
        <f t="shared" si="2"/>
        <v>46</v>
      </c>
      <c r="N43" s="159"/>
      <c r="O43" s="159"/>
      <c r="P43" s="11"/>
    </row>
    <row r="44" spans="1:16" s="114" customFormat="1">
      <c r="A44" s="293" t="s">
        <v>895</v>
      </c>
      <c r="B44" s="96">
        <v>39</v>
      </c>
      <c r="C44" s="269" t="s">
        <v>918</v>
      </c>
      <c r="D44" s="123"/>
      <c r="E44" s="19">
        <v>450000</v>
      </c>
      <c r="F44" s="19">
        <v>59985</v>
      </c>
      <c r="G44" s="19">
        <v>509985</v>
      </c>
      <c r="H44" s="317">
        <v>10199.700000000001</v>
      </c>
      <c r="I44" s="159">
        <v>50</v>
      </c>
      <c r="J44" s="159">
        <v>12</v>
      </c>
      <c r="K44" s="16">
        <f t="shared" si="4"/>
        <v>122396.40000000001</v>
      </c>
      <c r="L44" s="94">
        <f t="shared" si="5"/>
        <v>387588.6</v>
      </c>
      <c r="M44" s="159">
        <f t="shared" si="2"/>
        <v>38</v>
      </c>
      <c r="N44" s="159"/>
      <c r="O44" s="159"/>
      <c r="P44" s="11"/>
    </row>
    <row r="45" spans="1:16" s="114" customFormat="1">
      <c r="A45" s="293" t="s">
        <v>628</v>
      </c>
      <c r="B45" s="96">
        <v>40</v>
      </c>
      <c r="C45" s="123" t="s">
        <v>917</v>
      </c>
      <c r="D45" s="123"/>
      <c r="E45" s="19">
        <v>450000</v>
      </c>
      <c r="F45" s="19">
        <v>59985</v>
      </c>
      <c r="G45" s="19">
        <v>509985</v>
      </c>
      <c r="H45" s="317">
        <v>10199.700000000001</v>
      </c>
      <c r="I45" s="159">
        <v>50</v>
      </c>
      <c r="J45" s="159">
        <v>4</v>
      </c>
      <c r="K45" s="16">
        <f t="shared" si="4"/>
        <v>40798.800000000003</v>
      </c>
      <c r="L45" s="94">
        <f t="shared" si="5"/>
        <v>469186.2</v>
      </c>
      <c r="M45" s="159">
        <f t="shared" si="2"/>
        <v>46</v>
      </c>
      <c r="N45" s="159"/>
      <c r="O45" s="159"/>
      <c r="P45" s="11"/>
    </row>
    <row r="46" spans="1:16" s="114" customFormat="1">
      <c r="A46" s="292" t="s">
        <v>717</v>
      </c>
      <c r="B46" s="96">
        <v>41</v>
      </c>
      <c r="C46" s="132" t="s">
        <v>718</v>
      </c>
      <c r="D46" s="11"/>
      <c r="E46" s="16">
        <v>450000</v>
      </c>
      <c r="F46" s="16">
        <v>59985</v>
      </c>
      <c r="G46" s="16">
        <v>509985</v>
      </c>
      <c r="H46" s="318">
        <v>10199.700000000001</v>
      </c>
      <c r="I46" s="159">
        <v>50</v>
      </c>
      <c r="J46" s="97">
        <v>31</v>
      </c>
      <c r="K46" s="91">
        <f t="shared" si="4"/>
        <v>316190.7</v>
      </c>
      <c r="L46" s="94">
        <f t="shared" si="5"/>
        <v>193794.3</v>
      </c>
      <c r="M46" s="159">
        <f t="shared" si="2"/>
        <v>19</v>
      </c>
      <c r="N46" s="159"/>
      <c r="O46" s="97"/>
      <c r="P46" s="11"/>
    </row>
    <row r="47" spans="1:16" s="114" customFormat="1">
      <c r="A47" s="293" t="s">
        <v>1182</v>
      </c>
      <c r="B47" s="96">
        <v>42</v>
      </c>
      <c r="C47" s="123" t="s">
        <v>1183</v>
      </c>
      <c r="D47" s="123"/>
      <c r="E47" s="19">
        <v>450000</v>
      </c>
      <c r="F47" s="19">
        <v>59985</v>
      </c>
      <c r="G47" s="19">
        <v>509985</v>
      </c>
      <c r="H47" s="317">
        <v>10199.700000000001</v>
      </c>
      <c r="I47" s="159">
        <v>50</v>
      </c>
      <c r="J47" s="159">
        <v>4</v>
      </c>
      <c r="K47" s="16">
        <f t="shared" si="4"/>
        <v>40798.800000000003</v>
      </c>
      <c r="L47" s="94">
        <f t="shared" si="5"/>
        <v>469186.2</v>
      </c>
      <c r="M47" s="159">
        <f t="shared" si="2"/>
        <v>46</v>
      </c>
      <c r="N47" s="159"/>
      <c r="O47" s="159"/>
      <c r="P47" s="11"/>
    </row>
    <row r="48" spans="1:16" s="114" customFormat="1">
      <c r="A48" s="292" t="s">
        <v>518</v>
      </c>
      <c r="B48" s="96">
        <v>43</v>
      </c>
      <c r="C48" s="132" t="s">
        <v>519</v>
      </c>
      <c r="D48" s="11"/>
      <c r="E48" s="19">
        <v>500000</v>
      </c>
      <c r="F48" s="19">
        <v>66650</v>
      </c>
      <c r="G48" s="19">
        <v>566650</v>
      </c>
      <c r="H48" s="318">
        <v>11333</v>
      </c>
      <c r="I48" s="159">
        <v>50</v>
      </c>
      <c r="J48" s="97">
        <v>29</v>
      </c>
      <c r="K48" s="91">
        <f t="shared" si="4"/>
        <v>328657</v>
      </c>
      <c r="L48" s="91">
        <f t="shared" si="5"/>
        <v>237993</v>
      </c>
      <c r="M48" s="159">
        <f t="shared" si="2"/>
        <v>21</v>
      </c>
      <c r="N48" s="159"/>
      <c r="O48" s="97"/>
      <c r="P48" s="11"/>
    </row>
    <row r="49" spans="1:16" s="114" customFormat="1">
      <c r="A49" s="292" t="s">
        <v>709</v>
      </c>
      <c r="B49" s="96">
        <v>44</v>
      </c>
      <c r="C49" s="132" t="s">
        <v>710</v>
      </c>
      <c r="D49" s="11"/>
      <c r="E49" s="19">
        <v>500000</v>
      </c>
      <c r="F49" s="19">
        <v>66650</v>
      </c>
      <c r="G49" s="19">
        <v>566650</v>
      </c>
      <c r="H49" s="318">
        <v>11333</v>
      </c>
      <c r="I49" s="159">
        <v>50</v>
      </c>
      <c r="J49" s="96">
        <v>29</v>
      </c>
      <c r="K49" s="16">
        <f t="shared" si="4"/>
        <v>328657</v>
      </c>
      <c r="L49" s="16">
        <f t="shared" si="5"/>
        <v>237993</v>
      </c>
      <c r="M49" s="159">
        <f t="shared" si="2"/>
        <v>21</v>
      </c>
      <c r="N49" s="159"/>
      <c r="O49" s="96"/>
      <c r="P49" s="11"/>
    </row>
    <row r="50" spans="1:16" s="114" customFormat="1">
      <c r="A50" s="292" t="s">
        <v>642</v>
      </c>
      <c r="B50" s="96">
        <v>45</v>
      </c>
      <c r="C50" s="132" t="s">
        <v>643</v>
      </c>
      <c r="D50" s="11"/>
      <c r="E50" s="16">
        <v>500000</v>
      </c>
      <c r="F50" s="16">
        <v>66650</v>
      </c>
      <c r="G50" s="16">
        <v>566650</v>
      </c>
      <c r="H50" s="252">
        <v>11333</v>
      </c>
      <c r="I50" s="159">
        <v>50</v>
      </c>
      <c r="J50" s="101">
        <v>17</v>
      </c>
      <c r="K50" s="91">
        <f t="shared" si="4"/>
        <v>192661</v>
      </c>
      <c r="L50" s="94">
        <f t="shared" si="5"/>
        <v>373989</v>
      </c>
      <c r="M50" s="159">
        <f t="shared" si="2"/>
        <v>33</v>
      </c>
      <c r="N50" s="159"/>
      <c r="O50" s="97"/>
      <c r="P50" s="8"/>
    </row>
    <row r="51" spans="1:16" s="114" customFormat="1">
      <c r="A51" s="292" t="s">
        <v>664</v>
      </c>
      <c r="B51" s="96">
        <v>46</v>
      </c>
      <c r="C51" s="132" t="s">
        <v>665</v>
      </c>
      <c r="D51" s="11"/>
      <c r="E51" s="19">
        <v>330000</v>
      </c>
      <c r="F51" s="19">
        <v>43989</v>
      </c>
      <c r="G51" s="19">
        <f>SUM(E51:F51)</f>
        <v>373989</v>
      </c>
      <c r="H51" s="252">
        <v>7479.78</v>
      </c>
      <c r="I51" s="159">
        <v>50</v>
      </c>
      <c r="J51" s="101">
        <v>17</v>
      </c>
      <c r="K51" s="91">
        <f t="shared" si="4"/>
        <v>127156.26</v>
      </c>
      <c r="L51" s="94">
        <f t="shared" si="5"/>
        <v>246832.74</v>
      </c>
      <c r="M51" s="159">
        <f t="shared" si="2"/>
        <v>33</v>
      </c>
      <c r="N51" s="159"/>
      <c r="O51" s="97"/>
      <c r="P51" s="8"/>
    </row>
    <row r="52" spans="1:16" s="114" customFormat="1">
      <c r="A52" s="292" t="s">
        <v>633</v>
      </c>
      <c r="B52" s="96">
        <v>47</v>
      </c>
      <c r="C52" s="132" t="s">
        <v>634</v>
      </c>
      <c r="D52" s="11"/>
      <c r="E52" s="19">
        <v>150000</v>
      </c>
      <c r="F52" s="19">
        <v>19995</v>
      </c>
      <c r="G52" s="19">
        <f>SUM(E52:F52)</f>
        <v>169995</v>
      </c>
      <c r="H52" s="252">
        <v>3399.9</v>
      </c>
      <c r="I52" s="159">
        <v>50</v>
      </c>
      <c r="J52" s="101">
        <v>17</v>
      </c>
      <c r="K52" s="91">
        <f t="shared" si="4"/>
        <v>57798.3</v>
      </c>
      <c r="L52" s="94">
        <f t="shared" si="5"/>
        <v>112196.7</v>
      </c>
      <c r="M52" s="159">
        <f t="shared" si="2"/>
        <v>33</v>
      </c>
      <c r="N52" s="159"/>
      <c r="O52" s="97"/>
      <c r="P52" s="8"/>
    </row>
    <row r="53" spans="1:16" s="114" customFormat="1">
      <c r="A53" s="122" t="s">
        <v>1174</v>
      </c>
      <c r="B53" s="96">
        <v>48</v>
      </c>
      <c r="C53" s="122" t="s">
        <v>1175</v>
      </c>
      <c r="D53" s="122"/>
      <c r="E53" s="16">
        <v>500000</v>
      </c>
      <c r="F53" s="16">
        <v>66650</v>
      </c>
      <c r="G53" s="41">
        <f>SUM(E53:F53)</f>
        <v>566650</v>
      </c>
      <c r="H53" s="271">
        <v>11333</v>
      </c>
      <c r="I53" s="159">
        <v>50</v>
      </c>
      <c r="J53" s="188">
        <v>2</v>
      </c>
      <c r="K53" s="16">
        <f t="shared" si="4"/>
        <v>22666</v>
      </c>
      <c r="L53" s="94">
        <f t="shared" si="5"/>
        <v>543984</v>
      </c>
      <c r="M53" s="159">
        <f t="shared" si="2"/>
        <v>48</v>
      </c>
      <c r="N53" s="159"/>
      <c r="O53" s="159"/>
      <c r="P53" s="122"/>
    </row>
    <row r="54" spans="1:16" s="114" customFormat="1">
      <c r="A54" s="292" t="s">
        <v>661</v>
      </c>
      <c r="B54" s="96">
        <v>49</v>
      </c>
      <c r="C54" s="132" t="s">
        <v>662</v>
      </c>
      <c r="D54" s="11"/>
      <c r="E54" s="19">
        <v>500000</v>
      </c>
      <c r="F54" s="19">
        <v>66650</v>
      </c>
      <c r="G54" s="19">
        <v>566650</v>
      </c>
      <c r="H54" s="318">
        <v>11333</v>
      </c>
      <c r="I54" s="159">
        <v>50</v>
      </c>
      <c r="J54" s="97">
        <v>28</v>
      </c>
      <c r="K54" s="91">
        <f t="shared" si="4"/>
        <v>317324</v>
      </c>
      <c r="L54" s="91">
        <f t="shared" si="5"/>
        <v>249326</v>
      </c>
      <c r="M54" s="159">
        <f t="shared" si="2"/>
        <v>22</v>
      </c>
      <c r="N54" s="159"/>
      <c r="O54" s="97"/>
      <c r="P54" s="11"/>
    </row>
    <row r="55" spans="1:16" s="114" customFormat="1">
      <c r="A55" s="292" t="s">
        <v>538</v>
      </c>
      <c r="B55" s="96">
        <v>50</v>
      </c>
      <c r="C55" s="132" t="s">
        <v>539</v>
      </c>
      <c r="D55" s="11"/>
      <c r="E55" s="12">
        <v>500000</v>
      </c>
      <c r="F55" s="12">
        <v>66650</v>
      </c>
      <c r="G55" s="15">
        <f>SUM(E55:F55)</f>
        <v>566650</v>
      </c>
      <c r="H55" s="146">
        <v>11333</v>
      </c>
      <c r="I55" s="14">
        <v>50</v>
      </c>
      <c r="J55" s="14">
        <v>48</v>
      </c>
      <c r="K55" s="91">
        <f t="shared" si="4"/>
        <v>543984</v>
      </c>
      <c r="L55" s="15">
        <f t="shared" si="5"/>
        <v>22666</v>
      </c>
      <c r="M55" s="159">
        <f t="shared" si="2"/>
        <v>2</v>
      </c>
      <c r="N55" s="159"/>
      <c r="O55" s="97"/>
      <c r="P55" s="8"/>
    </row>
    <row r="56" spans="1:16" s="114" customFormat="1">
      <c r="A56" s="293" t="s">
        <v>1170</v>
      </c>
      <c r="B56" s="96">
        <v>51</v>
      </c>
      <c r="C56" s="123" t="s">
        <v>1171</v>
      </c>
      <c r="D56" s="123"/>
      <c r="E56" s="16">
        <v>500000</v>
      </c>
      <c r="F56" s="16">
        <v>66650</v>
      </c>
      <c r="G56" s="41">
        <f>SUM(E56:F56)</f>
        <v>566650</v>
      </c>
      <c r="H56" s="317">
        <v>11333</v>
      </c>
      <c r="I56" s="159">
        <v>50</v>
      </c>
      <c r="J56" s="159">
        <v>4</v>
      </c>
      <c r="K56" s="16">
        <f t="shared" si="4"/>
        <v>45332</v>
      </c>
      <c r="L56" s="94">
        <f t="shared" si="5"/>
        <v>521318</v>
      </c>
      <c r="M56" s="159">
        <f t="shared" si="2"/>
        <v>46</v>
      </c>
      <c r="N56" s="159"/>
      <c r="O56" s="159"/>
      <c r="P56" s="11"/>
    </row>
    <row r="57" spans="1:16" s="114" customFormat="1">
      <c r="A57" s="292" t="s">
        <v>596</v>
      </c>
      <c r="B57" s="96">
        <v>52</v>
      </c>
      <c r="C57" s="132" t="s">
        <v>597</v>
      </c>
      <c r="D57" s="11"/>
      <c r="E57" s="19">
        <v>500000</v>
      </c>
      <c r="F57" s="19">
        <v>66650</v>
      </c>
      <c r="G57" s="19">
        <v>566650</v>
      </c>
      <c r="H57" s="318">
        <v>11333</v>
      </c>
      <c r="I57" s="159">
        <v>50</v>
      </c>
      <c r="J57" s="97">
        <v>29</v>
      </c>
      <c r="K57" s="91">
        <f t="shared" si="4"/>
        <v>328657</v>
      </c>
      <c r="L57" s="91">
        <f t="shared" si="5"/>
        <v>237993</v>
      </c>
      <c r="M57" s="159">
        <f t="shared" si="2"/>
        <v>21</v>
      </c>
      <c r="N57" s="159"/>
      <c r="O57" s="97"/>
      <c r="P57" s="11"/>
    </row>
    <row r="58" spans="1:16" s="114" customFormat="1">
      <c r="A58" s="293" t="s">
        <v>1205</v>
      </c>
      <c r="B58" s="96">
        <v>53</v>
      </c>
      <c r="C58" s="132" t="s">
        <v>1206</v>
      </c>
      <c r="D58" s="11"/>
      <c r="E58" s="16">
        <v>500000</v>
      </c>
      <c r="F58" s="16">
        <v>66650</v>
      </c>
      <c r="G58" s="41">
        <f>SUM(E58:F58)</f>
        <v>566650</v>
      </c>
      <c r="H58" s="317">
        <v>11333</v>
      </c>
      <c r="I58" s="159">
        <v>50</v>
      </c>
      <c r="J58" s="96">
        <v>5</v>
      </c>
      <c r="K58" s="91">
        <f t="shared" si="4"/>
        <v>56665</v>
      </c>
      <c r="L58" s="94">
        <f t="shared" si="5"/>
        <v>509985</v>
      </c>
      <c r="M58" s="159">
        <f t="shared" si="2"/>
        <v>45</v>
      </c>
      <c r="N58" s="159"/>
      <c r="O58" s="97"/>
      <c r="P58" s="11"/>
    </row>
    <row r="59" spans="1:16" s="114" customFormat="1">
      <c r="A59" s="293" t="s">
        <v>1239</v>
      </c>
      <c r="B59" s="96">
        <v>54</v>
      </c>
      <c r="C59" s="123" t="s">
        <v>1240</v>
      </c>
      <c r="D59" s="123"/>
      <c r="E59" s="19">
        <v>150000</v>
      </c>
      <c r="F59" s="19">
        <v>19995</v>
      </c>
      <c r="G59" s="19">
        <f>SUM(E59:F59)</f>
        <v>169995</v>
      </c>
      <c r="H59" s="317">
        <v>4149.8999999999996</v>
      </c>
      <c r="I59" s="159">
        <v>40</v>
      </c>
      <c r="J59" s="159">
        <v>4</v>
      </c>
      <c r="K59" s="16">
        <f t="shared" si="4"/>
        <v>16599.599999999999</v>
      </c>
      <c r="L59" s="94">
        <f t="shared" si="5"/>
        <v>153395.4</v>
      </c>
      <c r="M59" s="159">
        <f t="shared" si="2"/>
        <v>36</v>
      </c>
      <c r="N59" s="159"/>
      <c r="O59" s="159"/>
      <c r="P59" s="11"/>
    </row>
    <row r="60" spans="1:16" s="114" customFormat="1">
      <c r="A60" s="292" t="s">
        <v>668</v>
      </c>
      <c r="B60" s="96">
        <v>55</v>
      </c>
      <c r="C60" s="132" t="s">
        <v>669</v>
      </c>
      <c r="D60" s="11"/>
      <c r="E60" s="16">
        <v>450000</v>
      </c>
      <c r="F60" s="16">
        <v>59985</v>
      </c>
      <c r="G60" s="16">
        <v>509985</v>
      </c>
      <c r="H60" s="318">
        <v>10199.700000000001</v>
      </c>
      <c r="I60" s="159">
        <v>50</v>
      </c>
      <c r="J60" s="97">
        <v>28</v>
      </c>
      <c r="K60" s="91">
        <f t="shared" si="4"/>
        <v>285591.60000000003</v>
      </c>
      <c r="L60" s="91">
        <f t="shared" si="5"/>
        <v>224393.39999999997</v>
      </c>
      <c r="M60" s="159">
        <f t="shared" si="2"/>
        <v>22</v>
      </c>
      <c r="N60" s="159"/>
      <c r="O60" s="97"/>
      <c r="P60" s="11"/>
    </row>
    <row r="61" spans="1:16" s="114" customFormat="1">
      <c r="A61" s="293" t="s">
        <v>901</v>
      </c>
      <c r="B61" s="96">
        <v>56</v>
      </c>
      <c r="C61" s="269" t="s">
        <v>924</v>
      </c>
      <c r="D61" s="123"/>
      <c r="E61" s="19">
        <v>330000</v>
      </c>
      <c r="F61" s="19">
        <v>43989</v>
      </c>
      <c r="G61" s="19">
        <f>SUM(E61:F61)</f>
        <v>373989</v>
      </c>
      <c r="H61" s="317">
        <v>7479.78</v>
      </c>
      <c r="I61" s="159">
        <v>50</v>
      </c>
      <c r="J61" s="159">
        <v>12</v>
      </c>
      <c r="K61" s="16">
        <f t="shared" si="4"/>
        <v>89757.36</v>
      </c>
      <c r="L61" s="94">
        <f t="shared" si="5"/>
        <v>284231.64</v>
      </c>
      <c r="M61" s="159">
        <f t="shared" si="2"/>
        <v>38</v>
      </c>
      <c r="N61" s="159"/>
      <c r="O61" s="159"/>
      <c r="P61" s="11"/>
    </row>
    <row r="62" spans="1:16" s="114" customFormat="1">
      <c r="A62" s="292" t="s">
        <v>526</v>
      </c>
      <c r="B62" s="96">
        <v>57</v>
      </c>
      <c r="C62" s="132" t="s">
        <v>527</v>
      </c>
      <c r="D62" s="11"/>
      <c r="E62" s="16">
        <v>330000</v>
      </c>
      <c r="F62" s="16">
        <v>43989</v>
      </c>
      <c r="G62" s="41">
        <f>SUM(E62:F62)</f>
        <v>373989</v>
      </c>
      <c r="H62" s="146">
        <v>7479.78</v>
      </c>
      <c r="I62" s="159">
        <v>50</v>
      </c>
      <c r="J62" s="97">
        <v>43</v>
      </c>
      <c r="K62" s="91">
        <f t="shared" si="4"/>
        <v>321630.53999999998</v>
      </c>
      <c r="L62" s="94">
        <f t="shared" si="5"/>
        <v>52358.460000000021</v>
      </c>
      <c r="M62" s="159">
        <f t="shared" si="2"/>
        <v>7</v>
      </c>
      <c r="N62" s="159"/>
      <c r="O62" s="97"/>
      <c r="P62" s="11"/>
    </row>
    <row r="63" spans="1:16" s="114" customFormat="1">
      <c r="A63" s="293" t="s">
        <v>1178</v>
      </c>
      <c r="B63" s="96">
        <v>58</v>
      </c>
      <c r="C63" s="132" t="s">
        <v>1179</v>
      </c>
      <c r="D63" s="11"/>
      <c r="E63" s="12">
        <v>150000</v>
      </c>
      <c r="F63" s="12">
        <v>19995</v>
      </c>
      <c r="G63" s="15">
        <f>SUM(E63:F63)</f>
        <v>169995</v>
      </c>
      <c r="H63" s="317">
        <v>3399.9</v>
      </c>
      <c r="I63" s="14">
        <v>50</v>
      </c>
      <c r="J63" s="96">
        <v>5</v>
      </c>
      <c r="K63" s="91">
        <f t="shared" si="4"/>
        <v>16999.5</v>
      </c>
      <c r="L63" s="94">
        <f t="shared" si="5"/>
        <v>152995.5</v>
      </c>
      <c r="M63" s="159">
        <f t="shared" si="2"/>
        <v>45</v>
      </c>
      <c r="N63" s="159"/>
      <c r="O63" s="97"/>
      <c r="P63" s="11"/>
    </row>
    <row r="64" spans="1:16" s="114" customFormat="1">
      <c r="A64" s="293" t="s">
        <v>1229</v>
      </c>
      <c r="B64" s="96">
        <v>59</v>
      </c>
      <c r="C64" s="123" t="s">
        <v>1230</v>
      </c>
      <c r="D64" s="123"/>
      <c r="E64" s="19">
        <v>150000</v>
      </c>
      <c r="F64" s="19">
        <v>19995</v>
      </c>
      <c r="G64" s="19">
        <f>SUM(E64:F64)</f>
        <v>169995</v>
      </c>
      <c r="H64" s="317">
        <v>4149.8999999999996</v>
      </c>
      <c r="I64" s="159">
        <v>40</v>
      </c>
      <c r="J64" s="159">
        <v>4</v>
      </c>
      <c r="K64" s="16">
        <f t="shared" si="4"/>
        <v>16599.599999999999</v>
      </c>
      <c r="L64" s="94">
        <f t="shared" si="5"/>
        <v>153395.4</v>
      </c>
      <c r="M64" s="159">
        <f t="shared" si="2"/>
        <v>36</v>
      </c>
      <c r="N64" s="159"/>
      <c r="O64" s="159"/>
      <c r="P64" s="11"/>
    </row>
    <row r="65" spans="1:16" s="114" customFormat="1">
      <c r="A65" s="292" t="s">
        <v>638</v>
      </c>
      <c r="B65" s="96">
        <v>60</v>
      </c>
      <c r="C65" s="132" t="s">
        <v>639</v>
      </c>
      <c r="D65" s="11"/>
      <c r="E65" s="16">
        <v>500000</v>
      </c>
      <c r="F65" s="16">
        <v>66650</v>
      </c>
      <c r="G65" s="41">
        <f>SUM(E65:F65)</f>
        <v>566650</v>
      </c>
      <c r="H65" s="318">
        <v>11333</v>
      </c>
      <c r="I65" s="159">
        <v>50</v>
      </c>
      <c r="J65" s="97">
        <v>21</v>
      </c>
      <c r="K65" s="91">
        <f>(1*11333)</f>
        <v>11333</v>
      </c>
      <c r="L65" s="91">
        <f t="shared" si="5"/>
        <v>555317</v>
      </c>
      <c r="M65" s="159">
        <f t="shared" si="2"/>
        <v>29</v>
      </c>
      <c r="N65" s="159"/>
      <c r="O65" s="97"/>
      <c r="P65" s="11"/>
    </row>
    <row r="66" spans="1:16" s="114" customFormat="1">
      <c r="A66" s="292" t="s">
        <v>522</v>
      </c>
      <c r="B66" s="96">
        <v>61</v>
      </c>
      <c r="C66" s="132" t="s">
        <v>523</v>
      </c>
      <c r="D66" s="11"/>
      <c r="E66" s="19">
        <v>500000</v>
      </c>
      <c r="F66" s="19">
        <v>66650</v>
      </c>
      <c r="G66" s="19">
        <v>566650</v>
      </c>
      <c r="H66" s="318">
        <v>11333</v>
      </c>
      <c r="I66" s="159">
        <v>50</v>
      </c>
      <c r="J66" s="97">
        <v>29</v>
      </c>
      <c r="K66" s="91">
        <f t="shared" ref="K66:K88" si="6">J66*H66</f>
        <v>328657</v>
      </c>
      <c r="L66" s="91">
        <f t="shared" si="5"/>
        <v>237993</v>
      </c>
      <c r="M66" s="159">
        <f t="shared" si="2"/>
        <v>21</v>
      </c>
      <c r="N66" s="159"/>
      <c r="O66" s="97"/>
      <c r="P66" s="11"/>
    </row>
    <row r="67" spans="1:16" s="114" customFormat="1">
      <c r="A67" s="292" t="s">
        <v>715</v>
      </c>
      <c r="B67" s="96">
        <v>62</v>
      </c>
      <c r="C67" s="132" t="s">
        <v>716</v>
      </c>
      <c r="D67" s="11"/>
      <c r="E67" s="19">
        <v>450000</v>
      </c>
      <c r="F67" s="19">
        <v>59985</v>
      </c>
      <c r="G67" s="19">
        <v>509985</v>
      </c>
      <c r="H67" s="318">
        <v>10199.700000000001</v>
      </c>
      <c r="I67" s="159">
        <v>50</v>
      </c>
      <c r="J67" s="101">
        <v>17</v>
      </c>
      <c r="K67" s="91">
        <f t="shared" si="6"/>
        <v>173394.90000000002</v>
      </c>
      <c r="L67" s="94">
        <f t="shared" si="5"/>
        <v>336590.1</v>
      </c>
      <c r="M67" s="159">
        <f t="shared" si="2"/>
        <v>33</v>
      </c>
      <c r="N67" s="159"/>
      <c r="O67" s="97"/>
      <c r="P67" s="8"/>
    </row>
    <row r="68" spans="1:16" s="114" customFormat="1">
      <c r="A68" s="292" t="s">
        <v>501</v>
      </c>
      <c r="B68" s="96">
        <v>63</v>
      </c>
      <c r="C68" s="132" t="s">
        <v>502</v>
      </c>
      <c r="D68" s="11"/>
      <c r="E68" s="16">
        <v>500000</v>
      </c>
      <c r="F68" s="16">
        <v>66650</v>
      </c>
      <c r="G68" s="16">
        <v>566650</v>
      </c>
      <c r="H68" s="146">
        <v>11333</v>
      </c>
      <c r="I68" s="159">
        <v>50</v>
      </c>
      <c r="J68" s="159">
        <v>17</v>
      </c>
      <c r="K68" s="91">
        <f t="shared" si="6"/>
        <v>192661</v>
      </c>
      <c r="L68" s="94">
        <f t="shared" si="5"/>
        <v>373989</v>
      </c>
      <c r="M68" s="159">
        <f t="shared" si="2"/>
        <v>33</v>
      </c>
      <c r="N68" s="159"/>
      <c r="O68" s="97"/>
      <c r="P68" s="11"/>
    </row>
    <row r="69" spans="1:16" s="114" customFormat="1">
      <c r="A69" s="292" t="s">
        <v>600</v>
      </c>
      <c r="B69" s="96">
        <v>64</v>
      </c>
      <c r="C69" s="132" t="s">
        <v>601</v>
      </c>
      <c r="D69" s="11"/>
      <c r="E69" s="16">
        <v>450000</v>
      </c>
      <c r="F69" s="16">
        <v>59985</v>
      </c>
      <c r="G69" s="41">
        <f>SUM(E69:F69)</f>
        <v>509985</v>
      </c>
      <c r="H69" s="318">
        <v>10199.700000000001</v>
      </c>
      <c r="I69" s="159">
        <v>50</v>
      </c>
      <c r="J69" s="97">
        <v>42</v>
      </c>
      <c r="K69" s="91">
        <f t="shared" si="6"/>
        <v>428387.4</v>
      </c>
      <c r="L69" s="94">
        <f t="shared" si="5"/>
        <v>81597.599999999977</v>
      </c>
      <c r="M69" s="159">
        <f t="shared" si="2"/>
        <v>8</v>
      </c>
      <c r="N69" s="159"/>
      <c r="O69" s="97"/>
      <c r="P69" s="11"/>
    </row>
    <row r="70" spans="1:16" s="114" customFormat="1">
      <c r="A70" s="293" t="s">
        <v>887</v>
      </c>
      <c r="B70" s="96">
        <v>65</v>
      </c>
      <c r="C70" s="269" t="s">
        <v>909</v>
      </c>
      <c r="D70" s="123"/>
      <c r="E70" s="16">
        <v>500000</v>
      </c>
      <c r="F70" s="16">
        <v>66650</v>
      </c>
      <c r="G70" s="41">
        <f>SUM(E70:F70)</f>
        <v>566650</v>
      </c>
      <c r="H70" s="317">
        <v>11333</v>
      </c>
      <c r="I70" s="159">
        <v>50</v>
      </c>
      <c r="J70" s="159">
        <v>12</v>
      </c>
      <c r="K70" s="16">
        <f t="shared" si="6"/>
        <v>135996</v>
      </c>
      <c r="L70" s="94">
        <f t="shared" ref="L70:L101" si="7">G70-K70</f>
        <v>430654</v>
      </c>
      <c r="M70" s="159">
        <f t="shared" si="2"/>
        <v>38</v>
      </c>
      <c r="N70" s="159"/>
      <c r="O70" s="159"/>
      <c r="P70" s="11"/>
    </row>
    <row r="71" spans="1:16" s="114" customFormat="1">
      <c r="A71" s="292" t="s">
        <v>883</v>
      </c>
      <c r="B71" s="96">
        <v>66</v>
      </c>
      <c r="C71" s="11" t="s">
        <v>905</v>
      </c>
      <c r="D71" s="11"/>
      <c r="E71" s="16">
        <v>500000</v>
      </c>
      <c r="F71" s="16">
        <v>66650</v>
      </c>
      <c r="G71" s="41">
        <f>SUM(E71:F71)</f>
        <v>566650</v>
      </c>
      <c r="H71" s="318">
        <v>11333</v>
      </c>
      <c r="I71" s="159">
        <v>50</v>
      </c>
      <c r="J71" s="97">
        <v>51</v>
      </c>
      <c r="K71" s="91">
        <f t="shared" si="6"/>
        <v>577983</v>
      </c>
      <c r="L71" s="94">
        <f t="shared" si="7"/>
        <v>-11333</v>
      </c>
      <c r="M71" s="159">
        <f t="shared" ref="M71:M102" si="8">I71-J71</f>
        <v>-1</v>
      </c>
      <c r="N71" s="159"/>
      <c r="O71" s="97"/>
      <c r="P71" s="11"/>
    </row>
    <row r="72" spans="1:16" s="114" customFormat="1">
      <c r="A72" s="122" t="s">
        <v>1194</v>
      </c>
      <c r="B72" s="96">
        <v>67</v>
      </c>
      <c r="C72" s="122" t="s">
        <v>1195</v>
      </c>
      <c r="D72" s="122"/>
      <c r="E72" s="16">
        <v>500000</v>
      </c>
      <c r="F72" s="16">
        <v>66650</v>
      </c>
      <c r="G72" s="41">
        <f>SUM(E72:F72)</f>
        <v>566650</v>
      </c>
      <c r="H72" s="271">
        <v>11333</v>
      </c>
      <c r="I72" s="159">
        <v>50</v>
      </c>
      <c r="J72" s="188">
        <v>2</v>
      </c>
      <c r="K72" s="16">
        <f t="shared" si="6"/>
        <v>22666</v>
      </c>
      <c r="L72" s="94">
        <f t="shared" si="7"/>
        <v>543984</v>
      </c>
      <c r="M72" s="159">
        <f t="shared" si="8"/>
        <v>48</v>
      </c>
      <c r="N72" s="159"/>
      <c r="O72" s="159"/>
      <c r="P72" s="122"/>
    </row>
    <row r="73" spans="1:16" s="114" customFormat="1">
      <c r="A73" s="292" t="s">
        <v>505</v>
      </c>
      <c r="B73" s="96">
        <v>68</v>
      </c>
      <c r="C73" s="132" t="s">
        <v>506</v>
      </c>
      <c r="D73" s="11"/>
      <c r="E73" s="16">
        <v>500000</v>
      </c>
      <c r="F73" s="16">
        <v>66650</v>
      </c>
      <c r="G73" s="41">
        <f>SUM(E73:F73)</f>
        <v>566650</v>
      </c>
      <c r="H73" s="318">
        <v>11333</v>
      </c>
      <c r="I73" s="159">
        <v>50</v>
      </c>
      <c r="J73" s="97">
        <v>43</v>
      </c>
      <c r="K73" s="91">
        <f t="shared" si="6"/>
        <v>487319</v>
      </c>
      <c r="L73" s="94">
        <f t="shared" si="7"/>
        <v>79331</v>
      </c>
      <c r="M73" s="159">
        <f t="shared" si="8"/>
        <v>7</v>
      </c>
      <c r="N73" s="159"/>
      <c r="O73" s="97"/>
      <c r="P73" s="11"/>
    </row>
    <row r="74" spans="1:16" s="114" customFormat="1">
      <c r="A74" s="292" t="s">
        <v>724</v>
      </c>
      <c r="B74" s="96">
        <v>69</v>
      </c>
      <c r="C74" s="132" t="s">
        <v>725</v>
      </c>
      <c r="D74" s="11"/>
      <c r="E74" s="19">
        <v>500000</v>
      </c>
      <c r="F74" s="19">
        <v>66650</v>
      </c>
      <c r="G74" s="19">
        <v>566650</v>
      </c>
      <c r="H74" s="318">
        <v>11333</v>
      </c>
      <c r="I74" s="159">
        <v>50</v>
      </c>
      <c r="J74" s="97">
        <v>28</v>
      </c>
      <c r="K74" s="91">
        <f t="shared" si="6"/>
        <v>317324</v>
      </c>
      <c r="L74" s="91">
        <f t="shared" si="7"/>
        <v>249326</v>
      </c>
      <c r="M74" s="159">
        <f t="shared" si="8"/>
        <v>22</v>
      </c>
      <c r="N74" s="159"/>
      <c r="O74" s="97"/>
      <c r="P74" s="11"/>
    </row>
    <row r="75" spans="1:16" s="114" customFormat="1">
      <c r="A75" s="295" t="s">
        <v>937</v>
      </c>
      <c r="B75" s="96">
        <v>70</v>
      </c>
      <c r="C75" s="132" t="s">
        <v>938</v>
      </c>
      <c r="D75" s="8"/>
      <c r="E75" s="19">
        <v>150000</v>
      </c>
      <c r="F75" s="19">
        <v>19995</v>
      </c>
      <c r="G75" s="19">
        <f t="shared" ref="G75:G86" si="9">SUM(E75:F75)</f>
        <v>169995</v>
      </c>
      <c r="H75" s="319">
        <v>3399.9</v>
      </c>
      <c r="I75" s="159">
        <v>50</v>
      </c>
      <c r="J75" s="159">
        <v>9</v>
      </c>
      <c r="K75" s="16">
        <f t="shared" si="6"/>
        <v>30599.100000000002</v>
      </c>
      <c r="L75" s="94">
        <f t="shared" si="7"/>
        <v>139395.9</v>
      </c>
      <c r="M75" s="159">
        <f t="shared" si="8"/>
        <v>41</v>
      </c>
      <c r="N75" s="159"/>
      <c r="O75" s="159"/>
      <c r="P75" s="8"/>
    </row>
    <row r="76" spans="1:16" s="114" customFormat="1">
      <c r="A76" s="293" t="s">
        <v>1213</v>
      </c>
      <c r="B76" s="96">
        <v>71</v>
      </c>
      <c r="C76" s="123" t="s">
        <v>1214</v>
      </c>
      <c r="D76" s="123"/>
      <c r="E76" s="19">
        <v>330000</v>
      </c>
      <c r="F76" s="19">
        <v>43989</v>
      </c>
      <c r="G76" s="19">
        <f t="shared" si="9"/>
        <v>373989</v>
      </c>
      <c r="H76" s="317">
        <v>7479.78</v>
      </c>
      <c r="I76" s="159">
        <v>50</v>
      </c>
      <c r="J76" s="159">
        <v>4</v>
      </c>
      <c r="K76" s="16">
        <f t="shared" si="6"/>
        <v>29919.119999999999</v>
      </c>
      <c r="L76" s="94">
        <f t="shared" si="7"/>
        <v>344069.88</v>
      </c>
      <c r="M76" s="159">
        <f t="shared" si="8"/>
        <v>46</v>
      </c>
      <c r="N76" s="159"/>
      <c r="O76" s="159"/>
      <c r="P76" s="11"/>
    </row>
    <row r="77" spans="1:16" s="114" customFormat="1">
      <c r="A77" s="294" t="s">
        <v>663</v>
      </c>
      <c r="B77" s="96">
        <v>72</v>
      </c>
      <c r="C77" s="132" t="s">
        <v>953</v>
      </c>
      <c r="D77" s="11"/>
      <c r="E77" s="19">
        <v>330000</v>
      </c>
      <c r="F77" s="19">
        <v>43989</v>
      </c>
      <c r="G77" s="19">
        <f t="shared" si="9"/>
        <v>373989</v>
      </c>
      <c r="H77" s="317">
        <v>7479.78</v>
      </c>
      <c r="I77" s="159">
        <v>50</v>
      </c>
      <c r="J77" s="159">
        <v>10</v>
      </c>
      <c r="K77" s="91">
        <f t="shared" si="6"/>
        <v>74797.8</v>
      </c>
      <c r="L77" s="94">
        <f t="shared" si="7"/>
        <v>299191.2</v>
      </c>
      <c r="M77" s="159">
        <f t="shared" si="8"/>
        <v>40</v>
      </c>
      <c r="N77" s="159"/>
      <c r="O77" s="97"/>
      <c r="P77" s="11"/>
    </row>
    <row r="78" spans="1:16" s="114" customFormat="1">
      <c r="A78" s="294" t="s">
        <v>868</v>
      </c>
      <c r="B78" s="96">
        <v>73</v>
      </c>
      <c r="C78" s="132" t="s">
        <v>925</v>
      </c>
      <c r="D78" s="11"/>
      <c r="E78" s="19">
        <v>150000</v>
      </c>
      <c r="F78" s="19">
        <v>19995</v>
      </c>
      <c r="G78" s="19">
        <f t="shared" si="9"/>
        <v>169995</v>
      </c>
      <c r="H78" s="317">
        <v>3399.9</v>
      </c>
      <c r="I78" s="159">
        <v>50</v>
      </c>
      <c r="J78" s="159">
        <v>13</v>
      </c>
      <c r="K78" s="91">
        <f t="shared" si="6"/>
        <v>44198.700000000004</v>
      </c>
      <c r="L78" s="94">
        <f t="shared" si="7"/>
        <v>125796.29999999999</v>
      </c>
      <c r="M78" s="159">
        <f t="shared" si="8"/>
        <v>37</v>
      </c>
      <c r="N78" s="159"/>
      <c r="O78" s="97"/>
      <c r="P78" s="11"/>
    </row>
    <row r="79" spans="1:16" s="114" customFormat="1">
      <c r="A79" s="292" t="s">
        <v>682</v>
      </c>
      <c r="B79" s="96">
        <v>74</v>
      </c>
      <c r="C79" s="132" t="s">
        <v>683</v>
      </c>
      <c r="D79" s="11"/>
      <c r="E79" s="16">
        <v>500000</v>
      </c>
      <c r="F79" s="16">
        <v>66650</v>
      </c>
      <c r="G79" s="41">
        <f t="shared" si="9"/>
        <v>566650</v>
      </c>
      <c r="H79" s="318">
        <v>11333</v>
      </c>
      <c r="I79" s="159">
        <v>50</v>
      </c>
      <c r="J79" s="97">
        <v>43</v>
      </c>
      <c r="K79" s="91">
        <f t="shared" si="6"/>
        <v>487319</v>
      </c>
      <c r="L79" s="94">
        <f t="shared" si="7"/>
        <v>79331</v>
      </c>
      <c r="M79" s="159">
        <f t="shared" si="8"/>
        <v>7</v>
      </c>
      <c r="N79" s="159"/>
      <c r="O79" s="97"/>
      <c r="P79" s="11"/>
    </row>
    <row r="80" spans="1:16" s="114" customFormat="1">
      <c r="A80" s="293" t="s">
        <v>1237</v>
      </c>
      <c r="B80" s="96">
        <v>75</v>
      </c>
      <c r="C80" s="123" t="s">
        <v>1238</v>
      </c>
      <c r="D80" s="123"/>
      <c r="E80" s="16">
        <v>500000</v>
      </c>
      <c r="F80" s="16">
        <v>66650</v>
      </c>
      <c r="G80" s="41">
        <f t="shared" si="9"/>
        <v>566650</v>
      </c>
      <c r="H80" s="317">
        <v>11333</v>
      </c>
      <c r="I80" s="159">
        <v>50</v>
      </c>
      <c r="J80" s="159">
        <v>4</v>
      </c>
      <c r="K80" s="16">
        <f t="shared" si="6"/>
        <v>45332</v>
      </c>
      <c r="L80" s="94">
        <f t="shared" si="7"/>
        <v>521318</v>
      </c>
      <c r="M80" s="159">
        <f t="shared" si="8"/>
        <v>46</v>
      </c>
      <c r="N80" s="159"/>
      <c r="O80" s="159"/>
      <c r="P80" s="11"/>
    </row>
    <row r="81" spans="1:16" s="114" customFormat="1">
      <c r="A81" s="292" t="s">
        <v>594</v>
      </c>
      <c r="B81" s="96">
        <v>76</v>
      </c>
      <c r="C81" s="132" t="s">
        <v>595</v>
      </c>
      <c r="D81" s="11"/>
      <c r="E81" s="16">
        <v>500000</v>
      </c>
      <c r="F81" s="16">
        <v>66650</v>
      </c>
      <c r="G81" s="41">
        <f t="shared" si="9"/>
        <v>566650</v>
      </c>
      <c r="H81" s="318">
        <v>11333</v>
      </c>
      <c r="I81" s="159">
        <v>50</v>
      </c>
      <c r="J81" s="97">
        <v>43</v>
      </c>
      <c r="K81" s="91">
        <f t="shared" si="6"/>
        <v>487319</v>
      </c>
      <c r="L81" s="94">
        <f t="shared" si="7"/>
        <v>79331</v>
      </c>
      <c r="M81" s="159">
        <f t="shared" si="8"/>
        <v>7</v>
      </c>
      <c r="N81" s="159"/>
      <c r="O81" s="97"/>
      <c r="P81" s="11"/>
    </row>
    <row r="82" spans="1:16" s="114" customFormat="1">
      <c r="A82" s="293" t="s">
        <v>1166</v>
      </c>
      <c r="B82" s="96">
        <v>77</v>
      </c>
      <c r="C82" s="132" t="s">
        <v>1167</v>
      </c>
      <c r="D82" s="11"/>
      <c r="E82" s="16">
        <v>500000</v>
      </c>
      <c r="F82" s="16">
        <v>66650</v>
      </c>
      <c r="G82" s="41">
        <f t="shared" si="9"/>
        <v>566650</v>
      </c>
      <c r="H82" s="317">
        <v>11333</v>
      </c>
      <c r="I82" s="159">
        <v>50</v>
      </c>
      <c r="J82" s="96">
        <v>5</v>
      </c>
      <c r="K82" s="91">
        <f t="shared" si="6"/>
        <v>56665</v>
      </c>
      <c r="L82" s="94">
        <f t="shared" si="7"/>
        <v>509985</v>
      </c>
      <c r="M82" s="159">
        <f t="shared" si="8"/>
        <v>45</v>
      </c>
      <c r="N82" s="159"/>
      <c r="O82" s="97"/>
      <c r="P82" s="11"/>
    </row>
    <row r="83" spans="1:16" s="114" customFormat="1">
      <c r="A83" s="293" t="s">
        <v>1172</v>
      </c>
      <c r="B83" s="96">
        <v>78</v>
      </c>
      <c r="C83" s="132" t="s">
        <v>1173</v>
      </c>
      <c r="D83" s="11"/>
      <c r="E83" s="19">
        <v>330000</v>
      </c>
      <c r="F83" s="19">
        <v>43989</v>
      </c>
      <c r="G83" s="19">
        <f t="shared" si="9"/>
        <v>373989</v>
      </c>
      <c r="H83" s="317">
        <v>7479.78</v>
      </c>
      <c r="I83" s="159">
        <v>50</v>
      </c>
      <c r="J83" s="96">
        <v>5</v>
      </c>
      <c r="K83" s="91">
        <f t="shared" si="6"/>
        <v>37398.9</v>
      </c>
      <c r="L83" s="94">
        <f t="shared" si="7"/>
        <v>336590.1</v>
      </c>
      <c r="M83" s="159">
        <f t="shared" si="8"/>
        <v>45</v>
      </c>
      <c r="N83" s="159"/>
      <c r="O83" s="97"/>
      <c r="P83" s="11"/>
    </row>
    <row r="84" spans="1:16" s="114" customFormat="1">
      <c r="A84" s="292" t="s">
        <v>583</v>
      </c>
      <c r="B84" s="96">
        <v>79</v>
      </c>
      <c r="C84" s="132" t="s">
        <v>584</v>
      </c>
      <c r="D84" s="11"/>
      <c r="E84" s="16">
        <v>500000</v>
      </c>
      <c r="F84" s="16">
        <v>66650</v>
      </c>
      <c r="G84" s="41">
        <f t="shared" si="9"/>
        <v>566650</v>
      </c>
      <c r="H84" s="318">
        <v>11333</v>
      </c>
      <c r="I84" s="159">
        <v>50</v>
      </c>
      <c r="J84" s="97">
        <v>43</v>
      </c>
      <c r="K84" s="91">
        <f t="shared" si="6"/>
        <v>487319</v>
      </c>
      <c r="L84" s="94">
        <f t="shared" si="7"/>
        <v>79331</v>
      </c>
      <c r="M84" s="159">
        <f t="shared" si="8"/>
        <v>7</v>
      </c>
      <c r="N84" s="159"/>
      <c r="O84" s="97"/>
      <c r="P84" s="11"/>
    </row>
    <row r="85" spans="1:16" s="114" customFormat="1">
      <c r="A85" s="295" t="s">
        <v>884</v>
      </c>
      <c r="B85" s="96">
        <v>80</v>
      </c>
      <c r="C85" s="132" t="s">
        <v>906</v>
      </c>
      <c r="D85" s="8"/>
      <c r="E85" s="16">
        <v>500000</v>
      </c>
      <c r="F85" s="16">
        <v>66650</v>
      </c>
      <c r="G85" s="41">
        <f t="shared" si="9"/>
        <v>566650</v>
      </c>
      <c r="H85" s="319">
        <v>11333</v>
      </c>
      <c r="I85" s="159">
        <v>50</v>
      </c>
      <c r="J85" s="159">
        <v>12</v>
      </c>
      <c r="K85" s="16">
        <f t="shared" si="6"/>
        <v>135996</v>
      </c>
      <c r="L85" s="94">
        <f t="shared" si="7"/>
        <v>430654</v>
      </c>
      <c r="M85" s="159">
        <f t="shared" si="8"/>
        <v>38</v>
      </c>
      <c r="N85" s="159"/>
      <c r="O85" s="97"/>
      <c r="P85" s="8"/>
    </row>
    <row r="86" spans="1:16" s="114" customFormat="1">
      <c r="A86" s="292" t="s">
        <v>561</v>
      </c>
      <c r="B86" s="96">
        <v>81</v>
      </c>
      <c r="C86" s="132" t="s">
        <v>562</v>
      </c>
      <c r="D86" s="11"/>
      <c r="E86" s="16">
        <v>450000</v>
      </c>
      <c r="F86" s="16">
        <v>59985</v>
      </c>
      <c r="G86" s="41">
        <f t="shared" si="9"/>
        <v>509985</v>
      </c>
      <c r="H86" s="318">
        <v>10199.700000000001</v>
      </c>
      <c r="I86" s="159">
        <v>50</v>
      </c>
      <c r="J86" s="97">
        <v>43</v>
      </c>
      <c r="K86" s="91">
        <f t="shared" si="6"/>
        <v>438587.10000000003</v>
      </c>
      <c r="L86" s="94">
        <f t="shared" si="7"/>
        <v>71397.899999999965</v>
      </c>
      <c r="M86" s="159">
        <f t="shared" si="8"/>
        <v>7</v>
      </c>
      <c r="N86" s="159"/>
      <c r="O86" s="97"/>
      <c r="P86" s="11"/>
    </row>
    <row r="87" spans="1:16" s="114" customFormat="1">
      <c r="A87" s="292" t="s">
        <v>702</v>
      </c>
      <c r="B87" s="96">
        <v>82</v>
      </c>
      <c r="C87" s="132" t="s">
        <v>703</v>
      </c>
      <c r="D87" s="11"/>
      <c r="E87" s="16">
        <v>450000</v>
      </c>
      <c r="F87" s="16">
        <v>59985</v>
      </c>
      <c r="G87" s="16">
        <v>509985</v>
      </c>
      <c r="H87" s="318">
        <v>10199.700000000001</v>
      </c>
      <c r="I87" s="159">
        <v>50</v>
      </c>
      <c r="J87" s="97">
        <v>28</v>
      </c>
      <c r="K87" s="91">
        <f t="shared" si="6"/>
        <v>285591.60000000003</v>
      </c>
      <c r="L87" s="91">
        <f t="shared" si="7"/>
        <v>224393.39999999997</v>
      </c>
      <c r="M87" s="159">
        <f t="shared" si="8"/>
        <v>22</v>
      </c>
      <c r="N87" s="159"/>
      <c r="O87" s="97"/>
      <c r="P87" s="11"/>
    </row>
    <row r="88" spans="1:16" s="114" customFormat="1">
      <c r="A88" s="294" t="s">
        <v>723</v>
      </c>
      <c r="B88" s="96">
        <v>83</v>
      </c>
      <c r="C88" s="132" t="s">
        <v>955</v>
      </c>
      <c r="D88" s="11"/>
      <c r="E88" s="16">
        <v>500000</v>
      </c>
      <c r="F88" s="16">
        <v>66650</v>
      </c>
      <c r="G88" s="41">
        <f>SUM(E88:F88)</f>
        <v>566650</v>
      </c>
      <c r="H88" s="317">
        <v>11333</v>
      </c>
      <c r="I88" s="159">
        <v>50</v>
      </c>
      <c r="J88" s="159">
        <v>10</v>
      </c>
      <c r="K88" s="91">
        <f t="shared" si="6"/>
        <v>113330</v>
      </c>
      <c r="L88" s="94">
        <f t="shared" si="7"/>
        <v>453320</v>
      </c>
      <c r="M88" s="159">
        <f t="shared" si="8"/>
        <v>40</v>
      </c>
      <c r="N88" s="159"/>
      <c r="O88" s="97"/>
      <c r="P88" s="11"/>
    </row>
    <row r="89" spans="1:16" s="114" customFormat="1">
      <c r="A89" s="292" t="s">
        <v>574</v>
      </c>
      <c r="B89" s="96">
        <v>84</v>
      </c>
      <c r="C89" s="11" t="s">
        <v>575</v>
      </c>
      <c r="D89" s="11"/>
      <c r="E89" s="16">
        <v>330000</v>
      </c>
      <c r="F89" s="16">
        <v>43989</v>
      </c>
      <c r="G89" s="41">
        <f>SUM(E89:F89)</f>
        <v>373989</v>
      </c>
      <c r="H89" s="146">
        <v>7479.78</v>
      </c>
      <c r="I89" s="159">
        <v>50</v>
      </c>
      <c r="J89" s="159">
        <v>50</v>
      </c>
      <c r="K89" s="91">
        <f>(32*7479.78)</f>
        <v>239352.95999999999</v>
      </c>
      <c r="L89" s="94">
        <f t="shared" si="7"/>
        <v>134636.04</v>
      </c>
      <c r="M89" s="159">
        <f t="shared" si="8"/>
        <v>0</v>
      </c>
      <c r="N89" s="159"/>
      <c r="O89" s="97"/>
      <c r="P89" s="11"/>
    </row>
    <row r="90" spans="1:16" s="114" customFormat="1">
      <c r="A90" s="122" t="s">
        <v>1176</v>
      </c>
      <c r="B90" s="96">
        <v>85</v>
      </c>
      <c r="C90" s="122" t="s">
        <v>1177</v>
      </c>
      <c r="D90" s="122"/>
      <c r="E90" s="16">
        <v>500000</v>
      </c>
      <c r="F90" s="16">
        <v>66650</v>
      </c>
      <c r="G90" s="41">
        <f>SUM(E90:F90)</f>
        <v>566650</v>
      </c>
      <c r="H90" s="271">
        <v>11333</v>
      </c>
      <c r="I90" s="159">
        <v>50</v>
      </c>
      <c r="J90" s="188">
        <v>2</v>
      </c>
      <c r="K90" s="16">
        <f t="shared" ref="K90:K121" si="10">J90*H90</f>
        <v>22666</v>
      </c>
      <c r="L90" s="94">
        <f t="shared" si="7"/>
        <v>543984</v>
      </c>
      <c r="M90" s="159">
        <f t="shared" si="8"/>
        <v>48</v>
      </c>
      <c r="N90" s="159"/>
      <c r="O90" s="159"/>
      <c r="P90" s="122"/>
    </row>
    <row r="91" spans="1:16" s="114" customFormat="1">
      <c r="A91" s="292" t="s">
        <v>559</v>
      </c>
      <c r="B91" s="96">
        <v>86</v>
      </c>
      <c r="C91" s="132" t="s">
        <v>560</v>
      </c>
      <c r="D91" s="11"/>
      <c r="E91" s="16">
        <v>500000</v>
      </c>
      <c r="F91" s="16">
        <v>66650</v>
      </c>
      <c r="G91" s="16">
        <v>566650</v>
      </c>
      <c r="H91" s="146">
        <v>11333</v>
      </c>
      <c r="I91" s="159">
        <v>50</v>
      </c>
      <c r="J91" s="96">
        <v>17</v>
      </c>
      <c r="K91" s="91">
        <f t="shared" si="10"/>
        <v>192661</v>
      </c>
      <c r="L91" s="94">
        <f t="shared" si="7"/>
        <v>373989</v>
      </c>
      <c r="M91" s="159">
        <f t="shared" si="8"/>
        <v>33</v>
      </c>
      <c r="N91" s="159"/>
      <c r="O91" s="97"/>
      <c r="P91" s="123"/>
    </row>
    <row r="92" spans="1:16" s="114" customFormat="1">
      <c r="A92" s="292" t="s">
        <v>629</v>
      </c>
      <c r="B92" s="96">
        <v>87</v>
      </c>
      <c r="C92" s="132" t="s">
        <v>630</v>
      </c>
      <c r="D92" s="11"/>
      <c r="E92" s="12">
        <v>330000</v>
      </c>
      <c r="F92" s="12">
        <v>43989</v>
      </c>
      <c r="G92" s="15">
        <f t="shared" ref="G92:G99" si="11">SUM(E92:F92)</f>
        <v>373989</v>
      </c>
      <c r="H92" s="146">
        <v>7479.78</v>
      </c>
      <c r="I92" s="14">
        <v>50</v>
      </c>
      <c r="J92" s="14">
        <v>48</v>
      </c>
      <c r="K92" s="91">
        <f t="shared" si="10"/>
        <v>359029.44</v>
      </c>
      <c r="L92" s="15">
        <f t="shared" si="7"/>
        <v>14959.559999999998</v>
      </c>
      <c r="M92" s="159">
        <f t="shared" si="8"/>
        <v>2</v>
      </c>
      <c r="N92" s="159"/>
      <c r="O92" s="97"/>
      <c r="P92" s="8"/>
    </row>
    <row r="93" spans="1:16" s="114" customFormat="1">
      <c r="A93" s="295" t="s">
        <v>943</v>
      </c>
      <c r="B93" s="96">
        <v>88</v>
      </c>
      <c r="C93" s="132" t="s">
        <v>944</v>
      </c>
      <c r="D93" s="8"/>
      <c r="E93" s="16">
        <v>450000</v>
      </c>
      <c r="F93" s="16">
        <v>59985</v>
      </c>
      <c r="G93" s="41">
        <f t="shared" si="11"/>
        <v>509985</v>
      </c>
      <c r="H93" s="319">
        <v>10199.700000000001</v>
      </c>
      <c r="I93" s="159">
        <v>50</v>
      </c>
      <c r="J93" s="159">
        <v>42</v>
      </c>
      <c r="K93" s="16">
        <f t="shared" si="10"/>
        <v>428387.4</v>
      </c>
      <c r="L93" s="94">
        <f t="shared" si="7"/>
        <v>81597.599999999977</v>
      </c>
      <c r="M93" s="159">
        <f t="shared" si="8"/>
        <v>8</v>
      </c>
      <c r="N93" s="159"/>
      <c r="O93" s="159"/>
      <c r="P93" s="8"/>
    </row>
    <row r="94" spans="1:16" s="114" customFormat="1">
      <c r="A94" s="292" t="s">
        <v>676</v>
      </c>
      <c r="B94" s="96">
        <v>89</v>
      </c>
      <c r="C94" s="132" t="s">
        <v>677</v>
      </c>
      <c r="D94" s="11"/>
      <c r="E94" s="19">
        <v>150000</v>
      </c>
      <c r="F94" s="19">
        <v>19995</v>
      </c>
      <c r="G94" s="19">
        <f t="shared" si="11"/>
        <v>169995</v>
      </c>
      <c r="H94" s="318">
        <v>3399.9</v>
      </c>
      <c r="I94" s="159">
        <v>50</v>
      </c>
      <c r="J94" s="97">
        <v>29</v>
      </c>
      <c r="K94" s="91">
        <f t="shared" si="10"/>
        <v>98597.1</v>
      </c>
      <c r="L94" s="91">
        <f t="shared" si="7"/>
        <v>71397.899999999994</v>
      </c>
      <c r="M94" s="159">
        <f t="shared" si="8"/>
        <v>21</v>
      </c>
      <c r="N94" s="159"/>
      <c r="O94" s="97"/>
      <c r="P94" s="11"/>
    </row>
    <row r="95" spans="1:16" s="114" customFormat="1">
      <c r="A95" s="292" t="s">
        <v>686</v>
      </c>
      <c r="B95" s="96">
        <v>90</v>
      </c>
      <c r="C95" s="132" t="s">
        <v>687</v>
      </c>
      <c r="D95" s="11"/>
      <c r="E95" s="16">
        <v>500000</v>
      </c>
      <c r="F95" s="16">
        <v>66650</v>
      </c>
      <c r="G95" s="41">
        <f t="shared" si="11"/>
        <v>566650</v>
      </c>
      <c r="H95" s="318">
        <v>11333</v>
      </c>
      <c r="I95" s="159">
        <v>50</v>
      </c>
      <c r="J95" s="97">
        <v>42</v>
      </c>
      <c r="K95" s="91">
        <f t="shared" si="10"/>
        <v>475986</v>
      </c>
      <c r="L95" s="94">
        <f t="shared" si="7"/>
        <v>90664</v>
      </c>
      <c r="M95" s="159">
        <f t="shared" si="8"/>
        <v>8</v>
      </c>
      <c r="N95" s="159"/>
      <c r="O95" s="97"/>
      <c r="P95" s="11"/>
    </row>
    <row r="96" spans="1:16" s="114" customFormat="1">
      <c r="A96" s="295" t="s">
        <v>1233</v>
      </c>
      <c r="B96" s="96">
        <v>91</v>
      </c>
      <c r="C96" s="8" t="s">
        <v>1234</v>
      </c>
      <c r="D96" s="8"/>
      <c r="E96" s="16">
        <v>500000</v>
      </c>
      <c r="F96" s="16">
        <v>66650</v>
      </c>
      <c r="G96" s="41">
        <f t="shared" si="11"/>
        <v>566650</v>
      </c>
      <c r="H96" s="34">
        <v>11333</v>
      </c>
      <c r="I96" s="159">
        <v>50</v>
      </c>
      <c r="J96" s="323">
        <v>2</v>
      </c>
      <c r="K96" s="16">
        <f t="shared" si="10"/>
        <v>22666</v>
      </c>
      <c r="L96" s="94">
        <f t="shared" si="7"/>
        <v>543984</v>
      </c>
      <c r="M96" s="159">
        <f t="shared" si="8"/>
        <v>48</v>
      </c>
      <c r="N96" s="159"/>
      <c r="O96" s="159"/>
      <c r="P96" s="8"/>
    </row>
    <row r="97" spans="1:16" s="114" customFormat="1">
      <c r="A97" s="292" t="s">
        <v>536</v>
      </c>
      <c r="B97" s="96">
        <v>92</v>
      </c>
      <c r="C97" s="132" t="s">
        <v>537</v>
      </c>
      <c r="D97" s="11"/>
      <c r="E97" s="12">
        <v>500000</v>
      </c>
      <c r="F97" s="12">
        <v>66650</v>
      </c>
      <c r="G97" s="15">
        <f t="shared" si="11"/>
        <v>566650</v>
      </c>
      <c r="H97" s="237">
        <v>11333</v>
      </c>
      <c r="I97" s="14">
        <v>50</v>
      </c>
      <c r="J97" s="14">
        <v>48</v>
      </c>
      <c r="K97" s="91">
        <f t="shared" si="10"/>
        <v>543984</v>
      </c>
      <c r="L97" s="15">
        <f t="shared" si="7"/>
        <v>22666</v>
      </c>
      <c r="M97" s="159">
        <f t="shared" si="8"/>
        <v>2</v>
      </c>
      <c r="N97" s="159"/>
      <c r="O97" s="97"/>
      <c r="P97" s="8"/>
    </row>
    <row r="98" spans="1:16" s="114" customFormat="1">
      <c r="A98" s="1" t="s">
        <v>1152</v>
      </c>
      <c r="B98" s="96">
        <v>93</v>
      </c>
      <c r="C98" s="1" t="s">
        <v>1153</v>
      </c>
      <c r="D98" s="1"/>
      <c r="E98" s="16">
        <v>500000</v>
      </c>
      <c r="F98" s="16">
        <v>66650</v>
      </c>
      <c r="G98" s="41">
        <f t="shared" si="11"/>
        <v>566650</v>
      </c>
      <c r="H98" s="34">
        <v>11333</v>
      </c>
      <c r="I98" s="159">
        <v>50</v>
      </c>
      <c r="J98" s="323">
        <v>2</v>
      </c>
      <c r="K98" s="16">
        <f t="shared" si="10"/>
        <v>22666</v>
      </c>
      <c r="L98" s="94">
        <f t="shared" si="7"/>
        <v>543984</v>
      </c>
      <c r="M98" s="159">
        <f t="shared" si="8"/>
        <v>48</v>
      </c>
      <c r="N98" s="159"/>
      <c r="O98" s="159"/>
      <c r="P98" s="8"/>
    </row>
    <row r="99" spans="1:16" s="114" customFormat="1">
      <c r="A99" s="292" t="s">
        <v>546</v>
      </c>
      <c r="B99" s="96">
        <v>94</v>
      </c>
      <c r="C99" s="132" t="s">
        <v>547</v>
      </c>
      <c r="D99" s="11"/>
      <c r="E99" s="19">
        <v>330000</v>
      </c>
      <c r="F99" s="19">
        <v>43989</v>
      </c>
      <c r="G99" s="19">
        <f t="shared" si="11"/>
        <v>373989</v>
      </c>
      <c r="H99" s="318">
        <v>9129.7800000000007</v>
      </c>
      <c r="I99" s="159">
        <v>40</v>
      </c>
      <c r="J99" s="159">
        <v>17</v>
      </c>
      <c r="K99" s="91">
        <f t="shared" si="10"/>
        <v>155206.26</v>
      </c>
      <c r="L99" s="94">
        <f t="shared" si="7"/>
        <v>218782.74</v>
      </c>
      <c r="M99" s="159">
        <f t="shared" si="8"/>
        <v>23</v>
      </c>
      <c r="N99" s="159"/>
      <c r="O99" s="97"/>
      <c r="P99" s="11"/>
    </row>
    <row r="100" spans="1:16" s="114" customFormat="1">
      <c r="A100" s="293" t="s">
        <v>893</v>
      </c>
      <c r="B100" s="96">
        <v>95</v>
      </c>
      <c r="C100" s="269" t="s">
        <v>915</v>
      </c>
      <c r="D100" s="123"/>
      <c r="E100" s="19">
        <v>450000</v>
      </c>
      <c r="F100" s="19">
        <v>59985</v>
      </c>
      <c r="G100" s="19">
        <v>509985</v>
      </c>
      <c r="H100" s="317">
        <v>10199.700000000001</v>
      </c>
      <c r="I100" s="159">
        <v>50</v>
      </c>
      <c r="J100" s="159">
        <v>12</v>
      </c>
      <c r="K100" s="16">
        <f t="shared" si="10"/>
        <v>122396.40000000001</v>
      </c>
      <c r="L100" s="94">
        <f t="shared" si="7"/>
        <v>387588.6</v>
      </c>
      <c r="M100" s="159">
        <f t="shared" si="8"/>
        <v>38</v>
      </c>
      <c r="N100" s="159"/>
      <c r="O100" s="159"/>
      <c r="P100" s="11"/>
    </row>
    <row r="101" spans="1:16" s="114" customFormat="1">
      <c r="A101" s="293" t="s">
        <v>1255</v>
      </c>
      <c r="B101" s="96">
        <v>96</v>
      </c>
      <c r="C101" s="123" t="s">
        <v>1256</v>
      </c>
      <c r="D101" s="123"/>
      <c r="E101" s="19">
        <v>450000</v>
      </c>
      <c r="F101" s="19">
        <v>59985</v>
      </c>
      <c r="G101" s="19">
        <v>509985</v>
      </c>
      <c r="H101" s="317">
        <v>10199.700000000001</v>
      </c>
      <c r="I101" s="159">
        <v>50</v>
      </c>
      <c r="J101" s="159">
        <v>4</v>
      </c>
      <c r="K101" s="16">
        <f t="shared" si="10"/>
        <v>40798.800000000003</v>
      </c>
      <c r="L101" s="94">
        <f t="shared" si="7"/>
        <v>469186.2</v>
      </c>
      <c r="M101" s="159">
        <f t="shared" si="8"/>
        <v>46</v>
      </c>
      <c r="N101" s="159"/>
      <c r="O101" s="159"/>
      <c r="P101" s="11"/>
    </row>
    <row r="102" spans="1:16" s="114" customFormat="1">
      <c r="A102" s="295" t="s">
        <v>947</v>
      </c>
      <c r="B102" s="96">
        <v>97</v>
      </c>
      <c r="C102" s="132" t="s">
        <v>948</v>
      </c>
      <c r="D102" s="8"/>
      <c r="E102" s="16">
        <v>500000</v>
      </c>
      <c r="F102" s="16">
        <v>66650</v>
      </c>
      <c r="G102" s="41">
        <f t="shared" ref="G102:G107" si="12">SUM(E102:F102)</f>
        <v>566650</v>
      </c>
      <c r="H102" s="319">
        <v>11333</v>
      </c>
      <c r="I102" s="159">
        <v>50</v>
      </c>
      <c r="J102" s="159">
        <v>9</v>
      </c>
      <c r="K102" s="16">
        <f t="shared" si="10"/>
        <v>101997</v>
      </c>
      <c r="L102" s="94">
        <f t="shared" ref="L102:L139" si="13">G102-K102</f>
        <v>464653</v>
      </c>
      <c r="M102" s="159">
        <f t="shared" si="8"/>
        <v>41</v>
      </c>
      <c r="N102" s="159"/>
      <c r="O102" s="159"/>
      <c r="P102" s="8"/>
    </row>
    <row r="103" spans="1:16" s="114" customFormat="1">
      <c r="A103" s="303" t="s">
        <v>1259</v>
      </c>
      <c r="B103" s="96">
        <v>98</v>
      </c>
      <c r="C103" s="123" t="s">
        <v>1260</v>
      </c>
      <c r="D103" s="123"/>
      <c r="E103" s="16">
        <v>500000</v>
      </c>
      <c r="F103" s="16">
        <v>66650</v>
      </c>
      <c r="G103" s="41">
        <f t="shared" si="12"/>
        <v>566650</v>
      </c>
      <c r="H103" s="317">
        <v>11333</v>
      </c>
      <c r="I103" s="240">
        <v>50</v>
      </c>
      <c r="J103" s="247">
        <v>4</v>
      </c>
      <c r="K103" s="16">
        <f t="shared" si="10"/>
        <v>45332</v>
      </c>
      <c r="L103" s="94">
        <f t="shared" si="13"/>
        <v>521318</v>
      </c>
      <c r="M103" s="159">
        <f t="shared" ref="M103:M139" si="14">I103-J103</f>
        <v>46</v>
      </c>
      <c r="N103" s="159"/>
      <c r="O103" s="159"/>
      <c r="P103" s="11"/>
    </row>
    <row r="104" spans="1:16" s="114" customFormat="1">
      <c r="A104" s="293" t="s">
        <v>1192</v>
      </c>
      <c r="B104" s="96">
        <v>99</v>
      </c>
      <c r="C104" s="123" t="s">
        <v>1193</v>
      </c>
      <c r="D104" s="123"/>
      <c r="E104" s="19">
        <v>330000</v>
      </c>
      <c r="F104" s="19">
        <v>43989</v>
      </c>
      <c r="G104" s="19">
        <f t="shared" si="12"/>
        <v>373989</v>
      </c>
      <c r="H104" s="317">
        <v>7479.78</v>
      </c>
      <c r="I104" s="159">
        <v>50</v>
      </c>
      <c r="J104" s="159">
        <v>3</v>
      </c>
      <c r="K104" s="16">
        <f t="shared" si="10"/>
        <v>22439.34</v>
      </c>
      <c r="L104" s="94">
        <f t="shared" si="13"/>
        <v>351549.66</v>
      </c>
      <c r="M104" s="159">
        <f t="shared" si="14"/>
        <v>47</v>
      </c>
      <c r="N104" s="159"/>
      <c r="O104" s="159"/>
      <c r="P104" s="11"/>
    </row>
    <row r="105" spans="1:16" s="114" customFormat="1">
      <c r="A105" s="292" t="s">
        <v>886</v>
      </c>
      <c r="B105" s="96">
        <v>100</v>
      </c>
      <c r="C105" s="132" t="s">
        <v>908</v>
      </c>
      <c r="D105" s="11"/>
      <c r="E105" s="16">
        <v>500000</v>
      </c>
      <c r="F105" s="16">
        <v>66650</v>
      </c>
      <c r="G105" s="41">
        <f t="shared" si="12"/>
        <v>566650</v>
      </c>
      <c r="H105" s="318">
        <v>11333</v>
      </c>
      <c r="I105" s="159">
        <v>50</v>
      </c>
      <c r="J105" s="97">
        <v>43</v>
      </c>
      <c r="K105" s="91">
        <f t="shared" si="10"/>
        <v>487319</v>
      </c>
      <c r="L105" s="94">
        <f t="shared" si="13"/>
        <v>79331</v>
      </c>
      <c r="M105" s="159">
        <f t="shared" si="14"/>
        <v>7</v>
      </c>
      <c r="N105" s="159"/>
      <c r="O105" s="97"/>
      <c r="P105" s="11"/>
    </row>
    <row r="106" spans="1:16" s="114" customFormat="1">
      <c r="A106" s="293" t="s">
        <v>1190</v>
      </c>
      <c r="B106" s="96">
        <v>101</v>
      </c>
      <c r="C106" s="123" t="s">
        <v>1191</v>
      </c>
      <c r="D106" s="123"/>
      <c r="E106" s="16">
        <v>500000</v>
      </c>
      <c r="F106" s="16">
        <v>66650</v>
      </c>
      <c r="G106" s="41">
        <f t="shared" si="12"/>
        <v>566650</v>
      </c>
      <c r="H106" s="317">
        <v>11333</v>
      </c>
      <c r="I106" s="159">
        <v>50</v>
      </c>
      <c r="J106" s="159">
        <v>4</v>
      </c>
      <c r="K106" s="16">
        <f t="shared" si="10"/>
        <v>45332</v>
      </c>
      <c r="L106" s="94">
        <f t="shared" si="13"/>
        <v>521318</v>
      </c>
      <c r="M106" s="159">
        <f t="shared" si="14"/>
        <v>46</v>
      </c>
      <c r="N106" s="159"/>
      <c r="O106" s="159"/>
      <c r="P106" s="11"/>
    </row>
    <row r="107" spans="1:16" s="114" customFormat="1">
      <c r="A107" s="292" t="s">
        <v>542</v>
      </c>
      <c r="B107" s="96">
        <v>102</v>
      </c>
      <c r="C107" s="132" t="s">
        <v>543</v>
      </c>
      <c r="D107" s="11"/>
      <c r="E107" s="16">
        <v>500000</v>
      </c>
      <c r="F107" s="16">
        <v>66650</v>
      </c>
      <c r="G107" s="41">
        <f t="shared" si="12"/>
        <v>566650</v>
      </c>
      <c r="H107" s="318">
        <v>11333</v>
      </c>
      <c r="I107" s="159">
        <v>50</v>
      </c>
      <c r="J107" s="97">
        <v>42</v>
      </c>
      <c r="K107" s="91">
        <f t="shared" si="10"/>
        <v>475986</v>
      </c>
      <c r="L107" s="94">
        <f t="shared" si="13"/>
        <v>90664</v>
      </c>
      <c r="M107" s="159">
        <f t="shared" si="14"/>
        <v>8</v>
      </c>
      <c r="N107" s="159"/>
      <c r="O107" s="97"/>
      <c r="P107" s="11"/>
    </row>
    <row r="108" spans="1:16" s="114" customFormat="1">
      <c r="A108" s="292" t="s">
        <v>680</v>
      </c>
      <c r="B108" s="96">
        <v>103</v>
      </c>
      <c r="C108" s="132" t="s">
        <v>681</v>
      </c>
      <c r="D108" s="11"/>
      <c r="E108" s="19">
        <v>500000</v>
      </c>
      <c r="F108" s="19">
        <v>66650</v>
      </c>
      <c r="G108" s="19">
        <v>566650</v>
      </c>
      <c r="H108" s="318">
        <v>11333</v>
      </c>
      <c r="I108" s="159">
        <v>50</v>
      </c>
      <c r="J108" s="97">
        <v>29</v>
      </c>
      <c r="K108" s="91">
        <f t="shared" si="10"/>
        <v>328657</v>
      </c>
      <c r="L108" s="91">
        <f t="shared" si="13"/>
        <v>237993</v>
      </c>
      <c r="M108" s="159">
        <f t="shared" si="14"/>
        <v>21</v>
      </c>
      <c r="N108" s="159"/>
      <c r="O108" s="97"/>
      <c r="P108" s="11"/>
    </row>
    <row r="109" spans="1:16" s="114" customFormat="1">
      <c r="A109" s="292" t="s">
        <v>684</v>
      </c>
      <c r="B109" s="96">
        <v>104</v>
      </c>
      <c r="C109" s="132" t="s">
        <v>685</v>
      </c>
      <c r="D109" s="11"/>
      <c r="E109" s="19">
        <v>500000</v>
      </c>
      <c r="F109" s="19">
        <v>66650</v>
      </c>
      <c r="G109" s="19">
        <v>566650</v>
      </c>
      <c r="H109" s="318">
        <v>11333</v>
      </c>
      <c r="I109" s="159">
        <v>50</v>
      </c>
      <c r="J109" s="97">
        <v>29</v>
      </c>
      <c r="K109" s="91">
        <f t="shared" si="10"/>
        <v>328657</v>
      </c>
      <c r="L109" s="91">
        <f t="shared" si="13"/>
        <v>237993</v>
      </c>
      <c r="M109" s="159">
        <f t="shared" si="14"/>
        <v>21</v>
      </c>
      <c r="N109" s="159"/>
      <c r="O109" s="97"/>
      <c r="P109" s="11"/>
    </row>
    <row r="110" spans="1:16" s="114" customFormat="1">
      <c r="A110" s="292" t="s">
        <v>730</v>
      </c>
      <c r="B110" s="96">
        <v>105</v>
      </c>
      <c r="C110" s="132" t="s">
        <v>731</v>
      </c>
      <c r="D110" s="11"/>
      <c r="E110" s="16">
        <v>500000</v>
      </c>
      <c r="F110" s="16">
        <v>66650</v>
      </c>
      <c r="G110" s="41">
        <f t="shared" ref="G110:G116" si="15">SUM(E110:F110)</f>
        <v>566650</v>
      </c>
      <c r="H110" s="318">
        <v>11333</v>
      </c>
      <c r="I110" s="159">
        <v>50</v>
      </c>
      <c r="J110" s="159">
        <v>19</v>
      </c>
      <c r="K110" s="91">
        <f t="shared" si="10"/>
        <v>215327</v>
      </c>
      <c r="L110" s="94">
        <f t="shared" si="13"/>
        <v>351323</v>
      </c>
      <c r="M110" s="159">
        <f t="shared" si="14"/>
        <v>31</v>
      </c>
      <c r="N110" s="159"/>
      <c r="O110" s="159"/>
      <c r="P110" s="11"/>
    </row>
    <row r="111" spans="1:16" s="114" customFormat="1">
      <c r="A111" s="293" t="s">
        <v>888</v>
      </c>
      <c r="B111" s="96">
        <v>106</v>
      </c>
      <c r="C111" s="269" t="s">
        <v>910</v>
      </c>
      <c r="D111" s="123"/>
      <c r="E111" s="16">
        <v>500000</v>
      </c>
      <c r="F111" s="16">
        <v>66650</v>
      </c>
      <c r="G111" s="41">
        <f t="shared" si="15"/>
        <v>566650</v>
      </c>
      <c r="H111" s="317">
        <v>11333</v>
      </c>
      <c r="I111" s="159">
        <v>50</v>
      </c>
      <c r="J111" s="159">
        <v>12</v>
      </c>
      <c r="K111" s="16">
        <f t="shared" si="10"/>
        <v>135996</v>
      </c>
      <c r="L111" s="94">
        <f t="shared" si="13"/>
        <v>430654</v>
      </c>
      <c r="M111" s="159">
        <f t="shared" si="14"/>
        <v>38</v>
      </c>
      <c r="N111" s="159"/>
      <c r="O111" s="159"/>
      <c r="P111" s="11"/>
    </row>
    <row r="112" spans="1:16" s="114" customFormat="1">
      <c r="A112" s="292" t="s">
        <v>949</v>
      </c>
      <c r="B112" s="96">
        <v>107</v>
      </c>
      <c r="C112" s="132" t="s">
        <v>950</v>
      </c>
      <c r="D112" s="11"/>
      <c r="E112" s="16">
        <v>500000</v>
      </c>
      <c r="F112" s="16">
        <v>66650</v>
      </c>
      <c r="G112" s="41">
        <f t="shared" si="15"/>
        <v>566650</v>
      </c>
      <c r="H112" s="318">
        <v>11333</v>
      </c>
      <c r="I112" s="159">
        <v>50</v>
      </c>
      <c r="J112" s="97">
        <v>42</v>
      </c>
      <c r="K112" s="91">
        <f t="shared" si="10"/>
        <v>475986</v>
      </c>
      <c r="L112" s="94">
        <f t="shared" si="13"/>
        <v>90664</v>
      </c>
      <c r="M112" s="159">
        <f t="shared" si="14"/>
        <v>8</v>
      </c>
      <c r="N112" s="159"/>
      <c r="O112" s="97"/>
      <c r="P112" s="11"/>
    </row>
    <row r="113" spans="1:17" s="114" customFormat="1">
      <c r="A113" s="292" t="s">
        <v>711</v>
      </c>
      <c r="B113" s="96">
        <v>108</v>
      </c>
      <c r="C113" s="132" t="s">
        <v>712</v>
      </c>
      <c r="D113" s="11"/>
      <c r="E113" s="16">
        <v>500000</v>
      </c>
      <c r="F113" s="16">
        <v>66650</v>
      </c>
      <c r="G113" s="41">
        <f t="shared" si="15"/>
        <v>566650</v>
      </c>
      <c r="H113" s="318">
        <v>11333</v>
      </c>
      <c r="I113" s="159">
        <v>50</v>
      </c>
      <c r="J113" s="97">
        <v>42</v>
      </c>
      <c r="K113" s="91">
        <f t="shared" si="10"/>
        <v>475986</v>
      </c>
      <c r="L113" s="94">
        <f t="shared" si="13"/>
        <v>90664</v>
      </c>
      <c r="M113" s="159">
        <f t="shared" si="14"/>
        <v>8</v>
      </c>
      <c r="N113" s="159"/>
      <c r="O113" s="97"/>
      <c r="P113" s="11"/>
    </row>
    <row r="114" spans="1:17" s="114" customFormat="1">
      <c r="A114" s="292" t="s">
        <v>585</v>
      </c>
      <c r="B114" s="96">
        <v>109</v>
      </c>
      <c r="C114" s="132" t="s">
        <v>586</v>
      </c>
      <c r="D114" s="11"/>
      <c r="E114" s="161">
        <v>500000</v>
      </c>
      <c r="F114" s="161">
        <v>66650</v>
      </c>
      <c r="G114" s="162">
        <f t="shared" si="15"/>
        <v>566650</v>
      </c>
      <c r="H114" s="318">
        <v>11333</v>
      </c>
      <c r="I114" s="96">
        <v>50</v>
      </c>
      <c r="J114" s="97">
        <v>43</v>
      </c>
      <c r="K114" s="146">
        <f t="shared" si="10"/>
        <v>487319</v>
      </c>
      <c r="L114" s="164">
        <f t="shared" si="13"/>
        <v>79331</v>
      </c>
      <c r="M114" s="159">
        <f t="shared" si="14"/>
        <v>7</v>
      </c>
      <c r="N114" s="159"/>
      <c r="O114" s="97"/>
      <c r="P114" s="123"/>
    </row>
    <row r="115" spans="1:17" s="114" customFormat="1">
      <c r="A115" s="292" t="s">
        <v>655</v>
      </c>
      <c r="B115" s="96">
        <v>110</v>
      </c>
      <c r="C115" s="132" t="s">
        <v>656</v>
      </c>
      <c r="D115" s="11"/>
      <c r="E115" s="16">
        <v>450000</v>
      </c>
      <c r="F115" s="16">
        <v>59985</v>
      </c>
      <c r="G115" s="41">
        <f t="shared" si="15"/>
        <v>509985</v>
      </c>
      <c r="H115" s="318">
        <v>10199.700000000001</v>
      </c>
      <c r="I115" s="159">
        <v>50</v>
      </c>
      <c r="J115" s="97">
        <v>43</v>
      </c>
      <c r="K115" s="91">
        <f t="shared" si="10"/>
        <v>438587.10000000003</v>
      </c>
      <c r="L115" s="94">
        <f t="shared" si="13"/>
        <v>71397.899999999965</v>
      </c>
      <c r="M115" s="159">
        <f t="shared" si="14"/>
        <v>7</v>
      </c>
      <c r="N115" s="159"/>
      <c r="O115" s="97"/>
      <c r="P115" s="11"/>
    </row>
    <row r="116" spans="1:17" s="114" customFormat="1">
      <c r="A116" s="295" t="s">
        <v>939</v>
      </c>
      <c r="B116" s="96">
        <v>111</v>
      </c>
      <c r="C116" s="132" t="s">
        <v>940</v>
      </c>
      <c r="D116" s="8"/>
      <c r="E116" s="19">
        <v>330000</v>
      </c>
      <c r="F116" s="19">
        <v>43989</v>
      </c>
      <c r="G116" s="19">
        <f t="shared" si="15"/>
        <v>373989</v>
      </c>
      <c r="H116" s="319">
        <v>7479.78</v>
      </c>
      <c r="I116" s="159">
        <v>50</v>
      </c>
      <c r="J116" s="159">
        <v>9</v>
      </c>
      <c r="K116" s="16">
        <f t="shared" si="10"/>
        <v>67318.02</v>
      </c>
      <c r="L116" s="94">
        <f t="shared" si="13"/>
        <v>306670.98</v>
      </c>
      <c r="M116" s="159">
        <f t="shared" si="14"/>
        <v>41</v>
      </c>
      <c r="N116" s="159"/>
      <c r="O116" s="159"/>
      <c r="P116" s="8"/>
    </row>
    <row r="117" spans="1:17" s="114" customFormat="1">
      <c r="A117" s="293" t="s">
        <v>1215</v>
      </c>
      <c r="B117" s="96">
        <v>112</v>
      </c>
      <c r="C117" s="132" t="s">
        <v>1216</v>
      </c>
      <c r="D117" s="11"/>
      <c r="E117" s="16">
        <v>450000</v>
      </c>
      <c r="F117" s="16">
        <v>59985</v>
      </c>
      <c r="G117" s="16">
        <v>509985</v>
      </c>
      <c r="H117" s="317">
        <v>10199.700000000001</v>
      </c>
      <c r="I117" s="159">
        <v>50</v>
      </c>
      <c r="J117" s="96">
        <v>5</v>
      </c>
      <c r="K117" s="91">
        <f t="shared" si="10"/>
        <v>50998.5</v>
      </c>
      <c r="L117" s="94">
        <f t="shared" si="13"/>
        <v>458986.5</v>
      </c>
      <c r="M117" s="159">
        <f t="shared" si="14"/>
        <v>45</v>
      </c>
      <c r="N117" s="159"/>
      <c r="O117" s="97"/>
      <c r="P117" s="11"/>
    </row>
    <row r="118" spans="1:17" s="114" customFormat="1">
      <c r="A118" s="293" t="s">
        <v>602</v>
      </c>
      <c r="B118" s="96">
        <v>113</v>
      </c>
      <c r="C118" s="132" t="s">
        <v>603</v>
      </c>
      <c r="D118" s="11"/>
      <c r="E118" s="19">
        <v>330000</v>
      </c>
      <c r="F118" s="19">
        <v>43989</v>
      </c>
      <c r="G118" s="19">
        <f>SUM(E118:F118)</f>
        <v>373989</v>
      </c>
      <c r="H118" s="317">
        <v>7479.78</v>
      </c>
      <c r="I118" s="159">
        <v>50</v>
      </c>
      <c r="J118" s="96">
        <v>5</v>
      </c>
      <c r="K118" s="91">
        <f t="shared" si="10"/>
        <v>37398.9</v>
      </c>
      <c r="L118" s="94">
        <f t="shared" si="13"/>
        <v>336590.1</v>
      </c>
      <c r="M118" s="159">
        <f t="shared" si="14"/>
        <v>45</v>
      </c>
      <c r="N118" s="159"/>
      <c r="O118" s="97"/>
      <c r="P118" s="11"/>
    </row>
    <row r="119" spans="1:17" s="114" customFormat="1">
      <c r="A119" s="293" t="s">
        <v>900</v>
      </c>
      <c r="B119" s="96">
        <v>114</v>
      </c>
      <c r="C119" s="269" t="s">
        <v>923</v>
      </c>
      <c r="D119" s="123"/>
      <c r="E119" s="19">
        <v>330000</v>
      </c>
      <c r="F119" s="19">
        <v>43989</v>
      </c>
      <c r="G119" s="19">
        <f>SUM(E119:F119)</f>
        <v>373989</v>
      </c>
      <c r="H119" s="317">
        <v>7479.78</v>
      </c>
      <c r="I119" s="159">
        <v>50</v>
      </c>
      <c r="J119" s="159">
        <v>47</v>
      </c>
      <c r="K119" s="16">
        <f t="shared" si="10"/>
        <v>351549.66</v>
      </c>
      <c r="L119" s="94">
        <f t="shared" si="13"/>
        <v>22439.340000000026</v>
      </c>
      <c r="M119" s="159">
        <f t="shared" si="14"/>
        <v>3</v>
      </c>
      <c r="N119" s="159"/>
      <c r="O119" s="159"/>
      <c r="P119" s="11"/>
    </row>
    <row r="120" spans="1:17" s="114" customFormat="1">
      <c r="A120" s="293" t="s">
        <v>1219</v>
      </c>
      <c r="B120" s="96">
        <v>115</v>
      </c>
      <c r="C120" s="132" t="s">
        <v>1220</v>
      </c>
      <c r="D120" s="11"/>
      <c r="E120" s="19">
        <v>330000</v>
      </c>
      <c r="F120" s="19">
        <v>43989</v>
      </c>
      <c r="G120" s="19">
        <f>SUM(E120:F120)</f>
        <v>373989</v>
      </c>
      <c r="H120" s="317">
        <v>7479.78</v>
      </c>
      <c r="I120" s="159">
        <v>50</v>
      </c>
      <c r="J120" s="96">
        <v>5</v>
      </c>
      <c r="K120" s="91">
        <f t="shared" si="10"/>
        <v>37398.9</v>
      </c>
      <c r="L120" s="94">
        <f t="shared" si="13"/>
        <v>336590.1</v>
      </c>
      <c r="M120" s="159">
        <f t="shared" si="14"/>
        <v>45</v>
      </c>
      <c r="N120" s="159"/>
      <c r="O120" s="97"/>
      <c r="P120" s="11"/>
    </row>
    <row r="121" spans="1:17" s="114" customFormat="1">
      <c r="A121" s="293" t="s">
        <v>1156</v>
      </c>
      <c r="B121" s="96">
        <v>116</v>
      </c>
      <c r="C121" s="132" t="s">
        <v>1157</v>
      </c>
      <c r="D121" s="11"/>
      <c r="E121" s="19"/>
      <c r="F121" s="19"/>
      <c r="G121" s="19">
        <v>200000</v>
      </c>
      <c r="H121" s="317">
        <v>5099.8500000000004</v>
      </c>
      <c r="I121" s="159">
        <v>50</v>
      </c>
      <c r="J121" s="96">
        <v>5</v>
      </c>
      <c r="K121" s="91">
        <f t="shared" si="10"/>
        <v>25499.25</v>
      </c>
      <c r="L121" s="94">
        <f t="shared" si="13"/>
        <v>174500.75</v>
      </c>
      <c r="M121" s="159">
        <f t="shared" si="14"/>
        <v>45</v>
      </c>
      <c r="N121" s="159"/>
      <c r="O121" s="97"/>
      <c r="P121" s="11"/>
    </row>
    <row r="122" spans="1:17" s="114" customFormat="1">
      <c r="A122" s="293" t="s">
        <v>1225</v>
      </c>
      <c r="B122" s="96">
        <v>117</v>
      </c>
      <c r="C122" s="132" t="s">
        <v>1226</v>
      </c>
      <c r="D122" s="11"/>
      <c r="E122" s="16">
        <v>500000</v>
      </c>
      <c r="F122" s="16">
        <v>66650</v>
      </c>
      <c r="G122" s="41">
        <f>SUM(E122:F122)</f>
        <v>566650</v>
      </c>
      <c r="H122" s="317">
        <v>11333</v>
      </c>
      <c r="I122" s="159">
        <v>50</v>
      </c>
      <c r="J122" s="96">
        <v>5</v>
      </c>
      <c r="K122" s="91">
        <f t="shared" ref="K122:K139" si="16">J122*H122</f>
        <v>56665</v>
      </c>
      <c r="L122" s="94">
        <f t="shared" si="13"/>
        <v>509985</v>
      </c>
      <c r="M122" s="159">
        <f t="shared" si="14"/>
        <v>45</v>
      </c>
      <c r="N122" s="159"/>
      <c r="O122" s="97"/>
      <c r="P122" s="11"/>
    </row>
    <row r="123" spans="1:17" s="114" customFormat="1">
      <c r="A123" s="292" t="s">
        <v>516</v>
      </c>
      <c r="B123" s="96">
        <v>118</v>
      </c>
      <c r="C123" s="132" t="s">
        <v>517</v>
      </c>
      <c r="D123" s="11"/>
      <c r="E123" s="16">
        <v>500000</v>
      </c>
      <c r="F123" s="16">
        <v>66650</v>
      </c>
      <c r="G123" s="41">
        <f>SUM(E123:F123)</f>
        <v>566650</v>
      </c>
      <c r="H123" s="146">
        <v>11333</v>
      </c>
      <c r="I123" s="159">
        <v>50</v>
      </c>
      <c r="J123" s="97">
        <v>43</v>
      </c>
      <c r="K123" s="91">
        <f t="shared" si="16"/>
        <v>487319</v>
      </c>
      <c r="L123" s="94">
        <f t="shared" si="13"/>
        <v>79331</v>
      </c>
      <c r="M123" s="159">
        <f t="shared" si="14"/>
        <v>7</v>
      </c>
      <c r="N123" s="159"/>
      <c r="O123" s="97"/>
      <c r="P123" s="11"/>
    </row>
    <row r="124" spans="1:17" s="114" customFormat="1">
      <c r="A124" s="294" t="s">
        <v>606</v>
      </c>
      <c r="B124" s="96">
        <v>119</v>
      </c>
      <c r="C124" s="269" t="s">
        <v>952</v>
      </c>
      <c r="D124" s="123"/>
      <c r="E124" s="19">
        <v>150000</v>
      </c>
      <c r="F124" s="19">
        <v>19995</v>
      </c>
      <c r="G124" s="19">
        <f>SUM(E124:F124)</f>
        <v>169995</v>
      </c>
      <c r="H124" s="317">
        <v>3399.9</v>
      </c>
      <c r="I124" s="159">
        <v>50</v>
      </c>
      <c r="J124" s="159">
        <v>10</v>
      </c>
      <c r="K124" s="91">
        <f t="shared" si="16"/>
        <v>33999</v>
      </c>
      <c r="L124" s="94">
        <f t="shared" si="13"/>
        <v>135996</v>
      </c>
      <c r="M124" s="159">
        <f t="shared" si="14"/>
        <v>40</v>
      </c>
      <c r="N124" s="159"/>
      <c r="O124" s="97"/>
      <c r="P124" s="11"/>
      <c r="Q124" s="120"/>
    </row>
    <row r="125" spans="1:17" s="114" customFormat="1">
      <c r="A125" s="292" t="s">
        <v>572</v>
      </c>
      <c r="B125" s="96">
        <v>120</v>
      </c>
      <c r="C125" s="132" t="s">
        <v>573</v>
      </c>
      <c r="D125" s="11"/>
      <c r="E125" s="12">
        <v>150000</v>
      </c>
      <c r="F125" s="12">
        <v>19995</v>
      </c>
      <c r="G125" s="15">
        <f>SUM(E125:F125)</f>
        <v>169995</v>
      </c>
      <c r="H125" s="318">
        <v>3399.9</v>
      </c>
      <c r="I125" s="14">
        <v>50</v>
      </c>
      <c r="J125" s="14">
        <v>48</v>
      </c>
      <c r="K125" s="91">
        <f t="shared" si="16"/>
        <v>163195.20000000001</v>
      </c>
      <c r="L125" s="15">
        <f t="shared" si="13"/>
        <v>6799.7999999999884</v>
      </c>
      <c r="M125" s="159">
        <f t="shared" si="14"/>
        <v>2</v>
      </c>
      <c r="N125" s="159"/>
      <c r="O125" s="97"/>
      <c r="P125" s="8"/>
    </row>
    <row r="126" spans="1:17" s="114" customFormat="1">
      <c r="A126" s="292" t="s">
        <v>649</v>
      </c>
      <c r="B126" s="96">
        <v>121</v>
      </c>
      <c r="C126" s="132" t="s">
        <v>650</v>
      </c>
      <c r="D126" s="11"/>
      <c r="E126" s="16">
        <v>450000</v>
      </c>
      <c r="F126" s="16">
        <v>59985</v>
      </c>
      <c r="G126" s="16">
        <v>509985</v>
      </c>
      <c r="H126" s="318">
        <v>10199.700000000001</v>
      </c>
      <c r="I126" s="159">
        <v>50</v>
      </c>
      <c r="J126" s="97">
        <v>28</v>
      </c>
      <c r="K126" s="91">
        <f t="shared" si="16"/>
        <v>285591.60000000003</v>
      </c>
      <c r="L126" s="91">
        <f t="shared" si="13"/>
        <v>224393.39999999997</v>
      </c>
      <c r="M126" s="159">
        <f t="shared" si="14"/>
        <v>22</v>
      </c>
      <c r="N126" s="159"/>
      <c r="O126" s="97"/>
      <c r="P126" s="11"/>
    </row>
    <row r="127" spans="1:17" s="114" customFormat="1">
      <c r="A127" s="293" t="s">
        <v>890</v>
      </c>
      <c r="B127" s="96">
        <v>122</v>
      </c>
      <c r="C127" s="269" t="s">
        <v>912</v>
      </c>
      <c r="D127" s="123"/>
      <c r="E127" s="16">
        <v>500000</v>
      </c>
      <c r="F127" s="16">
        <v>66650</v>
      </c>
      <c r="G127" s="41">
        <f>SUM(E127:F127)</f>
        <v>566650</v>
      </c>
      <c r="H127" s="317">
        <v>11333</v>
      </c>
      <c r="I127" s="159">
        <v>50</v>
      </c>
      <c r="J127" s="159">
        <v>12</v>
      </c>
      <c r="K127" s="16">
        <f t="shared" si="16"/>
        <v>135996</v>
      </c>
      <c r="L127" s="94">
        <f t="shared" si="13"/>
        <v>430654</v>
      </c>
      <c r="M127" s="159">
        <f t="shared" si="14"/>
        <v>38</v>
      </c>
      <c r="N127" s="159"/>
      <c r="O127" s="159"/>
      <c r="P127" s="11"/>
    </row>
    <row r="128" spans="1:17" s="114" customFormat="1">
      <c r="A128" s="292" t="s">
        <v>609</v>
      </c>
      <c r="B128" s="96">
        <v>123</v>
      </c>
      <c r="C128" s="132" t="s">
        <v>610</v>
      </c>
      <c r="D128" s="11"/>
      <c r="E128" s="16">
        <v>500000</v>
      </c>
      <c r="F128" s="16">
        <v>66650</v>
      </c>
      <c r="G128" s="41">
        <f>SUM(E128:F128)</f>
        <v>566650</v>
      </c>
      <c r="H128" s="318">
        <v>11333</v>
      </c>
      <c r="I128" s="159">
        <v>50</v>
      </c>
      <c r="J128" s="97">
        <v>42</v>
      </c>
      <c r="K128" s="91">
        <f t="shared" si="16"/>
        <v>475986</v>
      </c>
      <c r="L128" s="94">
        <f t="shared" si="13"/>
        <v>90664</v>
      </c>
      <c r="M128" s="159">
        <f t="shared" si="14"/>
        <v>8</v>
      </c>
      <c r="N128" s="159"/>
      <c r="O128" s="97"/>
      <c r="P128" s="11"/>
    </row>
    <row r="129" spans="1:16" s="114" customFormat="1">
      <c r="A129" s="293" t="s">
        <v>1241</v>
      </c>
      <c r="B129" s="96">
        <v>124</v>
      </c>
      <c r="C129" s="123" t="s">
        <v>1242</v>
      </c>
      <c r="D129" s="123"/>
      <c r="E129" s="19">
        <v>450000</v>
      </c>
      <c r="F129" s="19">
        <v>59985</v>
      </c>
      <c r="G129" s="19">
        <v>509985</v>
      </c>
      <c r="H129" s="317">
        <v>10199.700000000001</v>
      </c>
      <c r="I129" s="159">
        <v>50</v>
      </c>
      <c r="J129" s="159">
        <v>4</v>
      </c>
      <c r="K129" s="16">
        <f t="shared" si="16"/>
        <v>40798.800000000003</v>
      </c>
      <c r="L129" s="94">
        <f t="shared" si="13"/>
        <v>469186.2</v>
      </c>
      <c r="M129" s="159">
        <f t="shared" si="14"/>
        <v>46</v>
      </c>
      <c r="N129" s="159"/>
      <c r="O129" s="159"/>
      <c r="P129" s="11"/>
    </row>
    <row r="130" spans="1:16" s="114" customFormat="1">
      <c r="A130" s="292" t="s">
        <v>524</v>
      </c>
      <c r="B130" s="96">
        <v>125</v>
      </c>
      <c r="C130" s="132" t="s">
        <v>525</v>
      </c>
      <c r="D130" s="11"/>
      <c r="E130" s="19">
        <v>330000</v>
      </c>
      <c r="F130" s="19">
        <v>43989</v>
      </c>
      <c r="G130" s="19">
        <f>SUM(E130:F130)</f>
        <v>373989</v>
      </c>
      <c r="H130" s="146">
        <v>7479.78</v>
      </c>
      <c r="I130" s="159">
        <v>50</v>
      </c>
      <c r="J130" s="159">
        <v>17</v>
      </c>
      <c r="K130" s="91">
        <f t="shared" si="16"/>
        <v>127156.26</v>
      </c>
      <c r="L130" s="94">
        <f t="shared" si="13"/>
        <v>246832.74</v>
      </c>
      <c r="M130" s="159">
        <f t="shared" si="14"/>
        <v>33</v>
      </c>
      <c r="N130" s="159"/>
      <c r="O130" s="97"/>
      <c r="P130" s="11"/>
    </row>
    <row r="131" spans="1:16" s="114" customFormat="1">
      <c r="A131" s="292" t="s">
        <v>576</v>
      </c>
      <c r="B131" s="96">
        <v>126</v>
      </c>
      <c r="C131" s="132" t="s">
        <v>927</v>
      </c>
      <c r="D131" s="11"/>
      <c r="E131" s="16">
        <v>60000</v>
      </c>
      <c r="F131" s="16">
        <v>7998</v>
      </c>
      <c r="G131" s="41">
        <f>SUM(E131:F131)</f>
        <v>67998</v>
      </c>
      <c r="H131" s="318">
        <v>1699.95</v>
      </c>
      <c r="I131" s="159">
        <v>40</v>
      </c>
      <c r="J131" s="97">
        <v>18</v>
      </c>
      <c r="K131" s="91">
        <f t="shared" si="16"/>
        <v>30599.100000000002</v>
      </c>
      <c r="L131" s="94">
        <f t="shared" si="13"/>
        <v>37398.899999999994</v>
      </c>
      <c r="M131" s="159">
        <f t="shared" si="14"/>
        <v>22</v>
      </c>
      <c r="N131" s="159"/>
      <c r="O131" s="97"/>
      <c r="P131" s="11"/>
    </row>
    <row r="132" spans="1:16" s="114" customFormat="1">
      <c r="A132" s="1" t="s">
        <v>1168</v>
      </c>
      <c r="B132" s="96">
        <v>127</v>
      </c>
      <c r="C132" s="1" t="s">
        <v>1169</v>
      </c>
      <c r="D132" s="1"/>
      <c r="E132" s="19">
        <v>330000</v>
      </c>
      <c r="F132" s="19">
        <v>43989</v>
      </c>
      <c r="G132" s="19">
        <f>SUM(E132:F132)</f>
        <v>373989</v>
      </c>
      <c r="H132" s="34">
        <v>7479.78</v>
      </c>
      <c r="I132" s="159">
        <v>50</v>
      </c>
      <c r="J132" s="323">
        <v>2</v>
      </c>
      <c r="K132" s="16">
        <f t="shared" si="16"/>
        <v>14959.56</v>
      </c>
      <c r="L132" s="94">
        <f t="shared" si="13"/>
        <v>359029.44</v>
      </c>
      <c r="M132" s="159">
        <f t="shared" si="14"/>
        <v>48</v>
      </c>
      <c r="N132" s="159"/>
      <c r="O132" s="159"/>
      <c r="P132" s="8"/>
    </row>
    <row r="133" spans="1:16" s="114" customFormat="1">
      <c r="A133" s="293" t="s">
        <v>653</v>
      </c>
      <c r="B133" s="96">
        <v>128</v>
      </c>
      <c r="C133" s="132" t="s">
        <v>654</v>
      </c>
      <c r="D133" s="11"/>
      <c r="E133" s="19">
        <v>330000</v>
      </c>
      <c r="F133" s="19">
        <v>43989</v>
      </c>
      <c r="G133" s="19">
        <f>SUM(E133:F133)</f>
        <v>373989</v>
      </c>
      <c r="H133" s="317">
        <v>7479.78</v>
      </c>
      <c r="I133" s="159">
        <v>50</v>
      </c>
      <c r="J133" s="96">
        <v>35</v>
      </c>
      <c r="K133" s="91">
        <f t="shared" si="16"/>
        <v>261792.3</v>
      </c>
      <c r="L133" s="94">
        <f t="shared" si="13"/>
        <v>112196.70000000001</v>
      </c>
      <c r="M133" s="159">
        <f t="shared" si="14"/>
        <v>15</v>
      </c>
      <c r="N133" s="159"/>
      <c r="O133" s="97"/>
      <c r="P133" s="11"/>
    </row>
    <row r="134" spans="1:16" s="114" customFormat="1">
      <c r="A134" s="293" t="s">
        <v>1160</v>
      </c>
      <c r="B134" s="96">
        <v>129</v>
      </c>
      <c r="C134" s="123" t="s">
        <v>1161</v>
      </c>
      <c r="D134" s="123"/>
      <c r="E134" s="19">
        <v>450000</v>
      </c>
      <c r="F134" s="19">
        <v>59985</v>
      </c>
      <c r="G134" s="19">
        <v>509985</v>
      </c>
      <c r="H134" s="317">
        <v>10199.700000000001</v>
      </c>
      <c r="I134" s="159">
        <v>50</v>
      </c>
      <c r="J134" s="159">
        <v>4</v>
      </c>
      <c r="K134" s="16">
        <f t="shared" si="16"/>
        <v>40798.800000000003</v>
      </c>
      <c r="L134" s="94">
        <f t="shared" si="13"/>
        <v>469186.2</v>
      </c>
      <c r="M134" s="159">
        <f t="shared" si="14"/>
        <v>46</v>
      </c>
      <c r="N134" s="159"/>
      <c r="O134" s="159"/>
      <c r="P134" s="11"/>
    </row>
    <row r="135" spans="1:16" s="114" customFormat="1">
      <c r="A135" s="293"/>
      <c r="B135" s="96">
        <v>130</v>
      </c>
      <c r="C135" s="123" t="s">
        <v>1268</v>
      </c>
      <c r="D135" s="123"/>
      <c r="E135" s="16">
        <v>500000</v>
      </c>
      <c r="F135" s="16">
        <v>66650</v>
      </c>
      <c r="G135" s="41">
        <f>SUM(E135:F135)</f>
        <v>566650</v>
      </c>
      <c r="H135" s="317">
        <v>11749.67</v>
      </c>
      <c r="I135" s="159">
        <v>50</v>
      </c>
      <c r="J135" s="159">
        <v>17</v>
      </c>
      <c r="K135" s="16">
        <f t="shared" si="16"/>
        <v>199744.39</v>
      </c>
      <c r="L135" s="94">
        <f t="shared" si="13"/>
        <v>366905.61</v>
      </c>
      <c r="M135" s="159">
        <f t="shared" si="14"/>
        <v>33</v>
      </c>
      <c r="N135" s="159"/>
      <c r="O135" s="159"/>
      <c r="P135" s="11"/>
    </row>
    <row r="136" spans="1:16" s="114" customFormat="1">
      <c r="A136" s="293"/>
      <c r="B136" s="96">
        <v>131</v>
      </c>
      <c r="C136" s="123" t="s">
        <v>1269</v>
      </c>
      <c r="D136" s="123"/>
      <c r="E136" s="19">
        <v>450000</v>
      </c>
      <c r="F136" s="19">
        <v>59985</v>
      </c>
      <c r="G136" s="19">
        <v>509985</v>
      </c>
      <c r="H136" s="317">
        <v>10199.700000000001</v>
      </c>
      <c r="I136" s="159">
        <v>50</v>
      </c>
      <c r="J136" s="159">
        <v>24</v>
      </c>
      <c r="K136" s="16">
        <f t="shared" si="16"/>
        <v>244792.80000000002</v>
      </c>
      <c r="L136" s="94">
        <f t="shared" si="13"/>
        <v>265192.19999999995</v>
      </c>
      <c r="M136" s="159">
        <f t="shared" si="14"/>
        <v>26</v>
      </c>
      <c r="N136" s="159"/>
      <c r="O136" s="159"/>
      <c r="P136" s="11"/>
    </row>
    <row r="137" spans="1:16" s="114" customFormat="1">
      <c r="A137" s="293"/>
      <c r="B137" s="96">
        <v>132</v>
      </c>
      <c r="C137" s="123" t="s">
        <v>1270</v>
      </c>
      <c r="D137" s="123"/>
      <c r="E137" s="19">
        <v>150000</v>
      </c>
      <c r="F137" s="19">
        <v>19995</v>
      </c>
      <c r="G137" s="19">
        <f>SUM(E137:F137)</f>
        <v>169995</v>
      </c>
      <c r="H137" s="317">
        <v>3399.9</v>
      </c>
      <c r="I137" s="159">
        <v>50</v>
      </c>
      <c r="J137" s="159">
        <v>28</v>
      </c>
      <c r="K137" s="16">
        <f t="shared" si="16"/>
        <v>95197.2</v>
      </c>
      <c r="L137" s="94">
        <f t="shared" si="13"/>
        <v>74797.8</v>
      </c>
      <c r="M137" s="159">
        <f t="shared" si="14"/>
        <v>22</v>
      </c>
      <c r="N137" s="159"/>
      <c r="O137" s="159"/>
      <c r="P137" s="11"/>
    </row>
    <row r="138" spans="1:16" s="114" customFormat="1">
      <c r="A138" s="293"/>
      <c r="B138" s="96">
        <v>133</v>
      </c>
      <c r="C138" s="123" t="s">
        <v>1271</v>
      </c>
      <c r="D138" s="123"/>
      <c r="E138" s="19">
        <v>330000</v>
      </c>
      <c r="F138" s="19">
        <v>43989</v>
      </c>
      <c r="G138" s="19">
        <f>SUM(E138:F138)</f>
        <v>373989</v>
      </c>
      <c r="H138" s="317">
        <v>7479.78</v>
      </c>
      <c r="I138" s="159">
        <v>50</v>
      </c>
      <c r="J138" s="159">
        <v>2</v>
      </c>
      <c r="K138" s="16">
        <f t="shared" si="16"/>
        <v>14959.56</v>
      </c>
      <c r="L138" s="94">
        <f t="shared" si="13"/>
        <v>359029.44</v>
      </c>
      <c r="M138" s="159">
        <f t="shared" si="14"/>
        <v>48</v>
      </c>
      <c r="N138" s="159"/>
      <c r="O138" s="159"/>
      <c r="P138" s="11"/>
    </row>
    <row r="139" spans="1:16" s="114" customFormat="1">
      <c r="A139" s="293"/>
      <c r="B139" s="96">
        <v>134</v>
      </c>
      <c r="C139" s="123" t="s">
        <v>1272</v>
      </c>
      <c r="D139" s="123"/>
      <c r="E139" s="19">
        <v>450000</v>
      </c>
      <c r="F139" s="19">
        <v>59985</v>
      </c>
      <c r="G139" s="19">
        <v>509985</v>
      </c>
      <c r="H139" s="317">
        <v>10199.700000000001</v>
      </c>
      <c r="I139" s="159">
        <v>50</v>
      </c>
      <c r="J139" s="159">
        <v>2</v>
      </c>
      <c r="K139" s="16">
        <f t="shared" si="16"/>
        <v>20399.400000000001</v>
      </c>
      <c r="L139" s="94">
        <f t="shared" si="13"/>
        <v>489585.6</v>
      </c>
      <c r="M139" s="159">
        <f t="shared" si="14"/>
        <v>48</v>
      </c>
      <c r="N139" s="159"/>
      <c r="O139" s="159"/>
      <c r="P139" s="11"/>
    </row>
    <row r="140" spans="1:16" s="114" customFormat="1">
      <c r="A140" s="295"/>
      <c r="B140" s="126"/>
      <c r="C140" s="8"/>
      <c r="D140" s="8"/>
      <c r="E140" s="34">
        <f>SUM(E6:E139)</f>
        <v>55620000</v>
      </c>
      <c r="F140" s="34">
        <f>SUM(F6:F139)</f>
        <v>7383171.2000000002</v>
      </c>
      <c r="G140" s="34">
        <f>SUM(G6:G139)</f>
        <v>63203171.200000003</v>
      </c>
      <c r="H140" s="34">
        <f>SUM(H6:H139)</f>
        <v>1279973.0999999999</v>
      </c>
      <c r="I140" s="34"/>
      <c r="J140" s="34"/>
      <c r="K140" s="34">
        <f>SUM(K6:K139)</f>
        <v>26895489.580000002</v>
      </c>
      <c r="L140" s="34">
        <f>SUM(L6:L139)</f>
        <v>36307681.619999997</v>
      </c>
      <c r="M140" s="34"/>
      <c r="N140" s="34"/>
      <c r="O140" s="34"/>
      <c r="P140" s="8"/>
    </row>
    <row r="141" spans="1:16" s="114" customFormat="1">
      <c r="A141"/>
      <c r="B141" s="270"/>
      <c r="C141"/>
      <c r="D141"/>
      <c r="E141" s="165"/>
      <c r="F141" s="67"/>
      <c r="G141" s="67"/>
      <c r="H141" s="276"/>
      <c r="I141" s="67"/>
      <c r="J141" s="67"/>
      <c r="K141" s="67"/>
      <c r="L141" s="67"/>
      <c r="M141" s="67"/>
      <c r="N141" s="67"/>
      <c r="O141" s="67"/>
      <c r="P141" s="69"/>
    </row>
    <row r="142" spans="1:16" s="114" customFormat="1">
      <c r="A142"/>
      <c r="B142" s="270"/>
      <c r="C142"/>
      <c r="D142"/>
      <c r="E142" s="165"/>
      <c r="F142" s="67"/>
      <c r="G142" s="67"/>
      <c r="H142" s="311"/>
      <c r="I142" s="67"/>
      <c r="J142" s="67"/>
      <c r="K142" s="67"/>
      <c r="L142" s="67"/>
      <c r="M142" s="67"/>
      <c r="N142" s="67"/>
      <c r="O142" s="67"/>
      <c r="P142" s="69"/>
    </row>
    <row r="143" spans="1:16" s="114" customFormat="1" ht="12.75" customHeight="1"/>
    <row r="144" spans="1:16" s="114" customFormat="1" ht="12.75" customHeight="1"/>
    <row r="145" spans="1:16" s="114" customFormat="1">
      <c r="A145"/>
      <c r="B145" s="270"/>
      <c r="C145"/>
      <c r="D145"/>
      <c r="E145" s="165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9"/>
    </row>
    <row r="146" spans="1:16" s="114" customFormat="1" ht="13.5" customHeight="1">
      <c r="A146"/>
      <c r="B146" s="270"/>
      <c r="C146"/>
      <c r="D146"/>
      <c r="E146" s="165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9"/>
    </row>
    <row r="147" spans="1:16" s="114" customFormat="1">
      <c r="A147"/>
      <c r="B147" s="270"/>
      <c r="C147"/>
      <c r="D147"/>
      <c r="E147" s="165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9"/>
    </row>
    <row r="148" spans="1:16" s="114" customFormat="1">
      <c r="A148"/>
      <c r="B148" s="270"/>
      <c r="C148"/>
      <c r="D148"/>
      <c r="E148" s="165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9"/>
    </row>
    <row r="149" spans="1:16" s="114" customFormat="1">
      <c r="A149"/>
      <c r="B149" s="270"/>
      <c r="C149"/>
      <c r="D149"/>
      <c r="E149" s="165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9"/>
    </row>
    <row r="150" spans="1:16" s="114" customFormat="1">
      <c r="A150"/>
      <c r="B150" s="270"/>
      <c r="C150"/>
      <c r="D150"/>
      <c r="E150" s="165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9"/>
    </row>
    <row r="151" spans="1:16" s="114" customFormat="1">
      <c r="A151"/>
      <c r="B151" s="270"/>
      <c r="C151"/>
      <c r="D151"/>
      <c r="E151" s="165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9"/>
    </row>
    <row r="152" spans="1:16" s="114" customFormat="1">
      <c r="A152"/>
      <c r="B152" s="270"/>
      <c r="C152"/>
      <c r="D152"/>
      <c r="E152" s="165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9"/>
    </row>
    <row r="153" spans="1:16" s="114" customFormat="1">
      <c r="A153"/>
      <c r="B153" s="270"/>
      <c r="C153"/>
      <c r="D153"/>
      <c r="E153" s="165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9"/>
    </row>
    <row r="154" spans="1:16" s="114" customFormat="1">
      <c r="A154"/>
      <c r="B154" s="270"/>
      <c r="C154"/>
      <c r="D154"/>
      <c r="E154" s="165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9"/>
    </row>
  </sheetData>
  <mergeCells count="2">
    <mergeCell ref="B3:P3"/>
    <mergeCell ref="B4:P4"/>
  </mergeCells>
  <conditionalFormatting sqref="C3:D3">
    <cfRule type="duplicateValues" dxfId="207" priority="12"/>
  </conditionalFormatting>
  <conditionalFormatting sqref="C135:D139">
    <cfRule type="duplicateValues" dxfId="206" priority="8"/>
    <cfRule type="duplicateValues" dxfId="205" priority="9"/>
  </conditionalFormatting>
  <conditionalFormatting sqref="C135:D139">
    <cfRule type="duplicateValues" dxfId="204" priority="7"/>
  </conditionalFormatting>
  <conditionalFormatting sqref="A135:A139">
    <cfRule type="duplicateValues" dxfId="203" priority="6"/>
  </conditionalFormatting>
  <conditionalFormatting sqref="C155:D1048576 C1:D5">
    <cfRule type="duplicateValues" dxfId="202" priority="3"/>
  </conditionalFormatting>
  <conditionalFormatting sqref="C155:D1048576 C1:D2 C4:D5">
    <cfRule type="duplicateValues" dxfId="201" priority="2"/>
  </conditionalFormatting>
  <conditionalFormatting sqref="C155:D1048576">
    <cfRule type="duplicateValues" dxfId="200" priority="1"/>
  </conditionalFormatting>
  <conditionalFormatting sqref="C1:D126 C132:D142 C145:D1048576">
    <cfRule type="duplicateValues" dxfId="199" priority="14"/>
  </conditionalFormatting>
  <conditionalFormatting sqref="A1:A126 A132:A142 A145:A1048576">
    <cfRule type="duplicateValues" dxfId="198" priority="18"/>
  </conditionalFormatting>
  <conditionalFormatting sqref="C1:D126 C132:D142 C145:D1048576">
    <cfRule type="duplicateValues" dxfId="197" priority="26"/>
    <cfRule type="duplicateValues" dxfId="196" priority="27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B3:R145"/>
  <sheetViews>
    <sheetView topLeftCell="A115" workbookViewId="0">
      <selection activeCell="F132" sqref="F132"/>
    </sheetView>
  </sheetViews>
  <sheetFormatPr defaultRowHeight="15"/>
  <cols>
    <col min="2" max="2" width="13.140625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2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7" ht="18">
      <c r="B4" s="324"/>
      <c r="C4" s="424" t="s">
        <v>1278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2:17" s="44" customFormat="1" ht="51">
      <c r="B5" s="291" t="s">
        <v>869</v>
      </c>
      <c r="C5" s="5" t="s">
        <v>0</v>
      </c>
      <c r="D5" s="266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2:17" s="114" customFormat="1">
      <c r="B6" s="293" t="s">
        <v>1235</v>
      </c>
      <c r="C6" s="96">
        <v>1</v>
      </c>
      <c r="D6" s="123" t="s">
        <v>1236</v>
      </c>
      <c r="E6" s="123"/>
      <c r="F6" s="19">
        <v>330000</v>
      </c>
      <c r="G6" s="19">
        <v>43989</v>
      </c>
      <c r="H6" s="19">
        <f>SUM(F6:G6)</f>
        <v>373989</v>
      </c>
      <c r="I6" s="317">
        <v>7479.78</v>
      </c>
      <c r="J6" s="159">
        <v>50</v>
      </c>
      <c r="K6" s="159">
        <v>12</v>
      </c>
      <c r="L6" s="16">
        <f>K6*I6</f>
        <v>89757.36</v>
      </c>
      <c r="M6" s="94">
        <f t="shared" ref="M6:M69" si="0">H6-L6</f>
        <v>284231.64</v>
      </c>
      <c r="N6" s="159">
        <f>J6-K6</f>
        <v>38</v>
      </c>
      <c r="O6" s="159"/>
      <c r="P6" s="159"/>
      <c r="Q6" s="11"/>
    </row>
    <row r="7" spans="2:17" s="114" customFormat="1">
      <c r="B7" s="293" t="s">
        <v>894</v>
      </c>
      <c r="C7" s="96">
        <v>2</v>
      </c>
      <c r="D7" s="123" t="s">
        <v>916</v>
      </c>
      <c r="E7" s="123"/>
      <c r="F7" s="19">
        <v>450000</v>
      </c>
      <c r="G7" s="19">
        <v>59985</v>
      </c>
      <c r="H7" s="19">
        <v>509985</v>
      </c>
      <c r="I7" s="317">
        <v>10199.700000000001</v>
      </c>
      <c r="J7" s="159">
        <v>50</v>
      </c>
      <c r="K7" s="159">
        <v>13</v>
      </c>
      <c r="L7" s="16">
        <f t="shared" ref="L7:L30" si="1">K7*I7</f>
        <v>132596.1</v>
      </c>
      <c r="M7" s="94">
        <f t="shared" si="0"/>
        <v>377388.9</v>
      </c>
      <c r="N7" s="159">
        <f t="shared" ref="N7:N70" si="2">J7-K7</f>
        <v>37</v>
      </c>
      <c r="O7" s="159"/>
      <c r="P7" s="159"/>
      <c r="Q7" s="11"/>
    </row>
    <row r="8" spans="2:17" s="114" customFormat="1">
      <c r="B8" s="292" t="s">
        <v>666</v>
      </c>
      <c r="C8" s="96">
        <v>3</v>
      </c>
      <c r="D8" s="11" t="s">
        <v>667</v>
      </c>
      <c r="E8" s="11"/>
      <c r="F8" s="19">
        <v>150000</v>
      </c>
      <c r="G8" s="19">
        <v>19995</v>
      </c>
      <c r="H8" s="19">
        <f>SUM(F8:G8)</f>
        <v>169995</v>
      </c>
      <c r="I8" s="318">
        <v>3339.9</v>
      </c>
      <c r="J8" s="159">
        <v>50</v>
      </c>
      <c r="K8" s="159">
        <v>16</v>
      </c>
      <c r="L8" s="91">
        <f t="shared" si="1"/>
        <v>53438.400000000001</v>
      </c>
      <c r="M8" s="94">
        <f t="shared" si="0"/>
        <v>116556.6</v>
      </c>
      <c r="N8" s="159">
        <f t="shared" si="2"/>
        <v>34</v>
      </c>
      <c r="O8" s="159"/>
      <c r="P8" s="97"/>
      <c r="Q8" s="11"/>
    </row>
    <row r="9" spans="2:17" s="114" customFormat="1">
      <c r="B9" s="293" t="s">
        <v>896</v>
      </c>
      <c r="C9" s="96">
        <v>4</v>
      </c>
      <c r="D9" s="123" t="s">
        <v>919</v>
      </c>
      <c r="E9" s="123"/>
      <c r="F9" s="19">
        <v>450000</v>
      </c>
      <c r="G9" s="19">
        <v>59985</v>
      </c>
      <c r="H9" s="19">
        <v>509985</v>
      </c>
      <c r="I9" s="317">
        <v>10199.700000000001</v>
      </c>
      <c r="J9" s="159">
        <v>50</v>
      </c>
      <c r="K9" s="159">
        <v>13</v>
      </c>
      <c r="L9" s="16">
        <f t="shared" si="1"/>
        <v>132596.1</v>
      </c>
      <c r="M9" s="94">
        <f t="shared" si="0"/>
        <v>377388.9</v>
      </c>
      <c r="N9" s="159">
        <f t="shared" si="2"/>
        <v>37</v>
      </c>
      <c r="O9" s="159"/>
      <c r="P9" s="159"/>
      <c r="Q9" s="11"/>
    </row>
    <row r="10" spans="2:17" s="114" customFormat="1">
      <c r="B10" s="293" t="s">
        <v>945</v>
      </c>
      <c r="C10" s="96">
        <v>5</v>
      </c>
      <c r="D10" s="123" t="s">
        <v>946</v>
      </c>
      <c r="E10" s="123"/>
      <c r="F10" s="16">
        <v>500000</v>
      </c>
      <c r="G10" s="16">
        <v>66650</v>
      </c>
      <c r="H10" s="41">
        <f>SUM(F10:G10)</f>
        <v>566650</v>
      </c>
      <c r="I10" s="317">
        <v>11333</v>
      </c>
      <c r="J10" s="159">
        <v>50</v>
      </c>
      <c r="K10" s="159">
        <v>13</v>
      </c>
      <c r="L10" s="16">
        <f t="shared" si="1"/>
        <v>147329</v>
      </c>
      <c r="M10" s="94">
        <f t="shared" si="0"/>
        <v>419321</v>
      </c>
      <c r="N10" s="159">
        <f t="shared" si="2"/>
        <v>37</v>
      </c>
      <c r="O10" s="159"/>
      <c r="P10" s="159"/>
      <c r="Q10" s="11"/>
    </row>
    <row r="11" spans="2:17" s="114" customFormat="1">
      <c r="B11" s="292" t="s">
        <v>530</v>
      </c>
      <c r="C11" s="96">
        <v>6</v>
      </c>
      <c r="D11" s="11" t="s">
        <v>531</v>
      </c>
      <c r="E11" s="11"/>
      <c r="F11" s="16">
        <v>500000</v>
      </c>
      <c r="G11" s="16">
        <v>66650</v>
      </c>
      <c r="H11" s="16">
        <v>566650</v>
      </c>
      <c r="I11" s="318">
        <v>11333</v>
      </c>
      <c r="J11" s="159">
        <v>50</v>
      </c>
      <c r="K11" s="97">
        <v>43</v>
      </c>
      <c r="L11" s="91">
        <f t="shared" si="1"/>
        <v>487319</v>
      </c>
      <c r="M11" s="94">
        <f t="shared" si="0"/>
        <v>79331</v>
      </c>
      <c r="N11" s="159">
        <f t="shared" si="2"/>
        <v>7</v>
      </c>
      <c r="O11" s="159"/>
      <c r="P11" s="97"/>
      <c r="Q11" s="11"/>
    </row>
    <row r="12" spans="2:17" s="114" customFormat="1">
      <c r="B12" s="292" t="s">
        <v>590</v>
      </c>
      <c r="C12" s="96">
        <v>7</v>
      </c>
      <c r="D12" s="11" t="s">
        <v>591</v>
      </c>
      <c r="E12" s="11"/>
      <c r="F12" s="19">
        <v>150000</v>
      </c>
      <c r="G12" s="19">
        <v>19995</v>
      </c>
      <c r="H12" s="19">
        <f t="shared" ref="H12:H22" si="3">SUM(F12:G12)</f>
        <v>169995</v>
      </c>
      <c r="I12" s="146">
        <v>3399.9</v>
      </c>
      <c r="J12" s="159">
        <v>50</v>
      </c>
      <c r="K12" s="97">
        <v>43</v>
      </c>
      <c r="L12" s="91">
        <f t="shared" si="1"/>
        <v>146195.70000000001</v>
      </c>
      <c r="M12" s="94">
        <f t="shared" si="0"/>
        <v>23799.299999999988</v>
      </c>
      <c r="N12" s="159">
        <f t="shared" si="2"/>
        <v>7</v>
      </c>
      <c r="O12" s="159"/>
      <c r="P12" s="97"/>
      <c r="Q12" s="11"/>
    </row>
    <row r="13" spans="2:17" s="114" customFormat="1">
      <c r="B13" s="293" t="s">
        <v>929</v>
      </c>
      <c r="C13" s="96">
        <v>8</v>
      </c>
      <c r="D13" s="11" t="s">
        <v>932</v>
      </c>
      <c r="E13" s="11"/>
      <c r="F13" s="16">
        <v>500000</v>
      </c>
      <c r="G13" s="16">
        <v>66650</v>
      </c>
      <c r="H13" s="41">
        <f t="shared" si="3"/>
        <v>566650</v>
      </c>
      <c r="I13" s="317">
        <v>11333</v>
      </c>
      <c r="J13" s="159">
        <v>50</v>
      </c>
      <c r="K13" s="159">
        <v>43</v>
      </c>
      <c r="L13" s="16">
        <f t="shared" si="1"/>
        <v>487319</v>
      </c>
      <c r="M13" s="94">
        <f t="shared" si="0"/>
        <v>79331</v>
      </c>
      <c r="N13" s="159">
        <f t="shared" si="2"/>
        <v>7</v>
      </c>
      <c r="O13" s="159"/>
      <c r="P13" s="159"/>
      <c r="Q13" s="11"/>
    </row>
    <row r="14" spans="2:17" s="114" customFormat="1">
      <c r="B14" s="293" t="s">
        <v>1207</v>
      </c>
      <c r="C14" s="96">
        <v>9</v>
      </c>
      <c r="D14" s="123" t="s">
        <v>1208</v>
      </c>
      <c r="E14" s="123"/>
      <c r="F14" s="19">
        <v>330000</v>
      </c>
      <c r="G14" s="19">
        <v>43989</v>
      </c>
      <c r="H14" s="19">
        <f t="shared" si="3"/>
        <v>373989</v>
      </c>
      <c r="I14" s="317">
        <v>7479.78</v>
      </c>
      <c r="J14" s="159">
        <v>50</v>
      </c>
      <c r="K14" s="159">
        <v>5</v>
      </c>
      <c r="L14" s="16">
        <f t="shared" si="1"/>
        <v>37398.9</v>
      </c>
      <c r="M14" s="94">
        <f t="shared" si="0"/>
        <v>336590.1</v>
      </c>
      <c r="N14" s="159">
        <f t="shared" si="2"/>
        <v>45</v>
      </c>
      <c r="O14" s="159"/>
      <c r="P14" s="159"/>
      <c r="Q14" s="11"/>
    </row>
    <row r="15" spans="2:17" s="114" customFormat="1">
      <c r="B15" s="292" t="s">
        <v>690</v>
      </c>
      <c r="C15" s="96">
        <v>10</v>
      </c>
      <c r="D15" s="11" t="s">
        <v>691</v>
      </c>
      <c r="E15" s="11"/>
      <c r="F15" s="16">
        <v>500000</v>
      </c>
      <c r="G15" s="16">
        <v>66650</v>
      </c>
      <c r="H15" s="41">
        <f t="shared" si="3"/>
        <v>566650</v>
      </c>
      <c r="I15" s="318">
        <v>11333</v>
      </c>
      <c r="J15" s="159">
        <v>50</v>
      </c>
      <c r="K15" s="159">
        <v>16</v>
      </c>
      <c r="L15" s="91">
        <f t="shared" si="1"/>
        <v>181328</v>
      </c>
      <c r="M15" s="94">
        <f t="shared" si="0"/>
        <v>385322</v>
      </c>
      <c r="N15" s="159">
        <f t="shared" si="2"/>
        <v>34</v>
      </c>
      <c r="O15" s="159"/>
      <c r="P15" s="97"/>
      <c r="Q15" s="11"/>
    </row>
    <row r="16" spans="2:17" s="114" customFormat="1">
      <c r="B16" s="293" t="s">
        <v>1162</v>
      </c>
      <c r="C16" s="96">
        <v>11</v>
      </c>
      <c r="D16" s="123" t="s">
        <v>1163</v>
      </c>
      <c r="E16" s="123"/>
      <c r="F16" s="16">
        <v>500000</v>
      </c>
      <c r="G16" s="16">
        <v>66650</v>
      </c>
      <c r="H16" s="41">
        <f t="shared" si="3"/>
        <v>566650</v>
      </c>
      <c r="I16" s="317">
        <v>11333</v>
      </c>
      <c r="J16" s="159">
        <v>50</v>
      </c>
      <c r="K16" s="159">
        <v>5</v>
      </c>
      <c r="L16" s="16">
        <f t="shared" si="1"/>
        <v>56665</v>
      </c>
      <c r="M16" s="94">
        <f t="shared" si="0"/>
        <v>509985</v>
      </c>
      <c r="N16" s="159">
        <f t="shared" si="2"/>
        <v>45</v>
      </c>
      <c r="O16" s="159"/>
      <c r="P16" s="159"/>
      <c r="Q16" s="11"/>
    </row>
    <row r="17" spans="2:17" s="114" customFormat="1">
      <c r="B17" s="122" t="s">
        <v>1253</v>
      </c>
      <c r="C17" s="96">
        <v>12</v>
      </c>
      <c r="D17" s="11" t="s">
        <v>1254</v>
      </c>
      <c r="E17" s="122"/>
      <c r="F17" s="16">
        <v>500000</v>
      </c>
      <c r="G17" s="16">
        <v>66650</v>
      </c>
      <c r="H17" s="41">
        <f t="shared" si="3"/>
        <v>566650</v>
      </c>
      <c r="I17" s="271">
        <v>11333</v>
      </c>
      <c r="J17" s="159">
        <v>50</v>
      </c>
      <c r="K17" s="188">
        <v>3</v>
      </c>
      <c r="L17" s="16">
        <f t="shared" si="1"/>
        <v>33999</v>
      </c>
      <c r="M17" s="94">
        <f t="shared" si="0"/>
        <v>532651</v>
      </c>
      <c r="N17" s="159">
        <f t="shared" si="2"/>
        <v>47</v>
      </c>
      <c r="O17" s="159"/>
      <c r="P17" s="159"/>
      <c r="Q17" s="122"/>
    </row>
    <row r="18" spans="2:17" s="114" customFormat="1">
      <c r="B18" s="292" t="s">
        <v>728</v>
      </c>
      <c r="C18" s="96">
        <v>13</v>
      </c>
      <c r="D18" s="11" t="s">
        <v>729</v>
      </c>
      <c r="E18" s="11"/>
      <c r="F18" s="16">
        <v>500000</v>
      </c>
      <c r="G18" s="16">
        <v>47992</v>
      </c>
      <c r="H18" s="41">
        <f t="shared" si="3"/>
        <v>547992</v>
      </c>
      <c r="I18" s="146">
        <v>15222</v>
      </c>
      <c r="J18" s="159">
        <v>36</v>
      </c>
      <c r="K18" s="97">
        <v>34</v>
      </c>
      <c r="L18" s="91">
        <f t="shared" si="1"/>
        <v>517548</v>
      </c>
      <c r="M18" s="94">
        <f t="shared" si="0"/>
        <v>30444</v>
      </c>
      <c r="N18" s="159">
        <f t="shared" si="2"/>
        <v>2</v>
      </c>
      <c r="O18" s="159"/>
      <c r="P18" s="97"/>
      <c r="Q18" s="11"/>
    </row>
    <row r="19" spans="2:17" s="114" customFormat="1">
      <c r="B19" s="292" t="s">
        <v>645</v>
      </c>
      <c r="C19" s="96">
        <v>14</v>
      </c>
      <c r="D19" s="11" t="s">
        <v>646</v>
      </c>
      <c r="E19" s="11"/>
      <c r="F19" s="16">
        <v>500000</v>
      </c>
      <c r="G19" s="16">
        <v>66650</v>
      </c>
      <c r="H19" s="41">
        <f t="shared" si="3"/>
        <v>566650</v>
      </c>
      <c r="I19" s="318">
        <v>11333</v>
      </c>
      <c r="J19" s="159">
        <v>50</v>
      </c>
      <c r="K19" s="97">
        <v>43</v>
      </c>
      <c r="L19" s="91">
        <f t="shared" si="1"/>
        <v>487319</v>
      </c>
      <c r="M19" s="94">
        <f t="shared" si="0"/>
        <v>79331</v>
      </c>
      <c r="N19" s="159">
        <f t="shared" si="2"/>
        <v>7</v>
      </c>
      <c r="O19" s="159"/>
      <c r="P19" s="97"/>
      <c r="Q19" s="11"/>
    </row>
    <row r="20" spans="2:17" s="114" customFormat="1">
      <c r="B20" s="293" t="s">
        <v>885</v>
      </c>
      <c r="C20" s="96">
        <v>15</v>
      </c>
      <c r="D20" s="123" t="s">
        <v>907</v>
      </c>
      <c r="E20" s="123"/>
      <c r="F20" s="16">
        <v>500000</v>
      </c>
      <c r="G20" s="16">
        <v>66650</v>
      </c>
      <c r="H20" s="41">
        <f t="shared" si="3"/>
        <v>566650</v>
      </c>
      <c r="I20" s="317">
        <v>11333</v>
      </c>
      <c r="J20" s="159">
        <v>50</v>
      </c>
      <c r="K20" s="159">
        <v>13</v>
      </c>
      <c r="L20" s="16">
        <f t="shared" si="1"/>
        <v>147329</v>
      </c>
      <c r="M20" s="94">
        <f t="shared" si="0"/>
        <v>419321</v>
      </c>
      <c r="N20" s="159">
        <f t="shared" si="2"/>
        <v>37</v>
      </c>
      <c r="O20" s="159"/>
      <c r="P20" s="159"/>
      <c r="Q20" s="11"/>
    </row>
    <row r="21" spans="2:17" s="114" customFormat="1">
      <c r="B21" s="295" t="s">
        <v>930</v>
      </c>
      <c r="C21" s="96">
        <v>16</v>
      </c>
      <c r="D21" s="11" t="s">
        <v>933</v>
      </c>
      <c r="E21" s="8"/>
      <c r="F21" s="19">
        <v>330000</v>
      </c>
      <c r="G21" s="19">
        <v>31672.200000000012</v>
      </c>
      <c r="H21" s="19">
        <f t="shared" si="3"/>
        <v>361672.2</v>
      </c>
      <c r="I21" s="319">
        <v>10046.450000000001</v>
      </c>
      <c r="J21" s="159">
        <v>36</v>
      </c>
      <c r="K21" s="159">
        <v>17</v>
      </c>
      <c r="L21" s="16">
        <f t="shared" si="1"/>
        <v>170789.65000000002</v>
      </c>
      <c r="M21" s="94">
        <f t="shared" si="0"/>
        <v>190882.55</v>
      </c>
      <c r="N21" s="159">
        <f t="shared" si="2"/>
        <v>19</v>
      </c>
      <c r="O21" s="159"/>
      <c r="P21" s="159"/>
      <c r="Q21" s="8"/>
    </row>
    <row r="22" spans="2:17" s="114" customFormat="1">
      <c r="B22" s="292" t="s">
        <v>626</v>
      </c>
      <c r="C22" s="96">
        <v>17</v>
      </c>
      <c r="D22" s="11" t="s">
        <v>627</v>
      </c>
      <c r="E22" s="11"/>
      <c r="F22" s="16">
        <v>330000</v>
      </c>
      <c r="G22" s="16">
        <v>43989</v>
      </c>
      <c r="H22" s="41">
        <f t="shared" si="3"/>
        <v>373989</v>
      </c>
      <c r="I22" s="318">
        <v>7479.78</v>
      </c>
      <c r="J22" s="159">
        <v>50</v>
      </c>
      <c r="K22" s="97">
        <v>44</v>
      </c>
      <c r="L22" s="91">
        <f t="shared" si="1"/>
        <v>329110.32</v>
      </c>
      <c r="M22" s="94">
        <f t="shared" si="0"/>
        <v>44878.679999999993</v>
      </c>
      <c r="N22" s="159">
        <f t="shared" si="2"/>
        <v>6</v>
      </c>
      <c r="O22" s="159"/>
      <c r="P22" s="97"/>
      <c r="Q22" s="11"/>
    </row>
    <row r="23" spans="2:17" s="114" customFormat="1">
      <c r="B23" s="292" t="s">
        <v>617</v>
      </c>
      <c r="C23" s="96">
        <v>18</v>
      </c>
      <c r="D23" s="11" t="s">
        <v>618</v>
      </c>
      <c r="E23" s="11"/>
      <c r="F23" s="16">
        <v>450000</v>
      </c>
      <c r="G23" s="16">
        <v>59985</v>
      </c>
      <c r="H23" s="16">
        <v>509985</v>
      </c>
      <c r="I23" s="318">
        <v>10199.700000000001</v>
      </c>
      <c r="J23" s="159">
        <v>50</v>
      </c>
      <c r="K23" s="97">
        <v>44</v>
      </c>
      <c r="L23" s="91">
        <f t="shared" si="1"/>
        <v>448786.80000000005</v>
      </c>
      <c r="M23" s="94">
        <f t="shared" si="0"/>
        <v>61198.199999999953</v>
      </c>
      <c r="N23" s="159">
        <f t="shared" si="2"/>
        <v>6</v>
      </c>
      <c r="O23" s="159"/>
      <c r="P23" s="97"/>
      <c r="Q23" s="11"/>
    </row>
    <row r="24" spans="2:17" s="114" customFormat="1">
      <c r="B24" s="293" t="s">
        <v>1249</v>
      </c>
      <c r="C24" s="96">
        <v>19</v>
      </c>
      <c r="D24" s="11" t="s">
        <v>1250</v>
      </c>
      <c r="E24" s="11"/>
      <c r="F24" s="19">
        <v>330000</v>
      </c>
      <c r="G24" s="19">
        <v>43989</v>
      </c>
      <c r="H24" s="19">
        <f>SUM(F24:G24)</f>
        <v>373989</v>
      </c>
      <c r="I24" s="317">
        <v>7479.78</v>
      </c>
      <c r="J24" s="159">
        <v>50</v>
      </c>
      <c r="K24" s="96">
        <v>6</v>
      </c>
      <c r="L24" s="91">
        <f t="shared" si="1"/>
        <v>44878.68</v>
      </c>
      <c r="M24" s="94">
        <f t="shared" si="0"/>
        <v>329110.32</v>
      </c>
      <c r="N24" s="159">
        <f t="shared" si="2"/>
        <v>44</v>
      </c>
      <c r="O24" s="159"/>
      <c r="P24" s="97"/>
      <c r="Q24" s="11"/>
    </row>
    <row r="25" spans="2:17" s="114" customFormat="1">
      <c r="B25" s="292" t="s">
        <v>509</v>
      </c>
      <c r="C25" s="96">
        <v>20</v>
      </c>
      <c r="D25" s="11" t="s">
        <v>510</v>
      </c>
      <c r="E25" s="11"/>
      <c r="F25" s="19">
        <v>450000</v>
      </c>
      <c r="G25" s="19">
        <v>59985</v>
      </c>
      <c r="H25" s="19">
        <v>509985</v>
      </c>
      <c r="I25" s="318">
        <v>10199.700000000001</v>
      </c>
      <c r="J25" s="159">
        <v>50</v>
      </c>
      <c r="K25" s="97">
        <v>30</v>
      </c>
      <c r="L25" s="91">
        <f t="shared" si="1"/>
        <v>305991</v>
      </c>
      <c r="M25" s="91">
        <f t="shared" si="0"/>
        <v>203994</v>
      </c>
      <c r="N25" s="159">
        <f t="shared" si="2"/>
        <v>20</v>
      </c>
      <c r="O25" s="159"/>
      <c r="P25" s="97"/>
      <c r="Q25" s="11"/>
    </row>
    <row r="26" spans="2:17" s="114" customFormat="1">
      <c r="B26" s="293" t="s">
        <v>902</v>
      </c>
      <c r="C26" s="96">
        <v>21</v>
      </c>
      <c r="D26" s="123" t="s">
        <v>926</v>
      </c>
      <c r="E26" s="123"/>
      <c r="F26" s="19">
        <v>150000</v>
      </c>
      <c r="G26" s="19">
        <v>19995</v>
      </c>
      <c r="H26" s="19">
        <f>SUM(F26:G26)</f>
        <v>169995</v>
      </c>
      <c r="I26" s="317">
        <v>3399.9</v>
      </c>
      <c r="J26" s="159">
        <v>50</v>
      </c>
      <c r="K26" s="159">
        <v>13</v>
      </c>
      <c r="L26" s="16">
        <f t="shared" si="1"/>
        <v>44198.700000000004</v>
      </c>
      <c r="M26" s="94">
        <f t="shared" si="0"/>
        <v>125796.29999999999</v>
      </c>
      <c r="N26" s="159">
        <f t="shared" si="2"/>
        <v>37</v>
      </c>
      <c r="O26" s="159"/>
      <c r="P26" s="159"/>
      <c r="Q26" s="11"/>
    </row>
    <row r="27" spans="2:17" s="114" customFormat="1">
      <c r="B27" s="292" t="s">
        <v>719</v>
      </c>
      <c r="C27" s="96">
        <v>22</v>
      </c>
      <c r="D27" s="11" t="s">
        <v>720</v>
      </c>
      <c r="E27" s="11"/>
      <c r="F27" s="16">
        <v>500000</v>
      </c>
      <c r="G27" s="16">
        <v>66650</v>
      </c>
      <c r="H27" s="16">
        <v>566650</v>
      </c>
      <c r="I27" s="318">
        <v>11333</v>
      </c>
      <c r="J27" s="159">
        <v>50</v>
      </c>
      <c r="K27" s="101">
        <v>18</v>
      </c>
      <c r="L27" s="91">
        <f t="shared" si="1"/>
        <v>203994</v>
      </c>
      <c r="M27" s="94">
        <f t="shared" si="0"/>
        <v>362656</v>
      </c>
      <c r="N27" s="159">
        <f t="shared" si="2"/>
        <v>32</v>
      </c>
      <c r="O27" s="159"/>
      <c r="P27" s="97"/>
      <c r="Q27" s="8"/>
    </row>
    <row r="28" spans="2:17" s="114" customFormat="1">
      <c r="B28" s="292" t="s">
        <v>619</v>
      </c>
      <c r="C28" s="96">
        <v>23</v>
      </c>
      <c r="D28" s="11" t="s">
        <v>620</v>
      </c>
      <c r="E28" s="11"/>
      <c r="F28" s="16">
        <v>500000</v>
      </c>
      <c r="G28" s="16">
        <v>66650</v>
      </c>
      <c r="H28" s="16">
        <v>566650</v>
      </c>
      <c r="I28" s="318">
        <v>11333</v>
      </c>
      <c r="J28" s="159">
        <v>50</v>
      </c>
      <c r="K28" s="97">
        <v>44</v>
      </c>
      <c r="L28" s="91">
        <f t="shared" si="1"/>
        <v>498652</v>
      </c>
      <c r="M28" s="94">
        <f t="shared" si="0"/>
        <v>67998</v>
      </c>
      <c r="N28" s="159">
        <f t="shared" si="2"/>
        <v>6</v>
      </c>
      <c r="O28" s="159"/>
      <c r="P28" s="97"/>
      <c r="Q28" s="11"/>
    </row>
    <row r="29" spans="2:17" s="114" customFormat="1">
      <c r="B29" s="292" t="s">
        <v>507</v>
      </c>
      <c r="C29" s="96">
        <v>24</v>
      </c>
      <c r="D29" s="11" t="s">
        <v>508</v>
      </c>
      <c r="E29" s="11"/>
      <c r="F29" s="16">
        <v>500000</v>
      </c>
      <c r="G29" s="16">
        <v>66650</v>
      </c>
      <c r="H29" s="16">
        <v>566650</v>
      </c>
      <c r="I29" s="318">
        <v>11333</v>
      </c>
      <c r="J29" s="159">
        <v>50</v>
      </c>
      <c r="K29" s="97">
        <v>30</v>
      </c>
      <c r="L29" s="91">
        <f t="shared" si="1"/>
        <v>339990</v>
      </c>
      <c r="M29" s="91">
        <f t="shared" si="0"/>
        <v>226660</v>
      </c>
      <c r="N29" s="159">
        <f t="shared" si="2"/>
        <v>20</v>
      </c>
      <c r="O29" s="159"/>
      <c r="P29" s="97"/>
      <c r="Q29" s="11"/>
    </row>
    <row r="30" spans="2:17" s="114" customFormat="1">
      <c r="B30" s="292" t="s">
        <v>726</v>
      </c>
      <c r="C30" s="96">
        <v>25</v>
      </c>
      <c r="D30" s="11" t="s">
        <v>727</v>
      </c>
      <c r="E30" s="11"/>
      <c r="F30" s="19">
        <v>500000</v>
      </c>
      <c r="G30" s="19">
        <v>66650</v>
      </c>
      <c r="H30" s="19">
        <v>566650</v>
      </c>
      <c r="I30" s="318">
        <v>11333</v>
      </c>
      <c r="J30" s="159">
        <v>50</v>
      </c>
      <c r="K30" s="97">
        <v>30</v>
      </c>
      <c r="L30" s="91">
        <f t="shared" si="1"/>
        <v>339990</v>
      </c>
      <c r="M30" s="91">
        <f t="shared" si="0"/>
        <v>226660</v>
      </c>
      <c r="N30" s="159">
        <f t="shared" si="2"/>
        <v>20</v>
      </c>
      <c r="O30" s="159"/>
      <c r="P30" s="97"/>
      <c r="Q30" s="11"/>
    </row>
    <row r="31" spans="2:17" s="114" customFormat="1">
      <c r="B31" s="292" t="s">
        <v>647</v>
      </c>
      <c r="C31" s="96">
        <v>26</v>
      </c>
      <c r="D31" s="11" t="s">
        <v>648</v>
      </c>
      <c r="E31" s="11"/>
      <c r="F31" s="16">
        <v>500000</v>
      </c>
      <c r="G31" s="16">
        <v>66650</v>
      </c>
      <c r="H31" s="41">
        <f>SUM(F31:G31)</f>
        <v>566650</v>
      </c>
      <c r="I31" s="318">
        <v>11333</v>
      </c>
      <c r="J31" s="159">
        <v>50</v>
      </c>
      <c r="K31" s="97">
        <v>22</v>
      </c>
      <c r="L31" s="91">
        <f>(1*11333)</f>
        <v>11333</v>
      </c>
      <c r="M31" s="91">
        <f t="shared" si="0"/>
        <v>555317</v>
      </c>
      <c r="N31" s="159">
        <f t="shared" si="2"/>
        <v>28</v>
      </c>
      <c r="O31" s="159"/>
      <c r="P31" s="97"/>
      <c r="Q31" s="11"/>
    </row>
    <row r="32" spans="2:17" s="114" customFormat="1">
      <c r="B32" s="292" t="s">
        <v>657</v>
      </c>
      <c r="C32" s="96">
        <v>27</v>
      </c>
      <c r="D32" s="11" t="s">
        <v>658</v>
      </c>
      <c r="E32" s="11"/>
      <c r="F32" s="12">
        <v>500000</v>
      </c>
      <c r="G32" s="12">
        <v>66650</v>
      </c>
      <c r="H32" s="15">
        <f>SUM(F32:G32)</f>
        <v>566650</v>
      </c>
      <c r="I32" s="146">
        <v>11333</v>
      </c>
      <c r="J32" s="14">
        <v>50</v>
      </c>
      <c r="K32" s="14">
        <v>49</v>
      </c>
      <c r="L32" s="91">
        <f>K32*I32</f>
        <v>555317</v>
      </c>
      <c r="M32" s="15">
        <f t="shared" si="0"/>
        <v>11333</v>
      </c>
      <c r="N32" s="159">
        <f t="shared" si="2"/>
        <v>1</v>
      </c>
      <c r="O32" s="159"/>
      <c r="P32" s="97"/>
      <c r="Q32" s="8"/>
    </row>
    <row r="33" spans="2:17" s="114" customFormat="1">
      <c r="B33" s="292" t="s">
        <v>698</v>
      </c>
      <c r="C33" s="96">
        <v>28</v>
      </c>
      <c r="D33" s="11" t="s">
        <v>699</v>
      </c>
      <c r="E33" s="11"/>
      <c r="F33" s="19">
        <v>500000</v>
      </c>
      <c r="G33" s="19">
        <v>66650</v>
      </c>
      <c r="H33" s="19">
        <v>566650</v>
      </c>
      <c r="I33" s="318">
        <v>11333</v>
      </c>
      <c r="J33" s="159">
        <v>50</v>
      </c>
      <c r="K33" s="97">
        <v>30</v>
      </c>
      <c r="L33" s="91">
        <f>K33*I33</f>
        <v>339990</v>
      </c>
      <c r="M33" s="91">
        <f t="shared" si="0"/>
        <v>226660</v>
      </c>
      <c r="N33" s="159">
        <f t="shared" si="2"/>
        <v>20</v>
      </c>
      <c r="O33" s="159"/>
      <c r="P33" s="97"/>
      <c r="Q33" s="11"/>
    </row>
    <row r="34" spans="2:17" s="114" customFormat="1">
      <c r="B34" s="122" t="s">
        <v>1227</v>
      </c>
      <c r="C34" s="96">
        <v>29</v>
      </c>
      <c r="D34" s="11" t="s">
        <v>1228</v>
      </c>
      <c r="E34" s="122"/>
      <c r="F34" s="16">
        <v>500000</v>
      </c>
      <c r="G34" s="16">
        <v>66650</v>
      </c>
      <c r="H34" s="41">
        <f>SUM(F34:G34)</f>
        <v>566650</v>
      </c>
      <c r="I34" s="271">
        <v>11333</v>
      </c>
      <c r="J34" s="159">
        <v>50</v>
      </c>
      <c r="K34" s="188">
        <v>3</v>
      </c>
      <c r="L34" s="16">
        <f>K34*I34</f>
        <v>33999</v>
      </c>
      <c r="M34" s="94">
        <f t="shared" si="0"/>
        <v>532651</v>
      </c>
      <c r="N34" s="159">
        <f t="shared" si="2"/>
        <v>47</v>
      </c>
      <c r="O34" s="159"/>
      <c r="P34" s="159"/>
      <c r="Q34" s="122"/>
    </row>
    <row r="35" spans="2:17" s="114" customFormat="1">
      <c r="B35" s="292" t="s">
        <v>551</v>
      </c>
      <c r="C35" s="96">
        <v>30</v>
      </c>
      <c r="D35" s="11" t="s">
        <v>552</v>
      </c>
      <c r="E35" s="11"/>
      <c r="F35" s="19">
        <v>500000</v>
      </c>
      <c r="G35" s="19">
        <v>66650</v>
      </c>
      <c r="H35" s="19">
        <v>566650</v>
      </c>
      <c r="I35" s="318">
        <v>11333</v>
      </c>
      <c r="J35" s="159">
        <v>50</v>
      </c>
      <c r="K35" s="97">
        <v>30</v>
      </c>
      <c r="L35" s="91">
        <f>K35*I35</f>
        <v>339990</v>
      </c>
      <c r="M35" s="91">
        <f t="shared" si="0"/>
        <v>226660</v>
      </c>
      <c r="N35" s="159">
        <f t="shared" si="2"/>
        <v>20</v>
      </c>
      <c r="O35" s="159"/>
      <c r="P35" s="97"/>
      <c r="Q35" s="11"/>
    </row>
    <row r="36" spans="2:17" s="114" customFormat="1">
      <c r="B36" s="293" t="s">
        <v>1231</v>
      </c>
      <c r="C36" s="96">
        <v>31</v>
      </c>
      <c r="D36" s="123" t="s">
        <v>1232</v>
      </c>
      <c r="E36" s="123"/>
      <c r="F36" s="19">
        <v>450000</v>
      </c>
      <c r="G36" s="19">
        <v>59985</v>
      </c>
      <c r="H36" s="19">
        <v>509985</v>
      </c>
      <c r="I36" s="317">
        <v>10199.700000000001</v>
      </c>
      <c r="J36" s="159">
        <v>50</v>
      </c>
      <c r="K36" s="159">
        <v>5</v>
      </c>
      <c r="L36" s="16">
        <f>K36*I36</f>
        <v>50998.5</v>
      </c>
      <c r="M36" s="94">
        <f t="shared" si="0"/>
        <v>458986.5</v>
      </c>
      <c r="N36" s="159">
        <f t="shared" si="2"/>
        <v>45</v>
      </c>
      <c r="O36" s="159"/>
      <c r="P36" s="159"/>
      <c r="Q36" s="11"/>
    </row>
    <row r="37" spans="2:17" s="114" customFormat="1">
      <c r="B37" s="292" t="s">
        <v>534</v>
      </c>
      <c r="C37" s="96">
        <v>32</v>
      </c>
      <c r="D37" s="11" t="s">
        <v>535</v>
      </c>
      <c r="E37" s="11"/>
      <c r="F37" s="16">
        <v>450000</v>
      </c>
      <c r="G37" s="16">
        <v>59985</v>
      </c>
      <c r="H37" s="16">
        <v>509985</v>
      </c>
      <c r="I37" s="318">
        <v>10199.700000000001</v>
      </c>
      <c r="J37" s="159">
        <v>50</v>
      </c>
      <c r="K37" s="97">
        <v>22</v>
      </c>
      <c r="L37" s="91">
        <f>(1*10199.7)</f>
        <v>10199.700000000001</v>
      </c>
      <c r="M37" s="94">
        <f t="shared" si="0"/>
        <v>499785.3</v>
      </c>
      <c r="N37" s="159">
        <f t="shared" si="2"/>
        <v>28</v>
      </c>
      <c r="O37" s="159"/>
      <c r="P37" s="97"/>
      <c r="Q37" s="11"/>
    </row>
    <row r="38" spans="2:17" s="114" customFormat="1">
      <c r="B38" s="293" t="s">
        <v>678</v>
      </c>
      <c r="C38" s="96">
        <v>33</v>
      </c>
      <c r="D38" s="123" t="s">
        <v>679</v>
      </c>
      <c r="E38" s="123"/>
      <c r="F38" s="16">
        <v>500000</v>
      </c>
      <c r="G38" s="16">
        <v>66650</v>
      </c>
      <c r="H38" s="41">
        <f>SUM(F38:G38)</f>
        <v>566650</v>
      </c>
      <c r="I38" s="317">
        <v>15222</v>
      </c>
      <c r="J38" s="159">
        <v>50</v>
      </c>
      <c r="K38" s="159">
        <v>13</v>
      </c>
      <c r="L38" s="16">
        <f t="shared" ref="L38:L64" si="4">K38*I38</f>
        <v>197886</v>
      </c>
      <c r="M38" s="94">
        <f t="shared" si="0"/>
        <v>368764</v>
      </c>
      <c r="N38" s="159">
        <f t="shared" si="2"/>
        <v>37</v>
      </c>
      <c r="O38" s="159"/>
      <c r="P38" s="159"/>
      <c r="Q38" s="11"/>
    </row>
    <row r="39" spans="2:17" s="114" customFormat="1">
      <c r="B39" s="293" t="s">
        <v>899</v>
      </c>
      <c r="C39" s="96">
        <v>34</v>
      </c>
      <c r="D39" s="123" t="s">
        <v>922</v>
      </c>
      <c r="E39" s="123"/>
      <c r="F39" s="19">
        <v>330000</v>
      </c>
      <c r="G39" s="19">
        <v>43989</v>
      </c>
      <c r="H39" s="19">
        <f>SUM(F39:G39)</f>
        <v>373989</v>
      </c>
      <c r="I39" s="317">
        <v>7479.78</v>
      </c>
      <c r="J39" s="159">
        <v>50</v>
      </c>
      <c r="K39" s="159">
        <v>13</v>
      </c>
      <c r="L39" s="16">
        <f t="shared" si="4"/>
        <v>97237.14</v>
      </c>
      <c r="M39" s="94">
        <f t="shared" si="0"/>
        <v>276751.86</v>
      </c>
      <c r="N39" s="159">
        <f t="shared" si="2"/>
        <v>37</v>
      </c>
      <c r="O39" s="159"/>
      <c r="P39" s="159"/>
      <c r="Q39" s="11"/>
    </row>
    <row r="40" spans="2:17" s="114" customFormat="1">
      <c r="B40" s="295" t="s">
        <v>941</v>
      </c>
      <c r="C40" s="96">
        <v>35</v>
      </c>
      <c r="D40" s="11" t="s">
        <v>942</v>
      </c>
      <c r="E40" s="8"/>
      <c r="F40" s="19">
        <v>330000</v>
      </c>
      <c r="G40" s="19">
        <v>43989</v>
      </c>
      <c r="H40" s="19">
        <f>SUM(F40:G40)</f>
        <v>373989</v>
      </c>
      <c r="I40" s="319">
        <v>7479.78</v>
      </c>
      <c r="J40" s="159">
        <v>50</v>
      </c>
      <c r="K40" s="159">
        <v>10</v>
      </c>
      <c r="L40" s="16">
        <f t="shared" si="4"/>
        <v>74797.8</v>
      </c>
      <c r="M40" s="94">
        <f t="shared" si="0"/>
        <v>299191.2</v>
      </c>
      <c r="N40" s="159">
        <f t="shared" si="2"/>
        <v>40</v>
      </c>
      <c r="O40" s="159"/>
      <c r="P40" s="159"/>
      <c r="Q40" s="8"/>
    </row>
    <row r="41" spans="2:17" s="114" customFormat="1">
      <c r="B41" s="292" t="s">
        <v>692</v>
      </c>
      <c r="C41" s="96">
        <v>36</v>
      </c>
      <c r="D41" s="11" t="s">
        <v>693</v>
      </c>
      <c r="E41" s="11"/>
      <c r="F41" s="16">
        <v>330000</v>
      </c>
      <c r="G41" s="16">
        <v>43989</v>
      </c>
      <c r="H41" s="41">
        <f>SUM(F41:G41)</f>
        <v>373989</v>
      </c>
      <c r="I41" s="318">
        <v>7478.78</v>
      </c>
      <c r="J41" s="159">
        <v>50</v>
      </c>
      <c r="K41" s="159">
        <v>53</v>
      </c>
      <c r="L41" s="16">
        <f t="shared" si="4"/>
        <v>396375.33999999997</v>
      </c>
      <c r="M41" s="41">
        <f t="shared" si="0"/>
        <v>-22386.339999999967</v>
      </c>
      <c r="N41" s="159">
        <f t="shared" si="2"/>
        <v>-3</v>
      </c>
      <c r="O41" s="159"/>
      <c r="P41" s="96"/>
      <c r="Q41" s="11"/>
    </row>
    <row r="42" spans="2:17" s="114" customFormat="1">
      <c r="B42" s="292" t="s">
        <v>623</v>
      </c>
      <c r="C42" s="96">
        <v>37</v>
      </c>
      <c r="D42" s="123" t="s">
        <v>954</v>
      </c>
      <c r="E42" s="123"/>
      <c r="F42" s="19">
        <v>450000</v>
      </c>
      <c r="G42" s="19">
        <v>59985</v>
      </c>
      <c r="H42" s="19">
        <v>509985</v>
      </c>
      <c r="I42" s="317">
        <v>10199.700000000001</v>
      </c>
      <c r="J42" s="159">
        <v>50</v>
      </c>
      <c r="K42" s="159">
        <v>10</v>
      </c>
      <c r="L42" s="91">
        <f t="shared" si="4"/>
        <v>101997</v>
      </c>
      <c r="M42" s="94">
        <f t="shared" si="0"/>
        <v>407988</v>
      </c>
      <c r="N42" s="159">
        <f t="shared" si="2"/>
        <v>40</v>
      </c>
      <c r="O42" s="159"/>
      <c r="P42" s="97"/>
      <c r="Q42" s="11"/>
    </row>
    <row r="43" spans="2:17" s="114" customFormat="1">
      <c r="B43" s="293" t="s">
        <v>1243</v>
      </c>
      <c r="C43" s="96">
        <v>38</v>
      </c>
      <c r="D43" s="123" t="s">
        <v>1244</v>
      </c>
      <c r="E43" s="123"/>
      <c r="F43" s="19">
        <v>330000</v>
      </c>
      <c r="G43" s="19">
        <v>43989</v>
      </c>
      <c r="H43" s="19">
        <f>SUM(F43:G43)</f>
        <v>373989</v>
      </c>
      <c r="I43" s="317">
        <v>7479.78</v>
      </c>
      <c r="J43" s="159">
        <v>50</v>
      </c>
      <c r="K43" s="159">
        <v>5</v>
      </c>
      <c r="L43" s="16">
        <f t="shared" si="4"/>
        <v>37398.9</v>
      </c>
      <c r="M43" s="94">
        <f t="shared" si="0"/>
        <v>336590.1</v>
      </c>
      <c r="N43" s="159">
        <f t="shared" si="2"/>
        <v>45</v>
      </c>
      <c r="O43" s="159"/>
      <c r="P43" s="159"/>
      <c r="Q43" s="11"/>
    </row>
    <row r="44" spans="2:17" s="114" customFormat="1">
      <c r="B44" s="293" t="s">
        <v>895</v>
      </c>
      <c r="C44" s="96">
        <v>39</v>
      </c>
      <c r="D44" s="123" t="s">
        <v>918</v>
      </c>
      <c r="E44" s="123"/>
      <c r="F44" s="19">
        <v>450000</v>
      </c>
      <c r="G44" s="19">
        <v>59985</v>
      </c>
      <c r="H44" s="19">
        <v>509985</v>
      </c>
      <c r="I44" s="317">
        <v>10199.700000000001</v>
      </c>
      <c r="J44" s="159">
        <v>50</v>
      </c>
      <c r="K44" s="159">
        <v>13</v>
      </c>
      <c r="L44" s="16">
        <f t="shared" si="4"/>
        <v>132596.1</v>
      </c>
      <c r="M44" s="94">
        <f t="shared" si="0"/>
        <v>377388.9</v>
      </c>
      <c r="N44" s="159">
        <f t="shared" si="2"/>
        <v>37</v>
      </c>
      <c r="O44" s="159"/>
      <c r="P44" s="159"/>
      <c r="Q44" s="11"/>
    </row>
    <row r="45" spans="2:17" s="114" customFormat="1">
      <c r="B45" s="293" t="s">
        <v>628</v>
      </c>
      <c r="C45" s="96">
        <v>40</v>
      </c>
      <c r="D45" s="123" t="s">
        <v>917</v>
      </c>
      <c r="E45" s="123"/>
      <c r="F45" s="19">
        <v>450000</v>
      </c>
      <c r="G45" s="19">
        <v>59985</v>
      </c>
      <c r="H45" s="19">
        <v>509985</v>
      </c>
      <c r="I45" s="317">
        <v>10199.700000000001</v>
      </c>
      <c r="J45" s="159">
        <v>50</v>
      </c>
      <c r="K45" s="159">
        <v>5</v>
      </c>
      <c r="L45" s="16">
        <f t="shared" si="4"/>
        <v>50998.5</v>
      </c>
      <c r="M45" s="94">
        <f t="shared" si="0"/>
        <v>458986.5</v>
      </c>
      <c r="N45" s="159">
        <f t="shared" si="2"/>
        <v>45</v>
      </c>
      <c r="O45" s="159"/>
      <c r="P45" s="159"/>
      <c r="Q45" s="11"/>
    </row>
    <row r="46" spans="2:17" s="114" customFormat="1">
      <c r="B46" s="292" t="s">
        <v>717</v>
      </c>
      <c r="C46" s="96">
        <v>41</v>
      </c>
      <c r="D46" s="11" t="s">
        <v>718</v>
      </c>
      <c r="E46" s="11"/>
      <c r="F46" s="16">
        <v>450000</v>
      </c>
      <c r="G46" s="16">
        <v>59985</v>
      </c>
      <c r="H46" s="16">
        <v>509985</v>
      </c>
      <c r="I46" s="318">
        <v>10199.700000000001</v>
      </c>
      <c r="J46" s="159">
        <v>50</v>
      </c>
      <c r="K46" s="97">
        <v>32</v>
      </c>
      <c r="L46" s="91">
        <f t="shared" si="4"/>
        <v>326390.40000000002</v>
      </c>
      <c r="M46" s="94">
        <f t="shared" si="0"/>
        <v>183594.59999999998</v>
      </c>
      <c r="N46" s="159">
        <f t="shared" si="2"/>
        <v>18</v>
      </c>
      <c r="O46" s="159"/>
      <c r="P46" s="97"/>
      <c r="Q46" s="11"/>
    </row>
    <row r="47" spans="2:17" s="114" customFormat="1">
      <c r="B47" s="293" t="s">
        <v>1182</v>
      </c>
      <c r="C47" s="96">
        <v>42</v>
      </c>
      <c r="D47" s="123" t="s">
        <v>1183</v>
      </c>
      <c r="E47" s="123"/>
      <c r="F47" s="19">
        <v>450000</v>
      </c>
      <c r="G47" s="19">
        <v>59985</v>
      </c>
      <c r="H47" s="19">
        <v>509985</v>
      </c>
      <c r="I47" s="317">
        <v>10199.700000000001</v>
      </c>
      <c r="J47" s="159">
        <v>50</v>
      </c>
      <c r="K47" s="159">
        <v>5</v>
      </c>
      <c r="L47" s="16">
        <f t="shared" si="4"/>
        <v>50998.5</v>
      </c>
      <c r="M47" s="94">
        <f t="shared" si="0"/>
        <v>458986.5</v>
      </c>
      <c r="N47" s="159">
        <f t="shared" si="2"/>
        <v>45</v>
      </c>
      <c r="O47" s="159"/>
      <c r="P47" s="159"/>
      <c r="Q47" s="11"/>
    </row>
    <row r="48" spans="2:17" s="114" customFormat="1">
      <c r="B48" s="292" t="s">
        <v>518</v>
      </c>
      <c r="C48" s="96">
        <v>43</v>
      </c>
      <c r="D48" s="11" t="s">
        <v>519</v>
      </c>
      <c r="E48" s="11"/>
      <c r="F48" s="19">
        <v>500000</v>
      </c>
      <c r="G48" s="19">
        <v>66650</v>
      </c>
      <c r="H48" s="19">
        <v>566650</v>
      </c>
      <c r="I48" s="318">
        <v>11333</v>
      </c>
      <c r="J48" s="159">
        <v>50</v>
      </c>
      <c r="K48" s="97">
        <v>30</v>
      </c>
      <c r="L48" s="91">
        <f t="shared" si="4"/>
        <v>339990</v>
      </c>
      <c r="M48" s="91">
        <f t="shared" si="0"/>
        <v>226660</v>
      </c>
      <c r="N48" s="159">
        <f t="shared" si="2"/>
        <v>20</v>
      </c>
      <c r="O48" s="159"/>
      <c r="P48" s="97"/>
      <c r="Q48" s="11"/>
    </row>
    <row r="49" spans="2:17" s="114" customFormat="1">
      <c r="B49" s="292" t="s">
        <v>709</v>
      </c>
      <c r="C49" s="96">
        <v>44</v>
      </c>
      <c r="D49" s="11" t="s">
        <v>710</v>
      </c>
      <c r="E49" s="11"/>
      <c r="F49" s="19">
        <v>500000</v>
      </c>
      <c r="G49" s="19">
        <v>66650</v>
      </c>
      <c r="H49" s="19">
        <v>566650</v>
      </c>
      <c r="I49" s="318">
        <v>11333</v>
      </c>
      <c r="J49" s="159">
        <v>50</v>
      </c>
      <c r="K49" s="96">
        <v>30</v>
      </c>
      <c r="L49" s="16">
        <f t="shared" si="4"/>
        <v>339990</v>
      </c>
      <c r="M49" s="16">
        <f t="shared" si="0"/>
        <v>226660</v>
      </c>
      <c r="N49" s="159">
        <f t="shared" si="2"/>
        <v>20</v>
      </c>
      <c r="O49" s="159"/>
      <c r="P49" s="96"/>
      <c r="Q49" s="11"/>
    </row>
    <row r="50" spans="2:17" s="114" customFormat="1">
      <c r="B50" s="292" t="s">
        <v>642</v>
      </c>
      <c r="C50" s="96">
        <v>45</v>
      </c>
      <c r="D50" s="11" t="s">
        <v>643</v>
      </c>
      <c r="E50" s="11"/>
      <c r="F50" s="16">
        <v>500000</v>
      </c>
      <c r="G50" s="16">
        <v>66650</v>
      </c>
      <c r="H50" s="16">
        <v>566650</v>
      </c>
      <c r="I50" s="252">
        <v>11333</v>
      </c>
      <c r="J50" s="159">
        <v>50</v>
      </c>
      <c r="K50" s="101">
        <v>18</v>
      </c>
      <c r="L50" s="91">
        <f t="shared" si="4"/>
        <v>203994</v>
      </c>
      <c r="M50" s="94">
        <f t="shared" si="0"/>
        <v>362656</v>
      </c>
      <c r="N50" s="159">
        <f t="shared" si="2"/>
        <v>32</v>
      </c>
      <c r="O50" s="159"/>
      <c r="P50" s="97"/>
      <c r="Q50" s="8"/>
    </row>
    <row r="51" spans="2:17" s="114" customFormat="1">
      <c r="B51" s="292" t="s">
        <v>664</v>
      </c>
      <c r="C51" s="96">
        <v>46</v>
      </c>
      <c r="D51" s="11" t="s">
        <v>665</v>
      </c>
      <c r="E51" s="11"/>
      <c r="F51" s="19">
        <v>330000</v>
      </c>
      <c r="G51" s="19">
        <v>43989</v>
      </c>
      <c r="H51" s="19">
        <f>SUM(F51:G51)</f>
        <v>373989</v>
      </c>
      <c r="I51" s="252">
        <v>7479.78</v>
      </c>
      <c r="J51" s="159">
        <v>50</v>
      </c>
      <c r="K51" s="101">
        <v>18</v>
      </c>
      <c r="L51" s="91">
        <f t="shared" si="4"/>
        <v>134636.04</v>
      </c>
      <c r="M51" s="94">
        <f t="shared" si="0"/>
        <v>239352.95999999999</v>
      </c>
      <c r="N51" s="159">
        <f t="shared" si="2"/>
        <v>32</v>
      </c>
      <c r="O51" s="159"/>
      <c r="P51" s="97"/>
      <c r="Q51" s="8"/>
    </row>
    <row r="52" spans="2:17" s="114" customFormat="1">
      <c r="B52" s="292" t="s">
        <v>633</v>
      </c>
      <c r="C52" s="96">
        <v>47</v>
      </c>
      <c r="D52" s="11" t="s">
        <v>634</v>
      </c>
      <c r="E52" s="11"/>
      <c r="F52" s="19">
        <v>150000</v>
      </c>
      <c r="G52" s="19">
        <v>19995</v>
      </c>
      <c r="H52" s="19">
        <f>SUM(F52:G52)</f>
        <v>169995</v>
      </c>
      <c r="I52" s="252">
        <v>3399.9</v>
      </c>
      <c r="J52" s="159">
        <v>50</v>
      </c>
      <c r="K52" s="101">
        <v>18</v>
      </c>
      <c r="L52" s="91">
        <f t="shared" si="4"/>
        <v>61198.200000000004</v>
      </c>
      <c r="M52" s="94">
        <f t="shared" si="0"/>
        <v>108796.79999999999</v>
      </c>
      <c r="N52" s="159">
        <f t="shared" si="2"/>
        <v>32</v>
      </c>
      <c r="O52" s="159"/>
      <c r="P52" s="97"/>
      <c r="Q52" s="8"/>
    </row>
    <row r="53" spans="2:17" s="114" customFormat="1">
      <c r="B53" s="122" t="s">
        <v>1174</v>
      </c>
      <c r="C53" s="96">
        <v>48</v>
      </c>
      <c r="D53" s="11" t="s">
        <v>1175</v>
      </c>
      <c r="E53" s="122"/>
      <c r="F53" s="16">
        <v>500000</v>
      </c>
      <c r="G53" s="16">
        <v>66650</v>
      </c>
      <c r="H53" s="41">
        <f>SUM(F53:G53)</f>
        <v>566650</v>
      </c>
      <c r="I53" s="271">
        <v>11333</v>
      </c>
      <c r="J53" s="159">
        <v>50</v>
      </c>
      <c r="K53" s="188">
        <v>3</v>
      </c>
      <c r="L53" s="16">
        <f t="shared" si="4"/>
        <v>33999</v>
      </c>
      <c r="M53" s="94">
        <f t="shared" si="0"/>
        <v>532651</v>
      </c>
      <c r="N53" s="159">
        <f t="shared" si="2"/>
        <v>47</v>
      </c>
      <c r="O53" s="159"/>
      <c r="P53" s="159"/>
      <c r="Q53" s="122"/>
    </row>
    <row r="54" spans="2:17" s="114" customFormat="1">
      <c r="B54" s="292" t="s">
        <v>661</v>
      </c>
      <c r="C54" s="96">
        <v>49</v>
      </c>
      <c r="D54" s="11" t="s">
        <v>662</v>
      </c>
      <c r="E54" s="11"/>
      <c r="F54" s="19">
        <v>500000</v>
      </c>
      <c r="G54" s="19">
        <v>66650</v>
      </c>
      <c r="H54" s="19">
        <v>566650</v>
      </c>
      <c r="I54" s="318">
        <v>11333</v>
      </c>
      <c r="J54" s="159">
        <v>50</v>
      </c>
      <c r="K54" s="97">
        <v>29</v>
      </c>
      <c r="L54" s="91">
        <f t="shared" si="4"/>
        <v>328657</v>
      </c>
      <c r="M54" s="91">
        <f t="shared" si="0"/>
        <v>237993</v>
      </c>
      <c r="N54" s="159">
        <f t="shared" si="2"/>
        <v>21</v>
      </c>
      <c r="O54" s="159"/>
      <c r="P54" s="97"/>
      <c r="Q54" s="11"/>
    </row>
    <row r="55" spans="2:17" s="114" customFormat="1">
      <c r="B55" s="292" t="s">
        <v>538</v>
      </c>
      <c r="C55" s="96">
        <v>50</v>
      </c>
      <c r="D55" s="11" t="s">
        <v>539</v>
      </c>
      <c r="E55" s="11"/>
      <c r="F55" s="12">
        <v>500000</v>
      </c>
      <c r="G55" s="12">
        <v>66650</v>
      </c>
      <c r="H55" s="15">
        <f>SUM(F55:G55)</f>
        <v>566650</v>
      </c>
      <c r="I55" s="146">
        <v>11333</v>
      </c>
      <c r="J55" s="14">
        <v>50</v>
      </c>
      <c r="K55" s="14">
        <v>49</v>
      </c>
      <c r="L55" s="91">
        <f t="shared" si="4"/>
        <v>555317</v>
      </c>
      <c r="M55" s="15">
        <f t="shared" si="0"/>
        <v>11333</v>
      </c>
      <c r="N55" s="159">
        <f t="shared" si="2"/>
        <v>1</v>
      </c>
      <c r="O55" s="159"/>
      <c r="P55" s="97"/>
      <c r="Q55" s="8"/>
    </row>
    <row r="56" spans="2:17" s="114" customFormat="1">
      <c r="B56" s="293" t="s">
        <v>1170</v>
      </c>
      <c r="C56" s="96">
        <v>51</v>
      </c>
      <c r="D56" s="123" t="s">
        <v>1171</v>
      </c>
      <c r="E56" s="123"/>
      <c r="F56" s="16">
        <v>500000</v>
      </c>
      <c r="G56" s="16">
        <v>66650</v>
      </c>
      <c r="H56" s="41">
        <f>SUM(F56:G56)</f>
        <v>566650</v>
      </c>
      <c r="I56" s="317">
        <v>11333</v>
      </c>
      <c r="J56" s="159">
        <v>50</v>
      </c>
      <c r="K56" s="159">
        <v>5</v>
      </c>
      <c r="L56" s="16">
        <f t="shared" si="4"/>
        <v>56665</v>
      </c>
      <c r="M56" s="94">
        <f t="shared" si="0"/>
        <v>509985</v>
      </c>
      <c r="N56" s="159">
        <f t="shared" si="2"/>
        <v>45</v>
      </c>
      <c r="O56" s="159"/>
      <c r="P56" s="159"/>
      <c r="Q56" s="11"/>
    </row>
    <row r="57" spans="2:17" s="114" customFormat="1">
      <c r="B57" s="292" t="s">
        <v>596</v>
      </c>
      <c r="C57" s="96">
        <v>52</v>
      </c>
      <c r="D57" s="11" t="s">
        <v>597</v>
      </c>
      <c r="E57" s="11"/>
      <c r="F57" s="19">
        <v>500000</v>
      </c>
      <c r="G57" s="19">
        <v>66650</v>
      </c>
      <c r="H57" s="19">
        <v>566650</v>
      </c>
      <c r="I57" s="318">
        <v>11333</v>
      </c>
      <c r="J57" s="159">
        <v>50</v>
      </c>
      <c r="K57" s="97">
        <v>30</v>
      </c>
      <c r="L57" s="91">
        <f t="shared" si="4"/>
        <v>339990</v>
      </c>
      <c r="M57" s="91">
        <f t="shared" si="0"/>
        <v>226660</v>
      </c>
      <c r="N57" s="159">
        <f t="shared" si="2"/>
        <v>20</v>
      </c>
      <c r="O57" s="159"/>
      <c r="P57" s="97"/>
      <c r="Q57" s="11"/>
    </row>
    <row r="58" spans="2:17" s="114" customFormat="1">
      <c r="B58" s="293" t="s">
        <v>1205</v>
      </c>
      <c r="C58" s="96">
        <v>53</v>
      </c>
      <c r="D58" s="11" t="s">
        <v>1206</v>
      </c>
      <c r="E58" s="11"/>
      <c r="F58" s="16">
        <v>500000</v>
      </c>
      <c r="G58" s="16">
        <v>66650</v>
      </c>
      <c r="H58" s="41">
        <f>SUM(F58:G58)</f>
        <v>566650</v>
      </c>
      <c r="I58" s="317">
        <v>11333</v>
      </c>
      <c r="J58" s="159">
        <v>50</v>
      </c>
      <c r="K58" s="96">
        <v>6</v>
      </c>
      <c r="L58" s="91">
        <f t="shared" si="4"/>
        <v>67998</v>
      </c>
      <c r="M58" s="94">
        <f t="shared" si="0"/>
        <v>498652</v>
      </c>
      <c r="N58" s="159">
        <f t="shared" si="2"/>
        <v>44</v>
      </c>
      <c r="O58" s="159"/>
      <c r="P58" s="97"/>
      <c r="Q58" s="11"/>
    </row>
    <row r="59" spans="2:17" s="114" customFormat="1">
      <c r="B59" s="293" t="s">
        <v>1239</v>
      </c>
      <c r="C59" s="96">
        <v>54</v>
      </c>
      <c r="D59" s="123" t="s">
        <v>1240</v>
      </c>
      <c r="E59" s="123"/>
      <c r="F59" s="19">
        <v>150000</v>
      </c>
      <c r="G59" s="19">
        <v>19995</v>
      </c>
      <c r="H59" s="19">
        <f>SUM(F59:G59)</f>
        <v>169995</v>
      </c>
      <c r="I59" s="317">
        <v>4149.8999999999996</v>
      </c>
      <c r="J59" s="159">
        <v>40</v>
      </c>
      <c r="K59" s="159">
        <v>5</v>
      </c>
      <c r="L59" s="16">
        <f t="shared" si="4"/>
        <v>20749.5</v>
      </c>
      <c r="M59" s="94">
        <f t="shared" si="0"/>
        <v>149245.5</v>
      </c>
      <c r="N59" s="159">
        <f t="shared" si="2"/>
        <v>35</v>
      </c>
      <c r="O59" s="159"/>
      <c r="P59" s="159"/>
      <c r="Q59" s="11"/>
    </row>
    <row r="60" spans="2:17" s="114" customFormat="1">
      <c r="B60" s="292" t="s">
        <v>668</v>
      </c>
      <c r="C60" s="96">
        <v>55</v>
      </c>
      <c r="D60" s="11" t="s">
        <v>669</v>
      </c>
      <c r="E60" s="11"/>
      <c r="F60" s="16">
        <v>450000</v>
      </c>
      <c r="G60" s="16">
        <v>59985</v>
      </c>
      <c r="H60" s="16">
        <v>509985</v>
      </c>
      <c r="I60" s="318">
        <v>10199.700000000001</v>
      </c>
      <c r="J60" s="159">
        <v>50</v>
      </c>
      <c r="K60" s="97">
        <v>29</v>
      </c>
      <c r="L60" s="91">
        <f t="shared" si="4"/>
        <v>295791.30000000005</v>
      </c>
      <c r="M60" s="91">
        <f t="shared" si="0"/>
        <v>214193.69999999995</v>
      </c>
      <c r="N60" s="159">
        <f t="shared" si="2"/>
        <v>21</v>
      </c>
      <c r="O60" s="159"/>
      <c r="P60" s="97"/>
      <c r="Q60" s="11"/>
    </row>
    <row r="61" spans="2:17" s="114" customFormat="1">
      <c r="B61" s="293" t="s">
        <v>901</v>
      </c>
      <c r="C61" s="96">
        <v>56</v>
      </c>
      <c r="D61" s="123" t="s">
        <v>924</v>
      </c>
      <c r="E61" s="123"/>
      <c r="F61" s="19">
        <v>330000</v>
      </c>
      <c r="G61" s="19">
        <v>43989</v>
      </c>
      <c r="H61" s="19">
        <f>SUM(F61:G61)</f>
        <v>373989</v>
      </c>
      <c r="I61" s="317">
        <v>7479.78</v>
      </c>
      <c r="J61" s="159">
        <v>50</v>
      </c>
      <c r="K61" s="159">
        <v>13</v>
      </c>
      <c r="L61" s="16">
        <f t="shared" si="4"/>
        <v>97237.14</v>
      </c>
      <c r="M61" s="94">
        <f t="shared" si="0"/>
        <v>276751.86</v>
      </c>
      <c r="N61" s="159">
        <f t="shared" si="2"/>
        <v>37</v>
      </c>
      <c r="O61" s="159"/>
      <c r="P61" s="159"/>
      <c r="Q61" s="11"/>
    </row>
    <row r="62" spans="2:17" s="114" customFormat="1">
      <c r="B62" s="292" t="s">
        <v>526</v>
      </c>
      <c r="C62" s="96">
        <v>57</v>
      </c>
      <c r="D62" s="11" t="s">
        <v>527</v>
      </c>
      <c r="E62" s="11"/>
      <c r="F62" s="16">
        <v>330000</v>
      </c>
      <c r="G62" s="16">
        <v>43989</v>
      </c>
      <c r="H62" s="41">
        <f>SUM(F62:G62)</f>
        <v>373989</v>
      </c>
      <c r="I62" s="146">
        <v>7479.78</v>
      </c>
      <c r="J62" s="159">
        <v>50</v>
      </c>
      <c r="K62" s="97">
        <v>44</v>
      </c>
      <c r="L62" s="91">
        <f t="shared" si="4"/>
        <v>329110.32</v>
      </c>
      <c r="M62" s="94">
        <f t="shared" si="0"/>
        <v>44878.679999999993</v>
      </c>
      <c r="N62" s="159">
        <f t="shared" si="2"/>
        <v>6</v>
      </c>
      <c r="O62" s="159"/>
      <c r="P62" s="97"/>
      <c r="Q62" s="11"/>
    </row>
    <row r="63" spans="2:17" s="114" customFormat="1">
      <c r="B63" s="293" t="s">
        <v>1178</v>
      </c>
      <c r="C63" s="96">
        <v>58</v>
      </c>
      <c r="D63" s="11" t="s">
        <v>1179</v>
      </c>
      <c r="E63" s="11"/>
      <c r="F63" s="12">
        <v>150000</v>
      </c>
      <c r="G63" s="12">
        <v>19995</v>
      </c>
      <c r="H63" s="15">
        <f>SUM(F63:G63)</f>
        <v>169995</v>
      </c>
      <c r="I63" s="317">
        <v>3399.9</v>
      </c>
      <c r="J63" s="14">
        <v>50</v>
      </c>
      <c r="K63" s="96">
        <v>6</v>
      </c>
      <c r="L63" s="91">
        <f t="shared" si="4"/>
        <v>20399.400000000001</v>
      </c>
      <c r="M63" s="94">
        <f t="shared" si="0"/>
        <v>149595.6</v>
      </c>
      <c r="N63" s="159">
        <f t="shared" si="2"/>
        <v>44</v>
      </c>
      <c r="O63" s="159"/>
      <c r="P63" s="97"/>
      <c r="Q63" s="11"/>
    </row>
    <row r="64" spans="2:17" s="114" customFormat="1">
      <c r="B64" s="293" t="s">
        <v>1229</v>
      </c>
      <c r="C64" s="96">
        <v>59</v>
      </c>
      <c r="D64" s="123" t="s">
        <v>1230</v>
      </c>
      <c r="E64" s="123"/>
      <c r="F64" s="19">
        <v>150000</v>
      </c>
      <c r="G64" s="19">
        <v>19995</v>
      </c>
      <c r="H64" s="19">
        <f>SUM(F64:G64)</f>
        <v>169995</v>
      </c>
      <c r="I64" s="317">
        <v>4149.8999999999996</v>
      </c>
      <c r="J64" s="159">
        <v>40</v>
      </c>
      <c r="K64" s="159">
        <v>5</v>
      </c>
      <c r="L64" s="16">
        <f t="shared" si="4"/>
        <v>20749.5</v>
      </c>
      <c r="M64" s="94">
        <f t="shared" si="0"/>
        <v>149245.5</v>
      </c>
      <c r="N64" s="159">
        <f t="shared" si="2"/>
        <v>35</v>
      </c>
      <c r="O64" s="159"/>
      <c r="P64" s="159"/>
      <c r="Q64" s="11"/>
    </row>
    <row r="65" spans="2:17" s="114" customFormat="1">
      <c r="B65" s="292" t="s">
        <v>638</v>
      </c>
      <c r="C65" s="96">
        <v>60</v>
      </c>
      <c r="D65" s="11" t="s">
        <v>639</v>
      </c>
      <c r="E65" s="11"/>
      <c r="F65" s="16">
        <v>500000</v>
      </c>
      <c r="G65" s="16">
        <v>66650</v>
      </c>
      <c r="H65" s="41">
        <f>SUM(F65:G65)</f>
        <v>566650</v>
      </c>
      <c r="I65" s="318">
        <v>11333</v>
      </c>
      <c r="J65" s="159">
        <v>50</v>
      </c>
      <c r="K65" s="97">
        <v>22</v>
      </c>
      <c r="L65" s="91">
        <f>(1*11333)</f>
        <v>11333</v>
      </c>
      <c r="M65" s="91">
        <f t="shared" si="0"/>
        <v>555317</v>
      </c>
      <c r="N65" s="159">
        <f t="shared" si="2"/>
        <v>28</v>
      </c>
      <c r="O65" s="159"/>
      <c r="P65" s="97"/>
      <c r="Q65" s="11"/>
    </row>
    <row r="66" spans="2:17" s="114" customFormat="1">
      <c r="B66" s="292" t="s">
        <v>522</v>
      </c>
      <c r="C66" s="96">
        <v>61</v>
      </c>
      <c r="D66" s="11" t="s">
        <v>523</v>
      </c>
      <c r="E66" s="11"/>
      <c r="F66" s="19">
        <v>500000</v>
      </c>
      <c r="G66" s="19">
        <v>66650</v>
      </c>
      <c r="H66" s="19">
        <v>566650</v>
      </c>
      <c r="I66" s="318">
        <v>11333</v>
      </c>
      <c r="J66" s="159">
        <v>50</v>
      </c>
      <c r="K66" s="97">
        <v>30</v>
      </c>
      <c r="L66" s="91">
        <f t="shared" ref="L66:L88" si="5">K66*I66</f>
        <v>339990</v>
      </c>
      <c r="M66" s="91">
        <f t="shared" si="0"/>
        <v>226660</v>
      </c>
      <c r="N66" s="159">
        <f t="shared" si="2"/>
        <v>20</v>
      </c>
      <c r="O66" s="159"/>
      <c r="P66" s="97"/>
      <c r="Q66" s="11"/>
    </row>
    <row r="67" spans="2:17" s="114" customFormat="1">
      <c r="B67" s="292" t="s">
        <v>715</v>
      </c>
      <c r="C67" s="96">
        <v>62</v>
      </c>
      <c r="D67" s="11" t="s">
        <v>716</v>
      </c>
      <c r="E67" s="11"/>
      <c r="F67" s="19">
        <v>450000</v>
      </c>
      <c r="G67" s="19">
        <v>59985</v>
      </c>
      <c r="H67" s="19">
        <v>509985</v>
      </c>
      <c r="I67" s="318">
        <v>10199.700000000001</v>
      </c>
      <c r="J67" s="159">
        <v>50</v>
      </c>
      <c r="K67" s="101">
        <v>18</v>
      </c>
      <c r="L67" s="91">
        <f t="shared" si="5"/>
        <v>183594.6</v>
      </c>
      <c r="M67" s="94">
        <f t="shared" si="0"/>
        <v>326390.40000000002</v>
      </c>
      <c r="N67" s="159">
        <f t="shared" si="2"/>
        <v>32</v>
      </c>
      <c r="O67" s="159"/>
      <c r="P67" s="97"/>
      <c r="Q67" s="8"/>
    </row>
    <row r="68" spans="2:17" s="114" customFormat="1">
      <c r="B68" s="292" t="s">
        <v>501</v>
      </c>
      <c r="C68" s="96">
        <v>63</v>
      </c>
      <c r="D68" s="11" t="s">
        <v>502</v>
      </c>
      <c r="E68" s="11"/>
      <c r="F68" s="16">
        <v>500000</v>
      </c>
      <c r="G68" s="16">
        <v>66650</v>
      </c>
      <c r="H68" s="16">
        <v>566650</v>
      </c>
      <c r="I68" s="146">
        <v>11333</v>
      </c>
      <c r="J68" s="159">
        <v>50</v>
      </c>
      <c r="K68" s="159">
        <v>18</v>
      </c>
      <c r="L68" s="91">
        <f t="shared" si="5"/>
        <v>203994</v>
      </c>
      <c r="M68" s="94">
        <f t="shared" si="0"/>
        <v>362656</v>
      </c>
      <c r="N68" s="159">
        <f t="shared" si="2"/>
        <v>32</v>
      </c>
      <c r="O68" s="159"/>
      <c r="P68" s="97"/>
      <c r="Q68" s="11"/>
    </row>
    <row r="69" spans="2:17" s="114" customFormat="1">
      <c r="B69" s="292" t="s">
        <v>600</v>
      </c>
      <c r="C69" s="96">
        <v>64</v>
      </c>
      <c r="D69" s="11" t="s">
        <v>601</v>
      </c>
      <c r="E69" s="11"/>
      <c r="F69" s="16">
        <v>450000</v>
      </c>
      <c r="G69" s="16">
        <v>59985</v>
      </c>
      <c r="H69" s="41">
        <f>SUM(F69:G69)</f>
        <v>509985</v>
      </c>
      <c r="I69" s="318">
        <v>10199.700000000001</v>
      </c>
      <c r="J69" s="159">
        <v>50</v>
      </c>
      <c r="K69" s="97">
        <v>43</v>
      </c>
      <c r="L69" s="91">
        <f t="shared" si="5"/>
        <v>438587.10000000003</v>
      </c>
      <c r="M69" s="94">
        <f t="shared" si="0"/>
        <v>71397.899999999965</v>
      </c>
      <c r="N69" s="159">
        <f t="shared" si="2"/>
        <v>7</v>
      </c>
      <c r="O69" s="159"/>
      <c r="P69" s="97"/>
      <c r="Q69" s="11"/>
    </row>
    <row r="70" spans="2:17" s="114" customFormat="1">
      <c r="B70" s="293" t="s">
        <v>887</v>
      </c>
      <c r="C70" s="96">
        <v>65</v>
      </c>
      <c r="D70" s="123" t="s">
        <v>909</v>
      </c>
      <c r="E70" s="123"/>
      <c r="F70" s="16">
        <v>500000</v>
      </c>
      <c r="G70" s="16">
        <v>66650</v>
      </c>
      <c r="H70" s="41">
        <f>SUM(F70:G70)</f>
        <v>566650</v>
      </c>
      <c r="I70" s="317">
        <v>11333</v>
      </c>
      <c r="J70" s="159">
        <v>50</v>
      </c>
      <c r="K70" s="159">
        <v>13</v>
      </c>
      <c r="L70" s="16">
        <f t="shared" si="5"/>
        <v>147329</v>
      </c>
      <c r="M70" s="94">
        <f t="shared" ref="M70:M132" si="6">H70-L70</f>
        <v>419321</v>
      </c>
      <c r="N70" s="159">
        <f t="shared" si="2"/>
        <v>37</v>
      </c>
      <c r="O70" s="159"/>
      <c r="P70" s="159"/>
      <c r="Q70" s="11"/>
    </row>
    <row r="71" spans="2:17" s="114" customFormat="1">
      <c r="B71" s="292" t="s">
        <v>883</v>
      </c>
      <c r="C71" s="96">
        <v>66</v>
      </c>
      <c r="D71" s="11" t="s">
        <v>905</v>
      </c>
      <c r="E71" s="11"/>
      <c r="F71" s="16">
        <v>500000</v>
      </c>
      <c r="G71" s="16">
        <v>66650</v>
      </c>
      <c r="H71" s="41">
        <f>SUM(F71:G71)</f>
        <v>566650</v>
      </c>
      <c r="I71" s="318">
        <v>11333</v>
      </c>
      <c r="J71" s="159">
        <v>50</v>
      </c>
      <c r="K71" s="97">
        <v>52</v>
      </c>
      <c r="L71" s="91">
        <f t="shared" si="5"/>
        <v>589316</v>
      </c>
      <c r="M71" s="94">
        <f t="shared" si="6"/>
        <v>-22666</v>
      </c>
      <c r="N71" s="159">
        <f t="shared" ref="N71:N134" si="7">J71-K71</f>
        <v>-2</v>
      </c>
      <c r="O71" s="159"/>
      <c r="P71" s="97"/>
      <c r="Q71" s="11"/>
    </row>
    <row r="72" spans="2:17" s="114" customFormat="1">
      <c r="B72" s="122" t="s">
        <v>1194</v>
      </c>
      <c r="C72" s="96">
        <v>67</v>
      </c>
      <c r="D72" s="11" t="s">
        <v>1195</v>
      </c>
      <c r="E72" s="122"/>
      <c r="F72" s="16">
        <v>500000</v>
      </c>
      <c r="G72" s="16">
        <v>66650</v>
      </c>
      <c r="H72" s="41">
        <f>SUM(F72:G72)</f>
        <v>566650</v>
      </c>
      <c r="I72" s="271">
        <v>11333</v>
      </c>
      <c r="J72" s="159">
        <v>50</v>
      </c>
      <c r="K72" s="188">
        <v>3</v>
      </c>
      <c r="L72" s="16">
        <f t="shared" si="5"/>
        <v>33999</v>
      </c>
      <c r="M72" s="94">
        <f t="shared" si="6"/>
        <v>532651</v>
      </c>
      <c r="N72" s="159">
        <f t="shared" si="7"/>
        <v>47</v>
      </c>
      <c r="O72" s="159"/>
      <c r="P72" s="159"/>
      <c r="Q72" s="122"/>
    </row>
    <row r="73" spans="2:17" s="114" customFormat="1">
      <c r="B73" s="292" t="s">
        <v>505</v>
      </c>
      <c r="C73" s="96">
        <v>68</v>
      </c>
      <c r="D73" s="11" t="s">
        <v>506</v>
      </c>
      <c r="E73" s="11"/>
      <c r="F73" s="16">
        <v>500000</v>
      </c>
      <c r="G73" s="16">
        <v>66650</v>
      </c>
      <c r="H73" s="41">
        <f>SUM(F73:G73)</f>
        <v>566650</v>
      </c>
      <c r="I73" s="318">
        <v>11333</v>
      </c>
      <c r="J73" s="159">
        <v>50</v>
      </c>
      <c r="K73" s="97">
        <v>44</v>
      </c>
      <c r="L73" s="91">
        <f t="shared" si="5"/>
        <v>498652</v>
      </c>
      <c r="M73" s="94">
        <f t="shared" si="6"/>
        <v>67998</v>
      </c>
      <c r="N73" s="159">
        <f t="shared" si="7"/>
        <v>6</v>
      </c>
      <c r="O73" s="159"/>
      <c r="P73" s="97"/>
      <c r="Q73" s="11"/>
    </row>
    <row r="74" spans="2:17" s="114" customFormat="1">
      <c r="B74" s="292" t="s">
        <v>724</v>
      </c>
      <c r="C74" s="96">
        <v>69</v>
      </c>
      <c r="D74" s="11" t="s">
        <v>725</v>
      </c>
      <c r="E74" s="11"/>
      <c r="F74" s="19">
        <v>500000</v>
      </c>
      <c r="G74" s="19">
        <v>66650</v>
      </c>
      <c r="H74" s="19">
        <v>566650</v>
      </c>
      <c r="I74" s="318">
        <v>11333</v>
      </c>
      <c r="J74" s="159">
        <v>50</v>
      </c>
      <c r="K74" s="97">
        <v>29</v>
      </c>
      <c r="L74" s="91">
        <f t="shared" si="5"/>
        <v>328657</v>
      </c>
      <c r="M74" s="91">
        <f t="shared" si="6"/>
        <v>237993</v>
      </c>
      <c r="N74" s="159">
        <f t="shared" si="7"/>
        <v>21</v>
      </c>
      <c r="O74" s="159"/>
      <c r="P74" s="97"/>
      <c r="Q74" s="11"/>
    </row>
    <row r="75" spans="2:17" s="114" customFormat="1">
      <c r="B75" s="295" t="s">
        <v>937</v>
      </c>
      <c r="C75" s="96">
        <v>70</v>
      </c>
      <c r="D75" s="11" t="s">
        <v>938</v>
      </c>
      <c r="E75" s="8"/>
      <c r="F75" s="19">
        <v>150000</v>
      </c>
      <c r="G75" s="19">
        <v>19995</v>
      </c>
      <c r="H75" s="19">
        <f t="shared" ref="H75:H86" si="8">SUM(F75:G75)</f>
        <v>169995</v>
      </c>
      <c r="I75" s="319">
        <v>3399.9</v>
      </c>
      <c r="J75" s="159">
        <v>50</v>
      </c>
      <c r="K75" s="159">
        <v>10</v>
      </c>
      <c r="L75" s="16">
        <f t="shared" si="5"/>
        <v>33999</v>
      </c>
      <c r="M75" s="94">
        <f t="shared" si="6"/>
        <v>135996</v>
      </c>
      <c r="N75" s="159">
        <f t="shared" si="7"/>
        <v>40</v>
      </c>
      <c r="O75" s="159"/>
      <c r="P75" s="159"/>
      <c r="Q75" s="8"/>
    </row>
    <row r="76" spans="2:17" s="114" customFormat="1">
      <c r="B76" s="293" t="s">
        <v>1213</v>
      </c>
      <c r="C76" s="96">
        <v>71</v>
      </c>
      <c r="D76" s="123" t="s">
        <v>1214</v>
      </c>
      <c r="E76" s="123"/>
      <c r="F76" s="19">
        <v>330000</v>
      </c>
      <c r="G76" s="19">
        <v>43989</v>
      </c>
      <c r="H76" s="19">
        <f t="shared" si="8"/>
        <v>373989</v>
      </c>
      <c r="I76" s="317">
        <v>7479.78</v>
      </c>
      <c r="J76" s="159">
        <v>50</v>
      </c>
      <c r="K76" s="159">
        <v>5</v>
      </c>
      <c r="L76" s="16">
        <f t="shared" si="5"/>
        <v>37398.9</v>
      </c>
      <c r="M76" s="94">
        <f t="shared" si="6"/>
        <v>336590.1</v>
      </c>
      <c r="N76" s="159">
        <f t="shared" si="7"/>
        <v>45</v>
      </c>
      <c r="O76" s="159"/>
      <c r="P76" s="159"/>
      <c r="Q76" s="11"/>
    </row>
    <row r="77" spans="2:17" s="114" customFormat="1">
      <c r="B77" s="294" t="s">
        <v>663</v>
      </c>
      <c r="C77" s="96">
        <v>72</v>
      </c>
      <c r="D77" s="11" t="s">
        <v>953</v>
      </c>
      <c r="E77" s="11"/>
      <c r="F77" s="19">
        <v>330000</v>
      </c>
      <c r="G77" s="19">
        <v>43989</v>
      </c>
      <c r="H77" s="19">
        <f t="shared" si="8"/>
        <v>373989</v>
      </c>
      <c r="I77" s="317">
        <v>7479.78</v>
      </c>
      <c r="J77" s="159">
        <v>50</v>
      </c>
      <c r="K77" s="159">
        <v>11</v>
      </c>
      <c r="L77" s="91">
        <f t="shared" si="5"/>
        <v>82277.58</v>
      </c>
      <c r="M77" s="94">
        <f t="shared" si="6"/>
        <v>291711.42</v>
      </c>
      <c r="N77" s="159">
        <f t="shared" si="7"/>
        <v>39</v>
      </c>
      <c r="O77" s="159"/>
      <c r="P77" s="97"/>
      <c r="Q77" s="11"/>
    </row>
    <row r="78" spans="2:17" s="114" customFormat="1">
      <c r="B78" s="294" t="s">
        <v>868</v>
      </c>
      <c r="C78" s="96">
        <v>73</v>
      </c>
      <c r="D78" s="11" t="s">
        <v>925</v>
      </c>
      <c r="E78" s="11"/>
      <c r="F78" s="19">
        <v>150000</v>
      </c>
      <c r="G78" s="19">
        <v>19995</v>
      </c>
      <c r="H78" s="19">
        <f t="shared" si="8"/>
        <v>169995</v>
      </c>
      <c r="I78" s="317">
        <v>3399.9</v>
      </c>
      <c r="J78" s="159">
        <v>50</v>
      </c>
      <c r="K78" s="159">
        <v>14</v>
      </c>
      <c r="L78" s="91">
        <f t="shared" si="5"/>
        <v>47598.6</v>
      </c>
      <c r="M78" s="94">
        <f t="shared" si="6"/>
        <v>122396.4</v>
      </c>
      <c r="N78" s="159">
        <f t="shared" si="7"/>
        <v>36</v>
      </c>
      <c r="O78" s="159"/>
      <c r="P78" s="97"/>
      <c r="Q78" s="11"/>
    </row>
    <row r="79" spans="2:17" s="114" customFormat="1">
      <c r="B79" s="292" t="s">
        <v>682</v>
      </c>
      <c r="C79" s="96">
        <v>74</v>
      </c>
      <c r="D79" s="11" t="s">
        <v>683</v>
      </c>
      <c r="E79" s="11"/>
      <c r="F79" s="16">
        <v>500000</v>
      </c>
      <c r="G79" s="16">
        <v>66650</v>
      </c>
      <c r="H79" s="41">
        <f t="shared" si="8"/>
        <v>566650</v>
      </c>
      <c r="I79" s="318">
        <v>11333</v>
      </c>
      <c r="J79" s="159">
        <v>50</v>
      </c>
      <c r="K79" s="97">
        <v>44</v>
      </c>
      <c r="L79" s="91">
        <f t="shared" si="5"/>
        <v>498652</v>
      </c>
      <c r="M79" s="94">
        <f t="shared" si="6"/>
        <v>67998</v>
      </c>
      <c r="N79" s="159">
        <f t="shared" si="7"/>
        <v>6</v>
      </c>
      <c r="O79" s="159"/>
      <c r="P79" s="97"/>
      <c r="Q79" s="11"/>
    </row>
    <row r="80" spans="2:17" s="114" customFormat="1">
      <c r="B80" s="293" t="s">
        <v>1237</v>
      </c>
      <c r="C80" s="96">
        <v>75</v>
      </c>
      <c r="D80" s="123" t="s">
        <v>1238</v>
      </c>
      <c r="E80" s="123"/>
      <c r="F80" s="16">
        <v>500000</v>
      </c>
      <c r="G80" s="16">
        <v>66650</v>
      </c>
      <c r="H80" s="41">
        <f t="shared" si="8"/>
        <v>566650</v>
      </c>
      <c r="I80" s="317">
        <v>11333</v>
      </c>
      <c r="J80" s="159">
        <v>50</v>
      </c>
      <c r="K80" s="159">
        <v>5</v>
      </c>
      <c r="L80" s="16">
        <f t="shared" si="5"/>
        <v>56665</v>
      </c>
      <c r="M80" s="94">
        <f t="shared" si="6"/>
        <v>509985</v>
      </c>
      <c r="N80" s="159">
        <f t="shared" si="7"/>
        <v>45</v>
      </c>
      <c r="O80" s="159"/>
      <c r="P80" s="159"/>
      <c r="Q80" s="11"/>
    </row>
    <row r="81" spans="2:17" s="114" customFormat="1">
      <c r="B81" s="292" t="s">
        <v>594</v>
      </c>
      <c r="C81" s="96">
        <v>76</v>
      </c>
      <c r="D81" s="11" t="s">
        <v>595</v>
      </c>
      <c r="E81" s="11"/>
      <c r="F81" s="16">
        <v>500000</v>
      </c>
      <c r="G81" s="16">
        <v>66650</v>
      </c>
      <c r="H81" s="41">
        <f t="shared" si="8"/>
        <v>566650</v>
      </c>
      <c r="I81" s="318">
        <v>11333</v>
      </c>
      <c r="J81" s="159">
        <v>50</v>
      </c>
      <c r="K81" s="97">
        <v>44</v>
      </c>
      <c r="L81" s="91">
        <f t="shared" si="5"/>
        <v>498652</v>
      </c>
      <c r="M81" s="94">
        <f t="shared" si="6"/>
        <v>67998</v>
      </c>
      <c r="N81" s="159">
        <f t="shared" si="7"/>
        <v>6</v>
      </c>
      <c r="O81" s="159"/>
      <c r="P81" s="97"/>
      <c r="Q81" s="11"/>
    </row>
    <row r="82" spans="2:17" s="114" customFormat="1">
      <c r="B82" s="293" t="s">
        <v>1166</v>
      </c>
      <c r="C82" s="96">
        <v>77</v>
      </c>
      <c r="D82" s="11" t="s">
        <v>1167</v>
      </c>
      <c r="E82" s="11"/>
      <c r="F82" s="16">
        <v>500000</v>
      </c>
      <c r="G82" s="16">
        <v>66650</v>
      </c>
      <c r="H82" s="41">
        <f t="shared" si="8"/>
        <v>566650</v>
      </c>
      <c r="I82" s="317">
        <v>11333</v>
      </c>
      <c r="J82" s="159">
        <v>50</v>
      </c>
      <c r="K82" s="96">
        <v>6</v>
      </c>
      <c r="L82" s="91">
        <f t="shared" si="5"/>
        <v>67998</v>
      </c>
      <c r="M82" s="94">
        <f t="shared" si="6"/>
        <v>498652</v>
      </c>
      <c r="N82" s="159">
        <f t="shared" si="7"/>
        <v>44</v>
      </c>
      <c r="O82" s="159"/>
      <c r="P82" s="97"/>
      <c r="Q82" s="11"/>
    </row>
    <row r="83" spans="2:17" s="114" customFormat="1">
      <c r="B83" s="293" t="s">
        <v>1172</v>
      </c>
      <c r="C83" s="96">
        <v>78</v>
      </c>
      <c r="D83" s="11" t="s">
        <v>1173</v>
      </c>
      <c r="E83" s="11"/>
      <c r="F83" s="19">
        <v>330000</v>
      </c>
      <c r="G83" s="19">
        <v>43989</v>
      </c>
      <c r="H83" s="19">
        <f t="shared" si="8"/>
        <v>373989</v>
      </c>
      <c r="I83" s="317">
        <v>7479.78</v>
      </c>
      <c r="J83" s="159">
        <v>50</v>
      </c>
      <c r="K83" s="96">
        <v>6</v>
      </c>
      <c r="L83" s="91">
        <f t="shared" si="5"/>
        <v>44878.68</v>
      </c>
      <c r="M83" s="94">
        <f t="shared" si="6"/>
        <v>329110.32</v>
      </c>
      <c r="N83" s="159">
        <f t="shared" si="7"/>
        <v>44</v>
      </c>
      <c r="O83" s="159"/>
      <c r="P83" s="97"/>
      <c r="Q83" s="11"/>
    </row>
    <row r="84" spans="2:17" s="114" customFormat="1">
      <c r="B84" s="292" t="s">
        <v>583</v>
      </c>
      <c r="C84" s="96">
        <v>79</v>
      </c>
      <c r="D84" s="11" t="s">
        <v>584</v>
      </c>
      <c r="E84" s="11"/>
      <c r="F84" s="16">
        <v>500000</v>
      </c>
      <c r="G84" s="16">
        <v>66650</v>
      </c>
      <c r="H84" s="41">
        <f t="shared" si="8"/>
        <v>566650</v>
      </c>
      <c r="I84" s="318">
        <v>11333</v>
      </c>
      <c r="J84" s="159">
        <v>50</v>
      </c>
      <c r="K84" s="97">
        <v>44</v>
      </c>
      <c r="L84" s="91">
        <f t="shared" si="5"/>
        <v>498652</v>
      </c>
      <c r="M84" s="94">
        <f t="shared" si="6"/>
        <v>67998</v>
      </c>
      <c r="N84" s="159">
        <f t="shared" si="7"/>
        <v>6</v>
      </c>
      <c r="O84" s="159"/>
      <c r="P84" s="97"/>
      <c r="Q84" s="11"/>
    </row>
    <row r="85" spans="2:17" s="114" customFormat="1">
      <c r="B85" s="295" t="s">
        <v>884</v>
      </c>
      <c r="C85" s="96">
        <v>80</v>
      </c>
      <c r="D85" s="11" t="s">
        <v>906</v>
      </c>
      <c r="E85" s="8"/>
      <c r="F85" s="16">
        <v>500000</v>
      </c>
      <c r="G85" s="16">
        <v>66650</v>
      </c>
      <c r="H85" s="41">
        <f t="shared" si="8"/>
        <v>566650</v>
      </c>
      <c r="I85" s="319">
        <v>11333</v>
      </c>
      <c r="J85" s="159">
        <v>50</v>
      </c>
      <c r="K85" s="159">
        <v>13</v>
      </c>
      <c r="L85" s="16">
        <f t="shared" si="5"/>
        <v>147329</v>
      </c>
      <c r="M85" s="94">
        <f t="shared" si="6"/>
        <v>419321</v>
      </c>
      <c r="N85" s="159">
        <f t="shared" si="7"/>
        <v>37</v>
      </c>
      <c r="O85" s="159"/>
      <c r="P85" s="97"/>
      <c r="Q85" s="8"/>
    </row>
    <row r="86" spans="2:17" s="114" customFormat="1">
      <c r="B86" s="292" t="s">
        <v>561</v>
      </c>
      <c r="C86" s="96">
        <v>81</v>
      </c>
      <c r="D86" s="11" t="s">
        <v>562</v>
      </c>
      <c r="E86" s="11"/>
      <c r="F86" s="16">
        <v>450000</v>
      </c>
      <c r="G86" s="16">
        <v>59985</v>
      </c>
      <c r="H86" s="41">
        <f t="shared" si="8"/>
        <v>509985</v>
      </c>
      <c r="I86" s="318">
        <v>10199.700000000001</v>
      </c>
      <c r="J86" s="159">
        <v>50</v>
      </c>
      <c r="K86" s="97">
        <v>44</v>
      </c>
      <c r="L86" s="91">
        <f t="shared" si="5"/>
        <v>448786.80000000005</v>
      </c>
      <c r="M86" s="94">
        <f t="shared" si="6"/>
        <v>61198.199999999953</v>
      </c>
      <c r="N86" s="159">
        <f t="shared" si="7"/>
        <v>6</v>
      </c>
      <c r="O86" s="159"/>
      <c r="P86" s="97"/>
      <c r="Q86" s="11"/>
    </row>
    <row r="87" spans="2:17" s="114" customFormat="1">
      <c r="B87" s="292" t="s">
        <v>702</v>
      </c>
      <c r="C87" s="96">
        <v>82</v>
      </c>
      <c r="D87" s="11" t="s">
        <v>703</v>
      </c>
      <c r="E87" s="11"/>
      <c r="F87" s="16">
        <v>450000</v>
      </c>
      <c r="G87" s="16">
        <v>59985</v>
      </c>
      <c r="H87" s="16">
        <v>509985</v>
      </c>
      <c r="I87" s="318">
        <v>10199.700000000001</v>
      </c>
      <c r="J87" s="159">
        <v>50</v>
      </c>
      <c r="K87" s="97">
        <v>29</v>
      </c>
      <c r="L87" s="91">
        <f t="shared" si="5"/>
        <v>295791.30000000005</v>
      </c>
      <c r="M87" s="91">
        <f t="shared" si="6"/>
        <v>214193.69999999995</v>
      </c>
      <c r="N87" s="159">
        <f t="shared" si="7"/>
        <v>21</v>
      </c>
      <c r="O87" s="159"/>
      <c r="P87" s="97"/>
      <c r="Q87" s="11"/>
    </row>
    <row r="88" spans="2:17" s="114" customFormat="1">
      <c r="B88" s="294" t="s">
        <v>723</v>
      </c>
      <c r="C88" s="96">
        <v>83</v>
      </c>
      <c r="D88" s="11" t="s">
        <v>955</v>
      </c>
      <c r="E88" s="11"/>
      <c r="F88" s="16">
        <v>500000</v>
      </c>
      <c r="G88" s="16">
        <v>66650</v>
      </c>
      <c r="H88" s="41">
        <f>SUM(F88:G88)</f>
        <v>566650</v>
      </c>
      <c r="I88" s="317">
        <v>11333</v>
      </c>
      <c r="J88" s="159">
        <v>50</v>
      </c>
      <c r="K88" s="159">
        <v>11</v>
      </c>
      <c r="L88" s="91">
        <f t="shared" si="5"/>
        <v>124663</v>
      </c>
      <c r="M88" s="94">
        <f t="shared" si="6"/>
        <v>441987</v>
      </c>
      <c r="N88" s="159">
        <f t="shared" si="7"/>
        <v>39</v>
      </c>
      <c r="O88" s="159"/>
      <c r="P88" s="97"/>
      <c r="Q88" s="11"/>
    </row>
    <row r="89" spans="2:17" s="114" customFormat="1">
      <c r="B89" s="122" t="s">
        <v>1176</v>
      </c>
      <c r="C89" s="96">
        <v>84</v>
      </c>
      <c r="D89" s="11" t="s">
        <v>1177</v>
      </c>
      <c r="E89" s="122"/>
      <c r="F89" s="16">
        <v>500000</v>
      </c>
      <c r="G89" s="16">
        <v>66650</v>
      </c>
      <c r="H89" s="41">
        <f>SUM(F89:G89)</f>
        <v>566650</v>
      </c>
      <c r="I89" s="271">
        <v>11333</v>
      </c>
      <c r="J89" s="159">
        <v>50</v>
      </c>
      <c r="K89" s="188">
        <v>3</v>
      </c>
      <c r="L89" s="16">
        <f t="shared" ref="L89:L138" si="9">K89*I89</f>
        <v>33999</v>
      </c>
      <c r="M89" s="94">
        <f t="shared" si="6"/>
        <v>532651</v>
      </c>
      <c r="N89" s="159">
        <f t="shared" si="7"/>
        <v>47</v>
      </c>
      <c r="O89" s="159"/>
      <c r="P89" s="159"/>
      <c r="Q89" s="122"/>
    </row>
    <row r="90" spans="2:17" s="114" customFormat="1">
      <c r="B90" s="292" t="s">
        <v>559</v>
      </c>
      <c r="C90" s="96">
        <v>85</v>
      </c>
      <c r="D90" s="11" t="s">
        <v>560</v>
      </c>
      <c r="E90" s="11"/>
      <c r="F90" s="16">
        <v>500000</v>
      </c>
      <c r="G90" s="16">
        <v>66650</v>
      </c>
      <c r="H90" s="16">
        <v>566650</v>
      </c>
      <c r="I90" s="146">
        <v>11333</v>
      </c>
      <c r="J90" s="159">
        <v>50</v>
      </c>
      <c r="K90" s="96">
        <v>18</v>
      </c>
      <c r="L90" s="91">
        <f t="shared" si="9"/>
        <v>203994</v>
      </c>
      <c r="M90" s="94">
        <f t="shared" si="6"/>
        <v>362656</v>
      </c>
      <c r="N90" s="159">
        <f t="shared" si="7"/>
        <v>32</v>
      </c>
      <c r="O90" s="159"/>
      <c r="P90" s="97"/>
      <c r="Q90" s="123"/>
    </row>
    <row r="91" spans="2:17" s="114" customFormat="1">
      <c r="B91" s="292" t="s">
        <v>629</v>
      </c>
      <c r="C91" s="96">
        <v>86</v>
      </c>
      <c r="D91" s="11" t="s">
        <v>630</v>
      </c>
      <c r="E91" s="11"/>
      <c r="F91" s="12">
        <v>330000</v>
      </c>
      <c r="G91" s="12">
        <v>43989</v>
      </c>
      <c r="H91" s="15">
        <f t="shared" ref="H91:H98" si="10">SUM(F91:G91)</f>
        <v>373989</v>
      </c>
      <c r="I91" s="146">
        <v>7479.78</v>
      </c>
      <c r="J91" s="14">
        <v>50</v>
      </c>
      <c r="K91" s="14">
        <v>49</v>
      </c>
      <c r="L91" s="91">
        <f t="shared" si="9"/>
        <v>366509.22</v>
      </c>
      <c r="M91" s="15">
        <f t="shared" si="6"/>
        <v>7479.7800000000279</v>
      </c>
      <c r="N91" s="159">
        <f t="shared" si="7"/>
        <v>1</v>
      </c>
      <c r="O91" s="159"/>
      <c r="P91" s="97"/>
      <c r="Q91" s="8"/>
    </row>
    <row r="92" spans="2:17" s="114" customFormat="1">
      <c r="B92" s="295" t="s">
        <v>943</v>
      </c>
      <c r="C92" s="96">
        <v>87</v>
      </c>
      <c r="D92" s="11" t="s">
        <v>944</v>
      </c>
      <c r="E92" s="8"/>
      <c r="F92" s="16">
        <v>450000</v>
      </c>
      <c r="G92" s="16">
        <v>59985</v>
      </c>
      <c r="H92" s="41">
        <f t="shared" si="10"/>
        <v>509985</v>
      </c>
      <c r="I92" s="319">
        <v>10199.700000000001</v>
      </c>
      <c r="J92" s="159">
        <v>50</v>
      </c>
      <c r="K92" s="159">
        <v>43</v>
      </c>
      <c r="L92" s="16">
        <f t="shared" si="9"/>
        <v>438587.10000000003</v>
      </c>
      <c r="M92" s="94">
        <f t="shared" si="6"/>
        <v>71397.899999999965</v>
      </c>
      <c r="N92" s="159">
        <f t="shared" si="7"/>
        <v>7</v>
      </c>
      <c r="O92" s="159"/>
      <c r="P92" s="159"/>
      <c r="Q92" s="8"/>
    </row>
    <row r="93" spans="2:17" s="114" customFormat="1">
      <c r="B93" s="292" t="s">
        <v>676</v>
      </c>
      <c r="C93" s="96">
        <v>88</v>
      </c>
      <c r="D93" s="11" t="s">
        <v>677</v>
      </c>
      <c r="E93" s="11"/>
      <c r="F93" s="19">
        <v>150000</v>
      </c>
      <c r="G93" s="19">
        <v>19995</v>
      </c>
      <c r="H93" s="19">
        <f t="shared" si="10"/>
        <v>169995</v>
      </c>
      <c r="I93" s="318">
        <v>3399.9</v>
      </c>
      <c r="J93" s="159">
        <v>50</v>
      </c>
      <c r="K93" s="97">
        <v>30</v>
      </c>
      <c r="L93" s="91">
        <f t="shared" si="9"/>
        <v>101997</v>
      </c>
      <c r="M93" s="91">
        <f t="shared" si="6"/>
        <v>67998</v>
      </c>
      <c r="N93" s="159">
        <f t="shared" si="7"/>
        <v>20</v>
      </c>
      <c r="O93" s="159"/>
      <c r="P93" s="97"/>
      <c r="Q93" s="11"/>
    </row>
    <row r="94" spans="2:17" s="114" customFormat="1">
      <c r="B94" s="292" t="s">
        <v>686</v>
      </c>
      <c r="C94" s="96">
        <v>89</v>
      </c>
      <c r="D94" s="11" t="s">
        <v>687</v>
      </c>
      <c r="E94" s="11"/>
      <c r="F94" s="16">
        <v>500000</v>
      </c>
      <c r="G94" s="16">
        <v>66650</v>
      </c>
      <c r="H94" s="41">
        <f t="shared" si="10"/>
        <v>566650</v>
      </c>
      <c r="I94" s="318">
        <v>11333</v>
      </c>
      <c r="J94" s="159">
        <v>50</v>
      </c>
      <c r="K94" s="97">
        <v>43</v>
      </c>
      <c r="L94" s="91">
        <f t="shared" si="9"/>
        <v>487319</v>
      </c>
      <c r="M94" s="94">
        <f t="shared" si="6"/>
        <v>79331</v>
      </c>
      <c r="N94" s="159">
        <f t="shared" si="7"/>
        <v>7</v>
      </c>
      <c r="O94" s="159"/>
      <c r="P94" s="97"/>
      <c r="Q94" s="11"/>
    </row>
    <row r="95" spans="2:17" s="114" customFormat="1">
      <c r="B95" s="295" t="s">
        <v>1233</v>
      </c>
      <c r="C95" s="96">
        <v>90</v>
      </c>
      <c r="D95" s="11" t="s">
        <v>1234</v>
      </c>
      <c r="E95" s="8"/>
      <c r="F95" s="16">
        <v>500000</v>
      </c>
      <c r="G95" s="16">
        <v>66650</v>
      </c>
      <c r="H95" s="41">
        <f t="shared" si="10"/>
        <v>566650</v>
      </c>
      <c r="I95" s="34">
        <v>11333</v>
      </c>
      <c r="J95" s="159">
        <v>50</v>
      </c>
      <c r="K95" s="323">
        <v>3</v>
      </c>
      <c r="L95" s="16">
        <f t="shared" si="9"/>
        <v>33999</v>
      </c>
      <c r="M95" s="94">
        <f t="shared" si="6"/>
        <v>532651</v>
      </c>
      <c r="N95" s="159">
        <f t="shared" si="7"/>
        <v>47</v>
      </c>
      <c r="O95" s="159"/>
      <c r="P95" s="159"/>
      <c r="Q95" s="8"/>
    </row>
    <row r="96" spans="2:17" s="114" customFormat="1">
      <c r="B96" s="292" t="s">
        <v>536</v>
      </c>
      <c r="C96" s="96">
        <v>91</v>
      </c>
      <c r="D96" s="11" t="s">
        <v>537</v>
      </c>
      <c r="E96" s="11"/>
      <c r="F96" s="12">
        <v>500000</v>
      </c>
      <c r="G96" s="12">
        <v>66650</v>
      </c>
      <c r="H96" s="15">
        <f t="shared" si="10"/>
        <v>566650</v>
      </c>
      <c r="I96" s="237">
        <v>11333</v>
      </c>
      <c r="J96" s="14">
        <v>50</v>
      </c>
      <c r="K96" s="14">
        <v>49</v>
      </c>
      <c r="L96" s="91">
        <f t="shared" si="9"/>
        <v>555317</v>
      </c>
      <c r="M96" s="15">
        <f t="shared" si="6"/>
        <v>11333</v>
      </c>
      <c r="N96" s="159">
        <f t="shared" si="7"/>
        <v>1</v>
      </c>
      <c r="O96" s="159"/>
      <c r="P96" s="97"/>
      <c r="Q96" s="8"/>
    </row>
    <row r="97" spans="2:17" s="114" customFormat="1">
      <c r="B97" s="1" t="s">
        <v>1152</v>
      </c>
      <c r="C97" s="96">
        <v>92</v>
      </c>
      <c r="D97" s="11" t="s">
        <v>1153</v>
      </c>
      <c r="E97" s="1"/>
      <c r="F97" s="16">
        <v>500000</v>
      </c>
      <c r="G97" s="16">
        <v>66650</v>
      </c>
      <c r="H97" s="41">
        <f t="shared" si="10"/>
        <v>566650</v>
      </c>
      <c r="I97" s="34">
        <v>11333</v>
      </c>
      <c r="J97" s="159">
        <v>50</v>
      </c>
      <c r="K97" s="323">
        <v>3</v>
      </c>
      <c r="L97" s="16">
        <f t="shared" si="9"/>
        <v>33999</v>
      </c>
      <c r="M97" s="94">
        <f t="shared" si="6"/>
        <v>532651</v>
      </c>
      <c r="N97" s="159">
        <f t="shared" si="7"/>
        <v>47</v>
      </c>
      <c r="O97" s="159"/>
      <c r="P97" s="159"/>
      <c r="Q97" s="8"/>
    </row>
    <row r="98" spans="2:17" s="114" customFormat="1">
      <c r="B98" s="292" t="s">
        <v>546</v>
      </c>
      <c r="C98" s="96">
        <v>93</v>
      </c>
      <c r="D98" s="11" t="s">
        <v>547</v>
      </c>
      <c r="E98" s="11"/>
      <c r="F98" s="19">
        <v>330000</v>
      </c>
      <c r="G98" s="19">
        <v>43989</v>
      </c>
      <c r="H98" s="19">
        <f t="shared" si="10"/>
        <v>373989</v>
      </c>
      <c r="I98" s="318">
        <v>9129.7800000000007</v>
      </c>
      <c r="J98" s="159">
        <v>40</v>
      </c>
      <c r="K98" s="159">
        <v>18</v>
      </c>
      <c r="L98" s="91">
        <f t="shared" si="9"/>
        <v>164336.04</v>
      </c>
      <c r="M98" s="94">
        <f t="shared" si="6"/>
        <v>209652.96</v>
      </c>
      <c r="N98" s="159">
        <f t="shared" si="7"/>
        <v>22</v>
      </c>
      <c r="O98" s="159"/>
      <c r="P98" s="97"/>
      <c r="Q98" s="11"/>
    </row>
    <row r="99" spans="2:17" s="114" customFormat="1">
      <c r="B99" s="293" t="s">
        <v>893</v>
      </c>
      <c r="C99" s="96">
        <v>94</v>
      </c>
      <c r="D99" s="123" t="s">
        <v>915</v>
      </c>
      <c r="E99" s="123"/>
      <c r="F99" s="19">
        <v>450000</v>
      </c>
      <c r="G99" s="19">
        <v>59985</v>
      </c>
      <c r="H99" s="19">
        <v>509985</v>
      </c>
      <c r="I99" s="317">
        <v>10199.700000000001</v>
      </c>
      <c r="J99" s="159">
        <v>50</v>
      </c>
      <c r="K99" s="159">
        <v>13</v>
      </c>
      <c r="L99" s="16">
        <f t="shared" si="9"/>
        <v>132596.1</v>
      </c>
      <c r="M99" s="94">
        <f t="shared" si="6"/>
        <v>377388.9</v>
      </c>
      <c r="N99" s="159">
        <f t="shared" si="7"/>
        <v>37</v>
      </c>
      <c r="O99" s="159"/>
      <c r="P99" s="159"/>
      <c r="Q99" s="11"/>
    </row>
    <row r="100" spans="2:17" s="114" customFormat="1">
      <c r="B100" s="293" t="s">
        <v>1255</v>
      </c>
      <c r="C100" s="96">
        <v>95</v>
      </c>
      <c r="D100" s="123" t="s">
        <v>1256</v>
      </c>
      <c r="E100" s="123"/>
      <c r="F100" s="19">
        <v>450000</v>
      </c>
      <c r="G100" s="19">
        <v>59985</v>
      </c>
      <c r="H100" s="19">
        <v>509985</v>
      </c>
      <c r="I100" s="317">
        <v>10199.700000000001</v>
      </c>
      <c r="J100" s="159">
        <v>50</v>
      </c>
      <c r="K100" s="159">
        <v>5</v>
      </c>
      <c r="L100" s="16">
        <f t="shared" si="9"/>
        <v>50998.5</v>
      </c>
      <c r="M100" s="94">
        <f t="shared" si="6"/>
        <v>458986.5</v>
      </c>
      <c r="N100" s="159">
        <f t="shared" si="7"/>
        <v>45</v>
      </c>
      <c r="O100" s="159"/>
      <c r="P100" s="159"/>
      <c r="Q100" s="11"/>
    </row>
    <row r="101" spans="2:17" s="114" customFormat="1">
      <c r="B101" s="295" t="s">
        <v>947</v>
      </c>
      <c r="C101" s="96">
        <v>96</v>
      </c>
      <c r="D101" s="11" t="s">
        <v>948</v>
      </c>
      <c r="E101" s="8"/>
      <c r="F101" s="16">
        <v>500000</v>
      </c>
      <c r="G101" s="16">
        <v>66650</v>
      </c>
      <c r="H101" s="41">
        <f t="shared" ref="H101:H106" si="11">SUM(F101:G101)</f>
        <v>566650</v>
      </c>
      <c r="I101" s="319">
        <v>11333</v>
      </c>
      <c r="J101" s="159">
        <v>50</v>
      </c>
      <c r="K101" s="159">
        <v>10</v>
      </c>
      <c r="L101" s="16">
        <f t="shared" si="9"/>
        <v>113330</v>
      </c>
      <c r="M101" s="94">
        <f t="shared" si="6"/>
        <v>453320</v>
      </c>
      <c r="N101" s="159">
        <f t="shared" si="7"/>
        <v>40</v>
      </c>
      <c r="O101" s="159"/>
      <c r="P101" s="159"/>
      <c r="Q101" s="8"/>
    </row>
    <row r="102" spans="2:17" s="114" customFormat="1">
      <c r="B102" s="303" t="s">
        <v>1259</v>
      </c>
      <c r="C102" s="96">
        <v>97</v>
      </c>
      <c r="D102" s="123" t="s">
        <v>1260</v>
      </c>
      <c r="E102" s="123"/>
      <c r="F102" s="16">
        <v>500000</v>
      </c>
      <c r="G102" s="16">
        <v>66650</v>
      </c>
      <c r="H102" s="41">
        <f t="shared" si="11"/>
        <v>566650</v>
      </c>
      <c r="I102" s="317">
        <v>11333</v>
      </c>
      <c r="J102" s="240">
        <v>50</v>
      </c>
      <c r="K102" s="247">
        <v>5</v>
      </c>
      <c r="L102" s="16">
        <f t="shared" si="9"/>
        <v>56665</v>
      </c>
      <c r="M102" s="94">
        <f t="shared" si="6"/>
        <v>509985</v>
      </c>
      <c r="N102" s="159">
        <f t="shared" si="7"/>
        <v>45</v>
      </c>
      <c r="O102" s="159"/>
      <c r="P102" s="159"/>
      <c r="Q102" s="11"/>
    </row>
    <row r="103" spans="2:17" s="114" customFormat="1">
      <c r="B103" s="293" t="s">
        <v>1192</v>
      </c>
      <c r="C103" s="96">
        <v>98</v>
      </c>
      <c r="D103" s="123" t="s">
        <v>1193</v>
      </c>
      <c r="E103" s="123"/>
      <c r="F103" s="19">
        <v>330000</v>
      </c>
      <c r="G103" s="19">
        <v>43989</v>
      </c>
      <c r="H103" s="19">
        <f t="shared" si="11"/>
        <v>373989</v>
      </c>
      <c r="I103" s="317">
        <v>7479.78</v>
      </c>
      <c r="J103" s="159">
        <v>50</v>
      </c>
      <c r="K103" s="159">
        <v>4</v>
      </c>
      <c r="L103" s="16">
        <f t="shared" si="9"/>
        <v>29919.119999999999</v>
      </c>
      <c r="M103" s="94">
        <f t="shared" si="6"/>
        <v>344069.88</v>
      </c>
      <c r="N103" s="159">
        <f t="shared" si="7"/>
        <v>46</v>
      </c>
      <c r="O103" s="159"/>
      <c r="P103" s="159"/>
      <c r="Q103" s="11"/>
    </row>
    <row r="104" spans="2:17" s="114" customFormat="1">
      <c r="B104" s="292" t="s">
        <v>886</v>
      </c>
      <c r="C104" s="96">
        <v>99</v>
      </c>
      <c r="D104" s="11" t="s">
        <v>908</v>
      </c>
      <c r="E104" s="11"/>
      <c r="F104" s="16">
        <v>500000</v>
      </c>
      <c r="G104" s="16">
        <v>66650</v>
      </c>
      <c r="H104" s="41">
        <f t="shared" si="11"/>
        <v>566650</v>
      </c>
      <c r="I104" s="318">
        <v>11333</v>
      </c>
      <c r="J104" s="159">
        <v>50</v>
      </c>
      <c r="K104" s="97">
        <v>44</v>
      </c>
      <c r="L104" s="91">
        <f t="shared" si="9"/>
        <v>498652</v>
      </c>
      <c r="M104" s="94">
        <f t="shared" si="6"/>
        <v>67998</v>
      </c>
      <c r="N104" s="159">
        <f t="shared" si="7"/>
        <v>6</v>
      </c>
      <c r="O104" s="159"/>
      <c r="P104" s="97"/>
      <c r="Q104" s="11"/>
    </row>
    <row r="105" spans="2:17" s="114" customFormat="1">
      <c r="B105" s="293" t="s">
        <v>1190</v>
      </c>
      <c r="C105" s="96">
        <v>100</v>
      </c>
      <c r="D105" s="123" t="s">
        <v>1191</v>
      </c>
      <c r="E105" s="123"/>
      <c r="F105" s="16">
        <v>500000</v>
      </c>
      <c r="G105" s="16">
        <v>66650</v>
      </c>
      <c r="H105" s="41">
        <f t="shared" si="11"/>
        <v>566650</v>
      </c>
      <c r="I105" s="317">
        <v>11333</v>
      </c>
      <c r="J105" s="159">
        <v>50</v>
      </c>
      <c r="K105" s="159">
        <v>5</v>
      </c>
      <c r="L105" s="16">
        <f t="shared" si="9"/>
        <v>56665</v>
      </c>
      <c r="M105" s="94">
        <f t="shared" si="6"/>
        <v>509985</v>
      </c>
      <c r="N105" s="159">
        <f t="shared" si="7"/>
        <v>45</v>
      </c>
      <c r="O105" s="159"/>
      <c r="P105" s="159"/>
      <c r="Q105" s="11"/>
    </row>
    <row r="106" spans="2:17" s="114" customFormat="1">
      <c r="B106" s="292" t="s">
        <v>542</v>
      </c>
      <c r="C106" s="96">
        <v>101</v>
      </c>
      <c r="D106" s="11" t="s">
        <v>543</v>
      </c>
      <c r="E106" s="11"/>
      <c r="F106" s="16">
        <v>500000</v>
      </c>
      <c r="G106" s="16">
        <v>66650</v>
      </c>
      <c r="H106" s="41">
        <f t="shared" si="11"/>
        <v>566650</v>
      </c>
      <c r="I106" s="318">
        <v>11333</v>
      </c>
      <c r="J106" s="159">
        <v>50</v>
      </c>
      <c r="K106" s="97">
        <v>43</v>
      </c>
      <c r="L106" s="91">
        <f t="shared" si="9"/>
        <v>487319</v>
      </c>
      <c r="M106" s="94">
        <f t="shared" si="6"/>
        <v>79331</v>
      </c>
      <c r="N106" s="159">
        <f t="shared" si="7"/>
        <v>7</v>
      </c>
      <c r="O106" s="159"/>
      <c r="P106" s="97"/>
      <c r="Q106" s="11"/>
    </row>
    <row r="107" spans="2:17" s="114" customFormat="1">
      <c r="B107" s="292" t="s">
        <v>680</v>
      </c>
      <c r="C107" s="96">
        <v>102</v>
      </c>
      <c r="D107" s="11" t="s">
        <v>681</v>
      </c>
      <c r="E107" s="11"/>
      <c r="F107" s="19">
        <v>500000</v>
      </c>
      <c r="G107" s="19">
        <v>66650</v>
      </c>
      <c r="H107" s="19">
        <v>566650</v>
      </c>
      <c r="I107" s="318">
        <v>11333</v>
      </c>
      <c r="J107" s="159">
        <v>50</v>
      </c>
      <c r="K107" s="97">
        <v>30</v>
      </c>
      <c r="L107" s="91">
        <f t="shared" si="9"/>
        <v>339990</v>
      </c>
      <c r="M107" s="91">
        <f t="shared" si="6"/>
        <v>226660</v>
      </c>
      <c r="N107" s="159">
        <f t="shared" si="7"/>
        <v>20</v>
      </c>
      <c r="O107" s="159"/>
      <c r="P107" s="97"/>
      <c r="Q107" s="11"/>
    </row>
    <row r="108" spans="2:17" s="114" customFormat="1">
      <c r="B108" s="292" t="s">
        <v>684</v>
      </c>
      <c r="C108" s="96">
        <v>103</v>
      </c>
      <c r="D108" s="11" t="s">
        <v>685</v>
      </c>
      <c r="E108" s="11"/>
      <c r="F108" s="19">
        <v>500000</v>
      </c>
      <c r="G108" s="19">
        <v>66650</v>
      </c>
      <c r="H108" s="19">
        <v>566650</v>
      </c>
      <c r="I108" s="318">
        <v>11333</v>
      </c>
      <c r="J108" s="159">
        <v>50</v>
      </c>
      <c r="K108" s="97">
        <v>30</v>
      </c>
      <c r="L108" s="91">
        <f t="shared" si="9"/>
        <v>339990</v>
      </c>
      <c r="M108" s="91">
        <f t="shared" si="6"/>
        <v>226660</v>
      </c>
      <c r="N108" s="159">
        <f t="shared" si="7"/>
        <v>20</v>
      </c>
      <c r="O108" s="159"/>
      <c r="P108" s="97"/>
      <c r="Q108" s="11"/>
    </row>
    <row r="109" spans="2:17" s="114" customFormat="1">
      <c r="B109" s="292" t="s">
        <v>730</v>
      </c>
      <c r="C109" s="96">
        <v>104</v>
      </c>
      <c r="D109" s="11" t="s">
        <v>731</v>
      </c>
      <c r="E109" s="11"/>
      <c r="F109" s="16">
        <v>500000</v>
      </c>
      <c r="G109" s="16">
        <v>66650</v>
      </c>
      <c r="H109" s="41">
        <f t="shared" ref="H109:H115" si="12">SUM(F109:G109)</f>
        <v>566650</v>
      </c>
      <c r="I109" s="318">
        <v>11333</v>
      </c>
      <c r="J109" s="159">
        <v>50</v>
      </c>
      <c r="K109" s="159">
        <v>20</v>
      </c>
      <c r="L109" s="91">
        <f t="shared" si="9"/>
        <v>226660</v>
      </c>
      <c r="M109" s="94">
        <f t="shared" si="6"/>
        <v>339990</v>
      </c>
      <c r="N109" s="159">
        <f t="shared" si="7"/>
        <v>30</v>
      </c>
      <c r="O109" s="159"/>
      <c r="P109" s="159"/>
      <c r="Q109" s="11"/>
    </row>
    <row r="110" spans="2:17" s="114" customFormat="1">
      <c r="B110" s="293" t="s">
        <v>888</v>
      </c>
      <c r="C110" s="96">
        <v>105</v>
      </c>
      <c r="D110" s="123" t="s">
        <v>910</v>
      </c>
      <c r="E110" s="123"/>
      <c r="F110" s="16">
        <v>500000</v>
      </c>
      <c r="G110" s="16">
        <v>66650</v>
      </c>
      <c r="H110" s="41">
        <f t="shared" si="12"/>
        <v>566650</v>
      </c>
      <c r="I110" s="317">
        <v>11333</v>
      </c>
      <c r="J110" s="159">
        <v>50</v>
      </c>
      <c r="K110" s="159">
        <v>13</v>
      </c>
      <c r="L110" s="16">
        <f t="shared" si="9"/>
        <v>147329</v>
      </c>
      <c r="M110" s="94">
        <f t="shared" si="6"/>
        <v>419321</v>
      </c>
      <c r="N110" s="159">
        <f t="shared" si="7"/>
        <v>37</v>
      </c>
      <c r="O110" s="159"/>
      <c r="P110" s="159"/>
      <c r="Q110" s="11"/>
    </row>
    <row r="111" spans="2:17" s="114" customFormat="1">
      <c r="B111" s="292" t="s">
        <v>949</v>
      </c>
      <c r="C111" s="96">
        <v>106</v>
      </c>
      <c r="D111" s="11" t="s">
        <v>950</v>
      </c>
      <c r="E111" s="11"/>
      <c r="F111" s="16">
        <v>500000</v>
      </c>
      <c r="G111" s="16">
        <v>66650</v>
      </c>
      <c r="H111" s="41">
        <f t="shared" si="12"/>
        <v>566650</v>
      </c>
      <c r="I111" s="318">
        <v>11333</v>
      </c>
      <c r="J111" s="159">
        <v>50</v>
      </c>
      <c r="K111" s="97">
        <v>43</v>
      </c>
      <c r="L111" s="91">
        <f t="shared" si="9"/>
        <v>487319</v>
      </c>
      <c r="M111" s="94">
        <f t="shared" si="6"/>
        <v>79331</v>
      </c>
      <c r="N111" s="159">
        <f t="shared" si="7"/>
        <v>7</v>
      </c>
      <c r="O111" s="159"/>
      <c r="P111" s="97"/>
      <c r="Q111" s="11"/>
    </row>
    <row r="112" spans="2:17" s="114" customFormat="1">
      <c r="B112" s="292" t="s">
        <v>711</v>
      </c>
      <c r="C112" s="96">
        <v>107</v>
      </c>
      <c r="D112" s="11" t="s">
        <v>712</v>
      </c>
      <c r="E112" s="11"/>
      <c r="F112" s="16">
        <v>500000</v>
      </c>
      <c r="G112" s="16">
        <v>66650</v>
      </c>
      <c r="H112" s="41">
        <f t="shared" si="12"/>
        <v>566650</v>
      </c>
      <c r="I112" s="318">
        <v>11333</v>
      </c>
      <c r="J112" s="159">
        <v>50</v>
      </c>
      <c r="K112" s="97">
        <v>43</v>
      </c>
      <c r="L112" s="91">
        <f t="shared" si="9"/>
        <v>487319</v>
      </c>
      <c r="M112" s="94">
        <f t="shared" si="6"/>
        <v>79331</v>
      </c>
      <c r="N112" s="159">
        <f t="shared" si="7"/>
        <v>7</v>
      </c>
      <c r="O112" s="159"/>
      <c r="P112" s="97"/>
      <c r="Q112" s="11"/>
    </row>
    <row r="113" spans="2:18" s="114" customFormat="1">
      <c r="B113" s="292" t="s">
        <v>585</v>
      </c>
      <c r="C113" s="96">
        <v>108</v>
      </c>
      <c r="D113" s="11" t="s">
        <v>586</v>
      </c>
      <c r="E113" s="11"/>
      <c r="F113" s="161">
        <v>500000</v>
      </c>
      <c r="G113" s="161">
        <v>66650</v>
      </c>
      <c r="H113" s="162">
        <f t="shared" si="12"/>
        <v>566650</v>
      </c>
      <c r="I113" s="318">
        <v>11333</v>
      </c>
      <c r="J113" s="96">
        <v>50</v>
      </c>
      <c r="K113" s="97">
        <v>44</v>
      </c>
      <c r="L113" s="146">
        <f t="shared" si="9"/>
        <v>498652</v>
      </c>
      <c r="M113" s="164">
        <f t="shared" si="6"/>
        <v>67998</v>
      </c>
      <c r="N113" s="159">
        <f t="shared" si="7"/>
        <v>6</v>
      </c>
      <c r="O113" s="159"/>
      <c r="P113" s="97"/>
      <c r="Q113" s="123"/>
    </row>
    <row r="114" spans="2:18" s="114" customFormat="1">
      <c r="B114" s="292" t="s">
        <v>655</v>
      </c>
      <c r="C114" s="96">
        <v>109</v>
      </c>
      <c r="D114" s="11" t="s">
        <v>656</v>
      </c>
      <c r="E114" s="11"/>
      <c r="F114" s="16">
        <v>450000</v>
      </c>
      <c r="G114" s="16">
        <v>59985</v>
      </c>
      <c r="H114" s="41">
        <f t="shared" si="12"/>
        <v>509985</v>
      </c>
      <c r="I114" s="318">
        <v>10199.700000000001</v>
      </c>
      <c r="J114" s="159">
        <v>50</v>
      </c>
      <c r="K114" s="97">
        <v>44</v>
      </c>
      <c r="L114" s="91">
        <f t="shared" si="9"/>
        <v>448786.80000000005</v>
      </c>
      <c r="M114" s="94">
        <f t="shared" si="6"/>
        <v>61198.199999999953</v>
      </c>
      <c r="N114" s="159">
        <f t="shared" si="7"/>
        <v>6</v>
      </c>
      <c r="O114" s="159"/>
      <c r="P114" s="97"/>
      <c r="Q114" s="11"/>
    </row>
    <row r="115" spans="2:18" s="114" customFormat="1">
      <c r="B115" s="295" t="s">
        <v>939</v>
      </c>
      <c r="C115" s="96">
        <v>110</v>
      </c>
      <c r="D115" s="11" t="s">
        <v>940</v>
      </c>
      <c r="E115" s="8"/>
      <c r="F115" s="19">
        <v>330000</v>
      </c>
      <c r="G115" s="19">
        <v>43989</v>
      </c>
      <c r="H115" s="19">
        <f t="shared" si="12"/>
        <v>373989</v>
      </c>
      <c r="I115" s="319">
        <v>7479.78</v>
      </c>
      <c r="J115" s="159">
        <v>50</v>
      </c>
      <c r="K115" s="159">
        <v>10</v>
      </c>
      <c r="L115" s="16">
        <f t="shared" si="9"/>
        <v>74797.8</v>
      </c>
      <c r="M115" s="94">
        <f t="shared" si="6"/>
        <v>299191.2</v>
      </c>
      <c r="N115" s="159">
        <f t="shared" si="7"/>
        <v>40</v>
      </c>
      <c r="O115" s="159"/>
      <c r="P115" s="159"/>
      <c r="Q115" s="8"/>
    </row>
    <row r="116" spans="2:18" s="114" customFormat="1">
      <c r="B116" s="293" t="s">
        <v>1215</v>
      </c>
      <c r="C116" s="96">
        <v>111</v>
      </c>
      <c r="D116" s="11" t="s">
        <v>1216</v>
      </c>
      <c r="E116" s="11"/>
      <c r="F116" s="16">
        <v>450000</v>
      </c>
      <c r="G116" s="16">
        <v>59985</v>
      </c>
      <c r="H116" s="16">
        <v>509985</v>
      </c>
      <c r="I116" s="317">
        <v>10199.700000000001</v>
      </c>
      <c r="J116" s="159">
        <v>50</v>
      </c>
      <c r="K116" s="96">
        <v>6</v>
      </c>
      <c r="L116" s="91">
        <f t="shared" si="9"/>
        <v>61198.200000000004</v>
      </c>
      <c r="M116" s="94">
        <f t="shared" si="6"/>
        <v>448786.8</v>
      </c>
      <c r="N116" s="159">
        <f t="shared" si="7"/>
        <v>44</v>
      </c>
      <c r="O116" s="159"/>
      <c r="P116" s="97"/>
      <c r="Q116" s="11"/>
    </row>
    <row r="117" spans="2:18" s="114" customFormat="1">
      <c r="B117" s="293" t="s">
        <v>602</v>
      </c>
      <c r="C117" s="96">
        <v>112</v>
      </c>
      <c r="D117" s="11" t="s">
        <v>603</v>
      </c>
      <c r="E117" s="11"/>
      <c r="F117" s="19">
        <v>330000</v>
      </c>
      <c r="G117" s="19">
        <v>43989</v>
      </c>
      <c r="H117" s="19">
        <f>SUM(F117:G117)</f>
        <v>373989</v>
      </c>
      <c r="I117" s="317">
        <v>7479.78</v>
      </c>
      <c r="J117" s="159">
        <v>50</v>
      </c>
      <c r="K117" s="96">
        <v>6</v>
      </c>
      <c r="L117" s="91">
        <f t="shared" si="9"/>
        <v>44878.68</v>
      </c>
      <c r="M117" s="94">
        <f t="shared" si="6"/>
        <v>329110.32</v>
      </c>
      <c r="N117" s="159">
        <f t="shared" si="7"/>
        <v>44</v>
      </c>
      <c r="O117" s="159"/>
      <c r="P117" s="97"/>
      <c r="Q117" s="11"/>
    </row>
    <row r="118" spans="2:18" s="114" customFormat="1">
      <c r="B118" s="293" t="s">
        <v>900</v>
      </c>
      <c r="C118" s="96">
        <v>113</v>
      </c>
      <c r="D118" s="123" t="s">
        <v>923</v>
      </c>
      <c r="E118" s="123"/>
      <c r="F118" s="19">
        <v>330000</v>
      </c>
      <c r="G118" s="19">
        <v>43989</v>
      </c>
      <c r="H118" s="19">
        <f>SUM(F118:G118)</f>
        <v>373989</v>
      </c>
      <c r="I118" s="317">
        <v>7479.78</v>
      </c>
      <c r="J118" s="159">
        <v>50</v>
      </c>
      <c r="K118" s="159">
        <v>48</v>
      </c>
      <c r="L118" s="16">
        <f t="shared" si="9"/>
        <v>359029.44</v>
      </c>
      <c r="M118" s="94">
        <f t="shared" si="6"/>
        <v>14959.559999999998</v>
      </c>
      <c r="N118" s="159">
        <f t="shared" si="7"/>
        <v>2</v>
      </c>
      <c r="O118" s="159"/>
      <c r="P118" s="159"/>
      <c r="Q118" s="11"/>
    </row>
    <row r="119" spans="2:18" s="114" customFormat="1">
      <c r="B119" s="293" t="s">
        <v>1219</v>
      </c>
      <c r="C119" s="96">
        <v>114</v>
      </c>
      <c r="D119" s="11" t="s">
        <v>1220</v>
      </c>
      <c r="E119" s="11"/>
      <c r="F119" s="19">
        <v>330000</v>
      </c>
      <c r="G119" s="19">
        <v>43989</v>
      </c>
      <c r="H119" s="19">
        <f>SUM(F119:G119)</f>
        <v>373989</v>
      </c>
      <c r="I119" s="317">
        <v>7479.78</v>
      </c>
      <c r="J119" s="159">
        <v>50</v>
      </c>
      <c r="K119" s="96">
        <v>6</v>
      </c>
      <c r="L119" s="91">
        <f t="shared" si="9"/>
        <v>44878.68</v>
      </c>
      <c r="M119" s="94">
        <f t="shared" si="6"/>
        <v>329110.32</v>
      </c>
      <c r="N119" s="159">
        <f t="shared" si="7"/>
        <v>44</v>
      </c>
      <c r="O119" s="159"/>
      <c r="P119" s="97"/>
      <c r="Q119" s="11"/>
    </row>
    <row r="120" spans="2:18" s="114" customFormat="1">
      <c r="B120" s="293" t="s">
        <v>1156</v>
      </c>
      <c r="C120" s="96">
        <v>115</v>
      </c>
      <c r="D120" s="11" t="s">
        <v>1157</v>
      </c>
      <c r="E120" s="11"/>
      <c r="F120" s="19"/>
      <c r="G120" s="19"/>
      <c r="H120" s="19">
        <v>200000</v>
      </c>
      <c r="I120" s="317">
        <v>5099.8500000000004</v>
      </c>
      <c r="J120" s="159">
        <v>50</v>
      </c>
      <c r="K120" s="96">
        <v>6</v>
      </c>
      <c r="L120" s="91">
        <f t="shared" si="9"/>
        <v>30599.100000000002</v>
      </c>
      <c r="M120" s="94">
        <f t="shared" si="6"/>
        <v>169400.9</v>
      </c>
      <c r="N120" s="159">
        <f t="shared" si="7"/>
        <v>44</v>
      </c>
      <c r="O120" s="159"/>
      <c r="P120" s="97"/>
      <c r="Q120" s="11"/>
    </row>
    <row r="121" spans="2:18" s="114" customFormat="1">
      <c r="B121" s="293" t="s">
        <v>1225</v>
      </c>
      <c r="C121" s="96">
        <v>116</v>
      </c>
      <c r="D121" s="11" t="s">
        <v>1226</v>
      </c>
      <c r="E121" s="11"/>
      <c r="F121" s="16">
        <v>500000</v>
      </c>
      <c r="G121" s="16">
        <v>66650</v>
      </c>
      <c r="H121" s="41">
        <f>SUM(F121:G121)</f>
        <v>566650</v>
      </c>
      <c r="I121" s="317">
        <v>11333</v>
      </c>
      <c r="J121" s="159">
        <v>50</v>
      </c>
      <c r="K121" s="96">
        <v>6</v>
      </c>
      <c r="L121" s="91">
        <f t="shared" si="9"/>
        <v>67998</v>
      </c>
      <c r="M121" s="94">
        <f t="shared" si="6"/>
        <v>498652</v>
      </c>
      <c r="N121" s="159">
        <f t="shared" si="7"/>
        <v>44</v>
      </c>
      <c r="O121" s="159"/>
      <c r="P121" s="97"/>
      <c r="Q121" s="11"/>
    </row>
    <row r="122" spans="2:18" s="114" customFormat="1">
      <c r="B122" s="292" t="s">
        <v>516</v>
      </c>
      <c r="C122" s="96">
        <v>117</v>
      </c>
      <c r="D122" s="11" t="s">
        <v>517</v>
      </c>
      <c r="E122" s="11"/>
      <c r="F122" s="16">
        <v>500000</v>
      </c>
      <c r="G122" s="16">
        <v>66650</v>
      </c>
      <c r="H122" s="41">
        <f>SUM(F122:G122)</f>
        <v>566650</v>
      </c>
      <c r="I122" s="146">
        <v>11333</v>
      </c>
      <c r="J122" s="159">
        <v>50</v>
      </c>
      <c r="K122" s="97">
        <v>44</v>
      </c>
      <c r="L122" s="91">
        <f t="shared" si="9"/>
        <v>498652</v>
      </c>
      <c r="M122" s="94">
        <f t="shared" si="6"/>
        <v>67998</v>
      </c>
      <c r="N122" s="159">
        <f t="shared" si="7"/>
        <v>6</v>
      </c>
      <c r="O122" s="159"/>
      <c r="P122" s="97"/>
      <c r="Q122" s="11"/>
    </row>
    <row r="123" spans="2:18" s="114" customFormat="1">
      <c r="B123" s="294" t="s">
        <v>606</v>
      </c>
      <c r="C123" s="96">
        <v>118</v>
      </c>
      <c r="D123" s="123" t="s">
        <v>952</v>
      </c>
      <c r="E123" s="123"/>
      <c r="F123" s="19">
        <v>150000</v>
      </c>
      <c r="G123" s="19">
        <v>19995</v>
      </c>
      <c r="H123" s="19">
        <f>SUM(F123:G123)</f>
        <v>169995</v>
      </c>
      <c r="I123" s="317">
        <v>3399.9</v>
      </c>
      <c r="J123" s="159">
        <v>50</v>
      </c>
      <c r="K123" s="159">
        <v>11</v>
      </c>
      <c r="L123" s="91">
        <f t="shared" si="9"/>
        <v>37398.9</v>
      </c>
      <c r="M123" s="94">
        <f t="shared" si="6"/>
        <v>132596.1</v>
      </c>
      <c r="N123" s="159">
        <f t="shared" si="7"/>
        <v>39</v>
      </c>
      <c r="O123" s="159"/>
      <c r="P123" s="97"/>
      <c r="Q123" s="11"/>
    </row>
    <row r="124" spans="2:18" s="114" customFormat="1">
      <c r="B124" s="292" t="s">
        <v>572</v>
      </c>
      <c r="C124" s="96">
        <v>119</v>
      </c>
      <c r="D124" s="11" t="s">
        <v>573</v>
      </c>
      <c r="E124" s="11"/>
      <c r="F124" s="12">
        <v>150000</v>
      </c>
      <c r="G124" s="12">
        <v>19995</v>
      </c>
      <c r="H124" s="15">
        <f>SUM(F124:G124)</f>
        <v>169995</v>
      </c>
      <c r="I124" s="318">
        <v>3399.9</v>
      </c>
      <c r="J124" s="14">
        <v>50</v>
      </c>
      <c r="K124" s="14">
        <v>49</v>
      </c>
      <c r="L124" s="91">
        <f t="shared" si="9"/>
        <v>166595.1</v>
      </c>
      <c r="M124" s="15">
        <f t="shared" si="6"/>
        <v>3399.8999999999942</v>
      </c>
      <c r="N124" s="159">
        <f t="shared" si="7"/>
        <v>1</v>
      </c>
      <c r="O124" s="159"/>
      <c r="P124" s="97"/>
      <c r="Q124" s="8"/>
      <c r="R124" s="120"/>
    </row>
    <row r="125" spans="2:18" s="114" customFormat="1">
      <c r="B125" s="292" t="s">
        <v>649</v>
      </c>
      <c r="C125" s="96">
        <v>120</v>
      </c>
      <c r="D125" s="11" t="s">
        <v>650</v>
      </c>
      <c r="E125" s="11"/>
      <c r="F125" s="16">
        <v>450000</v>
      </c>
      <c r="G125" s="16">
        <v>59985</v>
      </c>
      <c r="H125" s="16">
        <v>509985</v>
      </c>
      <c r="I125" s="318">
        <v>10199.700000000001</v>
      </c>
      <c r="J125" s="159">
        <v>50</v>
      </c>
      <c r="K125" s="97">
        <v>29</v>
      </c>
      <c r="L125" s="91">
        <f t="shared" si="9"/>
        <v>295791.30000000005</v>
      </c>
      <c r="M125" s="91">
        <f t="shared" si="6"/>
        <v>214193.69999999995</v>
      </c>
      <c r="N125" s="159">
        <f t="shared" si="7"/>
        <v>21</v>
      </c>
      <c r="O125" s="159"/>
      <c r="P125" s="97"/>
      <c r="Q125" s="11"/>
    </row>
    <row r="126" spans="2:18" s="114" customFormat="1">
      <c r="B126" s="293" t="s">
        <v>890</v>
      </c>
      <c r="C126" s="96">
        <v>121</v>
      </c>
      <c r="D126" s="123" t="s">
        <v>912</v>
      </c>
      <c r="E126" s="123"/>
      <c r="F126" s="16">
        <v>500000</v>
      </c>
      <c r="G126" s="16">
        <v>66650</v>
      </c>
      <c r="H126" s="41">
        <f>SUM(F126:G126)</f>
        <v>566650</v>
      </c>
      <c r="I126" s="317">
        <v>11333</v>
      </c>
      <c r="J126" s="159">
        <v>50</v>
      </c>
      <c r="K126" s="159">
        <v>13</v>
      </c>
      <c r="L126" s="16">
        <f t="shared" si="9"/>
        <v>147329</v>
      </c>
      <c r="M126" s="94">
        <f t="shared" si="6"/>
        <v>419321</v>
      </c>
      <c r="N126" s="159">
        <f t="shared" si="7"/>
        <v>37</v>
      </c>
      <c r="O126" s="159"/>
      <c r="P126" s="159"/>
      <c r="Q126" s="11"/>
    </row>
    <row r="127" spans="2:18" s="114" customFormat="1">
      <c r="B127" s="292" t="s">
        <v>609</v>
      </c>
      <c r="C127" s="96">
        <v>122</v>
      </c>
      <c r="D127" s="11" t="s">
        <v>610</v>
      </c>
      <c r="E127" s="11"/>
      <c r="F127" s="16">
        <v>500000</v>
      </c>
      <c r="G127" s="16">
        <v>66650</v>
      </c>
      <c r="H127" s="41">
        <f>SUM(F127:G127)</f>
        <v>566650</v>
      </c>
      <c r="I127" s="318">
        <v>11333</v>
      </c>
      <c r="J127" s="159">
        <v>50</v>
      </c>
      <c r="K127" s="97">
        <v>43</v>
      </c>
      <c r="L127" s="91">
        <f t="shared" si="9"/>
        <v>487319</v>
      </c>
      <c r="M127" s="94">
        <f t="shared" si="6"/>
        <v>79331</v>
      </c>
      <c r="N127" s="159">
        <f t="shared" si="7"/>
        <v>7</v>
      </c>
      <c r="O127" s="159"/>
      <c r="P127" s="97"/>
      <c r="Q127" s="11"/>
    </row>
    <row r="128" spans="2:18" s="114" customFormat="1">
      <c r="B128" s="293" t="s">
        <v>1241</v>
      </c>
      <c r="C128" s="96">
        <v>123</v>
      </c>
      <c r="D128" s="123" t="s">
        <v>1242</v>
      </c>
      <c r="E128" s="123"/>
      <c r="F128" s="19">
        <v>450000</v>
      </c>
      <c r="G128" s="19">
        <v>59985</v>
      </c>
      <c r="H128" s="19">
        <v>509985</v>
      </c>
      <c r="I128" s="317">
        <v>10199.700000000001</v>
      </c>
      <c r="J128" s="159">
        <v>50</v>
      </c>
      <c r="K128" s="159">
        <v>5</v>
      </c>
      <c r="L128" s="16">
        <f t="shared" si="9"/>
        <v>50998.5</v>
      </c>
      <c r="M128" s="94">
        <f t="shared" si="6"/>
        <v>458986.5</v>
      </c>
      <c r="N128" s="159">
        <f t="shared" si="7"/>
        <v>45</v>
      </c>
      <c r="O128" s="159"/>
      <c r="P128" s="159"/>
      <c r="Q128" s="11"/>
    </row>
    <row r="129" spans="2:17" s="114" customFormat="1">
      <c r="B129" s="292" t="s">
        <v>524</v>
      </c>
      <c r="C129" s="96">
        <v>124</v>
      </c>
      <c r="D129" s="11" t="s">
        <v>525</v>
      </c>
      <c r="E129" s="11"/>
      <c r="F129" s="19">
        <v>330000</v>
      </c>
      <c r="G129" s="19">
        <v>43989</v>
      </c>
      <c r="H129" s="19">
        <f>SUM(F129:G129)</f>
        <v>373989</v>
      </c>
      <c r="I129" s="146">
        <v>7479.78</v>
      </c>
      <c r="J129" s="159">
        <v>50</v>
      </c>
      <c r="K129" s="159">
        <v>18</v>
      </c>
      <c r="L129" s="91">
        <f t="shared" si="9"/>
        <v>134636.04</v>
      </c>
      <c r="M129" s="94">
        <f t="shared" si="6"/>
        <v>239352.95999999999</v>
      </c>
      <c r="N129" s="159">
        <f t="shared" si="7"/>
        <v>32</v>
      </c>
      <c r="O129" s="159"/>
      <c r="P129" s="97"/>
      <c r="Q129" s="11"/>
    </row>
    <row r="130" spans="2:17" s="114" customFormat="1">
      <c r="B130" s="292" t="s">
        <v>576</v>
      </c>
      <c r="C130" s="96">
        <v>125</v>
      </c>
      <c r="D130" s="11" t="s">
        <v>927</v>
      </c>
      <c r="E130" s="11"/>
      <c r="F130" s="16">
        <v>60000</v>
      </c>
      <c r="G130" s="16">
        <v>7998</v>
      </c>
      <c r="H130" s="41">
        <f>SUM(F130:G130)</f>
        <v>67998</v>
      </c>
      <c r="I130" s="318">
        <v>1699.95</v>
      </c>
      <c r="J130" s="159">
        <v>40</v>
      </c>
      <c r="K130" s="97">
        <v>19</v>
      </c>
      <c r="L130" s="91">
        <f t="shared" si="9"/>
        <v>32299.05</v>
      </c>
      <c r="M130" s="94">
        <f t="shared" si="6"/>
        <v>35698.949999999997</v>
      </c>
      <c r="N130" s="159">
        <f t="shared" si="7"/>
        <v>21</v>
      </c>
      <c r="O130" s="159"/>
      <c r="P130" s="97"/>
      <c r="Q130" s="11"/>
    </row>
    <row r="131" spans="2:17" s="114" customFormat="1">
      <c r="B131" s="1" t="s">
        <v>1168</v>
      </c>
      <c r="C131" s="96">
        <v>126</v>
      </c>
      <c r="D131" s="11" t="s">
        <v>1169</v>
      </c>
      <c r="E131" s="1"/>
      <c r="F131" s="19">
        <v>330000</v>
      </c>
      <c r="G131" s="19">
        <v>43989</v>
      </c>
      <c r="H131" s="19">
        <f>SUM(F131:G131)</f>
        <v>373989</v>
      </c>
      <c r="I131" s="34">
        <v>7479.78</v>
      </c>
      <c r="J131" s="159">
        <v>50</v>
      </c>
      <c r="K131" s="323">
        <v>3</v>
      </c>
      <c r="L131" s="16">
        <f t="shared" si="9"/>
        <v>22439.34</v>
      </c>
      <c r="M131" s="94">
        <f t="shared" si="6"/>
        <v>351549.66</v>
      </c>
      <c r="N131" s="159">
        <f t="shared" si="7"/>
        <v>47</v>
      </c>
      <c r="O131" s="159"/>
      <c r="P131" s="159"/>
      <c r="Q131" s="8"/>
    </row>
    <row r="132" spans="2:17" s="114" customFormat="1">
      <c r="B132" s="293" t="s">
        <v>653</v>
      </c>
      <c r="C132" s="96">
        <v>127</v>
      </c>
      <c r="D132" s="11" t="s">
        <v>654</v>
      </c>
      <c r="E132" s="11"/>
      <c r="F132" s="19">
        <v>330000</v>
      </c>
      <c r="G132" s="19">
        <v>43989</v>
      </c>
      <c r="H132" s="19">
        <f>SUM(F132:G132)</f>
        <v>373989</v>
      </c>
      <c r="I132" s="317">
        <v>7479.78</v>
      </c>
      <c r="J132" s="159">
        <v>50</v>
      </c>
      <c r="K132" s="96">
        <v>36</v>
      </c>
      <c r="L132" s="91">
        <f t="shared" si="9"/>
        <v>269272.08</v>
      </c>
      <c r="M132" s="94">
        <f t="shared" si="6"/>
        <v>104716.91999999998</v>
      </c>
      <c r="N132" s="159">
        <f t="shared" si="7"/>
        <v>14</v>
      </c>
      <c r="O132" s="159"/>
      <c r="P132" s="97"/>
      <c r="Q132" s="11"/>
    </row>
    <row r="133" spans="2:17" s="114" customFormat="1">
      <c r="B133" s="293" t="s">
        <v>1160</v>
      </c>
      <c r="C133" s="96">
        <v>128</v>
      </c>
      <c r="D133" s="123" t="s">
        <v>1161</v>
      </c>
      <c r="E133" s="123"/>
      <c r="F133" s="19">
        <v>450000</v>
      </c>
      <c r="G133" s="19">
        <v>59985</v>
      </c>
      <c r="H133" s="19">
        <v>509985</v>
      </c>
      <c r="I133" s="317">
        <v>10199.700000000001</v>
      </c>
      <c r="J133" s="159">
        <v>50</v>
      </c>
      <c r="K133" s="159">
        <v>5</v>
      </c>
      <c r="L133" s="16">
        <f t="shared" si="9"/>
        <v>50998.5</v>
      </c>
      <c r="M133" s="94">
        <f t="shared" ref="M133:M138" si="13">H133-L133</f>
        <v>458986.5</v>
      </c>
      <c r="N133" s="159">
        <f t="shared" si="7"/>
        <v>45</v>
      </c>
      <c r="O133" s="159"/>
      <c r="P133" s="159"/>
      <c r="Q133" s="11"/>
    </row>
    <row r="134" spans="2:17" s="114" customFormat="1">
      <c r="B134" s="293"/>
      <c r="C134" s="96">
        <v>129</v>
      </c>
      <c r="D134" s="123" t="s">
        <v>1268</v>
      </c>
      <c r="E134" s="123"/>
      <c r="F134" s="16">
        <v>500000</v>
      </c>
      <c r="G134" s="16">
        <v>66650</v>
      </c>
      <c r="H134" s="41">
        <f>SUM(F134:G134)</f>
        <v>566650</v>
      </c>
      <c r="I134" s="317">
        <v>11749.67</v>
      </c>
      <c r="J134" s="159">
        <v>50</v>
      </c>
      <c r="K134" s="159">
        <v>18</v>
      </c>
      <c r="L134" s="16">
        <f t="shared" si="9"/>
        <v>211494.06</v>
      </c>
      <c r="M134" s="94">
        <f t="shared" si="13"/>
        <v>355155.94</v>
      </c>
      <c r="N134" s="159">
        <f t="shared" si="7"/>
        <v>32</v>
      </c>
      <c r="O134" s="159"/>
      <c r="P134" s="159"/>
      <c r="Q134" s="11"/>
    </row>
    <row r="135" spans="2:17" s="114" customFormat="1">
      <c r="B135" s="293"/>
      <c r="C135" s="96">
        <v>130</v>
      </c>
      <c r="D135" s="123" t="s">
        <v>1269</v>
      </c>
      <c r="E135" s="123"/>
      <c r="F135" s="19">
        <v>450000</v>
      </c>
      <c r="G135" s="19">
        <v>59985</v>
      </c>
      <c r="H135" s="19">
        <v>509985</v>
      </c>
      <c r="I135" s="317">
        <v>10199.700000000001</v>
      </c>
      <c r="J135" s="159">
        <v>50</v>
      </c>
      <c r="K135" s="159">
        <v>25</v>
      </c>
      <c r="L135" s="16">
        <f t="shared" si="9"/>
        <v>254992.50000000003</v>
      </c>
      <c r="M135" s="94">
        <f t="shared" si="13"/>
        <v>254992.49999999997</v>
      </c>
      <c r="N135" s="159">
        <f>J135-K135</f>
        <v>25</v>
      </c>
      <c r="O135" s="159"/>
      <c r="P135" s="159"/>
      <c r="Q135" s="11"/>
    </row>
    <row r="136" spans="2:17" s="114" customFormat="1">
      <c r="B136" s="293"/>
      <c r="C136" s="96">
        <v>131</v>
      </c>
      <c r="D136" s="123" t="s">
        <v>1270</v>
      </c>
      <c r="E136" s="123"/>
      <c r="F136" s="19">
        <v>150000</v>
      </c>
      <c r="G136" s="19">
        <v>19995</v>
      </c>
      <c r="H136" s="19">
        <f>SUM(F136:G136)</f>
        <v>169995</v>
      </c>
      <c r="I136" s="317">
        <v>3399.9</v>
      </c>
      <c r="J136" s="159">
        <v>50</v>
      </c>
      <c r="K136" s="159">
        <v>29</v>
      </c>
      <c r="L136" s="16">
        <f t="shared" si="9"/>
        <v>98597.1</v>
      </c>
      <c r="M136" s="94">
        <f t="shared" si="13"/>
        <v>71397.899999999994</v>
      </c>
      <c r="N136" s="159">
        <f>J136-K136</f>
        <v>21</v>
      </c>
      <c r="O136" s="159"/>
      <c r="P136" s="159"/>
      <c r="Q136" s="11"/>
    </row>
    <row r="137" spans="2:17" s="114" customFormat="1">
      <c r="B137" s="293"/>
      <c r="C137" s="96">
        <v>132</v>
      </c>
      <c r="D137" s="123" t="s">
        <v>1271</v>
      </c>
      <c r="E137" s="123"/>
      <c r="F137" s="19">
        <v>330000</v>
      </c>
      <c r="G137" s="19">
        <v>43989</v>
      </c>
      <c r="H137" s="19">
        <f>SUM(F137:G137)</f>
        <v>373989</v>
      </c>
      <c r="I137" s="317">
        <v>7479.78</v>
      </c>
      <c r="J137" s="159">
        <v>50</v>
      </c>
      <c r="K137" s="159">
        <v>3</v>
      </c>
      <c r="L137" s="16">
        <f t="shared" si="9"/>
        <v>22439.34</v>
      </c>
      <c r="M137" s="94">
        <f t="shared" si="13"/>
        <v>351549.66</v>
      </c>
      <c r="N137" s="159">
        <f>J137-K137</f>
        <v>47</v>
      </c>
      <c r="O137" s="159"/>
      <c r="P137" s="159"/>
      <c r="Q137" s="11"/>
    </row>
    <row r="138" spans="2:17" s="114" customFormat="1">
      <c r="B138" s="293"/>
      <c r="C138" s="96">
        <v>133</v>
      </c>
      <c r="D138" s="123" t="s">
        <v>1272</v>
      </c>
      <c r="E138" s="123"/>
      <c r="F138" s="19">
        <v>450000</v>
      </c>
      <c r="G138" s="19">
        <v>59985</v>
      </c>
      <c r="H138" s="19">
        <v>509985</v>
      </c>
      <c r="I138" s="317">
        <v>10199.700000000001</v>
      </c>
      <c r="J138" s="159">
        <v>50</v>
      </c>
      <c r="K138" s="159">
        <v>3</v>
      </c>
      <c r="L138" s="16">
        <f t="shared" si="9"/>
        <v>30599.100000000002</v>
      </c>
      <c r="M138" s="94">
        <f t="shared" si="13"/>
        <v>479385.9</v>
      </c>
      <c r="N138" s="159">
        <f>J138-K138</f>
        <v>47</v>
      </c>
      <c r="O138" s="159"/>
      <c r="P138" s="159"/>
      <c r="Q138" s="11"/>
    </row>
    <row r="139" spans="2:17" s="114" customFormat="1">
      <c r="B139" s="295"/>
      <c r="C139" s="126"/>
      <c r="D139" s="8"/>
      <c r="E139" s="8"/>
      <c r="F139" s="34">
        <f>SUM(F6:F138)</f>
        <v>55290000</v>
      </c>
      <c r="G139" s="34">
        <f>SUM(G6:G138)</f>
        <v>7339182.2000000002</v>
      </c>
      <c r="H139" s="34">
        <f>SUM(H6:H138)</f>
        <v>62829182.200000003</v>
      </c>
      <c r="I139" s="34">
        <f>SUM(I6:I138)</f>
        <v>1272493.3199999998</v>
      </c>
      <c r="J139" s="34"/>
      <c r="K139" s="34"/>
      <c r="L139" s="34">
        <f>SUM(L6:L138)</f>
        <v>27895764.240000006</v>
      </c>
      <c r="M139" s="34">
        <f>SUM(M6:M138)</f>
        <v>34933417.959999986</v>
      </c>
      <c r="N139" s="34"/>
      <c r="O139" s="34"/>
      <c r="P139" s="34"/>
      <c r="Q139" s="8"/>
    </row>
    <row r="140" spans="2:17" s="114" customFormat="1">
      <c r="B140"/>
      <c r="C140" s="270"/>
      <c r="D140"/>
      <c r="E140"/>
      <c r="F140" s="165"/>
      <c r="G140" s="67"/>
      <c r="H140" s="67"/>
      <c r="I140" s="276"/>
      <c r="J140" s="67"/>
      <c r="K140" s="67"/>
      <c r="L140" s="67"/>
      <c r="M140" s="67"/>
      <c r="N140" s="67"/>
      <c r="O140" s="67"/>
      <c r="P140" s="67"/>
      <c r="Q140" s="69"/>
    </row>
    <row r="141" spans="2:17" s="114" customFormat="1">
      <c r="B141"/>
      <c r="C141" s="270"/>
      <c r="D141"/>
      <c r="E141"/>
      <c r="F141" s="165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9"/>
    </row>
    <row r="142" spans="2:17" s="114" customFormat="1">
      <c r="B142"/>
      <c r="C142" s="270"/>
      <c r="D142"/>
      <c r="E142"/>
      <c r="F142" s="165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9"/>
    </row>
    <row r="143" spans="2:17" s="114" customFormat="1">
      <c r="B143"/>
      <c r="C143" s="270"/>
      <c r="D143"/>
      <c r="E143"/>
      <c r="F143" s="165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9"/>
    </row>
    <row r="144" spans="2:17" s="114" customFormat="1">
      <c r="B144"/>
      <c r="C144" s="270"/>
      <c r="D144"/>
      <c r="E144"/>
      <c r="F144" s="165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9"/>
    </row>
    <row r="145" spans="2:17" s="114" customFormat="1">
      <c r="B145"/>
      <c r="C145" s="270"/>
      <c r="D145"/>
      <c r="E145"/>
      <c r="F145" s="165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9"/>
    </row>
  </sheetData>
  <mergeCells count="2">
    <mergeCell ref="C3:Q3"/>
    <mergeCell ref="C4:Q4"/>
  </mergeCells>
  <conditionalFormatting sqref="D3:E3">
    <cfRule type="duplicateValues" dxfId="195" priority="12"/>
  </conditionalFormatting>
  <conditionalFormatting sqref="D134:E138">
    <cfRule type="duplicateValues" dxfId="194" priority="10"/>
    <cfRule type="duplicateValues" dxfId="193" priority="11"/>
  </conditionalFormatting>
  <conditionalFormatting sqref="D134:E138">
    <cfRule type="duplicateValues" dxfId="192" priority="9"/>
  </conditionalFormatting>
  <conditionalFormatting sqref="B134:B138">
    <cfRule type="duplicateValues" dxfId="191" priority="8"/>
  </conditionalFormatting>
  <conditionalFormatting sqref="D146:E1048576 D1:E5">
    <cfRule type="duplicateValues" dxfId="190" priority="7"/>
  </conditionalFormatting>
  <conditionalFormatting sqref="D146:E1048576 D1:E2 D4:E5">
    <cfRule type="duplicateValues" dxfId="189" priority="6"/>
  </conditionalFormatting>
  <conditionalFormatting sqref="D146:E1048576">
    <cfRule type="duplicateValues" dxfId="188" priority="5"/>
  </conditionalFormatting>
  <conditionalFormatting sqref="D1:E125 D131:E1048576">
    <cfRule type="duplicateValues" dxfId="187" priority="4"/>
  </conditionalFormatting>
  <conditionalFormatting sqref="B1:B125 B131:B1048576">
    <cfRule type="duplicateValues" dxfId="186" priority="3"/>
  </conditionalFormatting>
  <conditionalFormatting sqref="D1:E125 D131:E1048576">
    <cfRule type="duplicateValues" dxfId="185" priority="1"/>
    <cfRule type="duplicateValues" dxfId="184" priority="2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B3:R147"/>
  <sheetViews>
    <sheetView topLeftCell="B1" workbookViewId="0">
      <selection activeCell="B106" sqref="B106"/>
    </sheetView>
  </sheetViews>
  <sheetFormatPr defaultRowHeight="15"/>
  <cols>
    <col min="2" max="2" width="13.140625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2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7" ht="18">
      <c r="B4" s="324"/>
      <c r="C4" s="424" t="s">
        <v>1279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2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2:17" s="114" customFormat="1">
      <c r="B6" s="293" t="s">
        <v>1235</v>
      </c>
      <c r="C6" s="96">
        <v>1</v>
      </c>
      <c r="D6" s="123" t="s">
        <v>1236</v>
      </c>
      <c r="E6" s="123"/>
      <c r="F6" s="19">
        <v>330000</v>
      </c>
      <c r="G6" s="19">
        <v>43989</v>
      </c>
      <c r="H6" s="19">
        <f>SUM(F6:G6)</f>
        <v>373989</v>
      </c>
      <c r="I6" s="327">
        <v>7479.78</v>
      </c>
      <c r="J6" s="159">
        <v>50</v>
      </c>
      <c r="K6" s="159">
        <v>13</v>
      </c>
      <c r="L6" s="16">
        <f t="shared" ref="L6:L30" si="0">K6*I6</f>
        <v>97237.14</v>
      </c>
      <c r="M6" s="94">
        <f t="shared" ref="M6:M37" si="1">H6-L6</f>
        <v>276751.86</v>
      </c>
      <c r="N6" s="159">
        <f t="shared" ref="N6:N37" si="2">J6-K6</f>
        <v>37</v>
      </c>
      <c r="O6" s="159"/>
      <c r="P6" s="159"/>
      <c r="Q6" s="11"/>
    </row>
    <row r="7" spans="2:17" s="114" customFormat="1">
      <c r="B7" s="293" t="s">
        <v>894</v>
      </c>
      <c r="C7" s="96">
        <v>2</v>
      </c>
      <c r="D7" s="123" t="s">
        <v>916</v>
      </c>
      <c r="E7" s="123"/>
      <c r="F7" s="19">
        <v>450000</v>
      </c>
      <c r="G7" s="19">
        <v>59985</v>
      </c>
      <c r="H7" s="19">
        <v>509985</v>
      </c>
      <c r="I7" s="327">
        <v>10199.700000000001</v>
      </c>
      <c r="J7" s="159">
        <v>50</v>
      </c>
      <c r="K7" s="159">
        <v>14</v>
      </c>
      <c r="L7" s="16">
        <f t="shared" si="0"/>
        <v>142795.80000000002</v>
      </c>
      <c r="M7" s="94">
        <f t="shared" si="1"/>
        <v>367189.19999999995</v>
      </c>
      <c r="N7" s="159">
        <f t="shared" si="2"/>
        <v>36</v>
      </c>
      <c r="O7" s="159"/>
      <c r="P7" s="159"/>
      <c r="Q7" s="11"/>
    </row>
    <row r="8" spans="2:17" s="114" customFormat="1">
      <c r="B8" s="292" t="s">
        <v>666</v>
      </c>
      <c r="C8" s="96">
        <v>3</v>
      </c>
      <c r="D8" s="11" t="s">
        <v>667</v>
      </c>
      <c r="E8" s="11"/>
      <c r="F8" s="19">
        <v>150000</v>
      </c>
      <c r="G8" s="19">
        <v>19995</v>
      </c>
      <c r="H8" s="19">
        <f>SUM(F8:G8)</f>
        <v>169995</v>
      </c>
      <c r="I8" s="318">
        <v>3339.9</v>
      </c>
      <c r="J8" s="159">
        <v>50</v>
      </c>
      <c r="K8" s="159">
        <v>17</v>
      </c>
      <c r="L8" s="91">
        <f t="shared" si="0"/>
        <v>56778.3</v>
      </c>
      <c r="M8" s="94">
        <f t="shared" si="1"/>
        <v>113216.7</v>
      </c>
      <c r="N8" s="159">
        <f t="shared" si="2"/>
        <v>33</v>
      </c>
      <c r="O8" s="159"/>
      <c r="P8" s="97"/>
      <c r="Q8" s="11"/>
    </row>
    <row r="9" spans="2:17" s="114" customFormat="1">
      <c r="B9" s="293" t="s">
        <v>896</v>
      </c>
      <c r="C9" s="96">
        <v>4</v>
      </c>
      <c r="D9" s="123" t="s">
        <v>919</v>
      </c>
      <c r="E9" s="123"/>
      <c r="F9" s="19">
        <v>450000</v>
      </c>
      <c r="G9" s="19">
        <v>59985</v>
      </c>
      <c r="H9" s="19">
        <v>509985</v>
      </c>
      <c r="I9" s="327">
        <v>10199.700000000001</v>
      </c>
      <c r="J9" s="159">
        <v>50</v>
      </c>
      <c r="K9" s="159">
        <v>14</v>
      </c>
      <c r="L9" s="16">
        <f t="shared" si="0"/>
        <v>142795.80000000002</v>
      </c>
      <c r="M9" s="94">
        <f t="shared" si="1"/>
        <v>367189.19999999995</v>
      </c>
      <c r="N9" s="159">
        <f t="shared" si="2"/>
        <v>36</v>
      </c>
      <c r="O9" s="159"/>
      <c r="P9" s="159"/>
      <c r="Q9" s="11"/>
    </row>
    <row r="10" spans="2:17" s="114" customFormat="1">
      <c r="B10" s="293" t="s">
        <v>945</v>
      </c>
      <c r="C10" s="96">
        <v>5</v>
      </c>
      <c r="D10" s="123" t="s">
        <v>946</v>
      </c>
      <c r="E10" s="123"/>
      <c r="F10" s="16">
        <v>500000</v>
      </c>
      <c r="G10" s="16">
        <v>66650</v>
      </c>
      <c r="H10" s="41">
        <f>SUM(F10:G10)</f>
        <v>566650</v>
      </c>
      <c r="I10" s="327">
        <v>11333</v>
      </c>
      <c r="J10" s="159">
        <v>50</v>
      </c>
      <c r="K10" s="159">
        <v>14</v>
      </c>
      <c r="L10" s="16">
        <f t="shared" si="0"/>
        <v>158662</v>
      </c>
      <c r="M10" s="94">
        <f t="shared" si="1"/>
        <v>407988</v>
      </c>
      <c r="N10" s="159">
        <f t="shared" si="2"/>
        <v>36</v>
      </c>
      <c r="O10" s="159"/>
      <c r="P10" s="159"/>
      <c r="Q10" s="11"/>
    </row>
    <row r="11" spans="2:17" s="114" customFormat="1">
      <c r="B11" s="292" t="s">
        <v>530</v>
      </c>
      <c r="C11" s="96">
        <v>6</v>
      </c>
      <c r="D11" s="11" t="s">
        <v>531</v>
      </c>
      <c r="E11" s="11"/>
      <c r="F11" s="16">
        <v>500000</v>
      </c>
      <c r="G11" s="16">
        <v>66650</v>
      </c>
      <c r="H11" s="16">
        <v>566650</v>
      </c>
      <c r="I11" s="318">
        <v>11333</v>
      </c>
      <c r="J11" s="159">
        <v>50</v>
      </c>
      <c r="K11" s="97">
        <v>44</v>
      </c>
      <c r="L11" s="91">
        <f t="shared" si="0"/>
        <v>498652</v>
      </c>
      <c r="M11" s="94">
        <f t="shared" si="1"/>
        <v>67998</v>
      </c>
      <c r="N11" s="159">
        <f t="shared" si="2"/>
        <v>6</v>
      </c>
      <c r="O11" s="159"/>
      <c r="P11" s="97"/>
      <c r="Q11" s="11"/>
    </row>
    <row r="12" spans="2:17" s="114" customFormat="1">
      <c r="B12" s="292" t="s">
        <v>590</v>
      </c>
      <c r="C12" s="96">
        <v>7</v>
      </c>
      <c r="D12" s="11" t="s">
        <v>591</v>
      </c>
      <c r="E12" s="11"/>
      <c r="F12" s="19">
        <v>150000</v>
      </c>
      <c r="G12" s="19">
        <v>19995</v>
      </c>
      <c r="H12" s="19">
        <f t="shared" ref="H12:H22" si="3">SUM(F12:G12)</f>
        <v>169995</v>
      </c>
      <c r="I12" s="146">
        <v>3399.9</v>
      </c>
      <c r="J12" s="159">
        <v>50</v>
      </c>
      <c r="K12" s="97">
        <v>44</v>
      </c>
      <c r="L12" s="91">
        <f t="shared" si="0"/>
        <v>149595.6</v>
      </c>
      <c r="M12" s="94">
        <f t="shared" si="1"/>
        <v>20399.399999999994</v>
      </c>
      <c r="N12" s="159">
        <f t="shared" si="2"/>
        <v>6</v>
      </c>
      <c r="O12" s="159"/>
      <c r="P12" s="97"/>
      <c r="Q12" s="11"/>
    </row>
    <row r="13" spans="2:17" s="114" customFormat="1">
      <c r="B13" s="293" t="s">
        <v>929</v>
      </c>
      <c r="C13" s="96">
        <v>8</v>
      </c>
      <c r="D13" s="11" t="s">
        <v>932</v>
      </c>
      <c r="E13" s="11"/>
      <c r="F13" s="16">
        <v>500000</v>
      </c>
      <c r="G13" s="16">
        <v>66650</v>
      </c>
      <c r="H13" s="41">
        <f t="shared" si="3"/>
        <v>566650</v>
      </c>
      <c r="I13" s="327">
        <v>11333</v>
      </c>
      <c r="J13" s="159">
        <v>50</v>
      </c>
      <c r="K13" s="159">
        <v>44</v>
      </c>
      <c r="L13" s="16">
        <f t="shared" si="0"/>
        <v>498652</v>
      </c>
      <c r="M13" s="94">
        <f t="shared" si="1"/>
        <v>67998</v>
      </c>
      <c r="N13" s="159">
        <f t="shared" si="2"/>
        <v>6</v>
      </c>
      <c r="O13" s="159"/>
      <c r="P13" s="159"/>
      <c r="Q13" s="11"/>
    </row>
    <row r="14" spans="2:17" s="114" customFormat="1">
      <c r="B14" s="293" t="s">
        <v>1207</v>
      </c>
      <c r="C14" s="96">
        <v>9</v>
      </c>
      <c r="D14" s="123" t="s">
        <v>1208</v>
      </c>
      <c r="E14" s="123"/>
      <c r="F14" s="19">
        <v>330000</v>
      </c>
      <c r="G14" s="19">
        <v>43989</v>
      </c>
      <c r="H14" s="19">
        <f t="shared" si="3"/>
        <v>373989</v>
      </c>
      <c r="I14" s="327">
        <v>7479.78</v>
      </c>
      <c r="J14" s="159">
        <v>50</v>
      </c>
      <c r="K14" s="159">
        <v>6</v>
      </c>
      <c r="L14" s="16">
        <f t="shared" si="0"/>
        <v>44878.68</v>
      </c>
      <c r="M14" s="94">
        <f t="shared" si="1"/>
        <v>329110.32</v>
      </c>
      <c r="N14" s="159">
        <f t="shared" si="2"/>
        <v>44</v>
      </c>
      <c r="O14" s="159"/>
      <c r="P14" s="159"/>
      <c r="Q14" s="11"/>
    </row>
    <row r="15" spans="2:17" s="114" customFormat="1">
      <c r="B15" s="292" t="s">
        <v>690</v>
      </c>
      <c r="C15" s="96">
        <v>10</v>
      </c>
      <c r="D15" s="11" t="s">
        <v>691</v>
      </c>
      <c r="E15" s="11"/>
      <c r="F15" s="16">
        <v>500000</v>
      </c>
      <c r="G15" s="16">
        <v>66650</v>
      </c>
      <c r="H15" s="41">
        <f t="shared" si="3"/>
        <v>566650</v>
      </c>
      <c r="I15" s="318">
        <v>11333</v>
      </c>
      <c r="J15" s="159">
        <v>50</v>
      </c>
      <c r="K15" s="159">
        <v>17</v>
      </c>
      <c r="L15" s="91">
        <f t="shared" si="0"/>
        <v>192661</v>
      </c>
      <c r="M15" s="94">
        <f t="shared" si="1"/>
        <v>373989</v>
      </c>
      <c r="N15" s="159">
        <f t="shared" si="2"/>
        <v>33</v>
      </c>
      <c r="O15" s="159"/>
      <c r="P15" s="97"/>
      <c r="Q15" s="11"/>
    </row>
    <row r="16" spans="2:17" s="114" customFormat="1">
      <c r="B16" s="293" t="s">
        <v>1162</v>
      </c>
      <c r="C16" s="96">
        <v>11</v>
      </c>
      <c r="D16" s="123" t="s">
        <v>1163</v>
      </c>
      <c r="E16" s="123"/>
      <c r="F16" s="16">
        <v>500000</v>
      </c>
      <c r="G16" s="16">
        <v>66650</v>
      </c>
      <c r="H16" s="41">
        <f t="shared" si="3"/>
        <v>566650</v>
      </c>
      <c r="I16" s="327">
        <v>11333</v>
      </c>
      <c r="J16" s="159">
        <v>50</v>
      </c>
      <c r="K16" s="159">
        <v>6</v>
      </c>
      <c r="L16" s="16">
        <f t="shared" si="0"/>
        <v>67998</v>
      </c>
      <c r="M16" s="94">
        <f t="shared" si="1"/>
        <v>498652</v>
      </c>
      <c r="N16" s="159">
        <f t="shared" si="2"/>
        <v>44</v>
      </c>
      <c r="O16" s="159"/>
      <c r="P16" s="159"/>
      <c r="Q16" s="11"/>
    </row>
    <row r="17" spans="2:17" s="114" customFormat="1">
      <c r="B17" s="122" t="s">
        <v>1253</v>
      </c>
      <c r="C17" s="96">
        <v>12</v>
      </c>
      <c r="D17" s="11" t="s">
        <v>1254</v>
      </c>
      <c r="E17" s="122"/>
      <c r="F17" s="16">
        <v>500000</v>
      </c>
      <c r="G17" s="16">
        <v>66650</v>
      </c>
      <c r="H17" s="41">
        <f t="shared" si="3"/>
        <v>566650</v>
      </c>
      <c r="I17" s="16">
        <v>11333</v>
      </c>
      <c r="J17" s="159">
        <v>50</v>
      </c>
      <c r="K17" s="188">
        <v>4</v>
      </c>
      <c r="L17" s="16">
        <f t="shared" si="0"/>
        <v>45332</v>
      </c>
      <c r="M17" s="94">
        <f t="shared" si="1"/>
        <v>521318</v>
      </c>
      <c r="N17" s="159">
        <f t="shared" si="2"/>
        <v>46</v>
      </c>
      <c r="O17" s="159"/>
      <c r="P17" s="159"/>
      <c r="Q17" s="122"/>
    </row>
    <row r="18" spans="2:17" s="114" customFormat="1">
      <c r="B18" s="292" t="s">
        <v>728</v>
      </c>
      <c r="C18" s="96">
        <v>13</v>
      </c>
      <c r="D18" s="11" t="s">
        <v>729</v>
      </c>
      <c r="E18" s="11"/>
      <c r="F18" s="16">
        <v>500000</v>
      </c>
      <c r="G18" s="16">
        <v>47992</v>
      </c>
      <c r="H18" s="41">
        <f t="shared" si="3"/>
        <v>547992</v>
      </c>
      <c r="I18" s="146">
        <v>15222</v>
      </c>
      <c r="J18" s="159">
        <v>36</v>
      </c>
      <c r="K18" s="97">
        <v>35</v>
      </c>
      <c r="L18" s="91">
        <f t="shared" si="0"/>
        <v>532770</v>
      </c>
      <c r="M18" s="94">
        <f t="shared" si="1"/>
        <v>15222</v>
      </c>
      <c r="N18" s="159">
        <f t="shared" si="2"/>
        <v>1</v>
      </c>
      <c r="O18" s="159"/>
      <c r="P18" s="97"/>
      <c r="Q18" s="11"/>
    </row>
    <row r="19" spans="2:17" s="114" customFormat="1">
      <c r="B19" s="292" t="s">
        <v>645</v>
      </c>
      <c r="C19" s="96">
        <v>14</v>
      </c>
      <c r="D19" s="11" t="s">
        <v>646</v>
      </c>
      <c r="E19" s="11"/>
      <c r="F19" s="16">
        <v>500000</v>
      </c>
      <c r="G19" s="16">
        <v>66650</v>
      </c>
      <c r="H19" s="41">
        <f t="shared" si="3"/>
        <v>566650</v>
      </c>
      <c r="I19" s="318">
        <v>11333</v>
      </c>
      <c r="J19" s="159">
        <v>50</v>
      </c>
      <c r="K19" s="97">
        <v>44</v>
      </c>
      <c r="L19" s="91">
        <f t="shared" si="0"/>
        <v>498652</v>
      </c>
      <c r="M19" s="94">
        <f t="shared" si="1"/>
        <v>67998</v>
      </c>
      <c r="N19" s="159">
        <f t="shared" si="2"/>
        <v>6</v>
      </c>
      <c r="O19" s="159"/>
      <c r="P19" s="97"/>
      <c r="Q19" s="11"/>
    </row>
    <row r="20" spans="2:17" s="114" customFormat="1">
      <c r="B20" s="293" t="s">
        <v>885</v>
      </c>
      <c r="C20" s="96">
        <v>15</v>
      </c>
      <c r="D20" s="123" t="s">
        <v>907</v>
      </c>
      <c r="E20" s="123"/>
      <c r="F20" s="16">
        <v>500000</v>
      </c>
      <c r="G20" s="16">
        <v>66650</v>
      </c>
      <c r="H20" s="41">
        <f t="shared" si="3"/>
        <v>566650</v>
      </c>
      <c r="I20" s="327">
        <v>11333</v>
      </c>
      <c r="J20" s="159">
        <v>50</v>
      </c>
      <c r="K20" s="159">
        <v>14</v>
      </c>
      <c r="L20" s="16">
        <f t="shared" si="0"/>
        <v>158662</v>
      </c>
      <c r="M20" s="94">
        <f t="shared" si="1"/>
        <v>407988</v>
      </c>
      <c r="N20" s="159">
        <f t="shared" si="2"/>
        <v>36</v>
      </c>
      <c r="O20" s="159"/>
      <c r="P20" s="159"/>
      <c r="Q20" s="11"/>
    </row>
    <row r="21" spans="2:17" s="114" customFormat="1">
      <c r="B21" s="295" t="s">
        <v>930</v>
      </c>
      <c r="C21" s="96">
        <v>16</v>
      </c>
      <c r="D21" s="11" t="s">
        <v>933</v>
      </c>
      <c r="E21" s="8"/>
      <c r="F21" s="19">
        <v>330000</v>
      </c>
      <c r="G21" s="19">
        <v>31672.200000000012</v>
      </c>
      <c r="H21" s="19">
        <f t="shared" si="3"/>
        <v>361672.2</v>
      </c>
      <c r="I21" s="319">
        <v>10046.450000000001</v>
      </c>
      <c r="J21" s="159">
        <v>36</v>
      </c>
      <c r="K21" s="159">
        <v>18</v>
      </c>
      <c r="L21" s="16">
        <f t="shared" si="0"/>
        <v>180836.1</v>
      </c>
      <c r="M21" s="94">
        <f t="shared" si="1"/>
        <v>180836.1</v>
      </c>
      <c r="N21" s="159">
        <f t="shared" si="2"/>
        <v>18</v>
      </c>
      <c r="O21" s="159"/>
      <c r="P21" s="159"/>
      <c r="Q21" s="8"/>
    </row>
    <row r="22" spans="2:17" s="114" customFormat="1">
      <c r="B22" s="292" t="s">
        <v>626</v>
      </c>
      <c r="C22" s="96">
        <v>17</v>
      </c>
      <c r="D22" s="11" t="s">
        <v>627</v>
      </c>
      <c r="E22" s="11"/>
      <c r="F22" s="16">
        <v>330000</v>
      </c>
      <c r="G22" s="16">
        <v>43989</v>
      </c>
      <c r="H22" s="41">
        <f t="shared" si="3"/>
        <v>373989</v>
      </c>
      <c r="I22" s="318">
        <v>7479.78</v>
      </c>
      <c r="J22" s="159">
        <v>50</v>
      </c>
      <c r="K22" s="97">
        <v>45</v>
      </c>
      <c r="L22" s="91">
        <f t="shared" si="0"/>
        <v>336590.1</v>
      </c>
      <c r="M22" s="94">
        <f t="shared" si="1"/>
        <v>37398.900000000023</v>
      </c>
      <c r="N22" s="159">
        <f t="shared" si="2"/>
        <v>5</v>
      </c>
      <c r="O22" s="159"/>
      <c r="P22" s="97"/>
      <c r="Q22" s="11"/>
    </row>
    <row r="23" spans="2:17" s="114" customFormat="1">
      <c r="B23" s="292" t="s">
        <v>617</v>
      </c>
      <c r="C23" s="96">
        <v>18</v>
      </c>
      <c r="D23" s="11" t="s">
        <v>618</v>
      </c>
      <c r="E23" s="11"/>
      <c r="F23" s="16">
        <v>450000</v>
      </c>
      <c r="G23" s="16">
        <v>59985</v>
      </c>
      <c r="H23" s="16">
        <v>509985</v>
      </c>
      <c r="I23" s="318">
        <v>10199.700000000001</v>
      </c>
      <c r="J23" s="159">
        <v>50</v>
      </c>
      <c r="K23" s="97">
        <v>45</v>
      </c>
      <c r="L23" s="91">
        <f t="shared" si="0"/>
        <v>458986.50000000006</v>
      </c>
      <c r="M23" s="94">
        <f t="shared" si="1"/>
        <v>50998.499999999942</v>
      </c>
      <c r="N23" s="159">
        <f t="shared" si="2"/>
        <v>5</v>
      </c>
      <c r="O23" s="159"/>
      <c r="P23" s="97"/>
      <c r="Q23" s="11"/>
    </row>
    <row r="24" spans="2:17" s="114" customFormat="1">
      <c r="B24" s="293" t="s">
        <v>1249</v>
      </c>
      <c r="C24" s="96">
        <v>19</v>
      </c>
      <c r="D24" s="11" t="s">
        <v>1250</v>
      </c>
      <c r="E24" s="11"/>
      <c r="F24" s="19">
        <v>330000</v>
      </c>
      <c r="G24" s="19">
        <v>43989</v>
      </c>
      <c r="H24" s="19">
        <f>SUM(F24:G24)</f>
        <v>373989</v>
      </c>
      <c r="I24" s="327">
        <v>7479.78</v>
      </c>
      <c r="J24" s="159">
        <v>50</v>
      </c>
      <c r="K24" s="96">
        <v>7</v>
      </c>
      <c r="L24" s="91">
        <f t="shared" si="0"/>
        <v>52358.46</v>
      </c>
      <c r="M24" s="94">
        <f t="shared" si="1"/>
        <v>321630.53999999998</v>
      </c>
      <c r="N24" s="159">
        <f t="shared" si="2"/>
        <v>43</v>
      </c>
      <c r="O24" s="159"/>
      <c r="P24" s="97"/>
      <c r="Q24" s="11"/>
    </row>
    <row r="25" spans="2:17" s="114" customFormat="1">
      <c r="B25" s="292" t="s">
        <v>509</v>
      </c>
      <c r="C25" s="96">
        <v>20</v>
      </c>
      <c r="D25" s="11" t="s">
        <v>510</v>
      </c>
      <c r="E25" s="11"/>
      <c r="F25" s="19">
        <v>450000</v>
      </c>
      <c r="G25" s="19">
        <v>59985</v>
      </c>
      <c r="H25" s="19">
        <v>509985</v>
      </c>
      <c r="I25" s="318">
        <v>10199.700000000001</v>
      </c>
      <c r="J25" s="159">
        <v>50</v>
      </c>
      <c r="K25" s="97">
        <v>31</v>
      </c>
      <c r="L25" s="91">
        <f t="shared" si="0"/>
        <v>316190.7</v>
      </c>
      <c r="M25" s="91">
        <f t="shared" si="1"/>
        <v>193794.3</v>
      </c>
      <c r="N25" s="159">
        <f t="shared" si="2"/>
        <v>19</v>
      </c>
      <c r="O25" s="159"/>
      <c r="P25" s="97"/>
      <c r="Q25" s="11"/>
    </row>
    <row r="26" spans="2:17" s="114" customFormat="1">
      <c r="B26" s="293" t="s">
        <v>902</v>
      </c>
      <c r="C26" s="96">
        <v>21</v>
      </c>
      <c r="D26" s="123" t="s">
        <v>926</v>
      </c>
      <c r="E26" s="123"/>
      <c r="F26" s="19">
        <v>150000</v>
      </c>
      <c r="G26" s="19">
        <v>19995</v>
      </c>
      <c r="H26" s="19">
        <f>SUM(F26:G26)</f>
        <v>169995</v>
      </c>
      <c r="I26" s="327">
        <v>3399.9</v>
      </c>
      <c r="J26" s="159">
        <v>50</v>
      </c>
      <c r="K26" s="159">
        <v>14</v>
      </c>
      <c r="L26" s="16">
        <f t="shared" si="0"/>
        <v>47598.6</v>
      </c>
      <c r="M26" s="94">
        <f t="shared" si="1"/>
        <v>122396.4</v>
      </c>
      <c r="N26" s="159">
        <f t="shared" si="2"/>
        <v>36</v>
      </c>
      <c r="O26" s="159"/>
      <c r="P26" s="159"/>
      <c r="Q26" s="11"/>
    </row>
    <row r="27" spans="2:17" s="114" customFormat="1">
      <c r="B27" s="292" t="s">
        <v>719</v>
      </c>
      <c r="C27" s="96">
        <v>22</v>
      </c>
      <c r="D27" s="11" t="s">
        <v>720</v>
      </c>
      <c r="E27" s="11"/>
      <c r="F27" s="16">
        <v>500000</v>
      </c>
      <c r="G27" s="16">
        <v>66650</v>
      </c>
      <c r="H27" s="16">
        <v>566650</v>
      </c>
      <c r="I27" s="318">
        <v>11333</v>
      </c>
      <c r="J27" s="159">
        <v>50</v>
      </c>
      <c r="K27" s="101">
        <v>19</v>
      </c>
      <c r="L27" s="91">
        <f t="shared" si="0"/>
        <v>215327</v>
      </c>
      <c r="M27" s="94">
        <f t="shared" si="1"/>
        <v>351323</v>
      </c>
      <c r="N27" s="159">
        <f t="shared" si="2"/>
        <v>31</v>
      </c>
      <c r="O27" s="159"/>
      <c r="P27" s="97"/>
      <c r="Q27" s="8"/>
    </row>
    <row r="28" spans="2:17" s="114" customFormat="1">
      <c r="B28" s="292" t="s">
        <v>619</v>
      </c>
      <c r="C28" s="96">
        <v>23</v>
      </c>
      <c r="D28" s="11" t="s">
        <v>620</v>
      </c>
      <c r="E28" s="11"/>
      <c r="F28" s="16">
        <v>500000</v>
      </c>
      <c r="G28" s="16">
        <v>66650</v>
      </c>
      <c r="H28" s="16">
        <v>566650</v>
      </c>
      <c r="I28" s="318">
        <v>11333</v>
      </c>
      <c r="J28" s="159">
        <v>50</v>
      </c>
      <c r="K28" s="97">
        <v>45</v>
      </c>
      <c r="L28" s="91">
        <f t="shared" si="0"/>
        <v>509985</v>
      </c>
      <c r="M28" s="94">
        <f t="shared" si="1"/>
        <v>56665</v>
      </c>
      <c r="N28" s="159">
        <f t="shared" si="2"/>
        <v>5</v>
      </c>
      <c r="O28" s="159"/>
      <c r="P28" s="97"/>
      <c r="Q28" s="11"/>
    </row>
    <row r="29" spans="2:17" s="114" customFormat="1">
      <c r="B29" s="292" t="s">
        <v>507</v>
      </c>
      <c r="C29" s="96">
        <v>24</v>
      </c>
      <c r="D29" s="11" t="s">
        <v>508</v>
      </c>
      <c r="E29" s="11"/>
      <c r="F29" s="16">
        <v>500000</v>
      </c>
      <c r="G29" s="16">
        <v>66650</v>
      </c>
      <c r="H29" s="16">
        <v>566650</v>
      </c>
      <c r="I29" s="318">
        <v>11333</v>
      </c>
      <c r="J29" s="159">
        <v>50</v>
      </c>
      <c r="K29" s="97">
        <v>31</v>
      </c>
      <c r="L29" s="91">
        <f t="shared" si="0"/>
        <v>351323</v>
      </c>
      <c r="M29" s="91">
        <f t="shared" si="1"/>
        <v>215327</v>
      </c>
      <c r="N29" s="159">
        <f t="shared" si="2"/>
        <v>19</v>
      </c>
      <c r="O29" s="159"/>
      <c r="P29" s="97"/>
      <c r="Q29" s="11"/>
    </row>
    <row r="30" spans="2:17" s="114" customFormat="1">
      <c r="B30" s="292" t="s">
        <v>726</v>
      </c>
      <c r="C30" s="96">
        <v>25</v>
      </c>
      <c r="D30" s="11" t="s">
        <v>727</v>
      </c>
      <c r="E30" s="11"/>
      <c r="F30" s="19">
        <v>500000</v>
      </c>
      <c r="G30" s="19">
        <v>66650</v>
      </c>
      <c r="H30" s="19">
        <v>566650</v>
      </c>
      <c r="I30" s="318">
        <v>11333</v>
      </c>
      <c r="J30" s="159">
        <v>50</v>
      </c>
      <c r="K30" s="97">
        <v>31</v>
      </c>
      <c r="L30" s="91">
        <f t="shared" si="0"/>
        <v>351323</v>
      </c>
      <c r="M30" s="91">
        <f t="shared" si="1"/>
        <v>215327</v>
      </c>
      <c r="N30" s="159">
        <f t="shared" si="2"/>
        <v>19</v>
      </c>
      <c r="O30" s="159"/>
      <c r="P30" s="97"/>
      <c r="Q30" s="11"/>
    </row>
    <row r="31" spans="2:17" s="114" customFormat="1">
      <c r="B31" s="292" t="s">
        <v>647</v>
      </c>
      <c r="C31" s="96">
        <v>26</v>
      </c>
      <c r="D31" s="11" t="s">
        <v>648</v>
      </c>
      <c r="E31" s="11"/>
      <c r="F31" s="16">
        <v>500000</v>
      </c>
      <c r="G31" s="16">
        <v>66650</v>
      </c>
      <c r="H31" s="41">
        <f>SUM(F31:G31)</f>
        <v>566650</v>
      </c>
      <c r="I31" s="318">
        <v>11333</v>
      </c>
      <c r="J31" s="159">
        <v>50</v>
      </c>
      <c r="K31" s="97">
        <v>23</v>
      </c>
      <c r="L31" s="91">
        <f>(1*11333)</f>
        <v>11333</v>
      </c>
      <c r="M31" s="91">
        <f t="shared" si="1"/>
        <v>555317</v>
      </c>
      <c r="N31" s="159">
        <f t="shared" si="2"/>
        <v>27</v>
      </c>
      <c r="O31" s="159"/>
      <c r="P31" s="97"/>
      <c r="Q31" s="11"/>
    </row>
    <row r="32" spans="2:17" s="114" customFormat="1">
      <c r="B32" s="292" t="s">
        <v>698</v>
      </c>
      <c r="C32" s="96">
        <v>27</v>
      </c>
      <c r="D32" s="11" t="s">
        <v>699</v>
      </c>
      <c r="E32" s="11"/>
      <c r="F32" s="19">
        <v>500000</v>
      </c>
      <c r="G32" s="19">
        <v>66650</v>
      </c>
      <c r="H32" s="19">
        <v>566650</v>
      </c>
      <c r="I32" s="318">
        <v>11333</v>
      </c>
      <c r="J32" s="159">
        <v>50</v>
      </c>
      <c r="K32" s="97">
        <v>31</v>
      </c>
      <c r="L32" s="91">
        <f>K32*I32</f>
        <v>351323</v>
      </c>
      <c r="M32" s="91">
        <f t="shared" si="1"/>
        <v>215327</v>
      </c>
      <c r="N32" s="159">
        <f t="shared" si="2"/>
        <v>19</v>
      </c>
      <c r="O32" s="159"/>
      <c r="P32" s="97"/>
      <c r="Q32" s="11"/>
    </row>
    <row r="33" spans="2:17" s="114" customFormat="1">
      <c r="B33" s="122" t="s">
        <v>1227</v>
      </c>
      <c r="C33" s="96">
        <v>28</v>
      </c>
      <c r="D33" s="11" t="s">
        <v>1228</v>
      </c>
      <c r="E33" s="122"/>
      <c r="F33" s="16">
        <v>500000</v>
      </c>
      <c r="G33" s="16">
        <v>66650</v>
      </c>
      <c r="H33" s="41">
        <f>SUM(F33:G33)</f>
        <v>566650</v>
      </c>
      <c r="I33" s="16">
        <v>11333</v>
      </c>
      <c r="J33" s="159">
        <v>50</v>
      </c>
      <c r="K33" s="188">
        <v>4</v>
      </c>
      <c r="L33" s="16">
        <f>K33*I33</f>
        <v>45332</v>
      </c>
      <c r="M33" s="94">
        <f t="shared" si="1"/>
        <v>521318</v>
      </c>
      <c r="N33" s="159">
        <f t="shared" si="2"/>
        <v>46</v>
      </c>
      <c r="O33" s="159"/>
      <c r="P33" s="159"/>
      <c r="Q33" s="122"/>
    </row>
    <row r="34" spans="2:17" s="114" customFormat="1">
      <c r="B34" s="292" t="s">
        <v>551</v>
      </c>
      <c r="C34" s="96">
        <v>29</v>
      </c>
      <c r="D34" s="11" t="s">
        <v>552</v>
      </c>
      <c r="E34" s="11"/>
      <c r="F34" s="19">
        <v>500000</v>
      </c>
      <c r="G34" s="19">
        <v>66650</v>
      </c>
      <c r="H34" s="19">
        <v>566650</v>
      </c>
      <c r="I34" s="318">
        <v>11333</v>
      </c>
      <c r="J34" s="159">
        <v>50</v>
      </c>
      <c r="K34" s="97">
        <v>31</v>
      </c>
      <c r="L34" s="91">
        <f>K34*I34</f>
        <v>351323</v>
      </c>
      <c r="M34" s="91">
        <f t="shared" si="1"/>
        <v>215327</v>
      </c>
      <c r="N34" s="159">
        <f t="shared" si="2"/>
        <v>19</v>
      </c>
      <c r="O34" s="159"/>
      <c r="P34" s="97"/>
      <c r="Q34" s="11"/>
    </row>
    <row r="35" spans="2:17" s="114" customFormat="1">
      <c r="B35" s="293" t="s">
        <v>1231</v>
      </c>
      <c r="C35" s="96">
        <v>30</v>
      </c>
      <c r="D35" s="123" t="s">
        <v>1232</v>
      </c>
      <c r="E35" s="123"/>
      <c r="F35" s="19">
        <v>450000</v>
      </c>
      <c r="G35" s="19">
        <v>59985</v>
      </c>
      <c r="H35" s="19">
        <v>509985</v>
      </c>
      <c r="I35" s="327">
        <v>10199.700000000001</v>
      </c>
      <c r="J35" s="159">
        <v>50</v>
      </c>
      <c r="K35" s="159">
        <v>6</v>
      </c>
      <c r="L35" s="16">
        <f>K35*I35</f>
        <v>61198.200000000004</v>
      </c>
      <c r="M35" s="94">
        <f t="shared" si="1"/>
        <v>448786.8</v>
      </c>
      <c r="N35" s="159">
        <f t="shared" si="2"/>
        <v>44</v>
      </c>
      <c r="O35" s="159"/>
      <c r="P35" s="159"/>
      <c r="Q35" s="11"/>
    </row>
    <row r="36" spans="2:17" s="114" customFormat="1">
      <c r="B36" s="292" t="s">
        <v>534</v>
      </c>
      <c r="C36" s="96">
        <v>31</v>
      </c>
      <c r="D36" s="11" t="s">
        <v>535</v>
      </c>
      <c r="E36" s="11"/>
      <c r="F36" s="16">
        <v>450000</v>
      </c>
      <c r="G36" s="16">
        <v>59985</v>
      </c>
      <c r="H36" s="16">
        <v>509985</v>
      </c>
      <c r="I36" s="318">
        <v>10199.700000000001</v>
      </c>
      <c r="J36" s="159">
        <v>50</v>
      </c>
      <c r="K36" s="97">
        <v>23</v>
      </c>
      <c r="L36" s="91">
        <f>(1*10199.7)</f>
        <v>10199.700000000001</v>
      </c>
      <c r="M36" s="94">
        <f t="shared" si="1"/>
        <v>499785.3</v>
      </c>
      <c r="N36" s="159">
        <f t="shared" si="2"/>
        <v>27</v>
      </c>
      <c r="O36" s="159"/>
      <c r="P36" s="97"/>
      <c r="Q36" s="11"/>
    </row>
    <row r="37" spans="2:17" s="114" customFormat="1">
      <c r="B37" s="293" t="s">
        <v>678</v>
      </c>
      <c r="C37" s="96">
        <v>32</v>
      </c>
      <c r="D37" s="123" t="s">
        <v>679</v>
      </c>
      <c r="E37" s="123"/>
      <c r="F37" s="16">
        <v>500000</v>
      </c>
      <c r="G37" s="16">
        <v>66650</v>
      </c>
      <c r="H37" s="41">
        <f>SUM(F37:G37)</f>
        <v>566650</v>
      </c>
      <c r="I37" s="327">
        <v>15222</v>
      </c>
      <c r="J37" s="159">
        <v>50</v>
      </c>
      <c r="K37" s="159">
        <v>14</v>
      </c>
      <c r="L37" s="16">
        <f t="shared" ref="L37:L63" si="4">K37*I37</f>
        <v>213108</v>
      </c>
      <c r="M37" s="94">
        <f t="shared" si="1"/>
        <v>353542</v>
      </c>
      <c r="N37" s="159">
        <f t="shared" si="2"/>
        <v>36</v>
      </c>
      <c r="O37" s="159"/>
      <c r="P37" s="159"/>
      <c r="Q37" s="11"/>
    </row>
    <row r="38" spans="2:17" s="114" customFormat="1">
      <c r="B38" s="293" t="s">
        <v>899</v>
      </c>
      <c r="C38" s="96">
        <v>33</v>
      </c>
      <c r="D38" s="123" t="s">
        <v>922</v>
      </c>
      <c r="E38" s="123"/>
      <c r="F38" s="19">
        <v>330000</v>
      </c>
      <c r="G38" s="19">
        <v>43989</v>
      </c>
      <c r="H38" s="19">
        <f>SUM(F38:G38)</f>
        <v>373989</v>
      </c>
      <c r="I38" s="327">
        <v>7479.78</v>
      </c>
      <c r="J38" s="159">
        <v>50</v>
      </c>
      <c r="K38" s="159">
        <v>14</v>
      </c>
      <c r="L38" s="16">
        <f t="shared" si="4"/>
        <v>104716.92</v>
      </c>
      <c r="M38" s="94">
        <f t="shared" ref="M38:M69" si="5">H38-L38</f>
        <v>269272.08</v>
      </c>
      <c r="N38" s="159">
        <f t="shared" ref="N38:N69" si="6">J38-K38</f>
        <v>36</v>
      </c>
      <c r="O38" s="159"/>
      <c r="P38" s="159"/>
      <c r="Q38" s="11"/>
    </row>
    <row r="39" spans="2:17" s="114" customFormat="1">
      <c r="B39" s="295" t="s">
        <v>941</v>
      </c>
      <c r="C39" s="96">
        <v>34</v>
      </c>
      <c r="D39" s="11" t="s">
        <v>942</v>
      </c>
      <c r="E39" s="8"/>
      <c r="F39" s="19">
        <v>330000</v>
      </c>
      <c r="G39" s="19">
        <v>43989</v>
      </c>
      <c r="H39" s="19">
        <f>SUM(F39:G39)</f>
        <v>373989</v>
      </c>
      <c r="I39" s="319">
        <v>7479.78</v>
      </c>
      <c r="J39" s="159">
        <v>50</v>
      </c>
      <c r="K39" s="159">
        <v>11</v>
      </c>
      <c r="L39" s="16">
        <f t="shared" si="4"/>
        <v>82277.58</v>
      </c>
      <c r="M39" s="94">
        <f t="shared" si="5"/>
        <v>291711.42</v>
      </c>
      <c r="N39" s="159">
        <f t="shared" si="6"/>
        <v>39</v>
      </c>
      <c r="O39" s="159"/>
      <c r="P39" s="159"/>
      <c r="Q39" s="8"/>
    </row>
    <row r="40" spans="2:17" s="114" customFormat="1">
      <c r="B40" s="292" t="s">
        <v>692</v>
      </c>
      <c r="C40" s="96">
        <v>35</v>
      </c>
      <c r="D40" s="11" t="s">
        <v>693</v>
      </c>
      <c r="E40" s="11"/>
      <c r="F40" s="16">
        <v>330000</v>
      </c>
      <c r="G40" s="16">
        <v>43989</v>
      </c>
      <c r="H40" s="41">
        <f>SUM(F40:G40)</f>
        <v>373989</v>
      </c>
      <c r="I40" s="318">
        <v>7478.78</v>
      </c>
      <c r="J40" s="159">
        <v>50</v>
      </c>
      <c r="K40" s="159">
        <v>54</v>
      </c>
      <c r="L40" s="16">
        <f t="shared" si="4"/>
        <v>403854.12</v>
      </c>
      <c r="M40" s="41">
        <f t="shared" si="5"/>
        <v>-29865.119999999995</v>
      </c>
      <c r="N40" s="159">
        <f t="shared" si="6"/>
        <v>-4</v>
      </c>
      <c r="O40" s="159"/>
      <c r="P40" s="96"/>
      <c r="Q40" s="11"/>
    </row>
    <row r="41" spans="2:17" s="114" customFormat="1">
      <c r="B41" s="292" t="s">
        <v>623</v>
      </c>
      <c r="C41" s="96">
        <v>36</v>
      </c>
      <c r="D41" s="123" t="s">
        <v>954</v>
      </c>
      <c r="E41" s="123"/>
      <c r="F41" s="19">
        <v>450000</v>
      </c>
      <c r="G41" s="19">
        <v>59985</v>
      </c>
      <c r="H41" s="19">
        <v>509985</v>
      </c>
      <c r="I41" s="327">
        <v>10199.700000000001</v>
      </c>
      <c r="J41" s="159">
        <v>50</v>
      </c>
      <c r="K41" s="159">
        <v>11</v>
      </c>
      <c r="L41" s="91">
        <f t="shared" si="4"/>
        <v>112196.70000000001</v>
      </c>
      <c r="M41" s="94">
        <f t="shared" si="5"/>
        <v>397788.3</v>
      </c>
      <c r="N41" s="159">
        <f t="shared" si="6"/>
        <v>39</v>
      </c>
      <c r="O41" s="159"/>
      <c r="P41" s="97"/>
      <c r="Q41" s="11"/>
    </row>
    <row r="42" spans="2:17" s="114" customFormat="1">
      <c r="B42" s="293" t="s">
        <v>1243</v>
      </c>
      <c r="C42" s="96">
        <v>37</v>
      </c>
      <c r="D42" s="123" t="s">
        <v>1244</v>
      </c>
      <c r="E42" s="123"/>
      <c r="F42" s="19">
        <v>330000</v>
      </c>
      <c r="G42" s="19">
        <v>43989</v>
      </c>
      <c r="H42" s="19">
        <f>SUM(F42:G42)</f>
        <v>373989</v>
      </c>
      <c r="I42" s="327">
        <v>7479.78</v>
      </c>
      <c r="J42" s="159">
        <v>50</v>
      </c>
      <c r="K42" s="159">
        <v>6</v>
      </c>
      <c r="L42" s="16">
        <f t="shared" si="4"/>
        <v>44878.68</v>
      </c>
      <c r="M42" s="94">
        <f t="shared" si="5"/>
        <v>329110.32</v>
      </c>
      <c r="N42" s="159">
        <f t="shared" si="6"/>
        <v>44</v>
      </c>
      <c r="O42" s="159"/>
      <c r="P42" s="159"/>
      <c r="Q42" s="11"/>
    </row>
    <row r="43" spans="2:17" s="114" customFormat="1">
      <c r="B43" s="293" t="s">
        <v>895</v>
      </c>
      <c r="C43" s="96">
        <v>38</v>
      </c>
      <c r="D43" s="123" t="s">
        <v>918</v>
      </c>
      <c r="E43" s="123"/>
      <c r="F43" s="19">
        <v>450000</v>
      </c>
      <c r="G43" s="19">
        <v>59985</v>
      </c>
      <c r="H43" s="19">
        <v>509985</v>
      </c>
      <c r="I43" s="327">
        <v>10199.700000000001</v>
      </c>
      <c r="J43" s="159">
        <v>50</v>
      </c>
      <c r="K43" s="159">
        <v>14</v>
      </c>
      <c r="L43" s="16">
        <f t="shared" si="4"/>
        <v>142795.80000000002</v>
      </c>
      <c r="M43" s="94">
        <f t="shared" si="5"/>
        <v>367189.19999999995</v>
      </c>
      <c r="N43" s="159">
        <f t="shared" si="6"/>
        <v>36</v>
      </c>
      <c r="O43" s="159"/>
      <c r="P43" s="159"/>
      <c r="Q43" s="11"/>
    </row>
    <row r="44" spans="2:17" s="114" customFormat="1">
      <c r="B44" s="293" t="s">
        <v>628</v>
      </c>
      <c r="C44" s="96">
        <v>39</v>
      </c>
      <c r="D44" s="123" t="s">
        <v>917</v>
      </c>
      <c r="E44" s="123"/>
      <c r="F44" s="19">
        <v>450000</v>
      </c>
      <c r="G44" s="19">
        <v>59985</v>
      </c>
      <c r="H44" s="19">
        <v>509985</v>
      </c>
      <c r="I44" s="327">
        <v>10199.700000000001</v>
      </c>
      <c r="J44" s="159">
        <v>50</v>
      </c>
      <c r="K44" s="159">
        <v>6</v>
      </c>
      <c r="L44" s="16">
        <f t="shared" si="4"/>
        <v>61198.200000000004</v>
      </c>
      <c r="M44" s="94">
        <f t="shared" si="5"/>
        <v>448786.8</v>
      </c>
      <c r="N44" s="159">
        <f t="shared" si="6"/>
        <v>44</v>
      </c>
      <c r="O44" s="159"/>
      <c r="P44" s="159"/>
      <c r="Q44" s="11"/>
    </row>
    <row r="45" spans="2:17" s="114" customFormat="1">
      <c r="B45" s="292" t="s">
        <v>717</v>
      </c>
      <c r="C45" s="96">
        <v>40</v>
      </c>
      <c r="D45" s="11" t="s">
        <v>718</v>
      </c>
      <c r="E45" s="11"/>
      <c r="F45" s="16">
        <v>450000</v>
      </c>
      <c r="G45" s="16">
        <v>59985</v>
      </c>
      <c r="H45" s="16">
        <v>509985</v>
      </c>
      <c r="I45" s="318">
        <v>10199.700000000001</v>
      </c>
      <c r="J45" s="159">
        <v>50</v>
      </c>
      <c r="K45" s="97">
        <v>33</v>
      </c>
      <c r="L45" s="91">
        <f t="shared" si="4"/>
        <v>336590.10000000003</v>
      </c>
      <c r="M45" s="94">
        <f t="shared" si="5"/>
        <v>173394.89999999997</v>
      </c>
      <c r="N45" s="159">
        <f t="shared" si="6"/>
        <v>17</v>
      </c>
      <c r="O45" s="159"/>
      <c r="P45" s="97"/>
      <c r="Q45" s="11"/>
    </row>
    <row r="46" spans="2:17" s="114" customFormat="1">
      <c r="B46" s="293" t="s">
        <v>1182</v>
      </c>
      <c r="C46" s="96">
        <v>41</v>
      </c>
      <c r="D46" s="123" t="s">
        <v>1183</v>
      </c>
      <c r="E46" s="123"/>
      <c r="F46" s="19">
        <v>450000</v>
      </c>
      <c r="G46" s="19">
        <v>59985</v>
      </c>
      <c r="H46" s="19">
        <v>509985</v>
      </c>
      <c r="I46" s="327">
        <v>10199.700000000001</v>
      </c>
      <c r="J46" s="159">
        <v>50</v>
      </c>
      <c r="K46" s="159">
        <v>6</v>
      </c>
      <c r="L46" s="16">
        <f t="shared" si="4"/>
        <v>61198.200000000004</v>
      </c>
      <c r="M46" s="94">
        <f t="shared" si="5"/>
        <v>448786.8</v>
      </c>
      <c r="N46" s="159">
        <f t="shared" si="6"/>
        <v>44</v>
      </c>
      <c r="O46" s="159"/>
      <c r="P46" s="159"/>
      <c r="Q46" s="11"/>
    </row>
    <row r="47" spans="2:17" s="114" customFormat="1">
      <c r="B47" s="292" t="s">
        <v>518</v>
      </c>
      <c r="C47" s="96">
        <v>42</v>
      </c>
      <c r="D47" s="11" t="s">
        <v>519</v>
      </c>
      <c r="E47" s="11"/>
      <c r="F47" s="19">
        <v>500000</v>
      </c>
      <c r="G47" s="19">
        <v>66650</v>
      </c>
      <c r="H47" s="19">
        <v>566650</v>
      </c>
      <c r="I47" s="318">
        <v>11333</v>
      </c>
      <c r="J47" s="159">
        <v>50</v>
      </c>
      <c r="K47" s="97">
        <v>31</v>
      </c>
      <c r="L47" s="91">
        <f t="shared" si="4"/>
        <v>351323</v>
      </c>
      <c r="M47" s="91">
        <f t="shared" si="5"/>
        <v>215327</v>
      </c>
      <c r="N47" s="159">
        <f t="shared" si="6"/>
        <v>19</v>
      </c>
      <c r="O47" s="159"/>
      <c r="P47" s="97"/>
      <c r="Q47" s="11"/>
    </row>
    <row r="48" spans="2:17" s="114" customFormat="1">
      <c r="B48" s="292" t="s">
        <v>709</v>
      </c>
      <c r="C48" s="96">
        <v>43</v>
      </c>
      <c r="D48" s="11" t="s">
        <v>710</v>
      </c>
      <c r="E48" s="11"/>
      <c r="F48" s="19">
        <v>500000</v>
      </c>
      <c r="G48" s="19">
        <v>66650</v>
      </c>
      <c r="H48" s="19">
        <v>566650</v>
      </c>
      <c r="I48" s="318">
        <v>11333</v>
      </c>
      <c r="J48" s="159">
        <v>50</v>
      </c>
      <c r="K48" s="96">
        <v>31</v>
      </c>
      <c r="L48" s="16">
        <f t="shared" si="4"/>
        <v>351323</v>
      </c>
      <c r="M48" s="16">
        <f t="shared" si="5"/>
        <v>215327</v>
      </c>
      <c r="N48" s="159">
        <f t="shared" si="6"/>
        <v>19</v>
      </c>
      <c r="O48" s="159"/>
      <c r="P48" s="96"/>
      <c r="Q48" s="11"/>
    </row>
    <row r="49" spans="2:17" s="114" customFormat="1">
      <c r="B49" s="292" t="s">
        <v>642</v>
      </c>
      <c r="C49" s="96">
        <v>44</v>
      </c>
      <c r="D49" s="11" t="s">
        <v>643</v>
      </c>
      <c r="E49" s="11"/>
      <c r="F49" s="16">
        <v>500000</v>
      </c>
      <c r="G49" s="16">
        <v>66650</v>
      </c>
      <c r="H49" s="16">
        <v>566650</v>
      </c>
      <c r="I49" s="252">
        <v>11333</v>
      </c>
      <c r="J49" s="159">
        <v>50</v>
      </c>
      <c r="K49" s="101">
        <v>19</v>
      </c>
      <c r="L49" s="91">
        <f t="shared" si="4"/>
        <v>215327</v>
      </c>
      <c r="M49" s="94">
        <f t="shared" si="5"/>
        <v>351323</v>
      </c>
      <c r="N49" s="159">
        <f t="shared" si="6"/>
        <v>31</v>
      </c>
      <c r="O49" s="159"/>
      <c r="P49" s="97"/>
      <c r="Q49" s="8"/>
    </row>
    <row r="50" spans="2:17" s="114" customFormat="1">
      <c r="B50" s="292" t="s">
        <v>664</v>
      </c>
      <c r="C50" s="96">
        <v>45</v>
      </c>
      <c r="D50" s="11" t="s">
        <v>665</v>
      </c>
      <c r="E50" s="11"/>
      <c r="F50" s="19">
        <v>330000</v>
      </c>
      <c r="G50" s="19">
        <v>43989</v>
      </c>
      <c r="H50" s="19">
        <f>SUM(F50:G50)</f>
        <v>373989</v>
      </c>
      <c r="I50" s="252">
        <v>7479.78</v>
      </c>
      <c r="J50" s="159">
        <v>50</v>
      </c>
      <c r="K50" s="101">
        <v>19</v>
      </c>
      <c r="L50" s="91">
        <f t="shared" si="4"/>
        <v>142115.82</v>
      </c>
      <c r="M50" s="94">
        <f t="shared" si="5"/>
        <v>231873.18</v>
      </c>
      <c r="N50" s="159">
        <f t="shared" si="6"/>
        <v>31</v>
      </c>
      <c r="O50" s="159"/>
      <c r="P50" s="97"/>
      <c r="Q50" s="8"/>
    </row>
    <row r="51" spans="2:17" s="114" customFormat="1">
      <c r="B51" s="292" t="s">
        <v>633</v>
      </c>
      <c r="C51" s="96">
        <v>46</v>
      </c>
      <c r="D51" s="11" t="s">
        <v>634</v>
      </c>
      <c r="E51" s="11"/>
      <c r="F51" s="19">
        <v>150000</v>
      </c>
      <c r="G51" s="19">
        <v>19995</v>
      </c>
      <c r="H51" s="19">
        <f>SUM(F51:G51)</f>
        <v>169995</v>
      </c>
      <c r="I51" s="252">
        <v>3399.9</v>
      </c>
      <c r="J51" s="159">
        <v>50</v>
      </c>
      <c r="K51" s="101">
        <v>19</v>
      </c>
      <c r="L51" s="91">
        <f t="shared" si="4"/>
        <v>64598.1</v>
      </c>
      <c r="M51" s="94">
        <f t="shared" si="5"/>
        <v>105396.9</v>
      </c>
      <c r="N51" s="159">
        <f t="shared" si="6"/>
        <v>31</v>
      </c>
      <c r="O51" s="159"/>
      <c r="P51" s="97"/>
      <c r="Q51" s="8"/>
    </row>
    <row r="52" spans="2:17" s="114" customFormat="1">
      <c r="B52" s="122" t="s">
        <v>1174</v>
      </c>
      <c r="C52" s="96">
        <v>47</v>
      </c>
      <c r="D52" s="11" t="s">
        <v>1175</v>
      </c>
      <c r="E52" s="122"/>
      <c r="F52" s="16">
        <v>500000</v>
      </c>
      <c r="G52" s="16">
        <v>66650</v>
      </c>
      <c r="H52" s="41">
        <f>SUM(F52:G52)</f>
        <v>566650</v>
      </c>
      <c r="I52" s="16">
        <v>11333</v>
      </c>
      <c r="J52" s="159">
        <v>50</v>
      </c>
      <c r="K52" s="188">
        <v>4</v>
      </c>
      <c r="L52" s="16">
        <f t="shared" si="4"/>
        <v>45332</v>
      </c>
      <c r="M52" s="94">
        <f t="shared" si="5"/>
        <v>521318</v>
      </c>
      <c r="N52" s="159">
        <f t="shared" si="6"/>
        <v>46</v>
      </c>
      <c r="O52" s="159"/>
      <c r="P52" s="159"/>
      <c r="Q52" s="122"/>
    </row>
    <row r="53" spans="2:17" s="114" customFormat="1">
      <c r="B53" s="292" t="s">
        <v>661</v>
      </c>
      <c r="C53" s="96">
        <v>48</v>
      </c>
      <c r="D53" s="11" t="s">
        <v>662</v>
      </c>
      <c r="E53" s="11"/>
      <c r="F53" s="19">
        <v>500000</v>
      </c>
      <c r="G53" s="19">
        <v>66650</v>
      </c>
      <c r="H53" s="19">
        <v>566650</v>
      </c>
      <c r="I53" s="318">
        <v>11333</v>
      </c>
      <c r="J53" s="159">
        <v>50</v>
      </c>
      <c r="K53" s="97">
        <v>30</v>
      </c>
      <c r="L53" s="91">
        <f t="shared" si="4"/>
        <v>339990</v>
      </c>
      <c r="M53" s="91">
        <f t="shared" si="5"/>
        <v>226660</v>
      </c>
      <c r="N53" s="159">
        <f t="shared" si="6"/>
        <v>20</v>
      </c>
      <c r="O53" s="159"/>
      <c r="P53" s="97"/>
      <c r="Q53" s="11"/>
    </row>
    <row r="54" spans="2:17" s="114" customFormat="1">
      <c r="B54" s="293" t="s">
        <v>1170</v>
      </c>
      <c r="C54" s="96">
        <v>49</v>
      </c>
      <c r="D54" s="123" t="s">
        <v>1171</v>
      </c>
      <c r="E54" s="123"/>
      <c r="F54" s="16">
        <v>500000</v>
      </c>
      <c r="G54" s="16">
        <v>66650</v>
      </c>
      <c r="H54" s="41">
        <f>SUM(F54:G54)</f>
        <v>566650</v>
      </c>
      <c r="I54" s="327">
        <v>11333</v>
      </c>
      <c r="J54" s="159">
        <v>50</v>
      </c>
      <c r="K54" s="159">
        <v>6</v>
      </c>
      <c r="L54" s="16">
        <f t="shared" si="4"/>
        <v>67998</v>
      </c>
      <c r="M54" s="94">
        <f t="shared" si="5"/>
        <v>498652</v>
      </c>
      <c r="N54" s="159">
        <f t="shared" si="6"/>
        <v>44</v>
      </c>
      <c r="O54" s="159"/>
      <c r="P54" s="159"/>
      <c r="Q54" s="11"/>
    </row>
    <row r="55" spans="2:17" s="114" customFormat="1">
      <c r="B55" s="292" t="s">
        <v>596</v>
      </c>
      <c r="C55" s="96">
        <v>50</v>
      </c>
      <c r="D55" s="11" t="s">
        <v>597</v>
      </c>
      <c r="E55" s="11"/>
      <c r="F55" s="19">
        <v>500000</v>
      </c>
      <c r="G55" s="19">
        <v>66650</v>
      </c>
      <c r="H55" s="19">
        <v>566650</v>
      </c>
      <c r="I55" s="318">
        <v>11333</v>
      </c>
      <c r="J55" s="159">
        <v>50</v>
      </c>
      <c r="K55" s="97">
        <v>31</v>
      </c>
      <c r="L55" s="91">
        <f t="shared" si="4"/>
        <v>351323</v>
      </c>
      <c r="M55" s="91">
        <f t="shared" si="5"/>
        <v>215327</v>
      </c>
      <c r="N55" s="159">
        <f t="shared" si="6"/>
        <v>19</v>
      </c>
      <c r="O55" s="159"/>
      <c r="P55" s="97"/>
      <c r="Q55" s="11"/>
    </row>
    <row r="56" spans="2:17" s="114" customFormat="1">
      <c r="B56" s="293" t="s">
        <v>1205</v>
      </c>
      <c r="C56" s="96">
        <v>51</v>
      </c>
      <c r="D56" s="11" t="s">
        <v>1206</v>
      </c>
      <c r="E56" s="11"/>
      <c r="F56" s="16">
        <v>500000</v>
      </c>
      <c r="G56" s="16">
        <v>66650</v>
      </c>
      <c r="H56" s="41">
        <f>SUM(F56:G56)</f>
        <v>566650</v>
      </c>
      <c r="I56" s="327">
        <v>11333</v>
      </c>
      <c r="J56" s="159">
        <v>50</v>
      </c>
      <c r="K56" s="96">
        <v>7</v>
      </c>
      <c r="L56" s="91">
        <f t="shared" si="4"/>
        <v>79331</v>
      </c>
      <c r="M56" s="94">
        <f t="shared" si="5"/>
        <v>487319</v>
      </c>
      <c r="N56" s="159">
        <f t="shared" si="6"/>
        <v>43</v>
      </c>
      <c r="O56" s="159"/>
      <c r="P56" s="97"/>
      <c r="Q56" s="11"/>
    </row>
    <row r="57" spans="2:17" s="114" customFormat="1">
      <c r="B57" s="293" t="s">
        <v>1239</v>
      </c>
      <c r="C57" s="96">
        <v>52</v>
      </c>
      <c r="D57" s="123" t="s">
        <v>1240</v>
      </c>
      <c r="E57" s="123"/>
      <c r="F57" s="19">
        <v>150000</v>
      </c>
      <c r="G57" s="19">
        <v>19995</v>
      </c>
      <c r="H57" s="19">
        <f>SUM(F57:G57)</f>
        <v>169995</v>
      </c>
      <c r="I57" s="327">
        <v>4149.8999999999996</v>
      </c>
      <c r="J57" s="159">
        <v>40</v>
      </c>
      <c r="K57" s="159">
        <v>6</v>
      </c>
      <c r="L57" s="16">
        <f t="shared" si="4"/>
        <v>24899.399999999998</v>
      </c>
      <c r="M57" s="94">
        <f t="shared" si="5"/>
        <v>145095.6</v>
      </c>
      <c r="N57" s="159">
        <f t="shared" si="6"/>
        <v>34</v>
      </c>
      <c r="O57" s="159"/>
      <c r="P57" s="159"/>
      <c r="Q57" s="11"/>
    </row>
    <row r="58" spans="2:17" s="114" customFormat="1">
      <c r="B58" s="292" t="s">
        <v>668</v>
      </c>
      <c r="C58" s="96">
        <v>53</v>
      </c>
      <c r="D58" s="11" t="s">
        <v>669</v>
      </c>
      <c r="E58" s="11"/>
      <c r="F58" s="16">
        <v>450000</v>
      </c>
      <c r="G58" s="16">
        <v>59985</v>
      </c>
      <c r="H58" s="16">
        <v>509985</v>
      </c>
      <c r="I58" s="318">
        <v>10199.700000000001</v>
      </c>
      <c r="J58" s="159">
        <v>50</v>
      </c>
      <c r="K58" s="97">
        <v>30</v>
      </c>
      <c r="L58" s="91">
        <f t="shared" si="4"/>
        <v>305991</v>
      </c>
      <c r="M58" s="91">
        <f t="shared" si="5"/>
        <v>203994</v>
      </c>
      <c r="N58" s="159">
        <f t="shared" si="6"/>
        <v>20</v>
      </c>
      <c r="O58" s="159"/>
      <c r="P58" s="97"/>
      <c r="Q58" s="11"/>
    </row>
    <row r="59" spans="2:17" s="114" customFormat="1">
      <c r="B59" s="293" t="s">
        <v>901</v>
      </c>
      <c r="C59" s="96">
        <v>54</v>
      </c>
      <c r="D59" s="123" t="s">
        <v>924</v>
      </c>
      <c r="E59" s="123"/>
      <c r="F59" s="19">
        <v>330000</v>
      </c>
      <c r="G59" s="19">
        <v>43989</v>
      </c>
      <c r="H59" s="19">
        <f t="shared" ref="H59:H64" si="7">SUM(F59:G59)</f>
        <v>373989</v>
      </c>
      <c r="I59" s="327">
        <v>7479.78</v>
      </c>
      <c r="J59" s="159">
        <v>50</v>
      </c>
      <c r="K59" s="159">
        <v>14</v>
      </c>
      <c r="L59" s="16">
        <f t="shared" si="4"/>
        <v>104716.92</v>
      </c>
      <c r="M59" s="94">
        <f t="shared" si="5"/>
        <v>269272.08</v>
      </c>
      <c r="N59" s="159">
        <f t="shared" si="6"/>
        <v>36</v>
      </c>
      <c r="O59" s="159"/>
      <c r="P59" s="159"/>
      <c r="Q59" s="11"/>
    </row>
    <row r="60" spans="2:17" s="114" customFormat="1">
      <c r="B60" s="292" t="s">
        <v>526</v>
      </c>
      <c r="C60" s="96">
        <v>55</v>
      </c>
      <c r="D60" s="11" t="s">
        <v>527</v>
      </c>
      <c r="E60" s="11"/>
      <c r="F60" s="16">
        <v>330000</v>
      </c>
      <c r="G60" s="16">
        <v>43989</v>
      </c>
      <c r="H60" s="41">
        <f t="shared" si="7"/>
        <v>373989</v>
      </c>
      <c r="I60" s="146">
        <v>7479.78</v>
      </c>
      <c r="J60" s="159">
        <v>50</v>
      </c>
      <c r="K60" s="97">
        <v>45</v>
      </c>
      <c r="L60" s="91">
        <f t="shared" si="4"/>
        <v>336590.1</v>
      </c>
      <c r="M60" s="94">
        <f t="shared" si="5"/>
        <v>37398.900000000023</v>
      </c>
      <c r="N60" s="159">
        <f t="shared" si="6"/>
        <v>5</v>
      </c>
      <c r="O60" s="159"/>
      <c r="P60" s="97"/>
      <c r="Q60" s="11"/>
    </row>
    <row r="61" spans="2:17" s="114" customFormat="1">
      <c r="B61" s="293" t="s">
        <v>1178</v>
      </c>
      <c r="C61" s="96">
        <v>56</v>
      </c>
      <c r="D61" s="11" t="s">
        <v>1179</v>
      </c>
      <c r="E61" s="11"/>
      <c r="F61" s="12">
        <v>150000</v>
      </c>
      <c r="G61" s="12">
        <v>19995</v>
      </c>
      <c r="H61" s="15">
        <f t="shared" si="7"/>
        <v>169995</v>
      </c>
      <c r="I61" s="327">
        <v>3399.9</v>
      </c>
      <c r="J61" s="14">
        <v>50</v>
      </c>
      <c r="K61" s="96">
        <v>7</v>
      </c>
      <c r="L61" s="91">
        <f t="shared" si="4"/>
        <v>23799.3</v>
      </c>
      <c r="M61" s="94">
        <f t="shared" si="5"/>
        <v>146195.70000000001</v>
      </c>
      <c r="N61" s="159">
        <f t="shared" si="6"/>
        <v>43</v>
      </c>
      <c r="O61" s="159"/>
      <c r="P61" s="97"/>
      <c r="Q61" s="11"/>
    </row>
    <row r="62" spans="2:17" s="114" customFormat="1">
      <c r="B62" s="292" t="s">
        <v>528</v>
      </c>
      <c r="C62" s="96">
        <v>57</v>
      </c>
      <c r="D62" s="11" t="s">
        <v>529</v>
      </c>
      <c r="E62" s="11"/>
      <c r="F62" s="12">
        <v>500000</v>
      </c>
      <c r="G62" s="12">
        <v>66650</v>
      </c>
      <c r="H62" s="15">
        <f t="shared" si="7"/>
        <v>566650</v>
      </c>
      <c r="I62" s="318">
        <v>11333</v>
      </c>
      <c r="J62" s="14">
        <v>50</v>
      </c>
      <c r="K62" s="14">
        <v>48</v>
      </c>
      <c r="L62" s="91">
        <f t="shared" si="4"/>
        <v>543984</v>
      </c>
      <c r="M62" s="15">
        <f t="shared" si="5"/>
        <v>22666</v>
      </c>
      <c r="N62" s="159">
        <f t="shared" si="6"/>
        <v>2</v>
      </c>
      <c r="O62" s="159"/>
      <c r="P62" s="97"/>
      <c r="Q62" s="8"/>
    </row>
    <row r="63" spans="2:17" s="114" customFormat="1">
      <c r="B63" s="293" t="s">
        <v>1229</v>
      </c>
      <c r="C63" s="96">
        <v>58</v>
      </c>
      <c r="D63" s="123" t="s">
        <v>1230</v>
      </c>
      <c r="E63" s="123"/>
      <c r="F63" s="19">
        <v>150000</v>
      </c>
      <c r="G63" s="19">
        <v>19995</v>
      </c>
      <c r="H63" s="19">
        <f t="shared" si="7"/>
        <v>169995</v>
      </c>
      <c r="I63" s="327">
        <v>4149.8999999999996</v>
      </c>
      <c r="J63" s="159">
        <v>40</v>
      </c>
      <c r="K63" s="159">
        <v>6</v>
      </c>
      <c r="L63" s="16">
        <f t="shared" si="4"/>
        <v>24899.399999999998</v>
      </c>
      <c r="M63" s="94">
        <f t="shared" si="5"/>
        <v>145095.6</v>
      </c>
      <c r="N63" s="159">
        <f t="shared" si="6"/>
        <v>34</v>
      </c>
      <c r="O63" s="159"/>
      <c r="P63" s="159"/>
      <c r="Q63" s="11"/>
    </row>
    <row r="64" spans="2:17" s="114" customFormat="1">
      <c r="B64" s="292" t="s">
        <v>638</v>
      </c>
      <c r="C64" s="96">
        <v>59</v>
      </c>
      <c r="D64" s="11" t="s">
        <v>639</v>
      </c>
      <c r="E64" s="11"/>
      <c r="F64" s="16">
        <v>500000</v>
      </c>
      <c r="G64" s="16">
        <v>66650</v>
      </c>
      <c r="H64" s="41">
        <f t="shared" si="7"/>
        <v>566650</v>
      </c>
      <c r="I64" s="318">
        <v>11333</v>
      </c>
      <c r="J64" s="159">
        <v>50</v>
      </c>
      <c r="K64" s="97">
        <v>23</v>
      </c>
      <c r="L64" s="91">
        <f>(1*11333)</f>
        <v>11333</v>
      </c>
      <c r="M64" s="91">
        <f t="shared" si="5"/>
        <v>555317</v>
      </c>
      <c r="N64" s="159">
        <f t="shared" si="6"/>
        <v>27</v>
      </c>
      <c r="O64" s="159"/>
      <c r="P64" s="97"/>
      <c r="Q64" s="11"/>
    </row>
    <row r="65" spans="2:17" s="114" customFormat="1">
      <c r="B65" s="292" t="s">
        <v>522</v>
      </c>
      <c r="C65" s="96">
        <v>60</v>
      </c>
      <c r="D65" s="11" t="s">
        <v>523</v>
      </c>
      <c r="E65" s="11"/>
      <c r="F65" s="19">
        <v>500000</v>
      </c>
      <c r="G65" s="19">
        <v>66650</v>
      </c>
      <c r="H65" s="19">
        <v>566650</v>
      </c>
      <c r="I65" s="318">
        <v>11333</v>
      </c>
      <c r="J65" s="159">
        <v>50</v>
      </c>
      <c r="K65" s="97">
        <v>31</v>
      </c>
      <c r="L65" s="91">
        <f t="shared" ref="L65:L96" si="8">K65*I65</f>
        <v>351323</v>
      </c>
      <c r="M65" s="91">
        <f t="shared" si="5"/>
        <v>215327</v>
      </c>
      <c r="N65" s="159">
        <f t="shared" si="6"/>
        <v>19</v>
      </c>
      <c r="O65" s="159"/>
      <c r="P65" s="97"/>
      <c r="Q65" s="11"/>
    </row>
    <row r="66" spans="2:17" s="114" customFormat="1">
      <c r="B66" s="292" t="s">
        <v>715</v>
      </c>
      <c r="C66" s="96">
        <v>61</v>
      </c>
      <c r="D66" s="11" t="s">
        <v>716</v>
      </c>
      <c r="E66" s="11"/>
      <c r="F66" s="19">
        <v>450000</v>
      </c>
      <c r="G66" s="19">
        <v>59985</v>
      </c>
      <c r="H66" s="19">
        <v>509985</v>
      </c>
      <c r="I66" s="318">
        <v>10199.700000000001</v>
      </c>
      <c r="J66" s="159">
        <v>50</v>
      </c>
      <c r="K66" s="101">
        <v>19</v>
      </c>
      <c r="L66" s="91">
        <f t="shared" si="8"/>
        <v>193794.30000000002</v>
      </c>
      <c r="M66" s="94">
        <f t="shared" si="5"/>
        <v>316190.69999999995</v>
      </c>
      <c r="N66" s="159">
        <f t="shared" si="6"/>
        <v>31</v>
      </c>
      <c r="O66" s="159"/>
      <c r="P66" s="97"/>
      <c r="Q66" s="8"/>
    </row>
    <row r="67" spans="2:17" s="114" customFormat="1">
      <c r="B67" s="292" t="s">
        <v>501</v>
      </c>
      <c r="C67" s="96">
        <v>62</v>
      </c>
      <c r="D67" s="11" t="s">
        <v>502</v>
      </c>
      <c r="E67" s="11"/>
      <c r="F67" s="16">
        <v>500000</v>
      </c>
      <c r="G67" s="16">
        <v>66650</v>
      </c>
      <c r="H67" s="16">
        <v>566650</v>
      </c>
      <c r="I67" s="146">
        <v>11333</v>
      </c>
      <c r="J67" s="159">
        <v>50</v>
      </c>
      <c r="K67" s="159">
        <v>19</v>
      </c>
      <c r="L67" s="91">
        <f t="shared" si="8"/>
        <v>215327</v>
      </c>
      <c r="M67" s="94">
        <f t="shared" si="5"/>
        <v>351323</v>
      </c>
      <c r="N67" s="159">
        <f t="shared" si="6"/>
        <v>31</v>
      </c>
      <c r="O67" s="159"/>
      <c r="P67" s="97"/>
      <c r="Q67" s="11"/>
    </row>
    <row r="68" spans="2:17" s="114" customFormat="1">
      <c r="B68" s="292" t="s">
        <v>600</v>
      </c>
      <c r="C68" s="96">
        <v>63</v>
      </c>
      <c r="D68" s="11" t="s">
        <v>601</v>
      </c>
      <c r="E68" s="11"/>
      <c r="F68" s="16">
        <v>450000</v>
      </c>
      <c r="G68" s="16">
        <v>59985</v>
      </c>
      <c r="H68" s="41">
        <f>SUM(F68:G68)</f>
        <v>509985</v>
      </c>
      <c r="I68" s="318">
        <v>10199.700000000001</v>
      </c>
      <c r="J68" s="159">
        <v>50</v>
      </c>
      <c r="K68" s="97">
        <v>44</v>
      </c>
      <c r="L68" s="91">
        <f t="shared" si="8"/>
        <v>448786.80000000005</v>
      </c>
      <c r="M68" s="94">
        <f t="shared" si="5"/>
        <v>61198.199999999953</v>
      </c>
      <c r="N68" s="159">
        <f t="shared" si="6"/>
        <v>6</v>
      </c>
      <c r="O68" s="159"/>
      <c r="P68" s="97"/>
      <c r="Q68" s="11"/>
    </row>
    <row r="69" spans="2:17" s="114" customFormat="1">
      <c r="B69" s="293" t="s">
        <v>887</v>
      </c>
      <c r="C69" s="96">
        <v>64</v>
      </c>
      <c r="D69" s="123" t="s">
        <v>909</v>
      </c>
      <c r="E69" s="123"/>
      <c r="F69" s="16">
        <v>500000</v>
      </c>
      <c r="G69" s="16">
        <v>66650</v>
      </c>
      <c r="H69" s="41">
        <f>SUM(F69:G69)</f>
        <v>566650</v>
      </c>
      <c r="I69" s="327">
        <v>11333</v>
      </c>
      <c r="J69" s="159">
        <v>50</v>
      </c>
      <c r="K69" s="159">
        <v>14</v>
      </c>
      <c r="L69" s="16">
        <f t="shared" si="8"/>
        <v>158662</v>
      </c>
      <c r="M69" s="94">
        <f t="shared" si="5"/>
        <v>407988</v>
      </c>
      <c r="N69" s="159">
        <f t="shared" si="6"/>
        <v>36</v>
      </c>
      <c r="O69" s="159"/>
      <c r="P69" s="159"/>
      <c r="Q69" s="11"/>
    </row>
    <row r="70" spans="2:17" s="114" customFormat="1">
      <c r="B70" s="292" t="s">
        <v>883</v>
      </c>
      <c r="C70" s="96">
        <v>65</v>
      </c>
      <c r="D70" s="11" t="s">
        <v>905</v>
      </c>
      <c r="E70" s="11"/>
      <c r="F70" s="16">
        <v>500000</v>
      </c>
      <c r="G70" s="16">
        <v>66650</v>
      </c>
      <c r="H70" s="41">
        <f>SUM(F70:G70)</f>
        <v>566650</v>
      </c>
      <c r="I70" s="318">
        <v>11333</v>
      </c>
      <c r="J70" s="159">
        <v>50</v>
      </c>
      <c r="K70" s="97">
        <v>53</v>
      </c>
      <c r="L70" s="91">
        <f t="shared" si="8"/>
        <v>600649</v>
      </c>
      <c r="M70" s="94">
        <f t="shared" ref="M70:M101" si="9">H70-L70</f>
        <v>-33999</v>
      </c>
      <c r="N70" s="159">
        <f t="shared" ref="N70:N101" si="10">J70-K70</f>
        <v>-3</v>
      </c>
      <c r="O70" s="159"/>
      <c r="P70" s="97"/>
      <c r="Q70" s="11"/>
    </row>
    <row r="71" spans="2:17" s="114" customFormat="1">
      <c r="B71" s="122" t="s">
        <v>1194</v>
      </c>
      <c r="C71" s="96">
        <v>66</v>
      </c>
      <c r="D71" s="11" t="s">
        <v>1195</v>
      </c>
      <c r="E71" s="122"/>
      <c r="F71" s="16">
        <v>500000</v>
      </c>
      <c r="G71" s="16">
        <v>66650</v>
      </c>
      <c r="H71" s="41">
        <f>SUM(F71:G71)</f>
        <v>566650</v>
      </c>
      <c r="I71" s="16">
        <v>11333</v>
      </c>
      <c r="J71" s="159">
        <v>50</v>
      </c>
      <c r="K71" s="188">
        <v>4</v>
      </c>
      <c r="L71" s="16">
        <f t="shared" si="8"/>
        <v>45332</v>
      </c>
      <c r="M71" s="94">
        <f t="shared" si="9"/>
        <v>521318</v>
      </c>
      <c r="N71" s="159">
        <f t="shared" si="10"/>
        <v>46</v>
      </c>
      <c r="O71" s="159"/>
      <c r="P71" s="159"/>
      <c r="Q71" s="122"/>
    </row>
    <row r="72" spans="2:17" s="114" customFormat="1">
      <c r="B72" s="292" t="s">
        <v>505</v>
      </c>
      <c r="C72" s="96">
        <v>67</v>
      </c>
      <c r="D72" s="11" t="s">
        <v>506</v>
      </c>
      <c r="E72" s="11"/>
      <c r="F72" s="16">
        <v>500000</v>
      </c>
      <c r="G72" s="16">
        <v>66650</v>
      </c>
      <c r="H72" s="41">
        <f>SUM(F72:G72)</f>
        <v>566650</v>
      </c>
      <c r="I72" s="318">
        <v>11333</v>
      </c>
      <c r="J72" s="159">
        <v>50</v>
      </c>
      <c r="K72" s="97">
        <v>45</v>
      </c>
      <c r="L72" s="91">
        <f t="shared" si="8"/>
        <v>509985</v>
      </c>
      <c r="M72" s="94">
        <f t="shared" si="9"/>
        <v>56665</v>
      </c>
      <c r="N72" s="159">
        <f t="shared" si="10"/>
        <v>5</v>
      </c>
      <c r="O72" s="159"/>
      <c r="P72" s="97"/>
      <c r="Q72" s="11"/>
    </row>
    <row r="73" spans="2:17" s="114" customFormat="1">
      <c r="B73" s="292" t="s">
        <v>724</v>
      </c>
      <c r="C73" s="96">
        <v>68</v>
      </c>
      <c r="D73" s="11" t="s">
        <v>725</v>
      </c>
      <c r="E73" s="11"/>
      <c r="F73" s="19">
        <v>500000</v>
      </c>
      <c r="G73" s="19">
        <v>66650</v>
      </c>
      <c r="H73" s="19">
        <v>566650</v>
      </c>
      <c r="I73" s="318">
        <v>11333</v>
      </c>
      <c r="J73" s="159">
        <v>50</v>
      </c>
      <c r="K73" s="97">
        <v>30</v>
      </c>
      <c r="L73" s="91">
        <f t="shared" si="8"/>
        <v>339990</v>
      </c>
      <c r="M73" s="91">
        <f t="shared" si="9"/>
        <v>226660</v>
      </c>
      <c r="N73" s="159">
        <f t="shared" si="10"/>
        <v>20</v>
      </c>
      <c r="O73" s="159"/>
      <c r="P73" s="97"/>
      <c r="Q73" s="11"/>
    </row>
    <row r="74" spans="2:17" s="114" customFormat="1">
      <c r="B74" s="295" t="s">
        <v>937</v>
      </c>
      <c r="C74" s="96">
        <v>69</v>
      </c>
      <c r="D74" s="11" t="s">
        <v>938</v>
      </c>
      <c r="E74" s="8"/>
      <c r="F74" s="19">
        <v>150000</v>
      </c>
      <c r="G74" s="19">
        <v>19995</v>
      </c>
      <c r="H74" s="19">
        <f t="shared" ref="H74:H85" si="11">SUM(F74:G74)</f>
        <v>169995</v>
      </c>
      <c r="I74" s="319">
        <v>3399.9</v>
      </c>
      <c r="J74" s="159">
        <v>50</v>
      </c>
      <c r="K74" s="159">
        <v>11</v>
      </c>
      <c r="L74" s="16">
        <f t="shared" si="8"/>
        <v>37398.9</v>
      </c>
      <c r="M74" s="94">
        <f t="shared" si="9"/>
        <v>132596.1</v>
      </c>
      <c r="N74" s="159">
        <f t="shared" si="10"/>
        <v>39</v>
      </c>
      <c r="O74" s="159"/>
      <c r="P74" s="159"/>
      <c r="Q74" s="8"/>
    </row>
    <row r="75" spans="2:17" s="114" customFormat="1">
      <c r="B75" s="293" t="s">
        <v>1213</v>
      </c>
      <c r="C75" s="96">
        <v>70</v>
      </c>
      <c r="D75" s="123" t="s">
        <v>1214</v>
      </c>
      <c r="E75" s="123"/>
      <c r="F75" s="19">
        <v>330000</v>
      </c>
      <c r="G75" s="19">
        <v>43989</v>
      </c>
      <c r="H75" s="19">
        <f t="shared" si="11"/>
        <v>373989</v>
      </c>
      <c r="I75" s="327">
        <v>7479.78</v>
      </c>
      <c r="J75" s="159">
        <v>50</v>
      </c>
      <c r="K75" s="159">
        <v>6</v>
      </c>
      <c r="L75" s="16">
        <f t="shared" si="8"/>
        <v>44878.68</v>
      </c>
      <c r="M75" s="94">
        <f t="shared" si="9"/>
        <v>329110.32</v>
      </c>
      <c r="N75" s="159">
        <f t="shared" si="10"/>
        <v>44</v>
      </c>
      <c r="O75" s="159"/>
      <c r="P75" s="159"/>
      <c r="Q75" s="11"/>
    </row>
    <row r="76" spans="2:17" s="114" customFormat="1">
      <c r="B76" s="294" t="s">
        <v>663</v>
      </c>
      <c r="C76" s="96">
        <v>71</v>
      </c>
      <c r="D76" s="11" t="s">
        <v>953</v>
      </c>
      <c r="E76" s="11"/>
      <c r="F76" s="19">
        <v>330000</v>
      </c>
      <c r="G76" s="19">
        <v>43989</v>
      </c>
      <c r="H76" s="19">
        <f t="shared" si="11"/>
        <v>373989</v>
      </c>
      <c r="I76" s="327">
        <v>7479.78</v>
      </c>
      <c r="J76" s="159">
        <v>50</v>
      </c>
      <c r="K76" s="159">
        <v>12</v>
      </c>
      <c r="L76" s="91">
        <f t="shared" si="8"/>
        <v>89757.36</v>
      </c>
      <c r="M76" s="94">
        <f t="shared" si="9"/>
        <v>284231.64</v>
      </c>
      <c r="N76" s="159">
        <f t="shared" si="10"/>
        <v>38</v>
      </c>
      <c r="O76" s="159"/>
      <c r="P76" s="97"/>
      <c r="Q76" s="11"/>
    </row>
    <row r="77" spans="2:17" s="114" customFormat="1">
      <c r="B77" s="294" t="s">
        <v>868</v>
      </c>
      <c r="C77" s="96">
        <v>72</v>
      </c>
      <c r="D77" s="11" t="s">
        <v>925</v>
      </c>
      <c r="E77" s="11"/>
      <c r="F77" s="19">
        <v>150000</v>
      </c>
      <c r="G77" s="19">
        <v>19995</v>
      </c>
      <c r="H77" s="19">
        <f t="shared" si="11"/>
        <v>169995</v>
      </c>
      <c r="I77" s="327">
        <v>3399.9</v>
      </c>
      <c r="J77" s="159">
        <v>50</v>
      </c>
      <c r="K77" s="159">
        <v>15</v>
      </c>
      <c r="L77" s="91">
        <f t="shared" si="8"/>
        <v>50998.5</v>
      </c>
      <c r="M77" s="94">
        <f t="shared" si="9"/>
        <v>118996.5</v>
      </c>
      <c r="N77" s="159">
        <f t="shared" si="10"/>
        <v>35</v>
      </c>
      <c r="O77" s="159"/>
      <c r="P77" s="97"/>
      <c r="Q77" s="11"/>
    </row>
    <row r="78" spans="2:17" s="114" customFormat="1">
      <c r="B78" s="292" t="s">
        <v>682</v>
      </c>
      <c r="C78" s="96">
        <v>73</v>
      </c>
      <c r="D78" s="11" t="s">
        <v>683</v>
      </c>
      <c r="E78" s="11"/>
      <c r="F78" s="16">
        <v>500000</v>
      </c>
      <c r="G78" s="16">
        <v>66650</v>
      </c>
      <c r="H78" s="41">
        <f t="shared" si="11"/>
        <v>566650</v>
      </c>
      <c r="I78" s="318">
        <v>11333</v>
      </c>
      <c r="J78" s="159">
        <v>50</v>
      </c>
      <c r="K78" s="97">
        <v>45</v>
      </c>
      <c r="L78" s="91">
        <f t="shared" si="8"/>
        <v>509985</v>
      </c>
      <c r="M78" s="94">
        <f t="shared" si="9"/>
        <v>56665</v>
      </c>
      <c r="N78" s="159">
        <f t="shared" si="10"/>
        <v>5</v>
      </c>
      <c r="O78" s="159"/>
      <c r="P78" s="97"/>
      <c r="Q78" s="11"/>
    </row>
    <row r="79" spans="2:17" s="114" customFormat="1">
      <c r="B79" s="293" t="s">
        <v>1237</v>
      </c>
      <c r="C79" s="96">
        <v>74</v>
      </c>
      <c r="D79" s="123" t="s">
        <v>1238</v>
      </c>
      <c r="E79" s="123"/>
      <c r="F79" s="16">
        <v>500000</v>
      </c>
      <c r="G79" s="16">
        <v>66650</v>
      </c>
      <c r="H79" s="41">
        <f t="shared" si="11"/>
        <v>566650</v>
      </c>
      <c r="I79" s="327">
        <v>11333</v>
      </c>
      <c r="J79" s="159">
        <v>50</v>
      </c>
      <c r="K79" s="159">
        <v>6</v>
      </c>
      <c r="L79" s="16">
        <f t="shared" si="8"/>
        <v>67998</v>
      </c>
      <c r="M79" s="94">
        <f t="shared" si="9"/>
        <v>498652</v>
      </c>
      <c r="N79" s="159">
        <f t="shared" si="10"/>
        <v>44</v>
      </c>
      <c r="O79" s="159"/>
      <c r="P79" s="159"/>
      <c r="Q79" s="11"/>
    </row>
    <row r="80" spans="2:17" s="114" customFormat="1">
      <c r="B80" s="292" t="s">
        <v>594</v>
      </c>
      <c r="C80" s="96">
        <v>75</v>
      </c>
      <c r="D80" s="11" t="s">
        <v>595</v>
      </c>
      <c r="E80" s="11"/>
      <c r="F80" s="16">
        <v>500000</v>
      </c>
      <c r="G80" s="16">
        <v>66650</v>
      </c>
      <c r="H80" s="41">
        <f t="shared" si="11"/>
        <v>566650</v>
      </c>
      <c r="I80" s="318">
        <v>11333</v>
      </c>
      <c r="J80" s="159">
        <v>50</v>
      </c>
      <c r="K80" s="97">
        <v>45</v>
      </c>
      <c r="L80" s="91">
        <f t="shared" si="8"/>
        <v>509985</v>
      </c>
      <c r="M80" s="94">
        <f t="shared" si="9"/>
        <v>56665</v>
      </c>
      <c r="N80" s="159">
        <f t="shared" si="10"/>
        <v>5</v>
      </c>
      <c r="O80" s="159"/>
      <c r="P80" s="97"/>
      <c r="Q80" s="11"/>
    </row>
    <row r="81" spans="2:17" s="114" customFormat="1">
      <c r="B81" s="293" t="s">
        <v>1166</v>
      </c>
      <c r="C81" s="96">
        <v>76</v>
      </c>
      <c r="D81" s="11" t="s">
        <v>1167</v>
      </c>
      <c r="E81" s="11"/>
      <c r="F81" s="16">
        <v>500000</v>
      </c>
      <c r="G81" s="16">
        <v>66650</v>
      </c>
      <c r="H81" s="41">
        <f t="shared" si="11"/>
        <v>566650</v>
      </c>
      <c r="I81" s="327">
        <v>11333</v>
      </c>
      <c r="J81" s="159">
        <v>50</v>
      </c>
      <c r="K81" s="96">
        <v>7</v>
      </c>
      <c r="L81" s="91">
        <f t="shared" si="8"/>
        <v>79331</v>
      </c>
      <c r="M81" s="94">
        <f t="shared" si="9"/>
        <v>487319</v>
      </c>
      <c r="N81" s="159">
        <f t="shared" si="10"/>
        <v>43</v>
      </c>
      <c r="O81" s="159"/>
      <c r="P81" s="97"/>
      <c r="Q81" s="11"/>
    </row>
    <row r="82" spans="2:17" s="114" customFormat="1">
      <c r="B82" s="293" t="s">
        <v>1172</v>
      </c>
      <c r="C82" s="96">
        <v>77</v>
      </c>
      <c r="D82" s="11" t="s">
        <v>1173</v>
      </c>
      <c r="E82" s="11"/>
      <c r="F82" s="19">
        <v>330000</v>
      </c>
      <c r="G82" s="19">
        <v>43989</v>
      </c>
      <c r="H82" s="19">
        <f t="shared" si="11"/>
        <v>373989</v>
      </c>
      <c r="I82" s="327">
        <v>7479.78</v>
      </c>
      <c r="J82" s="159">
        <v>50</v>
      </c>
      <c r="K82" s="96">
        <v>7</v>
      </c>
      <c r="L82" s="91">
        <f t="shared" si="8"/>
        <v>52358.46</v>
      </c>
      <c r="M82" s="94">
        <f t="shared" si="9"/>
        <v>321630.53999999998</v>
      </c>
      <c r="N82" s="159">
        <f t="shared" si="10"/>
        <v>43</v>
      </c>
      <c r="O82" s="159"/>
      <c r="P82" s="97"/>
      <c r="Q82" s="11"/>
    </row>
    <row r="83" spans="2:17" s="114" customFormat="1">
      <c r="B83" s="292" t="s">
        <v>583</v>
      </c>
      <c r="C83" s="96">
        <v>78</v>
      </c>
      <c r="D83" s="11" t="s">
        <v>584</v>
      </c>
      <c r="E83" s="11"/>
      <c r="F83" s="16">
        <v>500000</v>
      </c>
      <c r="G83" s="16">
        <v>66650</v>
      </c>
      <c r="H83" s="41">
        <f t="shared" si="11"/>
        <v>566650</v>
      </c>
      <c r="I83" s="318">
        <v>11333</v>
      </c>
      <c r="J83" s="159">
        <v>50</v>
      </c>
      <c r="K83" s="97">
        <v>45</v>
      </c>
      <c r="L83" s="91">
        <f t="shared" si="8"/>
        <v>509985</v>
      </c>
      <c r="M83" s="94">
        <f t="shared" si="9"/>
        <v>56665</v>
      </c>
      <c r="N83" s="159">
        <f t="shared" si="10"/>
        <v>5</v>
      </c>
      <c r="O83" s="159"/>
      <c r="P83" s="97"/>
      <c r="Q83" s="11"/>
    </row>
    <row r="84" spans="2:17" s="114" customFormat="1">
      <c r="B84" s="295" t="s">
        <v>884</v>
      </c>
      <c r="C84" s="96">
        <v>79</v>
      </c>
      <c r="D84" s="11" t="s">
        <v>906</v>
      </c>
      <c r="E84" s="8"/>
      <c r="F84" s="16">
        <v>500000</v>
      </c>
      <c r="G84" s="16">
        <v>66650</v>
      </c>
      <c r="H84" s="41">
        <f t="shared" si="11"/>
        <v>566650</v>
      </c>
      <c r="I84" s="319">
        <v>11333</v>
      </c>
      <c r="J84" s="159">
        <v>50</v>
      </c>
      <c r="K84" s="159">
        <v>14</v>
      </c>
      <c r="L84" s="16">
        <f t="shared" si="8"/>
        <v>158662</v>
      </c>
      <c r="M84" s="94">
        <f t="shared" si="9"/>
        <v>407988</v>
      </c>
      <c r="N84" s="159">
        <f t="shared" si="10"/>
        <v>36</v>
      </c>
      <c r="O84" s="159"/>
      <c r="P84" s="97"/>
      <c r="Q84" s="8"/>
    </row>
    <row r="85" spans="2:17" s="114" customFormat="1">
      <c r="B85" s="292" t="s">
        <v>561</v>
      </c>
      <c r="C85" s="96">
        <v>80</v>
      </c>
      <c r="D85" s="11" t="s">
        <v>562</v>
      </c>
      <c r="E85" s="11"/>
      <c r="F85" s="16">
        <v>450000</v>
      </c>
      <c r="G85" s="16">
        <v>59985</v>
      </c>
      <c r="H85" s="41">
        <f t="shared" si="11"/>
        <v>509985</v>
      </c>
      <c r="I85" s="318">
        <v>10199.700000000001</v>
      </c>
      <c r="J85" s="159">
        <v>50</v>
      </c>
      <c r="K85" s="97">
        <v>45</v>
      </c>
      <c r="L85" s="91">
        <f t="shared" si="8"/>
        <v>458986.50000000006</v>
      </c>
      <c r="M85" s="94">
        <f t="shared" si="9"/>
        <v>50998.499999999942</v>
      </c>
      <c r="N85" s="159">
        <f t="shared" si="10"/>
        <v>5</v>
      </c>
      <c r="O85" s="159"/>
      <c r="P85" s="97"/>
      <c r="Q85" s="11"/>
    </row>
    <row r="86" spans="2:17" s="114" customFormat="1">
      <c r="B86" s="292" t="s">
        <v>702</v>
      </c>
      <c r="C86" s="96">
        <v>81</v>
      </c>
      <c r="D86" s="11" t="s">
        <v>703</v>
      </c>
      <c r="E86" s="11"/>
      <c r="F86" s="16">
        <v>450000</v>
      </c>
      <c r="G86" s="16">
        <v>59985</v>
      </c>
      <c r="H86" s="16">
        <v>509985</v>
      </c>
      <c r="I86" s="318">
        <v>10199.700000000001</v>
      </c>
      <c r="J86" s="159">
        <v>50</v>
      </c>
      <c r="K86" s="97">
        <v>30</v>
      </c>
      <c r="L86" s="91">
        <f t="shared" si="8"/>
        <v>305991</v>
      </c>
      <c r="M86" s="91">
        <f t="shared" si="9"/>
        <v>203994</v>
      </c>
      <c r="N86" s="159">
        <f t="shared" si="10"/>
        <v>20</v>
      </c>
      <c r="O86" s="159"/>
      <c r="P86" s="97"/>
      <c r="Q86" s="11"/>
    </row>
    <row r="87" spans="2:17" s="114" customFormat="1">
      <c r="B87" s="294" t="s">
        <v>723</v>
      </c>
      <c r="C87" s="96">
        <v>82</v>
      </c>
      <c r="D87" s="11" t="s">
        <v>955</v>
      </c>
      <c r="E87" s="11"/>
      <c r="F87" s="16">
        <v>500000</v>
      </c>
      <c r="G87" s="16">
        <v>66650</v>
      </c>
      <c r="H87" s="41">
        <f>SUM(F87:G87)</f>
        <v>566650</v>
      </c>
      <c r="I87" s="327">
        <v>11333</v>
      </c>
      <c r="J87" s="159">
        <v>50</v>
      </c>
      <c r="K87" s="159">
        <v>12</v>
      </c>
      <c r="L87" s="91">
        <f t="shared" si="8"/>
        <v>135996</v>
      </c>
      <c r="M87" s="94">
        <f t="shared" si="9"/>
        <v>430654</v>
      </c>
      <c r="N87" s="159">
        <f t="shared" si="10"/>
        <v>38</v>
      </c>
      <c r="O87" s="159"/>
      <c r="P87" s="97"/>
      <c r="Q87" s="11"/>
    </row>
    <row r="88" spans="2:17" s="114" customFormat="1">
      <c r="B88" s="122" t="s">
        <v>1176</v>
      </c>
      <c r="C88" s="96">
        <v>83</v>
      </c>
      <c r="D88" s="11" t="s">
        <v>1177</v>
      </c>
      <c r="E88" s="122"/>
      <c r="F88" s="16">
        <v>500000</v>
      </c>
      <c r="G88" s="16">
        <v>66650</v>
      </c>
      <c r="H88" s="41">
        <f>SUM(F88:G88)</f>
        <v>566650</v>
      </c>
      <c r="I88" s="16">
        <v>11333</v>
      </c>
      <c r="J88" s="159">
        <v>50</v>
      </c>
      <c r="K88" s="188">
        <v>4</v>
      </c>
      <c r="L88" s="16">
        <f t="shared" si="8"/>
        <v>45332</v>
      </c>
      <c r="M88" s="94">
        <f t="shared" si="9"/>
        <v>521318</v>
      </c>
      <c r="N88" s="159">
        <f t="shared" si="10"/>
        <v>46</v>
      </c>
      <c r="O88" s="159"/>
      <c r="P88" s="159"/>
      <c r="Q88" s="122"/>
    </row>
    <row r="89" spans="2:17" s="114" customFormat="1">
      <c r="B89" s="292" t="s">
        <v>559</v>
      </c>
      <c r="C89" s="96">
        <v>84</v>
      </c>
      <c r="D89" s="11" t="s">
        <v>560</v>
      </c>
      <c r="E89" s="11"/>
      <c r="F89" s="16">
        <v>500000</v>
      </c>
      <c r="G89" s="16">
        <v>66650</v>
      </c>
      <c r="H89" s="16">
        <v>566650</v>
      </c>
      <c r="I89" s="146">
        <v>11333</v>
      </c>
      <c r="J89" s="159">
        <v>50</v>
      </c>
      <c r="K89" s="96">
        <v>19</v>
      </c>
      <c r="L89" s="91">
        <f t="shared" si="8"/>
        <v>215327</v>
      </c>
      <c r="M89" s="94">
        <f t="shared" si="9"/>
        <v>351323</v>
      </c>
      <c r="N89" s="159">
        <f t="shared" si="10"/>
        <v>31</v>
      </c>
      <c r="O89" s="159"/>
      <c r="P89" s="97"/>
      <c r="Q89" s="123"/>
    </row>
    <row r="90" spans="2:17" s="114" customFormat="1">
      <c r="B90" s="295" t="s">
        <v>943</v>
      </c>
      <c r="C90" s="96">
        <v>85</v>
      </c>
      <c r="D90" s="11" t="s">
        <v>944</v>
      </c>
      <c r="E90" s="8"/>
      <c r="F90" s="16">
        <v>450000</v>
      </c>
      <c r="G90" s="16">
        <v>59985</v>
      </c>
      <c r="H90" s="41">
        <f t="shared" ref="H90:H95" si="12">SUM(F90:G90)</f>
        <v>509985</v>
      </c>
      <c r="I90" s="319">
        <v>10199.700000000001</v>
      </c>
      <c r="J90" s="159">
        <v>50</v>
      </c>
      <c r="K90" s="159">
        <v>44</v>
      </c>
      <c r="L90" s="16">
        <f t="shared" si="8"/>
        <v>448786.80000000005</v>
      </c>
      <c r="M90" s="94">
        <f t="shared" si="9"/>
        <v>61198.199999999953</v>
      </c>
      <c r="N90" s="159">
        <f t="shared" si="10"/>
        <v>6</v>
      </c>
      <c r="O90" s="159"/>
      <c r="P90" s="159"/>
      <c r="Q90" s="8"/>
    </row>
    <row r="91" spans="2:17" s="114" customFormat="1">
      <c r="B91" s="292" t="s">
        <v>676</v>
      </c>
      <c r="C91" s="96">
        <v>86</v>
      </c>
      <c r="D91" s="11" t="s">
        <v>677</v>
      </c>
      <c r="E91" s="11"/>
      <c r="F91" s="19">
        <v>150000</v>
      </c>
      <c r="G91" s="19">
        <v>19995</v>
      </c>
      <c r="H91" s="19">
        <f t="shared" si="12"/>
        <v>169995</v>
      </c>
      <c r="I91" s="318">
        <v>3399.9</v>
      </c>
      <c r="J91" s="159">
        <v>50</v>
      </c>
      <c r="K91" s="97">
        <v>31</v>
      </c>
      <c r="L91" s="91">
        <f t="shared" si="8"/>
        <v>105396.90000000001</v>
      </c>
      <c r="M91" s="91">
        <f t="shared" si="9"/>
        <v>64598.099999999991</v>
      </c>
      <c r="N91" s="159">
        <f t="shared" si="10"/>
        <v>19</v>
      </c>
      <c r="O91" s="159"/>
      <c r="P91" s="97"/>
      <c r="Q91" s="11"/>
    </row>
    <row r="92" spans="2:17" s="114" customFormat="1">
      <c r="B92" s="292" t="s">
        <v>686</v>
      </c>
      <c r="C92" s="96">
        <v>87</v>
      </c>
      <c r="D92" s="11" t="s">
        <v>687</v>
      </c>
      <c r="E92" s="11"/>
      <c r="F92" s="16">
        <v>500000</v>
      </c>
      <c r="G92" s="16">
        <v>66650</v>
      </c>
      <c r="H92" s="41">
        <f t="shared" si="12"/>
        <v>566650</v>
      </c>
      <c r="I92" s="318">
        <v>11333</v>
      </c>
      <c r="J92" s="159">
        <v>50</v>
      </c>
      <c r="K92" s="97">
        <v>44</v>
      </c>
      <c r="L92" s="91">
        <f t="shared" si="8"/>
        <v>498652</v>
      </c>
      <c r="M92" s="94">
        <f t="shared" si="9"/>
        <v>67998</v>
      </c>
      <c r="N92" s="159">
        <f t="shared" si="10"/>
        <v>6</v>
      </c>
      <c r="O92" s="159"/>
      <c r="P92" s="97"/>
      <c r="Q92" s="11"/>
    </row>
    <row r="93" spans="2:17" s="114" customFormat="1">
      <c r="B93" s="295" t="s">
        <v>1233</v>
      </c>
      <c r="C93" s="96">
        <v>88</v>
      </c>
      <c r="D93" s="11" t="s">
        <v>1234</v>
      </c>
      <c r="E93" s="8"/>
      <c r="F93" s="16">
        <v>500000</v>
      </c>
      <c r="G93" s="16">
        <v>66650</v>
      </c>
      <c r="H93" s="41">
        <f t="shared" si="12"/>
        <v>566650</v>
      </c>
      <c r="I93" s="34">
        <v>11333</v>
      </c>
      <c r="J93" s="159">
        <v>50</v>
      </c>
      <c r="K93" s="323">
        <v>4</v>
      </c>
      <c r="L93" s="16">
        <f t="shared" si="8"/>
        <v>45332</v>
      </c>
      <c r="M93" s="94">
        <f t="shared" si="9"/>
        <v>521318</v>
      </c>
      <c r="N93" s="159">
        <f t="shared" si="10"/>
        <v>46</v>
      </c>
      <c r="O93" s="159"/>
      <c r="P93" s="159"/>
      <c r="Q93" s="8"/>
    </row>
    <row r="94" spans="2:17" s="114" customFormat="1">
      <c r="B94" s="1" t="s">
        <v>1152</v>
      </c>
      <c r="C94" s="96">
        <v>89</v>
      </c>
      <c r="D94" s="11" t="s">
        <v>1153</v>
      </c>
      <c r="E94" s="1"/>
      <c r="F94" s="16">
        <v>500000</v>
      </c>
      <c r="G94" s="16">
        <v>66650</v>
      </c>
      <c r="H94" s="41">
        <f t="shared" si="12"/>
        <v>566650</v>
      </c>
      <c r="I94" s="34">
        <v>11333</v>
      </c>
      <c r="J94" s="159">
        <v>50</v>
      </c>
      <c r="K94" s="323">
        <v>4</v>
      </c>
      <c r="L94" s="16">
        <f t="shared" si="8"/>
        <v>45332</v>
      </c>
      <c r="M94" s="94">
        <f t="shared" si="9"/>
        <v>521318</v>
      </c>
      <c r="N94" s="159">
        <f t="shared" si="10"/>
        <v>46</v>
      </c>
      <c r="O94" s="159"/>
      <c r="P94" s="159"/>
      <c r="Q94" s="8"/>
    </row>
    <row r="95" spans="2:17" s="114" customFormat="1">
      <c r="B95" s="292" t="s">
        <v>546</v>
      </c>
      <c r="C95" s="96">
        <v>90</v>
      </c>
      <c r="D95" s="11" t="s">
        <v>547</v>
      </c>
      <c r="E95" s="11"/>
      <c r="F95" s="19">
        <v>330000</v>
      </c>
      <c r="G95" s="19">
        <v>43989</v>
      </c>
      <c r="H95" s="19">
        <f t="shared" si="12"/>
        <v>373989</v>
      </c>
      <c r="I95" s="318">
        <v>9129.7800000000007</v>
      </c>
      <c r="J95" s="159">
        <v>40</v>
      </c>
      <c r="K95" s="159">
        <v>19</v>
      </c>
      <c r="L95" s="91">
        <f t="shared" si="8"/>
        <v>173465.82</v>
      </c>
      <c r="M95" s="94">
        <f t="shared" si="9"/>
        <v>200523.18</v>
      </c>
      <c r="N95" s="159">
        <f t="shared" si="10"/>
        <v>21</v>
      </c>
      <c r="O95" s="159"/>
      <c r="P95" s="97"/>
      <c r="Q95" s="11"/>
    </row>
    <row r="96" spans="2:17" s="114" customFormat="1">
      <c r="B96" s="293" t="s">
        <v>893</v>
      </c>
      <c r="C96" s="96">
        <v>91</v>
      </c>
      <c r="D96" s="123" t="s">
        <v>915</v>
      </c>
      <c r="E96" s="123"/>
      <c r="F96" s="19">
        <v>450000</v>
      </c>
      <c r="G96" s="19">
        <v>59985</v>
      </c>
      <c r="H96" s="19">
        <v>509985</v>
      </c>
      <c r="I96" s="327">
        <v>10199.700000000001</v>
      </c>
      <c r="J96" s="159">
        <v>50</v>
      </c>
      <c r="K96" s="159">
        <v>14</v>
      </c>
      <c r="L96" s="16">
        <f t="shared" si="8"/>
        <v>142795.80000000002</v>
      </c>
      <c r="M96" s="94">
        <f t="shared" si="9"/>
        <v>367189.19999999995</v>
      </c>
      <c r="N96" s="159">
        <f t="shared" si="10"/>
        <v>36</v>
      </c>
      <c r="O96" s="159"/>
      <c r="P96" s="159"/>
      <c r="Q96" s="11"/>
    </row>
    <row r="97" spans="2:17" s="114" customFormat="1">
      <c r="B97" s="293" t="s">
        <v>1255</v>
      </c>
      <c r="C97" s="96">
        <v>92</v>
      </c>
      <c r="D97" s="123" t="s">
        <v>1256</v>
      </c>
      <c r="E97" s="123"/>
      <c r="F97" s="19">
        <v>450000</v>
      </c>
      <c r="G97" s="19">
        <v>59985</v>
      </c>
      <c r="H97" s="19">
        <v>509985</v>
      </c>
      <c r="I97" s="327">
        <v>10199.700000000001</v>
      </c>
      <c r="J97" s="159">
        <v>50</v>
      </c>
      <c r="K97" s="159">
        <v>6</v>
      </c>
      <c r="L97" s="16">
        <f t="shared" ref="L97:L128" si="13">K97*I97</f>
        <v>61198.200000000004</v>
      </c>
      <c r="M97" s="94">
        <f t="shared" si="9"/>
        <v>448786.8</v>
      </c>
      <c r="N97" s="159">
        <f t="shared" si="10"/>
        <v>44</v>
      </c>
      <c r="O97" s="159"/>
      <c r="P97" s="159"/>
      <c r="Q97" s="11"/>
    </row>
    <row r="98" spans="2:17" s="114" customFormat="1">
      <c r="B98" s="301" t="s">
        <v>947</v>
      </c>
      <c r="C98" s="96">
        <v>93</v>
      </c>
      <c r="D98" s="11" t="s">
        <v>948</v>
      </c>
      <c r="E98" s="8"/>
      <c r="F98" s="16">
        <v>500000</v>
      </c>
      <c r="G98" s="16">
        <v>66650</v>
      </c>
      <c r="H98" s="41">
        <f t="shared" ref="H98:H103" si="14">SUM(F98:G98)</f>
        <v>566650</v>
      </c>
      <c r="I98" s="319">
        <v>11333</v>
      </c>
      <c r="J98" s="240">
        <v>50</v>
      </c>
      <c r="K98" s="247">
        <v>11</v>
      </c>
      <c r="L98" s="16">
        <f t="shared" si="13"/>
        <v>124663</v>
      </c>
      <c r="M98" s="94">
        <f t="shared" si="9"/>
        <v>441987</v>
      </c>
      <c r="N98" s="159">
        <f t="shared" si="10"/>
        <v>39</v>
      </c>
      <c r="O98" s="159"/>
      <c r="P98" s="159"/>
      <c r="Q98" s="8"/>
    </row>
    <row r="99" spans="2:17" s="114" customFormat="1">
      <c r="B99" s="293" t="s">
        <v>1259</v>
      </c>
      <c r="C99" s="96">
        <v>94</v>
      </c>
      <c r="D99" s="123" t="s">
        <v>1260</v>
      </c>
      <c r="E99" s="123"/>
      <c r="F99" s="16">
        <v>500000</v>
      </c>
      <c r="G99" s="16">
        <v>66650</v>
      </c>
      <c r="H99" s="41">
        <f t="shared" si="14"/>
        <v>566650</v>
      </c>
      <c r="I99" s="327">
        <v>11333</v>
      </c>
      <c r="J99" s="159">
        <v>50</v>
      </c>
      <c r="K99" s="159">
        <v>6</v>
      </c>
      <c r="L99" s="16">
        <f t="shared" si="13"/>
        <v>67998</v>
      </c>
      <c r="M99" s="94">
        <f t="shared" si="9"/>
        <v>498652</v>
      </c>
      <c r="N99" s="159">
        <f t="shared" si="10"/>
        <v>44</v>
      </c>
      <c r="O99" s="159"/>
      <c r="P99" s="159"/>
      <c r="Q99" s="11"/>
    </row>
    <row r="100" spans="2:17" s="114" customFormat="1">
      <c r="B100" s="293" t="s">
        <v>1192</v>
      </c>
      <c r="C100" s="96">
        <v>95</v>
      </c>
      <c r="D100" s="123" t="s">
        <v>1193</v>
      </c>
      <c r="E100" s="123"/>
      <c r="F100" s="19">
        <v>330000</v>
      </c>
      <c r="G100" s="19">
        <v>43989</v>
      </c>
      <c r="H100" s="19">
        <f t="shared" si="14"/>
        <v>373989</v>
      </c>
      <c r="I100" s="327">
        <v>7479.78</v>
      </c>
      <c r="J100" s="159">
        <v>50</v>
      </c>
      <c r="K100" s="159">
        <v>5</v>
      </c>
      <c r="L100" s="16">
        <f t="shared" si="13"/>
        <v>37398.9</v>
      </c>
      <c r="M100" s="94">
        <f t="shared" si="9"/>
        <v>336590.1</v>
      </c>
      <c r="N100" s="159">
        <f t="shared" si="10"/>
        <v>45</v>
      </c>
      <c r="O100" s="159"/>
      <c r="P100" s="159"/>
      <c r="Q100" s="11"/>
    </row>
    <row r="101" spans="2:17" s="114" customFormat="1">
      <c r="B101" s="292" t="s">
        <v>886</v>
      </c>
      <c r="C101" s="96">
        <v>96</v>
      </c>
      <c r="D101" s="11" t="s">
        <v>908</v>
      </c>
      <c r="E101" s="11"/>
      <c r="F101" s="16">
        <v>500000</v>
      </c>
      <c r="G101" s="16">
        <v>66650</v>
      </c>
      <c r="H101" s="41">
        <f t="shared" si="14"/>
        <v>566650</v>
      </c>
      <c r="I101" s="318">
        <v>11333</v>
      </c>
      <c r="J101" s="159">
        <v>50</v>
      </c>
      <c r="K101" s="97">
        <v>45</v>
      </c>
      <c r="L101" s="91">
        <f t="shared" si="13"/>
        <v>509985</v>
      </c>
      <c r="M101" s="94">
        <f t="shared" si="9"/>
        <v>56665</v>
      </c>
      <c r="N101" s="159">
        <f t="shared" si="10"/>
        <v>5</v>
      </c>
      <c r="O101" s="159"/>
      <c r="P101" s="97"/>
      <c r="Q101" s="11"/>
    </row>
    <row r="102" spans="2:17" s="114" customFormat="1">
      <c r="B102" s="293" t="s">
        <v>1190</v>
      </c>
      <c r="C102" s="96">
        <v>97</v>
      </c>
      <c r="D102" s="123" t="s">
        <v>1191</v>
      </c>
      <c r="E102" s="123"/>
      <c r="F102" s="16">
        <v>500000</v>
      </c>
      <c r="G102" s="16">
        <v>66650</v>
      </c>
      <c r="H102" s="41">
        <f t="shared" si="14"/>
        <v>566650</v>
      </c>
      <c r="I102" s="327">
        <v>11333</v>
      </c>
      <c r="J102" s="159">
        <v>50</v>
      </c>
      <c r="K102" s="159">
        <v>6</v>
      </c>
      <c r="L102" s="16">
        <f t="shared" si="13"/>
        <v>67998</v>
      </c>
      <c r="M102" s="94">
        <f t="shared" ref="M102:M130" si="15">H102-L102</f>
        <v>498652</v>
      </c>
      <c r="N102" s="159">
        <f t="shared" ref="N102:N130" si="16">J102-K102</f>
        <v>44</v>
      </c>
      <c r="O102" s="159"/>
      <c r="P102" s="159"/>
      <c r="Q102" s="11"/>
    </row>
    <row r="103" spans="2:17" s="114" customFormat="1">
      <c r="B103" s="292" t="s">
        <v>542</v>
      </c>
      <c r="C103" s="96">
        <v>98</v>
      </c>
      <c r="D103" s="11" t="s">
        <v>543</v>
      </c>
      <c r="E103" s="11"/>
      <c r="F103" s="16">
        <v>500000</v>
      </c>
      <c r="G103" s="16">
        <v>66650</v>
      </c>
      <c r="H103" s="41">
        <f t="shared" si="14"/>
        <v>566650</v>
      </c>
      <c r="I103" s="318">
        <v>11333</v>
      </c>
      <c r="J103" s="159">
        <v>50</v>
      </c>
      <c r="K103" s="97">
        <v>44</v>
      </c>
      <c r="L103" s="91">
        <f t="shared" si="13"/>
        <v>498652</v>
      </c>
      <c r="M103" s="94">
        <f t="shared" si="15"/>
        <v>67998</v>
      </c>
      <c r="N103" s="159">
        <f t="shared" si="16"/>
        <v>6</v>
      </c>
      <c r="O103" s="159"/>
      <c r="P103" s="97"/>
      <c r="Q103" s="11"/>
    </row>
    <row r="104" spans="2:17" s="114" customFormat="1">
      <c r="B104" s="292" t="s">
        <v>680</v>
      </c>
      <c r="C104" s="96">
        <v>99</v>
      </c>
      <c r="D104" s="11" t="s">
        <v>681</v>
      </c>
      <c r="E104" s="11"/>
      <c r="F104" s="19">
        <v>500000</v>
      </c>
      <c r="G104" s="19">
        <v>66650</v>
      </c>
      <c r="H104" s="19">
        <v>566650</v>
      </c>
      <c r="I104" s="318">
        <v>11333</v>
      </c>
      <c r="J104" s="159">
        <v>50</v>
      </c>
      <c r="K104" s="97">
        <v>31</v>
      </c>
      <c r="L104" s="91">
        <f t="shared" si="13"/>
        <v>351323</v>
      </c>
      <c r="M104" s="91">
        <f t="shared" si="15"/>
        <v>215327</v>
      </c>
      <c r="N104" s="159">
        <f t="shared" si="16"/>
        <v>19</v>
      </c>
      <c r="O104" s="159"/>
      <c r="P104" s="97"/>
      <c r="Q104" s="11"/>
    </row>
    <row r="105" spans="2:17" s="114" customFormat="1">
      <c r="B105" s="292" t="s">
        <v>684</v>
      </c>
      <c r="C105" s="96">
        <v>100</v>
      </c>
      <c r="D105" s="11" t="s">
        <v>685</v>
      </c>
      <c r="E105" s="11"/>
      <c r="F105" s="19">
        <v>500000</v>
      </c>
      <c r="G105" s="19">
        <v>66650</v>
      </c>
      <c r="H105" s="19">
        <v>566650</v>
      </c>
      <c r="I105" s="318">
        <v>11333</v>
      </c>
      <c r="J105" s="159">
        <v>50</v>
      </c>
      <c r="K105" s="97">
        <v>31</v>
      </c>
      <c r="L105" s="91">
        <f t="shared" si="13"/>
        <v>351323</v>
      </c>
      <c r="M105" s="91">
        <f t="shared" si="15"/>
        <v>215327</v>
      </c>
      <c r="N105" s="159">
        <f t="shared" si="16"/>
        <v>19</v>
      </c>
      <c r="O105" s="159"/>
      <c r="P105" s="97"/>
      <c r="Q105" s="11"/>
    </row>
    <row r="106" spans="2:17" s="114" customFormat="1">
      <c r="B106" s="292" t="s">
        <v>730</v>
      </c>
      <c r="C106" s="96">
        <v>101</v>
      </c>
      <c r="D106" s="11" t="s">
        <v>731</v>
      </c>
      <c r="E106" s="11"/>
      <c r="F106" s="16">
        <v>500000</v>
      </c>
      <c r="G106" s="16">
        <v>66650</v>
      </c>
      <c r="H106" s="41">
        <f t="shared" ref="H106:H112" si="17">SUM(F106:G106)</f>
        <v>566650</v>
      </c>
      <c r="I106" s="318">
        <v>11333</v>
      </c>
      <c r="J106" s="159">
        <v>50</v>
      </c>
      <c r="K106" s="159">
        <v>21</v>
      </c>
      <c r="L106" s="91">
        <f t="shared" si="13"/>
        <v>237993</v>
      </c>
      <c r="M106" s="94">
        <f t="shared" si="15"/>
        <v>328657</v>
      </c>
      <c r="N106" s="159">
        <f t="shared" si="16"/>
        <v>29</v>
      </c>
      <c r="O106" s="159"/>
      <c r="P106" s="159"/>
      <c r="Q106" s="11"/>
    </row>
    <row r="107" spans="2:17" s="114" customFormat="1">
      <c r="B107" s="293" t="s">
        <v>888</v>
      </c>
      <c r="C107" s="96">
        <v>102</v>
      </c>
      <c r="D107" s="123" t="s">
        <v>910</v>
      </c>
      <c r="E107" s="123"/>
      <c r="F107" s="16">
        <v>500000</v>
      </c>
      <c r="G107" s="16">
        <v>66650</v>
      </c>
      <c r="H107" s="41">
        <f t="shared" si="17"/>
        <v>566650</v>
      </c>
      <c r="I107" s="327">
        <v>11333</v>
      </c>
      <c r="J107" s="159">
        <v>50</v>
      </c>
      <c r="K107" s="159">
        <v>14</v>
      </c>
      <c r="L107" s="16">
        <f t="shared" si="13"/>
        <v>158662</v>
      </c>
      <c r="M107" s="94">
        <f t="shared" si="15"/>
        <v>407988</v>
      </c>
      <c r="N107" s="159">
        <f t="shared" si="16"/>
        <v>36</v>
      </c>
      <c r="O107" s="159"/>
      <c r="P107" s="159"/>
      <c r="Q107" s="11"/>
    </row>
    <row r="108" spans="2:17" s="114" customFormat="1">
      <c r="B108" s="292" t="s">
        <v>949</v>
      </c>
      <c r="C108" s="96">
        <v>103</v>
      </c>
      <c r="D108" s="11" t="s">
        <v>950</v>
      </c>
      <c r="E108" s="11"/>
      <c r="F108" s="16">
        <v>500000</v>
      </c>
      <c r="G108" s="16">
        <v>66650</v>
      </c>
      <c r="H108" s="41">
        <f t="shared" si="17"/>
        <v>566650</v>
      </c>
      <c r="I108" s="318">
        <v>11333</v>
      </c>
      <c r="J108" s="159">
        <v>50</v>
      </c>
      <c r="K108" s="97">
        <v>44</v>
      </c>
      <c r="L108" s="91">
        <f t="shared" si="13"/>
        <v>498652</v>
      </c>
      <c r="M108" s="94">
        <f t="shared" si="15"/>
        <v>67998</v>
      </c>
      <c r="N108" s="159">
        <f t="shared" si="16"/>
        <v>6</v>
      </c>
      <c r="O108" s="159"/>
      <c r="P108" s="97"/>
      <c r="Q108" s="11"/>
    </row>
    <row r="109" spans="2:17" s="114" customFormat="1">
      <c r="B109" s="292" t="s">
        <v>711</v>
      </c>
      <c r="C109" s="96">
        <v>104</v>
      </c>
      <c r="D109" s="11" t="s">
        <v>712</v>
      </c>
      <c r="E109" s="11"/>
      <c r="F109" s="16">
        <v>500000</v>
      </c>
      <c r="G109" s="16">
        <v>66650</v>
      </c>
      <c r="H109" s="41">
        <f t="shared" si="17"/>
        <v>566650</v>
      </c>
      <c r="I109" s="318">
        <v>11333</v>
      </c>
      <c r="J109" s="159">
        <v>50</v>
      </c>
      <c r="K109" s="97">
        <v>44</v>
      </c>
      <c r="L109" s="91">
        <f t="shared" si="13"/>
        <v>498652</v>
      </c>
      <c r="M109" s="94">
        <f t="shared" si="15"/>
        <v>67998</v>
      </c>
      <c r="N109" s="159">
        <f t="shared" si="16"/>
        <v>6</v>
      </c>
      <c r="O109" s="159"/>
      <c r="P109" s="97"/>
      <c r="Q109" s="11"/>
    </row>
    <row r="110" spans="2:17" s="114" customFormat="1">
      <c r="B110" s="292" t="s">
        <v>585</v>
      </c>
      <c r="C110" s="96">
        <v>105</v>
      </c>
      <c r="D110" s="11" t="s">
        <v>586</v>
      </c>
      <c r="E110" s="11"/>
      <c r="F110" s="161">
        <v>500000</v>
      </c>
      <c r="G110" s="161">
        <v>66650</v>
      </c>
      <c r="H110" s="162">
        <f t="shared" si="17"/>
        <v>566650</v>
      </c>
      <c r="I110" s="318">
        <v>11333</v>
      </c>
      <c r="J110" s="96">
        <v>50</v>
      </c>
      <c r="K110" s="97">
        <v>45</v>
      </c>
      <c r="L110" s="146">
        <f t="shared" si="13"/>
        <v>509985</v>
      </c>
      <c r="M110" s="164">
        <f t="shared" si="15"/>
        <v>56665</v>
      </c>
      <c r="N110" s="159">
        <f t="shared" si="16"/>
        <v>5</v>
      </c>
      <c r="O110" s="159"/>
      <c r="P110" s="97"/>
      <c r="Q110" s="123"/>
    </row>
    <row r="111" spans="2:17" s="114" customFormat="1">
      <c r="B111" s="292" t="s">
        <v>655</v>
      </c>
      <c r="C111" s="96">
        <v>106</v>
      </c>
      <c r="D111" s="11" t="s">
        <v>656</v>
      </c>
      <c r="E111" s="11"/>
      <c r="F111" s="16">
        <v>450000</v>
      </c>
      <c r="G111" s="16">
        <v>59985</v>
      </c>
      <c r="H111" s="41">
        <f t="shared" si="17"/>
        <v>509985</v>
      </c>
      <c r="I111" s="318">
        <v>10199.700000000001</v>
      </c>
      <c r="J111" s="159">
        <v>50</v>
      </c>
      <c r="K111" s="97">
        <v>45</v>
      </c>
      <c r="L111" s="91">
        <f t="shared" si="13"/>
        <v>458986.50000000006</v>
      </c>
      <c r="M111" s="94">
        <f t="shared" si="15"/>
        <v>50998.499999999942</v>
      </c>
      <c r="N111" s="159">
        <f t="shared" si="16"/>
        <v>5</v>
      </c>
      <c r="O111" s="159"/>
      <c r="P111" s="97"/>
      <c r="Q111" s="11"/>
    </row>
    <row r="112" spans="2:17" s="114" customFormat="1">
      <c r="B112" s="295" t="s">
        <v>939</v>
      </c>
      <c r="C112" s="96">
        <v>107</v>
      </c>
      <c r="D112" s="11" t="s">
        <v>940</v>
      </c>
      <c r="E112" s="8"/>
      <c r="F112" s="19">
        <v>330000</v>
      </c>
      <c r="G112" s="19">
        <v>43989</v>
      </c>
      <c r="H112" s="19">
        <f t="shared" si="17"/>
        <v>373989</v>
      </c>
      <c r="I112" s="319">
        <v>7479.78</v>
      </c>
      <c r="J112" s="159">
        <v>50</v>
      </c>
      <c r="K112" s="159">
        <v>11</v>
      </c>
      <c r="L112" s="16">
        <f t="shared" si="13"/>
        <v>82277.58</v>
      </c>
      <c r="M112" s="94">
        <f t="shared" si="15"/>
        <v>291711.42</v>
      </c>
      <c r="N112" s="159">
        <f t="shared" si="16"/>
        <v>39</v>
      </c>
      <c r="O112" s="159"/>
      <c r="P112" s="159"/>
      <c r="Q112" s="8"/>
    </row>
    <row r="113" spans="2:17" s="114" customFormat="1">
      <c r="B113" s="293" t="s">
        <v>1215</v>
      </c>
      <c r="C113" s="96">
        <v>108</v>
      </c>
      <c r="D113" s="11" t="s">
        <v>1216</v>
      </c>
      <c r="E113" s="11"/>
      <c r="F113" s="16">
        <v>450000</v>
      </c>
      <c r="G113" s="16">
        <v>59985</v>
      </c>
      <c r="H113" s="16">
        <v>509985</v>
      </c>
      <c r="I113" s="327">
        <v>10199.700000000001</v>
      </c>
      <c r="J113" s="159">
        <v>50</v>
      </c>
      <c r="K113" s="96">
        <v>7</v>
      </c>
      <c r="L113" s="91">
        <f t="shared" si="13"/>
        <v>71397.900000000009</v>
      </c>
      <c r="M113" s="94">
        <f t="shared" si="15"/>
        <v>438587.1</v>
      </c>
      <c r="N113" s="159">
        <f t="shared" si="16"/>
        <v>43</v>
      </c>
      <c r="O113" s="159"/>
      <c r="P113" s="97"/>
      <c r="Q113" s="11"/>
    </row>
    <row r="114" spans="2:17" s="114" customFormat="1">
      <c r="B114" s="293" t="s">
        <v>602</v>
      </c>
      <c r="C114" s="96">
        <v>109</v>
      </c>
      <c r="D114" s="11" t="s">
        <v>603</v>
      </c>
      <c r="E114" s="11"/>
      <c r="F114" s="19">
        <v>330000</v>
      </c>
      <c r="G114" s="19">
        <v>43989</v>
      </c>
      <c r="H114" s="19">
        <f>SUM(F114:G114)</f>
        <v>373989</v>
      </c>
      <c r="I114" s="327">
        <v>7479.78</v>
      </c>
      <c r="J114" s="159">
        <v>50</v>
      </c>
      <c r="K114" s="96">
        <v>7</v>
      </c>
      <c r="L114" s="91">
        <f t="shared" si="13"/>
        <v>52358.46</v>
      </c>
      <c r="M114" s="94">
        <f t="shared" si="15"/>
        <v>321630.53999999998</v>
      </c>
      <c r="N114" s="159">
        <f t="shared" si="16"/>
        <v>43</v>
      </c>
      <c r="O114" s="159"/>
      <c r="P114" s="97"/>
      <c r="Q114" s="11"/>
    </row>
    <row r="115" spans="2:17" s="114" customFormat="1">
      <c r="B115" s="292" t="s">
        <v>548</v>
      </c>
      <c r="C115" s="96">
        <v>110</v>
      </c>
      <c r="D115" s="11" t="s">
        <v>549</v>
      </c>
      <c r="E115" s="11"/>
      <c r="F115" s="12">
        <v>330000</v>
      </c>
      <c r="G115" s="12">
        <v>43989</v>
      </c>
      <c r="H115" s="15">
        <f>SUM(F115:G115)</f>
        <v>373989</v>
      </c>
      <c r="I115" s="146">
        <v>7479.78</v>
      </c>
      <c r="J115" s="14">
        <v>50</v>
      </c>
      <c r="K115" s="14">
        <v>48</v>
      </c>
      <c r="L115" s="91">
        <f t="shared" si="13"/>
        <v>359029.44</v>
      </c>
      <c r="M115" s="15">
        <f t="shared" si="15"/>
        <v>14959.559999999998</v>
      </c>
      <c r="N115" s="159">
        <f t="shared" si="16"/>
        <v>2</v>
      </c>
      <c r="O115" s="159"/>
      <c r="P115" s="97"/>
      <c r="Q115" s="8"/>
    </row>
    <row r="116" spans="2:17" s="114" customFormat="1">
      <c r="B116" s="293" t="s">
        <v>900</v>
      </c>
      <c r="C116" s="96">
        <v>111</v>
      </c>
      <c r="D116" s="123" t="s">
        <v>923</v>
      </c>
      <c r="E116" s="123"/>
      <c r="F116" s="19">
        <v>330000</v>
      </c>
      <c r="G116" s="19">
        <v>43989</v>
      </c>
      <c r="H116" s="19">
        <f>SUM(F116:G116)</f>
        <v>373989</v>
      </c>
      <c r="I116" s="327">
        <v>7479.78</v>
      </c>
      <c r="J116" s="159">
        <v>50</v>
      </c>
      <c r="K116" s="159">
        <v>49</v>
      </c>
      <c r="L116" s="16">
        <f t="shared" si="13"/>
        <v>366509.22</v>
      </c>
      <c r="M116" s="94">
        <f t="shared" si="15"/>
        <v>7479.7800000000279</v>
      </c>
      <c r="N116" s="159">
        <f t="shared" si="16"/>
        <v>1</v>
      </c>
      <c r="O116" s="159"/>
      <c r="P116" s="159"/>
      <c r="Q116" s="11"/>
    </row>
    <row r="117" spans="2:17" s="114" customFormat="1">
      <c r="B117" s="293" t="s">
        <v>1219</v>
      </c>
      <c r="C117" s="96">
        <v>112</v>
      </c>
      <c r="D117" s="11" t="s">
        <v>1220</v>
      </c>
      <c r="E117" s="11"/>
      <c r="F117" s="19">
        <v>330000</v>
      </c>
      <c r="G117" s="19">
        <v>43989</v>
      </c>
      <c r="H117" s="19">
        <f>SUM(F117:G117)</f>
        <v>373989</v>
      </c>
      <c r="I117" s="327">
        <v>7479.78</v>
      </c>
      <c r="J117" s="159">
        <v>50</v>
      </c>
      <c r="K117" s="96">
        <v>7</v>
      </c>
      <c r="L117" s="91">
        <f t="shared" si="13"/>
        <v>52358.46</v>
      </c>
      <c r="M117" s="94">
        <f t="shared" si="15"/>
        <v>321630.53999999998</v>
      </c>
      <c r="N117" s="159">
        <f t="shared" si="16"/>
        <v>43</v>
      </c>
      <c r="O117" s="159"/>
      <c r="P117" s="97"/>
      <c r="Q117" s="11"/>
    </row>
    <row r="118" spans="2:17" s="114" customFormat="1">
      <c r="B118" s="293" t="s">
        <v>1156</v>
      </c>
      <c r="C118" s="96">
        <v>113</v>
      </c>
      <c r="D118" s="11" t="s">
        <v>1157</v>
      </c>
      <c r="E118" s="11"/>
      <c r="F118" s="19"/>
      <c r="G118" s="19"/>
      <c r="H118" s="19">
        <v>200000</v>
      </c>
      <c r="I118" s="327">
        <v>5099.8500000000004</v>
      </c>
      <c r="J118" s="159">
        <v>50</v>
      </c>
      <c r="K118" s="96">
        <v>7</v>
      </c>
      <c r="L118" s="91">
        <f t="shared" si="13"/>
        <v>35698.950000000004</v>
      </c>
      <c r="M118" s="94">
        <f t="shared" si="15"/>
        <v>164301.04999999999</v>
      </c>
      <c r="N118" s="159">
        <f t="shared" si="16"/>
        <v>43</v>
      </c>
      <c r="O118" s="159"/>
      <c r="P118" s="97"/>
      <c r="Q118" s="11"/>
    </row>
    <row r="119" spans="2:17" s="114" customFormat="1">
      <c r="B119" s="293" t="s">
        <v>1225</v>
      </c>
      <c r="C119" s="96">
        <v>114</v>
      </c>
      <c r="D119" s="11" t="s">
        <v>1226</v>
      </c>
      <c r="E119" s="11"/>
      <c r="F119" s="16">
        <v>500000</v>
      </c>
      <c r="G119" s="16">
        <v>66650</v>
      </c>
      <c r="H119" s="41">
        <f>SUM(F119:G119)</f>
        <v>566650</v>
      </c>
      <c r="I119" s="327">
        <v>11333</v>
      </c>
      <c r="J119" s="159">
        <v>50</v>
      </c>
      <c r="K119" s="96">
        <v>7</v>
      </c>
      <c r="L119" s="91">
        <f t="shared" si="13"/>
        <v>79331</v>
      </c>
      <c r="M119" s="94">
        <f t="shared" si="15"/>
        <v>487319</v>
      </c>
      <c r="N119" s="159">
        <f t="shared" si="16"/>
        <v>43</v>
      </c>
      <c r="O119" s="159"/>
      <c r="P119" s="97"/>
      <c r="Q119" s="11"/>
    </row>
    <row r="120" spans="2:17" s="114" customFormat="1">
      <c r="B120" s="292" t="s">
        <v>516</v>
      </c>
      <c r="C120" s="96">
        <v>115</v>
      </c>
      <c r="D120" s="11" t="s">
        <v>517</v>
      </c>
      <c r="E120" s="11"/>
      <c r="F120" s="16">
        <v>500000</v>
      </c>
      <c r="G120" s="16">
        <v>66650</v>
      </c>
      <c r="H120" s="41">
        <f>SUM(F120:G120)</f>
        <v>566650</v>
      </c>
      <c r="I120" s="146">
        <v>11333</v>
      </c>
      <c r="J120" s="159">
        <v>50</v>
      </c>
      <c r="K120" s="97">
        <v>45</v>
      </c>
      <c r="L120" s="91">
        <f t="shared" si="13"/>
        <v>509985</v>
      </c>
      <c r="M120" s="94">
        <f t="shared" si="15"/>
        <v>56665</v>
      </c>
      <c r="N120" s="159">
        <f t="shared" si="16"/>
        <v>5</v>
      </c>
      <c r="O120" s="159"/>
      <c r="P120" s="97"/>
      <c r="Q120" s="11"/>
    </row>
    <row r="121" spans="2:17" s="114" customFormat="1">
      <c r="B121" s="294" t="s">
        <v>606</v>
      </c>
      <c r="C121" s="96">
        <v>116</v>
      </c>
      <c r="D121" s="123" t="s">
        <v>952</v>
      </c>
      <c r="E121" s="123"/>
      <c r="F121" s="19">
        <v>150000</v>
      </c>
      <c r="G121" s="19">
        <v>19995</v>
      </c>
      <c r="H121" s="19">
        <f>SUM(F121:G121)</f>
        <v>169995</v>
      </c>
      <c r="I121" s="327">
        <v>3399.9</v>
      </c>
      <c r="J121" s="159">
        <v>50</v>
      </c>
      <c r="K121" s="159">
        <v>12</v>
      </c>
      <c r="L121" s="91">
        <f t="shared" si="13"/>
        <v>40798.800000000003</v>
      </c>
      <c r="M121" s="94">
        <f t="shared" si="15"/>
        <v>129196.2</v>
      </c>
      <c r="N121" s="159">
        <f t="shared" si="16"/>
        <v>38</v>
      </c>
      <c r="O121" s="159"/>
      <c r="P121" s="97"/>
      <c r="Q121" s="11"/>
    </row>
    <row r="122" spans="2:17" s="114" customFormat="1">
      <c r="B122" s="292" t="s">
        <v>649</v>
      </c>
      <c r="C122" s="96">
        <v>117</v>
      </c>
      <c r="D122" s="11" t="s">
        <v>650</v>
      </c>
      <c r="E122" s="11"/>
      <c r="F122" s="16">
        <v>450000</v>
      </c>
      <c r="G122" s="16">
        <v>59985</v>
      </c>
      <c r="H122" s="16">
        <v>509985</v>
      </c>
      <c r="I122" s="318">
        <v>10199.700000000001</v>
      </c>
      <c r="J122" s="159">
        <v>50</v>
      </c>
      <c r="K122" s="97">
        <v>30</v>
      </c>
      <c r="L122" s="91">
        <f t="shared" si="13"/>
        <v>305991</v>
      </c>
      <c r="M122" s="91">
        <f t="shared" si="15"/>
        <v>203994</v>
      </c>
      <c r="N122" s="159">
        <f t="shared" si="16"/>
        <v>20</v>
      </c>
      <c r="O122" s="159"/>
      <c r="P122" s="97"/>
      <c r="Q122" s="11"/>
    </row>
    <row r="123" spans="2:17" s="114" customFormat="1">
      <c r="B123" s="293" t="s">
        <v>890</v>
      </c>
      <c r="C123" s="96">
        <v>118</v>
      </c>
      <c r="D123" s="123" t="s">
        <v>912</v>
      </c>
      <c r="E123" s="123"/>
      <c r="F123" s="16">
        <v>500000</v>
      </c>
      <c r="G123" s="16">
        <v>66650</v>
      </c>
      <c r="H123" s="41">
        <f>SUM(F123:G123)</f>
        <v>566650</v>
      </c>
      <c r="I123" s="327">
        <v>11333</v>
      </c>
      <c r="J123" s="159">
        <v>50</v>
      </c>
      <c r="K123" s="159">
        <v>14</v>
      </c>
      <c r="L123" s="16">
        <f t="shared" si="13"/>
        <v>158662</v>
      </c>
      <c r="M123" s="94">
        <f t="shared" si="15"/>
        <v>407988</v>
      </c>
      <c r="N123" s="159">
        <f t="shared" si="16"/>
        <v>36</v>
      </c>
      <c r="O123" s="159"/>
      <c r="P123" s="159"/>
      <c r="Q123" s="11"/>
    </row>
    <row r="124" spans="2:17" s="114" customFormat="1">
      <c r="B124" s="292" t="s">
        <v>609</v>
      </c>
      <c r="C124" s="96">
        <v>119</v>
      </c>
      <c r="D124" s="11" t="s">
        <v>610</v>
      </c>
      <c r="E124" s="11"/>
      <c r="F124" s="16">
        <v>500000</v>
      </c>
      <c r="G124" s="16">
        <v>66650</v>
      </c>
      <c r="H124" s="41">
        <f>SUM(F124:G124)</f>
        <v>566650</v>
      </c>
      <c r="I124" s="318">
        <v>11333</v>
      </c>
      <c r="J124" s="159">
        <v>50</v>
      </c>
      <c r="K124" s="97">
        <v>44</v>
      </c>
      <c r="L124" s="91">
        <f t="shared" si="13"/>
        <v>498652</v>
      </c>
      <c r="M124" s="94">
        <f t="shared" si="15"/>
        <v>67998</v>
      </c>
      <c r="N124" s="159">
        <f t="shared" si="16"/>
        <v>6</v>
      </c>
      <c r="O124" s="159"/>
      <c r="P124" s="97"/>
      <c r="Q124" s="11"/>
    </row>
    <row r="125" spans="2:17" s="114" customFormat="1">
      <c r="B125" s="293" t="s">
        <v>1241</v>
      </c>
      <c r="C125" s="96">
        <v>120</v>
      </c>
      <c r="D125" s="123" t="s">
        <v>1242</v>
      </c>
      <c r="E125" s="123"/>
      <c r="F125" s="19">
        <v>450000</v>
      </c>
      <c r="G125" s="19">
        <v>59985</v>
      </c>
      <c r="H125" s="19">
        <v>509985</v>
      </c>
      <c r="I125" s="327">
        <v>10199.700000000001</v>
      </c>
      <c r="J125" s="159">
        <v>50</v>
      </c>
      <c r="K125" s="159">
        <v>6</v>
      </c>
      <c r="L125" s="16">
        <f t="shared" si="13"/>
        <v>61198.200000000004</v>
      </c>
      <c r="M125" s="94">
        <f t="shared" si="15"/>
        <v>448786.8</v>
      </c>
      <c r="N125" s="159">
        <f t="shared" si="16"/>
        <v>44</v>
      </c>
      <c r="O125" s="159"/>
      <c r="P125" s="159"/>
      <c r="Q125" s="11"/>
    </row>
    <row r="126" spans="2:17" s="114" customFormat="1">
      <c r="B126" s="292" t="s">
        <v>524</v>
      </c>
      <c r="C126" s="96">
        <v>121</v>
      </c>
      <c r="D126" s="11" t="s">
        <v>525</v>
      </c>
      <c r="E126" s="11"/>
      <c r="F126" s="19">
        <v>330000</v>
      </c>
      <c r="G126" s="19">
        <v>43989</v>
      </c>
      <c r="H126" s="19">
        <f>SUM(F126:G126)</f>
        <v>373989</v>
      </c>
      <c r="I126" s="146">
        <v>7479.78</v>
      </c>
      <c r="J126" s="159">
        <v>50</v>
      </c>
      <c r="K126" s="159">
        <v>19</v>
      </c>
      <c r="L126" s="91">
        <f t="shared" si="13"/>
        <v>142115.82</v>
      </c>
      <c r="M126" s="94">
        <f t="shared" si="15"/>
        <v>231873.18</v>
      </c>
      <c r="N126" s="159">
        <f t="shared" si="16"/>
        <v>31</v>
      </c>
      <c r="O126" s="159"/>
      <c r="P126" s="97"/>
      <c r="Q126" s="11"/>
    </row>
    <row r="127" spans="2:17" s="114" customFormat="1">
      <c r="B127" s="292" t="s">
        <v>576</v>
      </c>
      <c r="C127" s="96">
        <v>122</v>
      </c>
      <c r="D127" s="11" t="s">
        <v>927</v>
      </c>
      <c r="E127" s="11"/>
      <c r="F127" s="16">
        <v>60000</v>
      </c>
      <c r="G127" s="16">
        <v>7998</v>
      </c>
      <c r="H127" s="41">
        <f>SUM(F127:G127)</f>
        <v>67998</v>
      </c>
      <c r="I127" s="318">
        <v>1699.95</v>
      </c>
      <c r="J127" s="159">
        <v>40</v>
      </c>
      <c r="K127" s="97">
        <v>20</v>
      </c>
      <c r="L127" s="91">
        <f t="shared" si="13"/>
        <v>33999</v>
      </c>
      <c r="M127" s="94">
        <f t="shared" si="15"/>
        <v>33999</v>
      </c>
      <c r="N127" s="159">
        <f t="shared" si="16"/>
        <v>20</v>
      </c>
      <c r="O127" s="159"/>
      <c r="P127" s="97"/>
      <c r="Q127" s="11"/>
    </row>
    <row r="128" spans="2:17" s="114" customFormat="1">
      <c r="B128" s="1" t="s">
        <v>1168</v>
      </c>
      <c r="C128" s="96">
        <v>123</v>
      </c>
      <c r="D128" s="11" t="s">
        <v>1169</v>
      </c>
      <c r="E128" s="1"/>
      <c r="F128" s="19">
        <v>330000</v>
      </c>
      <c r="G128" s="19">
        <v>43989</v>
      </c>
      <c r="H128" s="19">
        <f>SUM(F128:G128)</f>
        <v>373989</v>
      </c>
      <c r="I128" s="34">
        <v>7479.78</v>
      </c>
      <c r="J128" s="159">
        <v>50</v>
      </c>
      <c r="K128" s="323">
        <v>4</v>
      </c>
      <c r="L128" s="16">
        <f t="shared" si="13"/>
        <v>29919.119999999999</v>
      </c>
      <c r="M128" s="94">
        <f t="shared" si="15"/>
        <v>344069.88</v>
      </c>
      <c r="N128" s="159">
        <f t="shared" si="16"/>
        <v>46</v>
      </c>
      <c r="O128" s="159"/>
      <c r="P128" s="159"/>
      <c r="Q128" s="8"/>
    </row>
    <row r="129" spans="2:18" s="114" customFormat="1">
      <c r="B129" s="293" t="s">
        <v>653</v>
      </c>
      <c r="C129" s="96">
        <v>124</v>
      </c>
      <c r="D129" s="11" t="s">
        <v>654</v>
      </c>
      <c r="E129" s="11"/>
      <c r="F129" s="19">
        <v>330000</v>
      </c>
      <c r="G129" s="19">
        <v>43989</v>
      </c>
      <c r="H129" s="19">
        <f>SUM(F129:G129)</f>
        <v>373989</v>
      </c>
      <c r="I129" s="327">
        <v>7479.78</v>
      </c>
      <c r="J129" s="159">
        <v>50</v>
      </c>
      <c r="K129" s="96">
        <v>37</v>
      </c>
      <c r="L129" s="91">
        <f t="shared" ref="L129:L135" si="18">K129*I129</f>
        <v>276751.86</v>
      </c>
      <c r="M129" s="94">
        <f t="shared" si="15"/>
        <v>97237.140000000014</v>
      </c>
      <c r="N129" s="159">
        <f t="shared" si="16"/>
        <v>13</v>
      </c>
      <c r="O129" s="159"/>
      <c r="P129" s="97"/>
      <c r="Q129" s="11"/>
    </row>
    <row r="130" spans="2:18" s="114" customFormat="1">
      <c r="B130" s="293" t="s">
        <v>1160</v>
      </c>
      <c r="C130" s="96">
        <v>125</v>
      </c>
      <c r="D130" s="123" t="s">
        <v>1161</v>
      </c>
      <c r="E130" s="123"/>
      <c r="F130" s="19">
        <v>450000</v>
      </c>
      <c r="G130" s="19">
        <v>59985</v>
      </c>
      <c r="H130" s="19">
        <v>509985</v>
      </c>
      <c r="I130" s="327">
        <v>10199.700000000001</v>
      </c>
      <c r="J130" s="159">
        <v>50</v>
      </c>
      <c r="K130" s="159">
        <v>6</v>
      </c>
      <c r="L130" s="16">
        <f t="shared" si="18"/>
        <v>61198.200000000004</v>
      </c>
      <c r="M130" s="94">
        <f t="shared" si="15"/>
        <v>448786.8</v>
      </c>
      <c r="N130" s="159">
        <f t="shared" si="16"/>
        <v>44</v>
      </c>
      <c r="O130" s="159"/>
      <c r="P130" s="159"/>
      <c r="Q130" s="11"/>
    </row>
    <row r="131" spans="2:18" s="114" customFormat="1">
      <c r="B131" s="293"/>
      <c r="C131" s="96">
        <v>126</v>
      </c>
      <c r="D131" s="123" t="s">
        <v>1268</v>
      </c>
      <c r="E131" s="123"/>
      <c r="F131" s="16">
        <v>500000</v>
      </c>
      <c r="G131" s="16">
        <v>66650</v>
      </c>
      <c r="H131" s="41">
        <f>SUM(F131:G131)</f>
        <v>566650</v>
      </c>
      <c r="I131" s="317">
        <v>11749.67</v>
      </c>
      <c r="J131" s="159">
        <v>50</v>
      </c>
      <c r="K131" s="159">
        <v>19</v>
      </c>
      <c r="L131" s="16">
        <f t="shared" si="18"/>
        <v>223243.73</v>
      </c>
      <c r="M131" s="94">
        <f>H131-L131</f>
        <v>343406.27</v>
      </c>
      <c r="N131" s="159">
        <f>J131-K131</f>
        <v>31</v>
      </c>
      <c r="O131" s="159"/>
      <c r="P131" s="159"/>
      <c r="Q131" s="11"/>
    </row>
    <row r="132" spans="2:18" s="114" customFormat="1">
      <c r="B132" s="293"/>
      <c r="C132" s="96">
        <v>127</v>
      </c>
      <c r="D132" s="123" t="s">
        <v>1269</v>
      </c>
      <c r="E132" s="123"/>
      <c r="F132" s="19">
        <v>450000</v>
      </c>
      <c r="G132" s="19">
        <v>59985</v>
      </c>
      <c r="H132" s="19">
        <v>509985</v>
      </c>
      <c r="I132" s="317">
        <v>10199.700000000001</v>
      </c>
      <c r="J132" s="159">
        <v>50</v>
      </c>
      <c r="K132" s="159">
        <v>26</v>
      </c>
      <c r="L132" s="16">
        <f t="shared" si="18"/>
        <v>265192.2</v>
      </c>
      <c r="M132" s="94">
        <f>H132-L132</f>
        <v>244792.8</v>
      </c>
      <c r="N132" s="159">
        <f>J132-K132</f>
        <v>24</v>
      </c>
      <c r="O132" s="159"/>
      <c r="P132" s="159"/>
      <c r="Q132" s="11"/>
    </row>
    <row r="133" spans="2:18" s="114" customFormat="1">
      <c r="B133" s="293"/>
      <c r="C133" s="96">
        <v>128</v>
      </c>
      <c r="D133" s="123" t="s">
        <v>1270</v>
      </c>
      <c r="E133" s="123"/>
      <c r="F133" s="19">
        <v>150000</v>
      </c>
      <c r="G133" s="19">
        <v>19995</v>
      </c>
      <c r="H133" s="19">
        <f>SUM(F133:G133)</f>
        <v>169995</v>
      </c>
      <c r="I133" s="317">
        <v>3399.9</v>
      </c>
      <c r="J133" s="159">
        <v>50</v>
      </c>
      <c r="K133" s="159">
        <v>30</v>
      </c>
      <c r="L133" s="16">
        <f t="shared" si="18"/>
        <v>101997</v>
      </c>
      <c r="M133" s="94">
        <f>H133-L133</f>
        <v>67998</v>
      </c>
      <c r="N133" s="159">
        <f>J133-K133</f>
        <v>20</v>
      </c>
      <c r="O133" s="159"/>
      <c r="P133" s="159"/>
      <c r="Q133" s="11"/>
    </row>
    <row r="134" spans="2:18" s="114" customFormat="1">
      <c r="B134" s="293"/>
      <c r="C134" s="96">
        <v>129</v>
      </c>
      <c r="D134" s="123" t="s">
        <v>1271</v>
      </c>
      <c r="E134" s="123"/>
      <c r="F134" s="19">
        <v>330000</v>
      </c>
      <c r="G134" s="19">
        <v>43989</v>
      </c>
      <c r="H134" s="19">
        <f>SUM(F134:G134)</f>
        <v>373989</v>
      </c>
      <c r="I134" s="317">
        <v>7479.78</v>
      </c>
      <c r="J134" s="159">
        <v>50</v>
      </c>
      <c r="K134" s="159">
        <v>4</v>
      </c>
      <c r="L134" s="16">
        <f t="shared" si="18"/>
        <v>29919.119999999999</v>
      </c>
      <c r="M134" s="94">
        <f>H134-L134</f>
        <v>344069.88</v>
      </c>
      <c r="N134" s="159">
        <f>J134-K134</f>
        <v>46</v>
      </c>
      <c r="O134" s="159"/>
      <c r="P134" s="159"/>
      <c r="Q134" s="11"/>
    </row>
    <row r="135" spans="2:18" s="114" customFormat="1">
      <c r="B135" s="293"/>
      <c r="C135" s="96">
        <v>130</v>
      </c>
      <c r="D135" s="123" t="s">
        <v>1272</v>
      </c>
      <c r="E135" s="123"/>
      <c r="F135" s="19">
        <v>450000</v>
      </c>
      <c r="G135" s="19">
        <v>59985</v>
      </c>
      <c r="H135" s="19">
        <v>509985</v>
      </c>
      <c r="I135" s="317">
        <v>10199.700000000001</v>
      </c>
      <c r="J135" s="159">
        <v>50</v>
      </c>
      <c r="K135" s="159">
        <v>4</v>
      </c>
      <c r="L135" s="16">
        <f t="shared" si="18"/>
        <v>40798.800000000003</v>
      </c>
      <c r="M135" s="94">
        <f>H135-L135</f>
        <v>469186.2</v>
      </c>
      <c r="N135" s="159">
        <f>J135-K135</f>
        <v>46</v>
      </c>
      <c r="O135" s="159"/>
      <c r="P135" s="159"/>
      <c r="Q135" s="11"/>
    </row>
    <row r="136" spans="2:18" s="114" customFormat="1">
      <c r="B136" s="295"/>
      <c r="C136" s="126"/>
      <c r="D136" s="8"/>
      <c r="E136" s="8"/>
      <c r="F136" s="34">
        <f>SUM(F6:F135)</f>
        <v>54140000</v>
      </c>
      <c r="G136" s="34">
        <f>SUM(G6:G135)</f>
        <v>7185887.2000000002</v>
      </c>
      <c r="H136" s="34">
        <f>SUM(H6:H135)</f>
        <v>61525887.200000003</v>
      </c>
      <c r="I136" s="34">
        <f>SUM(I6:I135)</f>
        <v>1246427.42</v>
      </c>
      <c r="J136" s="34"/>
      <c r="K136" s="34"/>
      <c r="L136" s="34">
        <f>SUM(L6:L135)</f>
        <v>27794471.300000001</v>
      </c>
      <c r="M136" s="34">
        <f>SUM(M6:M135)</f>
        <v>33731415.900000006</v>
      </c>
      <c r="N136" s="34"/>
      <c r="O136" s="34"/>
      <c r="P136" s="34"/>
      <c r="Q136" s="8"/>
    </row>
    <row r="137" spans="2:18" s="114" customFormat="1">
      <c r="B137"/>
      <c r="C137" s="270"/>
      <c r="D137"/>
      <c r="E137"/>
      <c r="F137" s="165"/>
      <c r="G137" s="67"/>
      <c r="H137" s="67"/>
      <c r="I137" s="276"/>
      <c r="J137" s="67"/>
      <c r="K137" s="67"/>
      <c r="L137" s="67"/>
      <c r="M137" s="67"/>
      <c r="N137" s="67"/>
      <c r="O137" s="67"/>
      <c r="P137" s="67"/>
      <c r="Q137" s="69"/>
    </row>
    <row r="138" spans="2:18" s="114" customFormat="1">
      <c r="B138"/>
      <c r="C138" s="270"/>
      <c r="D138"/>
      <c r="E138"/>
      <c r="F138" s="165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9"/>
    </row>
    <row r="139" spans="2:18" s="114" customFormat="1">
      <c r="B139"/>
      <c r="C139" s="270"/>
      <c r="D139"/>
      <c r="E139"/>
      <c r="F139" s="165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9"/>
    </row>
    <row r="140" spans="2:18" s="114" customFormat="1">
      <c r="B140"/>
      <c r="C140" s="270"/>
      <c r="D140"/>
      <c r="E140"/>
      <c r="F140" s="165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9"/>
    </row>
    <row r="141" spans="2:18" s="114" customFormat="1">
      <c r="B141"/>
      <c r="C141" s="270"/>
      <c r="D141"/>
      <c r="E141"/>
      <c r="F141" s="165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9"/>
      <c r="R141" s="120"/>
    </row>
    <row r="142" spans="2:18" s="114" customFormat="1">
      <c r="B142"/>
      <c r="C142" s="270"/>
      <c r="D142"/>
      <c r="E142"/>
      <c r="F142" s="165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9"/>
    </row>
    <row r="143" spans="2:18" s="114" customFormat="1">
      <c r="B143" s="292" t="s">
        <v>572</v>
      </c>
      <c r="C143" s="96">
        <v>119</v>
      </c>
      <c r="D143" s="11" t="s">
        <v>573</v>
      </c>
      <c r="E143" s="11"/>
      <c r="F143" s="12">
        <v>150000</v>
      </c>
      <c r="G143" s="12">
        <v>19995</v>
      </c>
      <c r="H143" s="15">
        <f>SUM(F143:G143)</f>
        <v>169995</v>
      </c>
      <c r="I143" s="318">
        <v>3399.9</v>
      </c>
      <c r="J143" s="14">
        <v>50</v>
      </c>
      <c r="K143" s="14">
        <v>49</v>
      </c>
      <c r="L143" s="91">
        <f>K143*I143</f>
        <v>166595.1</v>
      </c>
      <c r="M143" s="15">
        <f>H143-L143</f>
        <v>3399.8999999999942</v>
      </c>
      <c r="N143" s="159">
        <f>J143-K143</f>
        <v>1</v>
      </c>
      <c r="O143" s="159"/>
      <c r="P143" s="97"/>
      <c r="Q143" s="8"/>
    </row>
    <row r="144" spans="2:18" s="114" customFormat="1">
      <c r="B144" s="292" t="s">
        <v>657</v>
      </c>
      <c r="C144" s="96">
        <v>27</v>
      </c>
      <c r="D144" s="11" t="s">
        <v>658</v>
      </c>
      <c r="E144" s="11"/>
      <c r="F144" s="12">
        <v>500000</v>
      </c>
      <c r="G144" s="12">
        <v>66650</v>
      </c>
      <c r="H144" s="15">
        <f>SUM(F144:G144)</f>
        <v>566650</v>
      </c>
      <c r="I144" s="146">
        <v>11333</v>
      </c>
      <c r="J144" s="14">
        <v>50</v>
      </c>
      <c r="K144" s="14">
        <v>49</v>
      </c>
      <c r="L144" s="91">
        <f>K144*I144</f>
        <v>555317</v>
      </c>
      <c r="M144" s="15">
        <f>H144-L144</f>
        <v>11333</v>
      </c>
      <c r="N144" s="159">
        <f>J144-K144</f>
        <v>1</v>
      </c>
      <c r="O144" s="159"/>
      <c r="P144" s="97"/>
      <c r="Q144" s="8"/>
    </row>
    <row r="145" spans="2:17" s="114" customFormat="1">
      <c r="B145" s="292" t="s">
        <v>536</v>
      </c>
      <c r="C145" s="96">
        <v>91</v>
      </c>
      <c r="D145" s="11" t="s">
        <v>537</v>
      </c>
      <c r="E145" s="11"/>
      <c r="F145" s="12">
        <v>500000</v>
      </c>
      <c r="G145" s="12">
        <v>66650</v>
      </c>
      <c r="H145" s="15">
        <f>SUM(F145:G145)</f>
        <v>566650</v>
      </c>
      <c r="I145" s="237">
        <v>11333</v>
      </c>
      <c r="J145" s="14">
        <v>50</v>
      </c>
      <c r="K145" s="14">
        <v>49</v>
      </c>
      <c r="L145" s="91">
        <f>K145*I145</f>
        <v>555317</v>
      </c>
      <c r="M145" s="15">
        <f>H145-L145</f>
        <v>11333</v>
      </c>
      <c r="N145" s="159">
        <f>J145-K145</f>
        <v>1</v>
      </c>
      <c r="O145" s="159"/>
      <c r="P145" s="97"/>
      <c r="Q145" s="8"/>
    </row>
    <row r="146" spans="2:17">
      <c r="B146" s="292" t="s">
        <v>629</v>
      </c>
      <c r="C146" s="96">
        <v>86</v>
      </c>
      <c r="D146" s="11" t="s">
        <v>630</v>
      </c>
      <c r="E146" s="11"/>
      <c r="F146" s="12">
        <v>330000</v>
      </c>
      <c r="G146" s="12">
        <v>43989</v>
      </c>
      <c r="H146" s="15">
        <f>SUM(F146:G146)</f>
        <v>373989</v>
      </c>
      <c r="I146" s="146">
        <v>7479.78</v>
      </c>
      <c r="J146" s="14">
        <v>50</v>
      </c>
      <c r="K146" s="14">
        <v>49</v>
      </c>
      <c r="L146" s="91">
        <f>K146*I146</f>
        <v>366509.22</v>
      </c>
      <c r="M146" s="15">
        <f>H146-L146</f>
        <v>7479.7800000000279</v>
      </c>
      <c r="N146" s="159">
        <f>J146-K146</f>
        <v>1</v>
      </c>
      <c r="O146" s="159"/>
      <c r="P146" s="97"/>
      <c r="Q146" s="8"/>
    </row>
    <row r="147" spans="2:17">
      <c r="B147" s="292" t="s">
        <v>538</v>
      </c>
      <c r="C147" s="96">
        <v>50</v>
      </c>
      <c r="D147" s="11" t="s">
        <v>539</v>
      </c>
      <c r="E147" s="11"/>
      <c r="F147" s="12">
        <v>500000</v>
      </c>
      <c r="G147" s="12">
        <v>66650</v>
      </c>
      <c r="H147" s="15">
        <f>SUM(F147:G147)</f>
        <v>566650</v>
      </c>
      <c r="I147" s="146">
        <v>11333</v>
      </c>
      <c r="J147" s="14">
        <v>50</v>
      </c>
      <c r="K147" s="14">
        <v>49</v>
      </c>
      <c r="L147" s="91">
        <f>K147*I147</f>
        <v>555317</v>
      </c>
      <c r="M147" s="15">
        <f>H147-L147</f>
        <v>11333</v>
      </c>
      <c r="N147" s="159">
        <f>J147-K147</f>
        <v>1</v>
      </c>
      <c r="O147" s="159"/>
      <c r="P147" s="97"/>
      <c r="Q147" s="8"/>
    </row>
  </sheetData>
  <mergeCells count="2">
    <mergeCell ref="C3:Q3"/>
    <mergeCell ref="C4:Q4"/>
  </mergeCells>
  <conditionalFormatting sqref="D3:E3">
    <cfRule type="duplicateValues" dxfId="183" priority="16"/>
  </conditionalFormatting>
  <conditionalFormatting sqref="D131:E135">
    <cfRule type="duplicateValues" dxfId="182" priority="14"/>
    <cfRule type="duplicateValues" dxfId="181" priority="15"/>
  </conditionalFormatting>
  <conditionalFormatting sqref="D131:E135">
    <cfRule type="duplicateValues" dxfId="180" priority="13"/>
  </conditionalFormatting>
  <conditionalFormatting sqref="B131:B135">
    <cfRule type="duplicateValues" dxfId="179" priority="12"/>
  </conditionalFormatting>
  <conditionalFormatting sqref="D148:E1048576 D1:E5">
    <cfRule type="duplicateValues" dxfId="178" priority="11"/>
  </conditionalFormatting>
  <conditionalFormatting sqref="D148:E1048576 D1:E2 D4:E5">
    <cfRule type="duplicateValues" dxfId="177" priority="10"/>
  </conditionalFormatting>
  <conditionalFormatting sqref="D148:E1048576">
    <cfRule type="duplicateValues" dxfId="176" priority="9"/>
  </conditionalFormatting>
  <conditionalFormatting sqref="D1:E120 D126:E1048576">
    <cfRule type="duplicateValues" dxfId="175" priority="8"/>
  </conditionalFormatting>
  <conditionalFormatting sqref="B1:B120 B126:B1048576">
    <cfRule type="duplicateValues" dxfId="174" priority="7"/>
  </conditionalFormatting>
  <conditionalFormatting sqref="D1:E120 D126:E1048576">
    <cfRule type="duplicateValues" dxfId="173" priority="5"/>
    <cfRule type="duplicateValues" dxfId="172" priority="6"/>
  </conditionalFormatting>
  <conditionalFormatting sqref="D129:E130">
    <cfRule type="duplicateValues" dxfId="171" priority="4"/>
  </conditionalFormatting>
  <conditionalFormatting sqref="B129:B130">
    <cfRule type="duplicateValues" dxfId="170" priority="3"/>
  </conditionalFormatting>
  <conditionalFormatting sqref="D129:E130">
    <cfRule type="duplicateValues" dxfId="169" priority="1"/>
    <cfRule type="duplicateValues" dxfId="168" priority="2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3:P271"/>
  <sheetViews>
    <sheetView topLeftCell="A121" workbookViewId="0">
      <selection activeCell="G129" sqref="G129"/>
    </sheetView>
  </sheetViews>
  <sheetFormatPr defaultRowHeight="15"/>
  <cols>
    <col min="1" max="1" width="13.140625" style="298" customWidth="1"/>
    <col min="2" max="2" width="4.5703125" style="44" customWidth="1"/>
    <col min="3" max="3" width="37" style="184" customWidth="1"/>
    <col min="4" max="4" width="10.85546875" style="184" customWidth="1"/>
    <col min="5" max="5" width="14" bestFit="1" customWidth="1"/>
    <col min="6" max="6" width="12.85546875" bestFit="1" customWidth="1"/>
    <col min="7" max="7" width="14.42578125" customWidth="1"/>
    <col min="8" max="8" width="13.28515625" bestFit="1" customWidth="1"/>
    <col min="9" max="9" width="10.140625" style="43" customWidth="1"/>
    <col min="10" max="10" width="9.5703125" style="99" customWidth="1"/>
    <col min="11" max="11" width="14" customWidth="1"/>
    <col min="12" max="12" width="14" bestFit="1" customWidth="1"/>
    <col min="13" max="13" width="11.28515625" style="99" customWidth="1"/>
    <col min="14" max="14" width="8.28515625" style="99" customWidth="1"/>
    <col min="15" max="15" width="8.85546875" style="99" customWidth="1"/>
    <col min="16" max="16" width="7.85546875" customWidth="1"/>
  </cols>
  <sheetData>
    <row r="3" spans="1:16" ht="20.25">
      <c r="A3" s="260"/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</row>
    <row r="4" spans="1:16" ht="18">
      <c r="A4" s="324"/>
      <c r="B4" s="424" t="s">
        <v>1298</v>
      </c>
      <c r="C4" s="424"/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</row>
    <row r="5" spans="1:16" s="44" customFormat="1" ht="51">
      <c r="A5" s="291" t="s">
        <v>869</v>
      </c>
      <c r="B5" s="5" t="s">
        <v>0</v>
      </c>
      <c r="C5" s="5" t="s">
        <v>1</v>
      </c>
      <c r="D5" s="325" t="s">
        <v>1275</v>
      </c>
      <c r="E5" s="7" t="s">
        <v>2</v>
      </c>
      <c r="F5" s="7" t="s">
        <v>3</v>
      </c>
      <c r="G5" s="5" t="s">
        <v>4</v>
      </c>
      <c r="H5" s="6" t="s">
        <v>6</v>
      </c>
      <c r="I5" s="7" t="s">
        <v>5</v>
      </c>
      <c r="J5" s="326" t="s">
        <v>7</v>
      </c>
      <c r="K5" s="7" t="s">
        <v>9</v>
      </c>
      <c r="L5" s="6" t="s">
        <v>10</v>
      </c>
      <c r="M5" s="7" t="s">
        <v>8</v>
      </c>
      <c r="N5" s="326" t="s">
        <v>1277</v>
      </c>
      <c r="O5" s="6" t="s">
        <v>11</v>
      </c>
      <c r="P5" s="325" t="s">
        <v>1276</v>
      </c>
    </row>
    <row r="6" spans="1:16" s="114" customFormat="1">
      <c r="A6" s="293" t="s">
        <v>1235</v>
      </c>
      <c r="B6" s="96">
        <v>1</v>
      </c>
      <c r="C6" s="123" t="s">
        <v>1236</v>
      </c>
      <c r="D6" s="123"/>
      <c r="E6" s="19">
        <v>330000</v>
      </c>
      <c r="F6" s="19">
        <v>43989</v>
      </c>
      <c r="G6" s="19">
        <f>SUM(E6:F6)</f>
        <v>373989</v>
      </c>
      <c r="H6" s="327">
        <v>7479.78</v>
      </c>
      <c r="I6" s="159">
        <v>50</v>
      </c>
      <c r="J6" s="159">
        <v>14</v>
      </c>
      <c r="K6" s="16">
        <f t="shared" ref="K6:K30" si="0">J6*H6</f>
        <v>104716.92</v>
      </c>
      <c r="L6" s="94">
        <f t="shared" ref="L6:L37" si="1">G6-K6</f>
        <v>269272.08</v>
      </c>
      <c r="M6" s="159">
        <f t="shared" ref="M6:M37" si="2">I6-J6</f>
        <v>36</v>
      </c>
      <c r="N6" s="159"/>
      <c r="O6" s="159"/>
      <c r="P6" s="11"/>
    </row>
    <row r="7" spans="1:16" s="114" customFormat="1">
      <c r="A7" s="293" t="s">
        <v>894</v>
      </c>
      <c r="B7" s="96">
        <v>2</v>
      </c>
      <c r="C7" s="123" t="s">
        <v>916</v>
      </c>
      <c r="D7" s="123"/>
      <c r="E7" s="19">
        <v>450000</v>
      </c>
      <c r="F7" s="19">
        <v>59985</v>
      </c>
      <c r="G7" s="19">
        <v>509985</v>
      </c>
      <c r="H7" s="327">
        <v>10199.700000000001</v>
      </c>
      <c r="I7" s="159">
        <v>50</v>
      </c>
      <c r="J7" s="159">
        <v>15</v>
      </c>
      <c r="K7" s="16">
        <f t="shared" si="0"/>
        <v>152995.5</v>
      </c>
      <c r="L7" s="94">
        <f t="shared" si="1"/>
        <v>356989.5</v>
      </c>
      <c r="M7" s="159">
        <f t="shared" si="2"/>
        <v>35</v>
      </c>
      <c r="N7" s="159"/>
      <c r="O7" s="159"/>
      <c r="P7" s="122"/>
    </row>
    <row r="8" spans="1:16" s="114" customFormat="1">
      <c r="A8" s="292" t="s">
        <v>666</v>
      </c>
      <c r="B8" s="96">
        <v>3</v>
      </c>
      <c r="C8" s="11" t="s">
        <v>667</v>
      </c>
      <c r="D8" s="11"/>
      <c r="E8" s="19">
        <v>150000</v>
      </c>
      <c r="F8" s="19">
        <v>19995</v>
      </c>
      <c r="G8" s="19">
        <f>SUM(E8:F8)</f>
        <v>169995</v>
      </c>
      <c r="H8" s="318">
        <v>3339.9</v>
      </c>
      <c r="I8" s="159">
        <v>50</v>
      </c>
      <c r="J8" s="159">
        <v>18</v>
      </c>
      <c r="K8" s="91">
        <f t="shared" si="0"/>
        <v>60118.200000000004</v>
      </c>
      <c r="L8" s="94">
        <f t="shared" si="1"/>
        <v>109876.79999999999</v>
      </c>
      <c r="M8" s="159">
        <f t="shared" si="2"/>
        <v>32</v>
      </c>
      <c r="N8" s="159"/>
      <c r="O8" s="97"/>
      <c r="P8" s="11"/>
    </row>
    <row r="9" spans="1:16" s="114" customFormat="1">
      <c r="A9" s="293" t="s">
        <v>896</v>
      </c>
      <c r="B9" s="96">
        <v>4</v>
      </c>
      <c r="C9" s="123" t="s">
        <v>919</v>
      </c>
      <c r="D9" s="123"/>
      <c r="E9" s="19">
        <v>450000</v>
      </c>
      <c r="F9" s="19">
        <v>59985</v>
      </c>
      <c r="G9" s="19">
        <v>509985</v>
      </c>
      <c r="H9" s="327">
        <v>10199.700000000001</v>
      </c>
      <c r="I9" s="159">
        <v>50</v>
      </c>
      <c r="J9" s="159">
        <v>15</v>
      </c>
      <c r="K9" s="16">
        <f t="shared" si="0"/>
        <v>152995.5</v>
      </c>
      <c r="L9" s="94">
        <f t="shared" si="1"/>
        <v>356989.5</v>
      </c>
      <c r="M9" s="159">
        <f t="shared" si="2"/>
        <v>35</v>
      </c>
      <c r="N9" s="159"/>
      <c r="O9" s="159"/>
      <c r="P9" s="11"/>
    </row>
    <row r="10" spans="1:16" s="114" customFormat="1">
      <c r="A10" s="293" t="s">
        <v>945</v>
      </c>
      <c r="B10" s="96">
        <v>5</v>
      </c>
      <c r="C10" s="123" t="s">
        <v>946</v>
      </c>
      <c r="D10" s="123"/>
      <c r="E10" s="16">
        <v>500000</v>
      </c>
      <c r="F10" s="16">
        <v>66650</v>
      </c>
      <c r="G10" s="41">
        <f>SUM(E10:F10)</f>
        <v>566650</v>
      </c>
      <c r="H10" s="327">
        <v>11333</v>
      </c>
      <c r="I10" s="159">
        <v>50</v>
      </c>
      <c r="J10" s="159">
        <v>15</v>
      </c>
      <c r="K10" s="16">
        <f t="shared" si="0"/>
        <v>169995</v>
      </c>
      <c r="L10" s="94">
        <f t="shared" si="1"/>
        <v>396655</v>
      </c>
      <c r="M10" s="159">
        <f t="shared" si="2"/>
        <v>35</v>
      </c>
      <c r="N10" s="159"/>
      <c r="O10" s="159"/>
      <c r="P10" s="11"/>
    </row>
    <row r="11" spans="1:16" s="114" customFormat="1">
      <c r="A11" s="292" t="s">
        <v>530</v>
      </c>
      <c r="B11" s="96">
        <v>6</v>
      </c>
      <c r="C11" s="11" t="s">
        <v>531</v>
      </c>
      <c r="D11" s="11"/>
      <c r="E11" s="16">
        <v>500000</v>
      </c>
      <c r="F11" s="16">
        <v>66650</v>
      </c>
      <c r="G11" s="16">
        <v>566650</v>
      </c>
      <c r="H11" s="318">
        <v>11333</v>
      </c>
      <c r="I11" s="159">
        <v>50</v>
      </c>
      <c r="J11" s="97">
        <v>45</v>
      </c>
      <c r="K11" s="91">
        <f t="shared" si="0"/>
        <v>509985</v>
      </c>
      <c r="L11" s="94">
        <f t="shared" si="1"/>
        <v>56665</v>
      </c>
      <c r="M11" s="159">
        <f t="shared" si="2"/>
        <v>5</v>
      </c>
      <c r="N11" s="159"/>
      <c r="O11" s="97"/>
      <c r="P11" s="11"/>
    </row>
    <row r="12" spans="1:16" s="114" customFormat="1">
      <c r="A12" s="292" t="s">
        <v>590</v>
      </c>
      <c r="B12" s="96">
        <v>7</v>
      </c>
      <c r="C12" s="11" t="s">
        <v>591</v>
      </c>
      <c r="D12" s="11"/>
      <c r="E12" s="19">
        <v>150000</v>
      </c>
      <c r="F12" s="19">
        <v>19995</v>
      </c>
      <c r="G12" s="19">
        <f t="shared" ref="G12:G22" si="3">SUM(E12:F12)</f>
        <v>169995</v>
      </c>
      <c r="H12" s="146">
        <v>3399.9</v>
      </c>
      <c r="I12" s="159">
        <v>50</v>
      </c>
      <c r="J12" s="97">
        <v>45</v>
      </c>
      <c r="K12" s="91">
        <f t="shared" si="0"/>
        <v>152995.5</v>
      </c>
      <c r="L12" s="94">
        <f t="shared" si="1"/>
        <v>16999.5</v>
      </c>
      <c r="M12" s="159">
        <f t="shared" si="2"/>
        <v>5</v>
      </c>
      <c r="N12" s="159"/>
      <c r="O12" s="97"/>
      <c r="P12" s="8"/>
    </row>
    <row r="13" spans="1:16" s="114" customFormat="1">
      <c r="A13" s="293" t="s">
        <v>929</v>
      </c>
      <c r="B13" s="96">
        <v>8</v>
      </c>
      <c r="C13" s="11" t="s">
        <v>932</v>
      </c>
      <c r="D13" s="11"/>
      <c r="E13" s="16">
        <v>500000</v>
      </c>
      <c r="F13" s="16">
        <v>66650</v>
      </c>
      <c r="G13" s="41">
        <f t="shared" si="3"/>
        <v>566650</v>
      </c>
      <c r="H13" s="327">
        <v>11333</v>
      </c>
      <c r="I13" s="159">
        <v>50</v>
      </c>
      <c r="J13" s="159">
        <v>45</v>
      </c>
      <c r="K13" s="16">
        <f t="shared" si="0"/>
        <v>509985</v>
      </c>
      <c r="L13" s="94">
        <f t="shared" si="1"/>
        <v>56665</v>
      </c>
      <c r="M13" s="159">
        <f t="shared" si="2"/>
        <v>5</v>
      </c>
      <c r="N13" s="159"/>
      <c r="O13" s="159"/>
      <c r="P13" s="122"/>
    </row>
    <row r="14" spans="1:16" s="114" customFormat="1">
      <c r="A14" s="293" t="s">
        <v>1207</v>
      </c>
      <c r="B14" s="96">
        <v>9</v>
      </c>
      <c r="C14" s="123" t="s">
        <v>1208</v>
      </c>
      <c r="D14" s="123"/>
      <c r="E14" s="19">
        <v>330000</v>
      </c>
      <c r="F14" s="19">
        <v>43989</v>
      </c>
      <c r="G14" s="19">
        <f t="shared" si="3"/>
        <v>373989</v>
      </c>
      <c r="H14" s="327">
        <v>7479.78</v>
      </c>
      <c r="I14" s="159">
        <v>50</v>
      </c>
      <c r="J14" s="159">
        <v>7</v>
      </c>
      <c r="K14" s="16">
        <f t="shared" si="0"/>
        <v>52358.46</v>
      </c>
      <c r="L14" s="94">
        <f t="shared" si="1"/>
        <v>321630.53999999998</v>
      </c>
      <c r="M14" s="159">
        <f t="shared" si="2"/>
        <v>43</v>
      </c>
      <c r="N14" s="159"/>
      <c r="O14" s="159"/>
      <c r="P14" s="11"/>
    </row>
    <row r="15" spans="1:16" s="114" customFormat="1">
      <c r="A15" s="292" t="s">
        <v>690</v>
      </c>
      <c r="B15" s="96">
        <v>10</v>
      </c>
      <c r="C15" s="11" t="s">
        <v>691</v>
      </c>
      <c r="D15" s="11"/>
      <c r="E15" s="16">
        <v>500000</v>
      </c>
      <c r="F15" s="16">
        <v>66650</v>
      </c>
      <c r="G15" s="41">
        <f t="shared" si="3"/>
        <v>566650</v>
      </c>
      <c r="H15" s="318">
        <v>11333</v>
      </c>
      <c r="I15" s="159">
        <v>50</v>
      </c>
      <c r="J15" s="159">
        <v>18</v>
      </c>
      <c r="K15" s="91">
        <f t="shared" si="0"/>
        <v>203994</v>
      </c>
      <c r="L15" s="94">
        <f t="shared" si="1"/>
        <v>362656</v>
      </c>
      <c r="M15" s="159">
        <f t="shared" si="2"/>
        <v>32</v>
      </c>
      <c r="N15" s="159"/>
      <c r="O15" s="97"/>
      <c r="P15" s="11"/>
    </row>
    <row r="16" spans="1:16" s="114" customFormat="1">
      <c r="A16" s="293" t="s">
        <v>1162</v>
      </c>
      <c r="B16" s="96">
        <v>11</v>
      </c>
      <c r="C16" s="123" t="s">
        <v>1163</v>
      </c>
      <c r="D16" s="123"/>
      <c r="E16" s="16">
        <v>500000</v>
      </c>
      <c r="F16" s="16">
        <v>66650</v>
      </c>
      <c r="G16" s="41">
        <f t="shared" si="3"/>
        <v>566650</v>
      </c>
      <c r="H16" s="327">
        <v>11333</v>
      </c>
      <c r="I16" s="159">
        <v>50</v>
      </c>
      <c r="J16" s="159">
        <v>7</v>
      </c>
      <c r="K16" s="16">
        <f t="shared" si="0"/>
        <v>79331</v>
      </c>
      <c r="L16" s="94">
        <f t="shared" si="1"/>
        <v>487319</v>
      </c>
      <c r="M16" s="159">
        <f t="shared" si="2"/>
        <v>43</v>
      </c>
      <c r="N16" s="159"/>
      <c r="O16" s="159"/>
      <c r="P16" s="11"/>
    </row>
    <row r="17" spans="1:16" s="114" customFormat="1">
      <c r="A17" s="122" t="s">
        <v>1253</v>
      </c>
      <c r="B17" s="96">
        <v>12</v>
      </c>
      <c r="C17" s="11" t="s">
        <v>1254</v>
      </c>
      <c r="D17" s="122"/>
      <c r="E17" s="16">
        <v>500000</v>
      </c>
      <c r="F17" s="16">
        <v>66650</v>
      </c>
      <c r="G17" s="41">
        <f t="shared" si="3"/>
        <v>566650</v>
      </c>
      <c r="H17" s="16">
        <v>11333</v>
      </c>
      <c r="I17" s="159">
        <v>50</v>
      </c>
      <c r="J17" s="188">
        <v>5</v>
      </c>
      <c r="K17" s="16">
        <f t="shared" si="0"/>
        <v>56665</v>
      </c>
      <c r="L17" s="94">
        <f t="shared" si="1"/>
        <v>509985</v>
      </c>
      <c r="M17" s="159">
        <f t="shared" si="2"/>
        <v>45</v>
      </c>
      <c r="N17" s="159"/>
      <c r="O17" s="159"/>
      <c r="P17" s="11"/>
    </row>
    <row r="18" spans="1:16" s="114" customFormat="1">
      <c r="A18" s="292" t="s">
        <v>728</v>
      </c>
      <c r="B18" s="96">
        <v>13</v>
      </c>
      <c r="C18" s="11" t="s">
        <v>729</v>
      </c>
      <c r="D18" s="11"/>
      <c r="E18" s="16">
        <v>500000</v>
      </c>
      <c r="F18" s="16">
        <v>47992</v>
      </c>
      <c r="G18" s="41">
        <f t="shared" si="3"/>
        <v>547992</v>
      </c>
      <c r="H18" s="146">
        <v>15222</v>
      </c>
      <c r="I18" s="159">
        <v>36</v>
      </c>
      <c r="J18" s="97">
        <v>36</v>
      </c>
      <c r="K18" s="91">
        <f t="shared" si="0"/>
        <v>547992</v>
      </c>
      <c r="L18" s="94">
        <f t="shared" si="1"/>
        <v>0</v>
      </c>
      <c r="M18" s="159">
        <f t="shared" si="2"/>
        <v>0</v>
      </c>
      <c r="N18" s="159"/>
      <c r="O18" s="97"/>
      <c r="P18" s="8"/>
    </row>
    <row r="19" spans="1:16" s="114" customFormat="1">
      <c r="A19" s="292" t="s">
        <v>645</v>
      </c>
      <c r="B19" s="96">
        <v>14</v>
      </c>
      <c r="C19" s="11" t="s">
        <v>646</v>
      </c>
      <c r="D19" s="11"/>
      <c r="E19" s="16">
        <v>500000</v>
      </c>
      <c r="F19" s="16">
        <v>66650</v>
      </c>
      <c r="G19" s="41">
        <f t="shared" si="3"/>
        <v>566650</v>
      </c>
      <c r="H19" s="318">
        <v>11333</v>
      </c>
      <c r="I19" s="159">
        <v>50</v>
      </c>
      <c r="J19" s="97">
        <v>45</v>
      </c>
      <c r="K19" s="91">
        <f t="shared" si="0"/>
        <v>509985</v>
      </c>
      <c r="L19" s="94">
        <f t="shared" si="1"/>
        <v>56665</v>
      </c>
      <c r="M19" s="159">
        <f t="shared" si="2"/>
        <v>5</v>
      </c>
      <c r="N19" s="159"/>
      <c r="O19" s="97"/>
      <c r="P19" s="11"/>
    </row>
    <row r="20" spans="1:16" s="114" customFormat="1">
      <c r="A20" s="293" t="s">
        <v>885</v>
      </c>
      <c r="B20" s="96">
        <v>15</v>
      </c>
      <c r="C20" s="123" t="s">
        <v>907</v>
      </c>
      <c r="D20" s="123"/>
      <c r="E20" s="16">
        <v>500000</v>
      </c>
      <c r="F20" s="16">
        <v>66650</v>
      </c>
      <c r="G20" s="41">
        <f t="shared" si="3"/>
        <v>566650</v>
      </c>
      <c r="H20" s="327">
        <v>11333</v>
      </c>
      <c r="I20" s="159">
        <v>50</v>
      </c>
      <c r="J20" s="159">
        <v>15</v>
      </c>
      <c r="K20" s="16">
        <f t="shared" si="0"/>
        <v>169995</v>
      </c>
      <c r="L20" s="94">
        <f t="shared" si="1"/>
        <v>396655</v>
      </c>
      <c r="M20" s="159">
        <f t="shared" si="2"/>
        <v>35</v>
      </c>
      <c r="N20" s="159"/>
      <c r="O20" s="159"/>
      <c r="P20" s="11"/>
    </row>
    <row r="21" spans="1:16" s="114" customFormat="1">
      <c r="A21" s="295" t="s">
        <v>930</v>
      </c>
      <c r="B21" s="96">
        <v>16</v>
      </c>
      <c r="C21" s="11" t="s">
        <v>933</v>
      </c>
      <c r="D21" s="8"/>
      <c r="E21" s="19">
        <v>330000</v>
      </c>
      <c r="F21" s="19">
        <v>31672.200000000012</v>
      </c>
      <c r="G21" s="19">
        <f t="shared" si="3"/>
        <v>361672.2</v>
      </c>
      <c r="H21" s="319">
        <v>10046.450000000001</v>
      </c>
      <c r="I21" s="159">
        <v>36</v>
      </c>
      <c r="J21" s="159">
        <v>19</v>
      </c>
      <c r="K21" s="16">
        <f t="shared" si="0"/>
        <v>190882.55000000002</v>
      </c>
      <c r="L21" s="94">
        <f t="shared" si="1"/>
        <v>170789.65</v>
      </c>
      <c r="M21" s="159">
        <f t="shared" si="2"/>
        <v>17</v>
      </c>
      <c r="N21" s="159"/>
      <c r="O21" s="159"/>
      <c r="P21" s="11"/>
    </row>
    <row r="22" spans="1:16" s="114" customFormat="1">
      <c r="A22" s="292" t="s">
        <v>626</v>
      </c>
      <c r="B22" s="96">
        <v>17</v>
      </c>
      <c r="C22" s="11" t="s">
        <v>627</v>
      </c>
      <c r="D22" s="11"/>
      <c r="E22" s="16">
        <v>330000</v>
      </c>
      <c r="F22" s="16">
        <v>43989</v>
      </c>
      <c r="G22" s="41">
        <f t="shared" si="3"/>
        <v>373989</v>
      </c>
      <c r="H22" s="318">
        <v>7479.78</v>
      </c>
      <c r="I22" s="159">
        <v>50</v>
      </c>
      <c r="J22" s="97">
        <v>46</v>
      </c>
      <c r="K22" s="91">
        <f t="shared" si="0"/>
        <v>344069.88</v>
      </c>
      <c r="L22" s="94">
        <f t="shared" si="1"/>
        <v>29919.119999999995</v>
      </c>
      <c r="M22" s="159">
        <f t="shared" si="2"/>
        <v>4</v>
      </c>
      <c r="N22" s="159"/>
      <c r="O22" s="97"/>
      <c r="P22" s="11"/>
    </row>
    <row r="23" spans="1:16" s="114" customFormat="1">
      <c r="A23" s="292" t="s">
        <v>617</v>
      </c>
      <c r="B23" s="96">
        <v>18</v>
      </c>
      <c r="C23" s="11" t="s">
        <v>618</v>
      </c>
      <c r="D23" s="11"/>
      <c r="E23" s="16">
        <v>450000</v>
      </c>
      <c r="F23" s="16">
        <v>59985</v>
      </c>
      <c r="G23" s="16">
        <v>509985</v>
      </c>
      <c r="H23" s="318">
        <v>10199.700000000001</v>
      </c>
      <c r="I23" s="159">
        <v>50</v>
      </c>
      <c r="J23" s="97">
        <v>46</v>
      </c>
      <c r="K23" s="91">
        <f t="shared" si="0"/>
        <v>469186.2</v>
      </c>
      <c r="L23" s="94">
        <f t="shared" si="1"/>
        <v>40798.799999999988</v>
      </c>
      <c r="M23" s="159">
        <f t="shared" si="2"/>
        <v>4</v>
      </c>
      <c r="N23" s="159"/>
      <c r="O23" s="97"/>
      <c r="P23" s="11"/>
    </row>
    <row r="24" spans="1:16" s="114" customFormat="1">
      <c r="A24" s="293" t="s">
        <v>1249</v>
      </c>
      <c r="B24" s="96">
        <v>19</v>
      </c>
      <c r="C24" s="11" t="s">
        <v>1250</v>
      </c>
      <c r="D24" s="11"/>
      <c r="E24" s="19">
        <v>330000</v>
      </c>
      <c r="F24" s="19">
        <v>43989</v>
      </c>
      <c r="G24" s="19">
        <f>SUM(E24:F24)</f>
        <v>373989</v>
      </c>
      <c r="H24" s="327">
        <v>7479.78</v>
      </c>
      <c r="I24" s="159">
        <v>50</v>
      </c>
      <c r="J24" s="96">
        <v>8</v>
      </c>
      <c r="K24" s="91">
        <f t="shared" si="0"/>
        <v>59838.239999999998</v>
      </c>
      <c r="L24" s="94">
        <f t="shared" si="1"/>
        <v>314150.76</v>
      </c>
      <c r="M24" s="159">
        <f t="shared" si="2"/>
        <v>42</v>
      </c>
      <c r="N24" s="159"/>
      <c r="O24" s="97"/>
      <c r="P24" s="11"/>
    </row>
    <row r="25" spans="1:16" s="114" customFormat="1">
      <c r="A25" s="292" t="s">
        <v>509</v>
      </c>
      <c r="B25" s="96">
        <v>20</v>
      </c>
      <c r="C25" s="11" t="s">
        <v>510</v>
      </c>
      <c r="D25" s="11"/>
      <c r="E25" s="19">
        <v>450000</v>
      </c>
      <c r="F25" s="19">
        <v>59985</v>
      </c>
      <c r="G25" s="19">
        <v>509985</v>
      </c>
      <c r="H25" s="318">
        <v>10199.700000000001</v>
      </c>
      <c r="I25" s="159">
        <v>50</v>
      </c>
      <c r="J25" s="97">
        <v>32</v>
      </c>
      <c r="K25" s="91">
        <f t="shared" si="0"/>
        <v>326390.40000000002</v>
      </c>
      <c r="L25" s="91">
        <f t="shared" si="1"/>
        <v>183594.59999999998</v>
      </c>
      <c r="M25" s="159">
        <f t="shared" si="2"/>
        <v>18</v>
      </c>
      <c r="N25" s="159"/>
      <c r="O25" s="97"/>
      <c r="P25" s="11"/>
    </row>
    <row r="26" spans="1:16" s="114" customFormat="1">
      <c r="A26" s="293" t="s">
        <v>902</v>
      </c>
      <c r="B26" s="96">
        <v>21</v>
      </c>
      <c r="C26" s="123" t="s">
        <v>926</v>
      </c>
      <c r="D26" s="123"/>
      <c r="E26" s="19">
        <v>150000</v>
      </c>
      <c r="F26" s="19">
        <v>19995</v>
      </c>
      <c r="G26" s="19">
        <f>SUM(E26:F26)</f>
        <v>169995</v>
      </c>
      <c r="H26" s="327">
        <v>3399.9</v>
      </c>
      <c r="I26" s="159">
        <v>50</v>
      </c>
      <c r="J26" s="159">
        <v>15</v>
      </c>
      <c r="K26" s="16">
        <f t="shared" si="0"/>
        <v>50998.5</v>
      </c>
      <c r="L26" s="94">
        <f t="shared" si="1"/>
        <v>118996.5</v>
      </c>
      <c r="M26" s="159">
        <f t="shared" si="2"/>
        <v>35</v>
      </c>
      <c r="N26" s="159"/>
      <c r="O26" s="159"/>
      <c r="P26" s="11"/>
    </row>
    <row r="27" spans="1:16" s="114" customFormat="1">
      <c r="A27" s="292" t="s">
        <v>719</v>
      </c>
      <c r="B27" s="96">
        <v>22</v>
      </c>
      <c r="C27" s="11" t="s">
        <v>720</v>
      </c>
      <c r="D27" s="11"/>
      <c r="E27" s="16">
        <v>500000</v>
      </c>
      <c r="F27" s="16">
        <v>66650</v>
      </c>
      <c r="G27" s="16">
        <v>566650</v>
      </c>
      <c r="H27" s="318">
        <v>11333</v>
      </c>
      <c r="I27" s="159">
        <v>50</v>
      </c>
      <c r="J27" s="101">
        <v>20</v>
      </c>
      <c r="K27" s="91">
        <f t="shared" si="0"/>
        <v>226660</v>
      </c>
      <c r="L27" s="94">
        <f t="shared" si="1"/>
        <v>339990</v>
      </c>
      <c r="M27" s="159">
        <f t="shared" si="2"/>
        <v>30</v>
      </c>
      <c r="N27" s="159"/>
      <c r="O27" s="97"/>
      <c r="P27" s="8"/>
    </row>
    <row r="28" spans="1:16" s="114" customFormat="1">
      <c r="A28" s="292" t="s">
        <v>619</v>
      </c>
      <c r="B28" s="96">
        <v>23</v>
      </c>
      <c r="C28" s="11" t="s">
        <v>620</v>
      </c>
      <c r="D28" s="11"/>
      <c r="E28" s="16">
        <v>500000</v>
      </c>
      <c r="F28" s="16">
        <v>66650</v>
      </c>
      <c r="G28" s="16">
        <v>566650</v>
      </c>
      <c r="H28" s="318">
        <v>11333</v>
      </c>
      <c r="I28" s="159">
        <v>50</v>
      </c>
      <c r="J28" s="97">
        <v>46</v>
      </c>
      <c r="K28" s="91">
        <f t="shared" si="0"/>
        <v>521318</v>
      </c>
      <c r="L28" s="94">
        <f t="shared" si="1"/>
        <v>45332</v>
      </c>
      <c r="M28" s="159">
        <f t="shared" si="2"/>
        <v>4</v>
      </c>
      <c r="N28" s="159"/>
      <c r="O28" s="97"/>
      <c r="P28" s="11"/>
    </row>
    <row r="29" spans="1:16" s="114" customFormat="1">
      <c r="A29" s="292" t="s">
        <v>507</v>
      </c>
      <c r="B29" s="96">
        <v>24</v>
      </c>
      <c r="C29" s="11" t="s">
        <v>508</v>
      </c>
      <c r="D29" s="11"/>
      <c r="E29" s="16">
        <v>500000</v>
      </c>
      <c r="F29" s="16">
        <v>66650</v>
      </c>
      <c r="G29" s="16">
        <v>566650</v>
      </c>
      <c r="H29" s="318">
        <v>11333</v>
      </c>
      <c r="I29" s="159">
        <v>50</v>
      </c>
      <c r="J29" s="97">
        <v>32</v>
      </c>
      <c r="K29" s="91">
        <f t="shared" si="0"/>
        <v>362656</v>
      </c>
      <c r="L29" s="91">
        <f t="shared" si="1"/>
        <v>203994</v>
      </c>
      <c r="M29" s="159">
        <f t="shared" si="2"/>
        <v>18</v>
      </c>
      <c r="N29" s="159"/>
      <c r="O29" s="97"/>
      <c r="P29" s="11"/>
    </row>
    <row r="30" spans="1:16" s="114" customFormat="1">
      <c r="A30" s="292" t="s">
        <v>726</v>
      </c>
      <c r="B30" s="96">
        <v>25</v>
      </c>
      <c r="C30" s="11" t="s">
        <v>727</v>
      </c>
      <c r="D30" s="11"/>
      <c r="E30" s="19">
        <v>500000</v>
      </c>
      <c r="F30" s="19">
        <v>66650</v>
      </c>
      <c r="G30" s="19">
        <v>566650</v>
      </c>
      <c r="H30" s="318">
        <v>11333</v>
      </c>
      <c r="I30" s="159">
        <v>50</v>
      </c>
      <c r="J30" s="97">
        <v>32</v>
      </c>
      <c r="K30" s="91">
        <f t="shared" si="0"/>
        <v>362656</v>
      </c>
      <c r="L30" s="91">
        <f t="shared" si="1"/>
        <v>203994</v>
      </c>
      <c r="M30" s="159">
        <f t="shared" si="2"/>
        <v>18</v>
      </c>
      <c r="N30" s="159"/>
      <c r="O30" s="97"/>
      <c r="P30" s="11"/>
    </row>
    <row r="31" spans="1:16" s="114" customFormat="1">
      <c r="A31" s="292" t="s">
        <v>647</v>
      </c>
      <c r="B31" s="96">
        <v>26</v>
      </c>
      <c r="C31" s="11" t="s">
        <v>648</v>
      </c>
      <c r="D31" s="11"/>
      <c r="E31" s="16">
        <v>500000</v>
      </c>
      <c r="F31" s="16">
        <v>66650</v>
      </c>
      <c r="G31" s="41">
        <f>SUM(E31:F31)</f>
        <v>566650</v>
      </c>
      <c r="H31" s="318">
        <v>11333</v>
      </c>
      <c r="I31" s="159">
        <v>50</v>
      </c>
      <c r="J31" s="97">
        <v>24</v>
      </c>
      <c r="K31" s="91">
        <f>(1*11333)</f>
        <v>11333</v>
      </c>
      <c r="L31" s="91">
        <f t="shared" si="1"/>
        <v>555317</v>
      </c>
      <c r="M31" s="159">
        <f t="shared" si="2"/>
        <v>26</v>
      </c>
      <c r="N31" s="159"/>
      <c r="O31" s="97"/>
      <c r="P31" s="11"/>
    </row>
    <row r="32" spans="1:16" s="114" customFormat="1">
      <c r="A32" s="292" t="s">
        <v>698</v>
      </c>
      <c r="B32" s="96">
        <v>27</v>
      </c>
      <c r="C32" s="11" t="s">
        <v>699</v>
      </c>
      <c r="D32" s="11"/>
      <c r="E32" s="19">
        <v>500000</v>
      </c>
      <c r="F32" s="19">
        <v>66650</v>
      </c>
      <c r="G32" s="19">
        <v>566650</v>
      </c>
      <c r="H32" s="318">
        <v>11333</v>
      </c>
      <c r="I32" s="159">
        <v>50</v>
      </c>
      <c r="J32" s="97">
        <v>32</v>
      </c>
      <c r="K32" s="91">
        <f>J32*H32</f>
        <v>362656</v>
      </c>
      <c r="L32" s="91">
        <f t="shared" si="1"/>
        <v>203994</v>
      </c>
      <c r="M32" s="159">
        <f t="shared" si="2"/>
        <v>18</v>
      </c>
      <c r="N32" s="159"/>
      <c r="O32" s="97"/>
      <c r="P32" s="11"/>
    </row>
    <row r="33" spans="1:16" s="114" customFormat="1">
      <c r="A33" s="122" t="s">
        <v>1227</v>
      </c>
      <c r="B33" s="96">
        <v>28</v>
      </c>
      <c r="C33" s="11" t="s">
        <v>1228</v>
      </c>
      <c r="D33" s="122"/>
      <c r="E33" s="16">
        <v>500000</v>
      </c>
      <c r="F33" s="16">
        <v>66650</v>
      </c>
      <c r="G33" s="41">
        <f>SUM(E33:F33)</f>
        <v>566650</v>
      </c>
      <c r="H33" s="16">
        <v>11333</v>
      </c>
      <c r="I33" s="159">
        <v>50</v>
      </c>
      <c r="J33" s="188">
        <v>5</v>
      </c>
      <c r="K33" s="16">
        <f>J33*H33</f>
        <v>56665</v>
      </c>
      <c r="L33" s="94">
        <f t="shared" si="1"/>
        <v>509985</v>
      </c>
      <c r="M33" s="159">
        <f t="shared" si="2"/>
        <v>45</v>
      </c>
      <c r="N33" s="159"/>
      <c r="O33" s="159"/>
      <c r="P33" s="122"/>
    </row>
    <row r="34" spans="1:16" s="114" customFormat="1">
      <c r="A34" s="292" t="s">
        <v>551</v>
      </c>
      <c r="B34" s="96">
        <v>29</v>
      </c>
      <c r="C34" s="11" t="s">
        <v>552</v>
      </c>
      <c r="D34" s="11"/>
      <c r="E34" s="19">
        <v>500000</v>
      </c>
      <c r="F34" s="19">
        <v>66650</v>
      </c>
      <c r="G34" s="19">
        <v>566650</v>
      </c>
      <c r="H34" s="318">
        <v>11333</v>
      </c>
      <c r="I34" s="159">
        <v>50</v>
      </c>
      <c r="J34" s="97">
        <v>32</v>
      </c>
      <c r="K34" s="91">
        <f>J34*H34</f>
        <v>362656</v>
      </c>
      <c r="L34" s="91">
        <f t="shared" si="1"/>
        <v>203994</v>
      </c>
      <c r="M34" s="159">
        <f t="shared" si="2"/>
        <v>18</v>
      </c>
      <c r="N34" s="159"/>
      <c r="O34" s="97"/>
      <c r="P34" s="11"/>
    </row>
    <row r="35" spans="1:16" s="114" customFormat="1">
      <c r="A35" s="293" t="s">
        <v>1231</v>
      </c>
      <c r="B35" s="96">
        <v>30</v>
      </c>
      <c r="C35" s="123" t="s">
        <v>1232</v>
      </c>
      <c r="D35" s="123"/>
      <c r="E35" s="19">
        <v>450000</v>
      </c>
      <c r="F35" s="19">
        <v>59985</v>
      </c>
      <c r="G35" s="19">
        <v>509985</v>
      </c>
      <c r="H35" s="327">
        <v>10199.700000000001</v>
      </c>
      <c r="I35" s="159">
        <v>50</v>
      </c>
      <c r="J35" s="159">
        <v>7</v>
      </c>
      <c r="K35" s="16">
        <f>J35*H35</f>
        <v>71397.900000000009</v>
      </c>
      <c r="L35" s="94">
        <f t="shared" si="1"/>
        <v>438587.1</v>
      </c>
      <c r="M35" s="159">
        <f t="shared" si="2"/>
        <v>43</v>
      </c>
      <c r="N35" s="159"/>
      <c r="O35" s="159"/>
      <c r="P35" s="11"/>
    </row>
    <row r="36" spans="1:16" s="114" customFormat="1">
      <c r="A36" s="292" t="s">
        <v>534</v>
      </c>
      <c r="B36" s="96">
        <v>31</v>
      </c>
      <c r="C36" s="11" t="s">
        <v>535</v>
      </c>
      <c r="D36" s="11"/>
      <c r="E36" s="16">
        <v>450000</v>
      </c>
      <c r="F36" s="16">
        <v>59985</v>
      </c>
      <c r="G36" s="16">
        <v>509985</v>
      </c>
      <c r="H36" s="318">
        <v>10199.700000000001</v>
      </c>
      <c r="I36" s="159">
        <v>50</v>
      </c>
      <c r="J36" s="97">
        <v>24</v>
      </c>
      <c r="K36" s="91">
        <f>(1*10199.7)</f>
        <v>10199.700000000001</v>
      </c>
      <c r="L36" s="94">
        <f t="shared" si="1"/>
        <v>499785.3</v>
      </c>
      <c r="M36" s="159">
        <f t="shared" si="2"/>
        <v>26</v>
      </c>
      <c r="N36" s="159"/>
      <c r="O36" s="97"/>
      <c r="P36" s="11"/>
    </row>
    <row r="37" spans="1:16" s="114" customFormat="1">
      <c r="A37" s="293" t="s">
        <v>678</v>
      </c>
      <c r="B37" s="96">
        <v>32</v>
      </c>
      <c r="C37" s="123" t="s">
        <v>679</v>
      </c>
      <c r="D37" s="123"/>
      <c r="E37" s="16">
        <v>500000</v>
      </c>
      <c r="F37" s="16">
        <v>66650</v>
      </c>
      <c r="G37" s="41">
        <f>SUM(E37:F37)</f>
        <v>566650</v>
      </c>
      <c r="H37" s="327">
        <v>15222</v>
      </c>
      <c r="I37" s="159">
        <v>50</v>
      </c>
      <c r="J37" s="159">
        <v>15</v>
      </c>
      <c r="K37" s="16">
        <f t="shared" ref="K37:K63" si="4">J37*H37</f>
        <v>228330</v>
      </c>
      <c r="L37" s="94">
        <f t="shared" si="1"/>
        <v>338320</v>
      </c>
      <c r="M37" s="159">
        <f t="shared" si="2"/>
        <v>35</v>
      </c>
      <c r="N37" s="159"/>
      <c r="O37" s="159"/>
      <c r="P37" s="11"/>
    </row>
    <row r="38" spans="1:16" s="114" customFormat="1">
      <c r="A38" s="293" t="s">
        <v>899</v>
      </c>
      <c r="B38" s="96">
        <v>33</v>
      </c>
      <c r="C38" s="123" t="s">
        <v>922</v>
      </c>
      <c r="D38" s="123"/>
      <c r="E38" s="19">
        <v>330000</v>
      </c>
      <c r="F38" s="19">
        <v>43989</v>
      </c>
      <c r="G38" s="19">
        <f>SUM(E38:F38)</f>
        <v>373989</v>
      </c>
      <c r="H38" s="327">
        <v>7479.78</v>
      </c>
      <c r="I38" s="159">
        <v>50</v>
      </c>
      <c r="J38" s="159">
        <v>15</v>
      </c>
      <c r="K38" s="16">
        <f t="shared" si="4"/>
        <v>112196.7</v>
      </c>
      <c r="L38" s="94">
        <f t="shared" ref="L38:L69" si="5">G38-K38</f>
        <v>261792.3</v>
      </c>
      <c r="M38" s="159">
        <f t="shared" ref="M38:M69" si="6">I38-J38</f>
        <v>35</v>
      </c>
      <c r="N38" s="159"/>
      <c r="O38" s="159"/>
      <c r="P38" s="11"/>
    </row>
    <row r="39" spans="1:16" s="114" customFormat="1">
      <c r="A39" s="295" t="s">
        <v>941</v>
      </c>
      <c r="B39" s="96">
        <v>34</v>
      </c>
      <c r="C39" s="11" t="s">
        <v>942</v>
      </c>
      <c r="D39" s="8"/>
      <c r="E39" s="19">
        <v>330000</v>
      </c>
      <c r="F39" s="19">
        <v>43989</v>
      </c>
      <c r="G39" s="19">
        <f>SUM(E39:F39)</f>
        <v>373989</v>
      </c>
      <c r="H39" s="319">
        <v>7479.78</v>
      </c>
      <c r="I39" s="159">
        <v>50</v>
      </c>
      <c r="J39" s="159">
        <v>12</v>
      </c>
      <c r="K39" s="16">
        <f t="shared" si="4"/>
        <v>89757.36</v>
      </c>
      <c r="L39" s="94">
        <f t="shared" si="5"/>
        <v>284231.64</v>
      </c>
      <c r="M39" s="159">
        <f t="shared" si="6"/>
        <v>38</v>
      </c>
      <c r="N39" s="159"/>
      <c r="O39" s="159"/>
      <c r="P39" s="11"/>
    </row>
    <row r="40" spans="1:16" s="114" customFormat="1">
      <c r="A40" s="292" t="s">
        <v>692</v>
      </c>
      <c r="B40" s="96">
        <v>35</v>
      </c>
      <c r="C40" s="11" t="s">
        <v>693</v>
      </c>
      <c r="D40" s="11"/>
      <c r="E40" s="16">
        <v>330000</v>
      </c>
      <c r="F40" s="16">
        <v>43989</v>
      </c>
      <c r="G40" s="41">
        <f>SUM(E40:F40)</f>
        <v>373989</v>
      </c>
      <c r="H40" s="318">
        <v>7478.78</v>
      </c>
      <c r="I40" s="159">
        <v>50</v>
      </c>
      <c r="J40" s="159">
        <v>55</v>
      </c>
      <c r="K40" s="16">
        <f t="shared" si="4"/>
        <v>411332.89999999997</v>
      </c>
      <c r="L40" s="41">
        <f t="shared" si="5"/>
        <v>-37343.899999999965</v>
      </c>
      <c r="M40" s="159">
        <f t="shared" si="6"/>
        <v>-5</v>
      </c>
      <c r="N40" s="159"/>
      <c r="O40" s="96"/>
      <c r="P40" s="11"/>
    </row>
    <row r="41" spans="1:16" s="114" customFormat="1">
      <c r="A41" s="292" t="s">
        <v>623</v>
      </c>
      <c r="B41" s="96">
        <v>36</v>
      </c>
      <c r="C41" s="123" t="s">
        <v>954</v>
      </c>
      <c r="D41" s="123"/>
      <c r="E41" s="19">
        <v>450000</v>
      </c>
      <c r="F41" s="19">
        <v>59985</v>
      </c>
      <c r="G41" s="19">
        <v>509985</v>
      </c>
      <c r="H41" s="327">
        <v>10199.700000000001</v>
      </c>
      <c r="I41" s="159">
        <v>50</v>
      </c>
      <c r="J41" s="159">
        <v>12</v>
      </c>
      <c r="K41" s="91">
        <f t="shared" si="4"/>
        <v>122396.40000000001</v>
      </c>
      <c r="L41" s="94">
        <f t="shared" si="5"/>
        <v>387588.6</v>
      </c>
      <c r="M41" s="159">
        <f t="shared" si="6"/>
        <v>38</v>
      </c>
      <c r="N41" s="159"/>
      <c r="O41" s="97"/>
      <c r="P41" s="11"/>
    </row>
    <row r="42" spans="1:16" s="114" customFormat="1">
      <c r="A42" s="293" t="s">
        <v>1243</v>
      </c>
      <c r="B42" s="96">
        <v>37</v>
      </c>
      <c r="C42" s="123" t="s">
        <v>1244</v>
      </c>
      <c r="D42" s="123"/>
      <c r="E42" s="19">
        <v>330000</v>
      </c>
      <c r="F42" s="19">
        <v>43989</v>
      </c>
      <c r="G42" s="19">
        <f>SUM(E42:F42)</f>
        <v>373989</v>
      </c>
      <c r="H42" s="327">
        <v>7479.78</v>
      </c>
      <c r="I42" s="159">
        <v>50</v>
      </c>
      <c r="J42" s="159">
        <v>7</v>
      </c>
      <c r="K42" s="16">
        <f t="shared" si="4"/>
        <v>52358.46</v>
      </c>
      <c r="L42" s="94">
        <f t="shared" si="5"/>
        <v>321630.53999999998</v>
      </c>
      <c r="M42" s="159">
        <f t="shared" si="6"/>
        <v>43</v>
      </c>
      <c r="N42" s="159"/>
      <c r="O42" s="159"/>
      <c r="P42" s="11"/>
    </row>
    <row r="43" spans="1:16" s="114" customFormat="1">
      <c r="A43" s="293" t="s">
        <v>895</v>
      </c>
      <c r="B43" s="96">
        <v>38</v>
      </c>
      <c r="C43" s="123" t="s">
        <v>918</v>
      </c>
      <c r="D43" s="123"/>
      <c r="E43" s="19">
        <v>450000</v>
      </c>
      <c r="F43" s="19">
        <v>59985</v>
      </c>
      <c r="G43" s="19">
        <v>509985</v>
      </c>
      <c r="H43" s="327">
        <v>10199.700000000001</v>
      </c>
      <c r="I43" s="159">
        <v>50</v>
      </c>
      <c r="J43" s="159">
        <v>15</v>
      </c>
      <c r="K43" s="16">
        <f t="shared" si="4"/>
        <v>152995.5</v>
      </c>
      <c r="L43" s="94">
        <f t="shared" si="5"/>
        <v>356989.5</v>
      </c>
      <c r="M43" s="159">
        <f t="shared" si="6"/>
        <v>35</v>
      </c>
      <c r="N43" s="159"/>
      <c r="O43" s="159"/>
      <c r="P43" s="11"/>
    </row>
    <row r="44" spans="1:16" s="114" customFormat="1">
      <c r="A44" s="293" t="s">
        <v>628</v>
      </c>
      <c r="B44" s="96">
        <v>39</v>
      </c>
      <c r="C44" s="123" t="s">
        <v>917</v>
      </c>
      <c r="D44" s="123"/>
      <c r="E44" s="19">
        <v>450000</v>
      </c>
      <c r="F44" s="19">
        <v>59985</v>
      </c>
      <c r="G44" s="19">
        <v>509985</v>
      </c>
      <c r="H44" s="327">
        <v>10199.700000000001</v>
      </c>
      <c r="I44" s="159">
        <v>50</v>
      </c>
      <c r="J44" s="159">
        <v>7</v>
      </c>
      <c r="K44" s="16">
        <f t="shared" si="4"/>
        <v>71397.900000000009</v>
      </c>
      <c r="L44" s="94">
        <f t="shared" si="5"/>
        <v>438587.1</v>
      </c>
      <c r="M44" s="159">
        <f t="shared" si="6"/>
        <v>43</v>
      </c>
      <c r="N44" s="159"/>
      <c r="O44" s="159"/>
      <c r="P44" s="11"/>
    </row>
    <row r="45" spans="1:16" s="114" customFormat="1">
      <c r="A45" s="292" t="s">
        <v>717</v>
      </c>
      <c r="B45" s="96">
        <v>40</v>
      </c>
      <c r="C45" s="11" t="s">
        <v>718</v>
      </c>
      <c r="D45" s="11"/>
      <c r="E45" s="16">
        <v>450000</v>
      </c>
      <c r="F45" s="16">
        <v>59985</v>
      </c>
      <c r="G45" s="16">
        <v>509985</v>
      </c>
      <c r="H45" s="318">
        <v>10199.700000000001</v>
      </c>
      <c r="I45" s="159">
        <v>50</v>
      </c>
      <c r="J45" s="97">
        <v>34</v>
      </c>
      <c r="K45" s="91">
        <f t="shared" si="4"/>
        <v>346789.80000000005</v>
      </c>
      <c r="L45" s="94">
        <f t="shared" si="5"/>
        <v>163195.19999999995</v>
      </c>
      <c r="M45" s="159">
        <f t="shared" si="6"/>
        <v>16</v>
      </c>
      <c r="N45" s="159"/>
      <c r="O45" s="97"/>
      <c r="P45" s="122"/>
    </row>
    <row r="46" spans="1:16" s="114" customFormat="1">
      <c r="A46" s="293" t="s">
        <v>1182</v>
      </c>
      <c r="B46" s="96">
        <v>41</v>
      </c>
      <c r="C46" s="123" t="s">
        <v>1183</v>
      </c>
      <c r="D46" s="123"/>
      <c r="E46" s="19">
        <v>450000</v>
      </c>
      <c r="F46" s="19">
        <v>59985</v>
      </c>
      <c r="G46" s="19">
        <v>509985</v>
      </c>
      <c r="H46" s="327">
        <v>10199.700000000001</v>
      </c>
      <c r="I46" s="159">
        <v>50</v>
      </c>
      <c r="J46" s="159">
        <v>7</v>
      </c>
      <c r="K46" s="16">
        <f t="shared" si="4"/>
        <v>71397.900000000009</v>
      </c>
      <c r="L46" s="94">
        <f t="shared" si="5"/>
        <v>438587.1</v>
      </c>
      <c r="M46" s="159">
        <f t="shared" si="6"/>
        <v>43</v>
      </c>
      <c r="N46" s="159"/>
      <c r="O46" s="159"/>
      <c r="P46" s="8"/>
    </row>
    <row r="47" spans="1:16" s="114" customFormat="1">
      <c r="A47" s="292" t="s">
        <v>518</v>
      </c>
      <c r="B47" s="96">
        <v>42</v>
      </c>
      <c r="C47" s="11" t="s">
        <v>519</v>
      </c>
      <c r="D47" s="11"/>
      <c r="E47" s="19">
        <v>500000</v>
      </c>
      <c r="F47" s="19">
        <v>66650</v>
      </c>
      <c r="G47" s="19">
        <v>566650</v>
      </c>
      <c r="H47" s="318">
        <v>11333</v>
      </c>
      <c r="I47" s="159">
        <v>50</v>
      </c>
      <c r="J47" s="97">
        <v>32</v>
      </c>
      <c r="K47" s="91">
        <f t="shared" si="4"/>
        <v>362656</v>
      </c>
      <c r="L47" s="91">
        <f t="shared" si="5"/>
        <v>203994</v>
      </c>
      <c r="M47" s="159">
        <f t="shared" si="6"/>
        <v>18</v>
      </c>
      <c r="N47" s="159"/>
      <c r="O47" s="97"/>
      <c r="P47" s="11"/>
    </row>
    <row r="48" spans="1:16" s="114" customFormat="1">
      <c r="A48" s="292" t="s">
        <v>709</v>
      </c>
      <c r="B48" s="96">
        <v>43</v>
      </c>
      <c r="C48" s="11" t="s">
        <v>710</v>
      </c>
      <c r="D48" s="11"/>
      <c r="E48" s="19">
        <v>500000</v>
      </c>
      <c r="F48" s="19">
        <v>66650</v>
      </c>
      <c r="G48" s="19">
        <v>566650</v>
      </c>
      <c r="H48" s="318">
        <v>11333</v>
      </c>
      <c r="I48" s="159">
        <v>50</v>
      </c>
      <c r="J48" s="96">
        <v>32</v>
      </c>
      <c r="K48" s="16">
        <f t="shared" si="4"/>
        <v>362656</v>
      </c>
      <c r="L48" s="16">
        <f t="shared" si="5"/>
        <v>203994</v>
      </c>
      <c r="M48" s="159">
        <f t="shared" si="6"/>
        <v>18</v>
      </c>
      <c r="N48" s="159"/>
      <c r="O48" s="96"/>
      <c r="P48" s="11"/>
    </row>
    <row r="49" spans="1:16" s="114" customFormat="1">
      <c r="A49" s="292" t="s">
        <v>642</v>
      </c>
      <c r="B49" s="96">
        <v>44</v>
      </c>
      <c r="C49" s="11" t="s">
        <v>643</v>
      </c>
      <c r="D49" s="11"/>
      <c r="E49" s="16">
        <v>500000</v>
      </c>
      <c r="F49" s="16">
        <v>66650</v>
      </c>
      <c r="G49" s="16">
        <v>566650</v>
      </c>
      <c r="H49" s="252">
        <v>11333</v>
      </c>
      <c r="I49" s="159">
        <v>50</v>
      </c>
      <c r="J49" s="101">
        <v>20</v>
      </c>
      <c r="K49" s="91">
        <f t="shared" si="4"/>
        <v>226660</v>
      </c>
      <c r="L49" s="94">
        <f t="shared" si="5"/>
        <v>339990</v>
      </c>
      <c r="M49" s="159">
        <f t="shared" si="6"/>
        <v>30</v>
      </c>
      <c r="N49" s="159"/>
      <c r="O49" s="97"/>
      <c r="P49" s="11"/>
    </row>
    <row r="50" spans="1:16" s="114" customFormat="1">
      <c r="A50" s="292" t="s">
        <v>664</v>
      </c>
      <c r="B50" s="96">
        <v>45</v>
      </c>
      <c r="C50" s="11" t="s">
        <v>665</v>
      </c>
      <c r="D50" s="11"/>
      <c r="E50" s="19">
        <v>330000</v>
      </c>
      <c r="F50" s="19">
        <v>43989</v>
      </c>
      <c r="G50" s="19">
        <f>SUM(E50:F50)</f>
        <v>373989</v>
      </c>
      <c r="H50" s="252">
        <v>7479.78</v>
      </c>
      <c r="I50" s="159">
        <v>50</v>
      </c>
      <c r="J50" s="101">
        <v>20</v>
      </c>
      <c r="K50" s="91">
        <f t="shared" si="4"/>
        <v>149595.6</v>
      </c>
      <c r="L50" s="94">
        <f t="shared" si="5"/>
        <v>224393.4</v>
      </c>
      <c r="M50" s="159">
        <f t="shared" si="6"/>
        <v>30</v>
      </c>
      <c r="N50" s="159"/>
      <c r="O50" s="97"/>
      <c r="P50" s="11"/>
    </row>
    <row r="51" spans="1:16" s="114" customFormat="1">
      <c r="A51" s="292" t="s">
        <v>633</v>
      </c>
      <c r="B51" s="96">
        <v>46</v>
      </c>
      <c r="C51" s="11" t="s">
        <v>634</v>
      </c>
      <c r="D51" s="11"/>
      <c r="E51" s="19">
        <v>150000</v>
      </c>
      <c r="F51" s="19">
        <v>19995</v>
      </c>
      <c r="G51" s="19">
        <f>SUM(E51:F51)</f>
        <v>169995</v>
      </c>
      <c r="H51" s="252">
        <v>3399.9</v>
      </c>
      <c r="I51" s="159">
        <v>50</v>
      </c>
      <c r="J51" s="101">
        <v>20</v>
      </c>
      <c r="K51" s="91">
        <f t="shared" si="4"/>
        <v>67998</v>
      </c>
      <c r="L51" s="94">
        <f t="shared" si="5"/>
        <v>101997</v>
      </c>
      <c r="M51" s="159">
        <f t="shared" si="6"/>
        <v>30</v>
      </c>
      <c r="N51" s="159"/>
      <c r="O51" s="97"/>
      <c r="P51" s="8"/>
    </row>
    <row r="52" spans="1:16" s="114" customFormat="1">
      <c r="A52" s="122" t="s">
        <v>1174</v>
      </c>
      <c r="B52" s="96">
        <v>47</v>
      </c>
      <c r="C52" s="11" t="s">
        <v>1175</v>
      </c>
      <c r="D52" s="122"/>
      <c r="E52" s="16">
        <v>500000</v>
      </c>
      <c r="F52" s="16">
        <v>66650</v>
      </c>
      <c r="G52" s="41">
        <f>SUM(E52:F52)</f>
        <v>566650</v>
      </c>
      <c r="H52" s="16">
        <v>11333</v>
      </c>
      <c r="I52" s="159">
        <v>50</v>
      </c>
      <c r="J52" s="188">
        <v>5</v>
      </c>
      <c r="K52" s="16">
        <f t="shared" si="4"/>
        <v>56665</v>
      </c>
      <c r="L52" s="94">
        <f t="shared" si="5"/>
        <v>509985</v>
      </c>
      <c r="M52" s="159">
        <f t="shared" si="6"/>
        <v>45</v>
      </c>
      <c r="N52" s="159"/>
      <c r="O52" s="159"/>
      <c r="P52" s="11"/>
    </row>
    <row r="53" spans="1:16" s="114" customFormat="1">
      <c r="A53" s="292" t="s">
        <v>661</v>
      </c>
      <c r="B53" s="96">
        <v>48</v>
      </c>
      <c r="C53" s="11" t="s">
        <v>662</v>
      </c>
      <c r="D53" s="11"/>
      <c r="E53" s="19">
        <v>500000</v>
      </c>
      <c r="F53" s="19">
        <v>66650</v>
      </c>
      <c r="G53" s="19">
        <v>566650</v>
      </c>
      <c r="H53" s="318">
        <v>11333</v>
      </c>
      <c r="I53" s="159">
        <v>50</v>
      </c>
      <c r="J53" s="97">
        <v>31</v>
      </c>
      <c r="K53" s="91">
        <f t="shared" si="4"/>
        <v>351323</v>
      </c>
      <c r="L53" s="91">
        <f t="shared" si="5"/>
        <v>215327</v>
      </c>
      <c r="M53" s="159">
        <f t="shared" si="6"/>
        <v>19</v>
      </c>
      <c r="N53" s="159"/>
      <c r="O53" s="97"/>
      <c r="P53" s="11"/>
    </row>
    <row r="54" spans="1:16" s="114" customFormat="1">
      <c r="A54" s="293" t="s">
        <v>1170</v>
      </c>
      <c r="B54" s="96">
        <v>49</v>
      </c>
      <c r="C54" s="123" t="s">
        <v>1171</v>
      </c>
      <c r="D54" s="123"/>
      <c r="E54" s="16">
        <v>500000</v>
      </c>
      <c r="F54" s="16">
        <v>66650</v>
      </c>
      <c r="G54" s="41">
        <f>SUM(E54:F54)</f>
        <v>566650</v>
      </c>
      <c r="H54" s="327">
        <v>11333</v>
      </c>
      <c r="I54" s="159">
        <v>50</v>
      </c>
      <c r="J54" s="159">
        <v>7</v>
      </c>
      <c r="K54" s="16">
        <f t="shared" si="4"/>
        <v>79331</v>
      </c>
      <c r="L54" s="94">
        <f t="shared" si="5"/>
        <v>487319</v>
      </c>
      <c r="M54" s="159">
        <f t="shared" si="6"/>
        <v>43</v>
      </c>
      <c r="N54" s="159"/>
      <c r="O54" s="159"/>
      <c r="P54" s="11"/>
    </row>
    <row r="55" spans="1:16" s="114" customFormat="1">
      <c r="A55" s="292" t="s">
        <v>596</v>
      </c>
      <c r="B55" s="96">
        <v>50</v>
      </c>
      <c r="C55" s="11" t="s">
        <v>597</v>
      </c>
      <c r="D55" s="11"/>
      <c r="E55" s="19">
        <v>500000</v>
      </c>
      <c r="F55" s="19">
        <v>66650</v>
      </c>
      <c r="G55" s="19">
        <v>566650</v>
      </c>
      <c r="H55" s="318">
        <v>11333</v>
      </c>
      <c r="I55" s="159">
        <v>50</v>
      </c>
      <c r="J55" s="97">
        <v>32</v>
      </c>
      <c r="K55" s="91">
        <f t="shared" si="4"/>
        <v>362656</v>
      </c>
      <c r="L55" s="91">
        <f t="shared" si="5"/>
        <v>203994</v>
      </c>
      <c r="M55" s="159">
        <f t="shared" si="6"/>
        <v>18</v>
      </c>
      <c r="N55" s="159"/>
      <c r="O55" s="97"/>
      <c r="P55" s="8"/>
    </row>
    <row r="56" spans="1:16" s="114" customFormat="1">
      <c r="A56" s="293" t="s">
        <v>1205</v>
      </c>
      <c r="B56" s="96">
        <v>51</v>
      </c>
      <c r="C56" s="11" t="s">
        <v>1206</v>
      </c>
      <c r="D56" s="11"/>
      <c r="E56" s="16">
        <v>500000</v>
      </c>
      <c r="F56" s="16">
        <v>66650</v>
      </c>
      <c r="G56" s="41">
        <f>SUM(E56:F56)</f>
        <v>566650</v>
      </c>
      <c r="H56" s="327">
        <v>11333</v>
      </c>
      <c r="I56" s="159">
        <v>50</v>
      </c>
      <c r="J56" s="96">
        <v>8</v>
      </c>
      <c r="K56" s="91">
        <f t="shared" si="4"/>
        <v>90664</v>
      </c>
      <c r="L56" s="94">
        <f t="shared" si="5"/>
        <v>475986</v>
      </c>
      <c r="M56" s="159">
        <f t="shared" si="6"/>
        <v>42</v>
      </c>
      <c r="N56" s="159"/>
      <c r="O56" s="97"/>
      <c r="P56" s="11"/>
    </row>
    <row r="57" spans="1:16" s="114" customFormat="1">
      <c r="A57" s="293" t="s">
        <v>1239</v>
      </c>
      <c r="B57" s="96">
        <v>52</v>
      </c>
      <c r="C57" s="123" t="s">
        <v>1240</v>
      </c>
      <c r="D57" s="123"/>
      <c r="E57" s="19">
        <v>150000</v>
      </c>
      <c r="F57" s="19">
        <v>19995</v>
      </c>
      <c r="G57" s="19">
        <f>SUM(E57:F57)</f>
        <v>169995</v>
      </c>
      <c r="H57" s="327">
        <v>4149.8999999999996</v>
      </c>
      <c r="I57" s="159">
        <v>40</v>
      </c>
      <c r="J57" s="159">
        <v>7</v>
      </c>
      <c r="K57" s="16">
        <f t="shared" si="4"/>
        <v>29049.299999999996</v>
      </c>
      <c r="L57" s="94">
        <f t="shared" si="5"/>
        <v>140945.70000000001</v>
      </c>
      <c r="M57" s="159">
        <f t="shared" si="6"/>
        <v>33</v>
      </c>
      <c r="N57" s="159"/>
      <c r="O57" s="159"/>
      <c r="P57" s="11"/>
    </row>
    <row r="58" spans="1:16" s="114" customFormat="1">
      <c r="A58" s="292" t="s">
        <v>668</v>
      </c>
      <c r="B58" s="96">
        <v>53</v>
      </c>
      <c r="C58" s="11" t="s">
        <v>669</v>
      </c>
      <c r="D58" s="11"/>
      <c r="E58" s="16">
        <v>450000</v>
      </c>
      <c r="F58" s="16">
        <v>59985</v>
      </c>
      <c r="G58" s="16">
        <v>509985</v>
      </c>
      <c r="H58" s="318">
        <v>10199.700000000001</v>
      </c>
      <c r="I58" s="159">
        <v>50</v>
      </c>
      <c r="J58" s="97">
        <v>31</v>
      </c>
      <c r="K58" s="91">
        <f t="shared" si="4"/>
        <v>316190.7</v>
      </c>
      <c r="L58" s="91">
        <f t="shared" si="5"/>
        <v>193794.3</v>
      </c>
      <c r="M58" s="159">
        <f t="shared" si="6"/>
        <v>19</v>
      </c>
      <c r="N58" s="159"/>
      <c r="O58" s="97"/>
      <c r="P58" s="11"/>
    </row>
    <row r="59" spans="1:16" s="114" customFormat="1">
      <c r="A59" s="293" t="s">
        <v>901</v>
      </c>
      <c r="B59" s="96">
        <v>54</v>
      </c>
      <c r="C59" s="123" t="s">
        <v>924</v>
      </c>
      <c r="D59" s="123"/>
      <c r="E59" s="19">
        <v>330000</v>
      </c>
      <c r="F59" s="19">
        <v>43989</v>
      </c>
      <c r="G59" s="19">
        <f t="shared" ref="G59:G64" si="7">SUM(E59:F59)</f>
        <v>373989</v>
      </c>
      <c r="H59" s="327">
        <v>7479.78</v>
      </c>
      <c r="I59" s="159">
        <v>50</v>
      </c>
      <c r="J59" s="159">
        <v>15</v>
      </c>
      <c r="K59" s="16">
        <f t="shared" si="4"/>
        <v>112196.7</v>
      </c>
      <c r="L59" s="94">
        <f t="shared" si="5"/>
        <v>261792.3</v>
      </c>
      <c r="M59" s="159">
        <f t="shared" si="6"/>
        <v>35</v>
      </c>
      <c r="N59" s="159"/>
      <c r="O59" s="159"/>
      <c r="P59" s="11"/>
    </row>
    <row r="60" spans="1:16" s="114" customFormat="1">
      <c r="A60" s="292" t="s">
        <v>526</v>
      </c>
      <c r="B60" s="96">
        <v>55</v>
      </c>
      <c r="C60" s="11" t="s">
        <v>527</v>
      </c>
      <c r="D60" s="11"/>
      <c r="E60" s="16">
        <v>330000</v>
      </c>
      <c r="F60" s="16">
        <v>43989</v>
      </c>
      <c r="G60" s="41">
        <f t="shared" si="7"/>
        <v>373989</v>
      </c>
      <c r="H60" s="146">
        <v>7479.78</v>
      </c>
      <c r="I60" s="159">
        <v>50</v>
      </c>
      <c r="J60" s="97">
        <v>46</v>
      </c>
      <c r="K60" s="91">
        <f t="shared" si="4"/>
        <v>344069.88</v>
      </c>
      <c r="L60" s="94">
        <f t="shared" si="5"/>
        <v>29919.119999999995</v>
      </c>
      <c r="M60" s="159">
        <f t="shared" si="6"/>
        <v>4</v>
      </c>
      <c r="N60" s="159"/>
      <c r="O60" s="97"/>
      <c r="P60" s="11"/>
    </row>
    <row r="61" spans="1:16" s="114" customFormat="1">
      <c r="A61" s="293" t="s">
        <v>1178</v>
      </c>
      <c r="B61" s="96">
        <v>56</v>
      </c>
      <c r="C61" s="11" t="s">
        <v>1179</v>
      </c>
      <c r="D61" s="11"/>
      <c r="E61" s="12">
        <v>150000</v>
      </c>
      <c r="F61" s="12">
        <v>19995</v>
      </c>
      <c r="G61" s="15">
        <f t="shared" si="7"/>
        <v>169995</v>
      </c>
      <c r="H61" s="327">
        <v>3399.9</v>
      </c>
      <c r="I61" s="14">
        <v>50</v>
      </c>
      <c r="J61" s="96">
        <v>8</v>
      </c>
      <c r="K61" s="91">
        <f t="shared" si="4"/>
        <v>27199.200000000001</v>
      </c>
      <c r="L61" s="94">
        <f t="shared" si="5"/>
        <v>142795.79999999999</v>
      </c>
      <c r="M61" s="159">
        <f t="shared" si="6"/>
        <v>42</v>
      </c>
      <c r="N61" s="159"/>
      <c r="O61" s="97"/>
      <c r="P61" s="11"/>
    </row>
    <row r="62" spans="1:16" s="114" customFormat="1">
      <c r="A62" s="292" t="s">
        <v>528</v>
      </c>
      <c r="B62" s="96">
        <v>57</v>
      </c>
      <c r="C62" s="11" t="s">
        <v>529</v>
      </c>
      <c r="D62" s="11"/>
      <c r="E62" s="12">
        <v>500000</v>
      </c>
      <c r="F62" s="12">
        <v>66650</v>
      </c>
      <c r="G62" s="15">
        <f t="shared" si="7"/>
        <v>566650</v>
      </c>
      <c r="H62" s="318">
        <v>11333</v>
      </c>
      <c r="I62" s="14">
        <v>50</v>
      </c>
      <c r="J62" s="14">
        <v>49</v>
      </c>
      <c r="K62" s="91">
        <f t="shared" si="4"/>
        <v>555317</v>
      </c>
      <c r="L62" s="15">
        <f t="shared" si="5"/>
        <v>11333</v>
      </c>
      <c r="M62" s="159">
        <f t="shared" si="6"/>
        <v>1</v>
      </c>
      <c r="N62" s="159"/>
      <c r="O62" s="97"/>
      <c r="P62" s="8"/>
    </row>
    <row r="63" spans="1:16" s="114" customFormat="1">
      <c r="A63" s="293" t="s">
        <v>1229</v>
      </c>
      <c r="B63" s="96">
        <v>58</v>
      </c>
      <c r="C63" s="123" t="s">
        <v>1230</v>
      </c>
      <c r="D63" s="123"/>
      <c r="E63" s="19">
        <v>150000</v>
      </c>
      <c r="F63" s="19">
        <v>19995</v>
      </c>
      <c r="G63" s="19">
        <f t="shared" si="7"/>
        <v>169995</v>
      </c>
      <c r="H63" s="327">
        <v>4149.8999999999996</v>
      </c>
      <c r="I63" s="159">
        <v>40</v>
      </c>
      <c r="J63" s="159">
        <v>7</v>
      </c>
      <c r="K63" s="16">
        <f t="shared" si="4"/>
        <v>29049.299999999996</v>
      </c>
      <c r="L63" s="94">
        <f t="shared" si="5"/>
        <v>140945.70000000001</v>
      </c>
      <c r="M63" s="159">
        <f t="shared" si="6"/>
        <v>33</v>
      </c>
      <c r="N63" s="159"/>
      <c r="O63" s="159"/>
      <c r="P63" s="11"/>
    </row>
    <row r="64" spans="1:16" s="114" customFormat="1">
      <c r="A64" s="292" t="s">
        <v>638</v>
      </c>
      <c r="B64" s="96">
        <v>59</v>
      </c>
      <c r="C64" s="11" t="s">
        <v>639</v>
      </c>
      <c r="D64" s="11"/>
      <c r="E64" s="16">
        <v>500000</v>
      </c>
      <c r="F64" s="16">
        <v>66650</v>
      </c>
      <c r="G64" s="41">
        <f t="shared" si="7"/>
        <v>566650</v>
      </c>
      <c r="H64" s="318">
        <v>11333</v>
      </c>
      <c r="I64" s="159">
        <v>50</v>
      </c>
      <c r="J64" s="97">
        <v>24</v>
      </c>
      <c r="K64" s="91">
        <f>(1*11333)</f>
        <v>11333</v>
      </c>
      <c r="L64" s="91">
        <f t="shared" si="5"/>
        <v>555317</v>
      </c>
      <c r="M64" s="159">
        <f t="shared" si="6"/>
        <v>26</v>
      </c>
      <c r="N64" s="159"/>
      <c r="O64" s="97"/>
      <c r="P64" s="8"/>
    </row>
    <row r="65" spans="1:16" s="114" customFormat="1">
      <c r="A65" s="292" t="s">
        <v>522</v>
      </c>
      <c r="B65" s="96">
        <v>60</v>
      </c>
      <c r="C65" s="11" t="s">
        <v>523</v>
      </c>
      <c r="D65" s="11"/>
      <c r="E65" s="19">
        <v>500000</v>
      </c>
      <c r="F65" s="19">
        <v>66650</v>
      </c>
      <c r="G65" s="19">
        <v>566650</v>
      </c>
      <c r="H65" s="318">
        <v>11333</v>
      </c>
      <c r="I65" s="159">
        <v>50</v>
      </c>
      <c r="J65" s="97">
        <v>32</v>
      </c>
      <c r="K65" s="91">
        <f t="shared" ref="K65:K96" si="8">J65*H65</f>
        <v>362656</v>
      </c>
      <c r="L65" s="91">
        <f t="shared" si="5"/>
        <v>203994</v>
      </c>
      <c r="M65" s="159">
        <f t="shared" si="6"/>
        <v>18</v>
      </c>
      <c r="N65" s="159"/>
      <c r="O65" s="97"/>
      <c r="P65" s="11"/>
    </row>
    <row r="66" spans="1:16" s="114" customFormat="1">
      <c r="A66" s="292" t="s">
        <v>715</v>
      </c>
      <c r="B66" s="96">
        <v>61</v>
      </c>
      <c r="C66" s="11" t="s">
        <v>716</v>
      </c>
      <c r="D66" s="11"/>
      <c r="E66" s="19">
        <v>450000</v>
      </c>
      <c r="F66" s="19">
        <v>59985</v>
      </c>
      <c r="G66" s="19">
        <v>509985</v>
      </c>
      <c r="H66" s="318">
        <v>10199.700000000001</v>
      </c>
      <c r="I66" s="159">
        <v>50</v>
      </c>
      <c r="J66" s="101">
        <v>20</v>
      </c>
      <c r="K66" s="91">
        <f t="shared" si="8"/>
        <v>203994</v>
      </c>
      <c r="L66" s="94">
        <f t="shared" si="5"/>
        <v>305991</v>
      </c>
      <c r="M66" s="159">
        <f t="shared" si="6"/>
        <v>30</v>
      </c>
      <c r="N66" s="159"/>
      <c r="O66" s="97"/>
      <c r="P66" s="8"/>
    </row>
    <row r="67" spans="1:16" s="114" customFormat="1">
      <c r="A67" s="292" t="s">
        <v>501</v>
      </c>
      <c r="B67" s="96">
        <v>62</v>
      </c>
      <c r="C67" s="11" t="s">
        <v>502</v>
      </c>
      <c r="D67" s="11"/>
      <c r="E67" s="16">
        <v>500000</v>
      </c>
      <c r="F67" s="16">
        <v>66650</v>
      </c>
      <c r="G67" s="16">
        <v>566650</v>
      </c>
      <c r="H67" s="146">
        <v>11333</v>
      </c>
      <c r="I67" s="159">
        <v>50</v>
      </c>
      <c r="J67" s="159">
        <v>20</v>
      </c>
      <c r="K67" s="91">
        <f t="shared" si="8"/>
        <v>226660</v>
      </c>
      <c r="L67" s="94">
        <f t="shared" si="5"/>
        <v>339990</v>
      </c>
      <c r="M67" s="159">
        <f t="shared" si="6"/>
        <v>30</v>
      </c>
      <c r="N67" s="159"/>
      <c r="O67" s="97"/>
      <c r="P67" s="11"/>
    </row>
    <row r="68" spans="1:16" s="114" customFormat="1">
      <c r="A68" s="292" t="s">
        <v>600</v>
      </c>
      <c r="B68" s="96">
        <v>63</v>
      </c>
      <c r="C68" s="11" t="s">
        <v>601</v>
      </c>
      <c r="D68" s="11"/>
      <c r="E68" s="16">
        <v>450000</v>
      </c>
      <c r="F68" s="16">
        <v>59985</v>
      </c>
      <c r="G68" s="41">
        <f>SUM(E68:F68)</f>
        <v>509985</v>
      </c>
      <c r="H68" s="318">
        <v>10199.700000000001</v>
      </c>
      <c r="I68" s="159">
        <v>50</v>
      </c>
      <c r="J68" s="97">
        <v>45</v>
      </c>
      <c r="K68" s="91">
        <f t="shared" si="8"/>
        <v>458986.50000000006</v>
      </c>
      <c r="L68" s="94">
        <f t="shared" si="5"/>
        <v>50998.499999999942</v>
      </c>
      <c r="M68" s="159">
        <f t="shared" si="6"/>
        <v>5</v>
      </c>
      <c r="N68" s="159"/>
      <c r="O68" s="97"/>
      <c r="P68" s="11"/>
    </row>
    <row r="69" spans="1:16" s="114" customFormat="1">
      <c r="A69" s="293" t="s">
        <v>887</v>
      </c>
      <c r="B69" s="96">
        <v>64</v>
      </c>
      <c r="C69" s="123" t="s">
        <v>909</v>
      </c>
      <c r="D69" s="123"/>
      <c r="E69" s="16">
        <v>500000</v>
      </c>
      <c r="F69" s="16">
        <v>66650</v>
      </c>
      <c r="G69" s="41">
        <f>SUM(E69:F69)</f>
        <v>566650</v>
      </c>
      <c r="H69" s="327">
        <v>11333</v>
      </c>
      <c r="I69" s="159">
        <v>50</v>
      </c>
      <c r="J69" s="159">
        <v>15</v>
      </c>
      <c r="K69" s="16">
        <f t="shared" si="8"/>
        <v>169995</v>
      </c>
      <c r="L69" s="94">
        <f t="shared" si="5"/>
        <v>396655</v>
      </c>
      <c r="M69" s="159">
        <f t="shared" si="6"/>
        <v>35</v>
      </c>
      <c r="N69" s="159"/>
      <c r="O69" s="159"/>
      <c r="P69" s="11"/>
    </row>
    <row r="70" spans="1:16" s="114" customFormat="1">
      <c r="A70" s="292" t="s">
        <v>883</v>
      </c>
      <c r="B70" s="96">
        <v>65</v>
      </c>
      <c r="C70" s="11" t="s">
        <v>905</v>
      </c>
      <c r="D70" s="11"/>
      <c r="E70" s="16">
        <v>500000</v>
      </c>
      <c r="F70" s="16">
        <v>66650</v>
      </c>
      <c r="G70" s="41">
        <f>SUM(E70:F70)</f>
        <v>566650</v>
      </c>
      <c r="H70" s="318">
        <v>11333</v>
      </c>
      <c r="I70" s="159">
        <v>50</v>
      </c>
      <c r="J70" s="97">
        <v>54</v>
      </c>
      <c r="K70" s="91">
        <f t="shared" si="8"/>
        <v>611982</v>
      </c>
      <c r="L70" s="94">
        <f t="shared" ref="L70:L101" si="9">G70-K70</f>
        <v>-45332</v>
      </c>
      <c r="M70" s="159">
        <f t="shared" ref="M70:M101" si="10">I70-J70</f>
        <v>-4</v>
      </c>
      <c r="N70" s="159"/>
      <c r="O70" s="97"/>
      <c r="P70" s="123"/>
    </row>
    <row r="71" spans="1:16" s="114" customFormat="1">
      <c r="A71" s="122" t="s">
        <v>1194</v>
      </c>
      <c r="B71" s="96">
        <v>66</v>
      </c>
      <c r="C71" s="11" t="s">
        <v>1195</v>
      </c>
      <c r="D71" s="122"/>
      <c r="E71" s="16">
        <v>500000</v>
      </c>
      <c r="F71" s="16">
        <v>66650</v>
      </c>
      <c r="G71" s="41">
        <f>SUM(E71:F71)</f>
        <v>566650</v>
      </c>
      <c r="H71" s="16">
        <v>11333</v>
      </c>
      <c r="I71" s="159">
        <v>50</v>
      </c>
      <c r="J71" s="188">
        <v>5</v>
      </c>
      <c r="K71" s="16">
        <f t="shared" si="8"/>
        <v>56665</v>
      </c>
      <c r="L71" s="94">
        <f t="shared" si="9"/>
        <v>509985</v>
      </c>
      <c r="M71" s="159">
        <f t="shared" si="10"/>
        <v>45</v>
      </c>
      <c r="N71" s="159"/>
      <c r="O71" s="159"/>
      <c r="P71" s="11"/>
    </row>
    <row r="72" spans="1:16" s="114" customFormat="1">
      <c r="A72" s="292" t="s">
        <v>505</v>
      </c>
      <c r="B72" s="96">
        <v>67</v>
      </c>
      <c r="C72" s="11" t="s">
        <v>506</v>
      </c>
      <c r="D72" s="11"/>
      <c r="E72" s="16">
        <v>500000</v>
      </c>
      <c r="F72" s="16">
        <v>66650</v>
      </c>
      <c r="G72" s="41">
        <f>SUM(E72:F72)</f>
        <v>566650</v>
      </c>
      <c r="H72" s="318">
        <v>11333</v>
      </c>
      <c r="I72" s="159">
        <v>50</v>
      </c>
      <c r="J72" s="97">
        <v>46</v>
      </c>
      <c r="K72" s="91">
        <f t="shared" si="8"/>
        <v>521318</v>
      </c>
      <c r="L72" s="94">
        <f t="shared" si="9"/>
        <v>45332</v>
      </c>
      <c r="M72" s="159">
        <f t="shared" si="10"/>
        <v>4</v>
      </c>
      <c r="N72" s="159"/>
      <c r="O72" s="97"/>
      <c r="P72" s="11"/>
    </row>
    <row r="73" spans="1:16" s="114" customFormat="1">
      <c r="A73" s="292" t="s">
        <v>724</v>
      </c>
      <c r="B73" s="96">
        <v>68</v>
      </c>
      <c r="C73" s="11" t="s">
        <v>725</v>
      </c>
      <c r="D73" s="11"/>
      <c r="E73" s="19">
        <v>500000</v>
      </c>
      <c r="F73" s="19">
        <v>66650</v>
      </c>
      <c r="G73" s="19">
        <v>566650</v>
      </c>
      <c r="H73" s="318">
        <v>11333</v>
      </c>
      <c r="I73" s="159">
        <v>50</v>
      </c>
      <c r="J73" s="97">
        <v>31</v>
      </c>
      <c r="K73" s="91">
        <f t="shared" si="8"/>
        <v>351323</v>
      </c>
      <c r="L73" s="91">
        <f t="shared" si="9"/>
        <v>215327</v>
      </c>
      <c r="M73" s="159">
        <f t="shared" si="10"/>
        <v>19</v>
      </c>
      <c r="N73" s="159"/>
      <c r="O73" s="97"/>
      <c r="P73" s="11"/>
    </row>
    <row r="74" spans="1:16" s="114" customFormat="1">
      <c r="A74" s="295" t="s">
        <v>937</v>
      </c>
      <c r="B74" s="96">
        <v>69</v>
      </c>
      <c r="C74" s="11" t="s">
        <v>938</v>
      </c>
      <c r="D74" s="8"/>
      <c r="E74" s="19">
        <v>150000</v>
      </c>
      <c r="F74" s="19">
        <v>19995</v>
      </c>
      <c r="G74" s="19">
        <f t="shared" ref="G74:G85" si="11">SUM(E74:F74)</f>
        <v>169995</v>
      </c>
      <c r="H74" s="319">
        <v>3399.9</v>
      </c>
      <c r="I74" s="159">
        <v>50</v>
      </c>
      <c r="J74" s="159">
        <v>12</v>
      </c>
      <c r="K74" s="16">
        <f t="shared" si="8"/>
        <v>40798.800000000003</v>
      </c>
      <c r="L74" s="94">
        <f t="shared" si="9"/>
        <v>129196.2</v>
      </c>
      <c r="M74" s="159">
        <f t="shared" si="10"/>
        <v>38</v>
      </c>
      <c r="N74" s="159"/>
      <c r="O74" s="159"/>
      <c r="P74" s="11"/>
    </row>
    <row r="75" spans="1:16" s="114" customFormat="1">
      <c r="A75" s="293" t="s">
        <v>1213</v>
      </c>
      <c r="B75" s="96">
        <v>70</v>
      </c>
      <c r="C75" s="123" t="s">
        <v>1214</v>
      </c>
      <c r="D75" s="123"/>
      <c r="E75" s="19">
        <v>330000</v>
      </c>
      <c r="F75" s="19">
        <v>43989</v>
      </c>
      <c r="G75" s="19">
        <f t="shared" si="11"/>
        <v>373989</v>
      </c>
      <c r="H75" s="327">
        <v>7479.78</v>
      </c>
      <c r="I75" s="159">
        <v>50</v>
      </c>
      <c r="J75" s="159">
        <v>7</v>
      </c>
      <c r="K75" s="16">
        <f t="shared" si="8"/>
        <v>52358.46</v>
      </c>
      <c r="L75" s="94">
        <f t="shared" si="9"/>
        <v>321630.53999999998</v>
      </c>
      <c r="M75" s="159">
        <f t="shared" si="10"/>
        <v>43</v>
      </c>
      <c r="N75" s="159"/>
      <c r="O75" s="159"/>
      <c r="P75" s="11"/>
    </row>
    <row r="76" spans="1:16" s="114" customFormat="1">
      <c r="A76" s="294" t="s">
        <v>663</v>
      </c>
      <c r="B76" s="96">
        <v>71</v>
      </c>
      <c r="C76" s="11" t="s">
        <v>953</v>
      </c>
      <c r="D76" s="11"/>
      <c r="E76" s="19">
        <v>330000</v>
      </c>
      <c r="F76" s="19">
        <v>43989</v>
      </c>
      <c r="G76" s="19">
        <f t="shared" si="11"/>
        <v>373989</v>
      </c>
      <c r="H76" s="327">
        <v>7479.78</v>
      </c>
      <c r="I76" s="159">
        <v>50</v>
      </c>
      <c r="J76" s="159">
        <v>13</v>
      </c>
      <c r="K76" s="91">
        <f t="shared" si="8"/>
        <v>97237.14</v>
      </c>
      <c r="L76" s="94">
        <f t="shared" si="9"/>
        <v>276751.86</v>
      </c>
      <c r="M76" s="159">
        <f t="shared" si="10"/>
        <v>37</v>
      </c>
      <c r="N76" s="159"/>
      <c r="O76" s="97"/>
      <c r="P76" s="122"/>
    </row>
    <row r="77" spans="1:16" s="114" customFormat="1">
      <c r="A77" s="294" t="s">
        <v>868</v>
      </c>
      <c r="B77" s="96">
        <v>72</v>
      </c>
      <c r="C77" s="11" t="s">
        <v>925</v>
      </c>
      <c r="D77" s="11"/>
      <c r="E77" s="19">
        <v>150000</v>
      </c>
      <c r="F77" s="19">
        <v>19995</v>
      </c>
      <c r="G77" s="19">
        <f t="shared" si="11"/>
        <v>169995</v>
      </c>
      <c r="H77" s="327">
        <v>3399.9</v>
      </c>
      <c r="I77" s="159">
        <v>50</v>
      </c>
      <c r="J77" s="159">
        <v>16</v>
      </c>
      <c r="K77" s="91">
        <f t="shared" si="8"/>
        <v>54398.400000000001</v>
      </c>
      <c r="L77" s="94">
        <f t="shared" si="9"/>
        <v>115596.6</v>
      </c>
      <c r="M77" s="159">
        <f t="shared" si="10"/>
        <v>34</v>
      </c>
      <c r="N77" s="159"/>
      <c r="O77" s="97"/>
      <c r="P77" s="11"/>
    </row>
    <row r="78" spans="1:16" s="114" customFormat="1">
      <c r="A78" s="292" t="s">
        <v>682</v>
      </c>
      <c r="B78" s="96">
        <v>73</v>
      </c>
      <c r="C78" s="11" t="s">
        <v>683</v>
      </c>
      <c r="D78" s="11"/>
      <c r="E78" s="16">
        <v>500000</v>
      </c>
      <c r="F78" s="16">
        <v>66650</v>
      </c>
      <c r="G78" s="41">
        <f t="shared" si="11"/>
        <v>566650</v>
      </c>
      <c r="H78" s="318">
        <v>11333</v>
      </c>
      <c r="I78" s="159">
        <v>50</v>
      </c>
      <c r="J78" s="97">
        <v>46</v>
      </c>
      <c r="K78" s="91">
        <f t="shared" si="8"/>
        <v>521318</v>
      </c>
      <c r="L78" s="94">
        <f t="shared" si="9"/>
        <v>45332</v>
      </c>
      <c r="M78" s="159">
        <f t="shared" si="10"/>
        <v>4</v>
      </c>
      <c r="N78" s="159"/>
      <c r="O78" s="97"/>
      <c r="P78" s="11"/>
    </row>
    <row r="79" spans="1:16" s="114" customFormat="1">
      <c r="A79" s="293" t="s">
        <v>1237</v>
      </c>
      <c r="B79" s="96">
        <v>74</v>
      </c>
      <c r="C79" s="123" t="s">
        <v>1238</v>
      </c>
      <c r="D79" s="123"/>
      <c r="E79" s="16">
        <v>500000</v>
      </c>
      <c r="F79" s="16">
        <v>66650</v>
      </c>
      <c r="G79" s="41">
        <f t="shared" si="11"/>
        <v>566650</v>
      </c>
      <c r="H79" s="327">
        <v>11333</v>
      </c>
      <c r="I79" s="159">
        <v>50</v>
      </c>
      <c r="J79" s="159">
        <v>7</v>
      </c>
      <c r="K79" s="16">
        <f t="shared" si="8"/>
        <v>79331</v>
      </c>
      <c r="L79" s="94">
        <f t="shared" si="9"/>
        <v>487319</v>
      </c>
      <c r="M79" s="159">
        <f t="shared" si="10"/>
        <v>43</v>
      </c>
      <c r="N79" s="159"/>
      <c r="O79" s="159"/>
      <c r="P79" s="8"/>
    </row>
    <row r="80" spans="1:16" s="114" customFormat="1">
      <c r="A80" s="292" t="s">
        <v>594</v>
      </c>
      <c r="B80" s="96">
        <v>75</v>
      </c>
      <c r="C80" s="11" t="s">
        <v>595</v>
      </c>
      <c r="D80" s="11"/>
      <c r="E80" s="16">
        <v>500000</v>
      </c>
      <c r="F80" s="16">
        <v>66650</v>
      </c>
      <c r="G80" s="41">
        <f t="shared" si="11"/>
        <v>566650</v>
      </c>
      <c r="H80" s="318">
        <v>11333</v>
      </c>
      <c r="I80" s="159">
        <v>50</v>
      </c>
      <c r="J80" s="97">
        <v>46</v>
      </c>
      <c r="K80" s="91">
        <f t="shared" si="8"/>
        <v>521318</v>
      </c>
      <c r="L80" s="94">
        <f t="shared" si="9"/>
        <v>45332</v>
      </c>
      <c r="M80" s="159">
        <f t="shared" si="10"/>
        <v>4</v>
      </c>
      <c r="N80" s="159"/>
      <c r="O80" s="97"/>
      <c r="P80" s="11"/>
    </row>
    <row r="81" spans="1:16" s="114" customFormat="1">
      <c r="A81" s="293" t="s">
        <v>1166</v>
      </c>
      <c r="B81" s="96">
        <v>76</v>
      </c>
      <c r="C81" s="11" t="s">
        <v>1167</v>
      </c>
      <c r="D81" s="11"/>
      <c r="E81" s="16">
        <v>500000</v>
      </c>
      <c r="F81" s="16">
        <v>66650</v>
      </c>
      <c r="G81" s="41">
        <f t="shared" si="11"/>
        <v>566650</v>
      </c>
      <c r="H81" s="327">
        <v>11333</v>
      </c>
      <c r="I81" s="159">
        <v>50</v>
      </c>
      <c r="J81" s="96">
        <v>8</v>
      </c>
      <c r="K81" s="91">
        <f t="shared" si="8"/>
        <v>90664</v>
      </c>
      <c r="L81" s="94">
        <f t="shared" si="9"/>
        <v>475986</v>
      </c>
      <c r="M81" s="159">
        <f t="shared" si="10"/>
        <v>42</v>
      </c>
      <c r="N81" s="159"/>
      <c r="O81" s="97"/>
      <c r="P81" s="11"/>
    </row>
    <row r="82" spans="1:16" s="114" customFormat="1">
      <c r="A82" s="293" t="s">
        <v>1172</v>
      </c>
      <c r="B82" s="96">
        <v>77</v>
      </c>
      <c r="C82" s="11" t="s">
        <v>1173</v>
      </c>
      <c r="D82" s="11"/>
      <c r="E82" s="19">
        <v>330000</v>
      </c>
      <c r="F82" s="19">
        <v>43989</v>
      </c>
      <c r="G82" s="19">
        <f t="shared" si="11"/>
        <v>373989</v>
      </c>
      <c r="H82" s="327">
        <v>7479.78</v>
      </c>
      <c r="I82" s="159">
        <v>50</v>
      </c>
      <c r="J82" s="96">
        <v>8</v>
      </c>
      <c r="K82" s="91">
        <f t="shared" si="8"/>
        <v>59838.239999999998</v>
      </c>
      <c r="L82" s="94">
        <f t="shared" si="9"/>
        <v>314150.76</v>
      </c>
      <c r="M82" s="159">
        <f t="shared" si="10"/>
        <v>42</v>
      </c>
      <c r="N82" s="159"/>
      <c r="O82" s="97"/>
      <c r="P82" s="11"/>
    </row>
    <row r="83" spans="1:16" s="114" customFormat="1">
      <c r="A83" s="292" t="s">
        <v>583</v>
      </c>
      <c r="B83" s="96">
        <v>78</v>
      </c>
      <c r="C83" s="11" t="s">
        <v>584</v>
      </c>
      <c r="D83" s="11"/>
      <c r="E83" s="16">
        <v>500000</v>
      </c>
      <c r="F83" s="16">
        <v>66650</v>
      </c>
      <c r="G83" s="41">
        <f t="shared" si="11"/>
        <v>566650</v>
      </c>
      <c r="H83" s="318">
        <v>11333</v>
      </c>
      <c r="I83" s="159">
        <v>50</v>
      </c>
      <c r="J83" s="97">
        <v>46</v>
      </c>
      <c r="K83" s="91">
        <f t="shared" si="8"/>
        <v>521318</v>
      </c>
      <c r="L83" s="94">
        <f t="shared" si="9"/>
        <v>45332</v>
      </c>
      <c r="M83" s="159">
        <f t="shared" si="10"/>
        <v>4</v>
      </c>
      <c r="N83" s="159"/>
      <c r="O83" s="97"/>
      <c r="P83" s="8"/>
    </row>
    <row r="84" spans="1:16" s="114" customFormat="1">
      <c r="A84" s="295" t="s">
        <v>884</v>
      </c>
      <c r="B84" s="96">
        <v>79</v>
      </c>
      <c r="C84" s="11" t="s">
        <v>906</v>
      </c>
      <c r="D84" s="8"/>
      <c r="E84" s="16">
        <v>500000</v>
      </c>
      <c r="F84" s="16">
        <v>66650</v>
      </c>
      <c r="G84" s="41">
        <f t="shared" si="11"/>
        <v>566650</v>
      </c>
      <c r="H84" s="319">
        <v>11333</v>
      </c>
      <c r="I84" s="159">
        <v>50</v>
      </c>
      <c r="J84" s="159">
        <v>15</v>
      </c>
      <c r="K84" s="16">
        <f t="shared" si="8"/>
        <v>169995</v>
      </c>
      <c r="L84" s="94">
        <f t="shared" si="9"/>
        <v>396655</v>
      </c>
      <c r="M84" s="159">
        <f t="shared" si="10"/>
        <v>35</v>
      </c>
      <c r="N84" s="159"/>
      <c r="O84" s="97"/>
      <c r="P84" s="8"/>
    </row>
    <row r="85" spans="1:16" s="114" customFormat="1">
      <c r="A85" s="292" t="s">
        <v>561</v>
      </c>
      <c r="B85" s="96">
        <v>80</v>
      </c>
      <c r="C85" s="11" t="s">
        <v>562</v>
      </c>
      <c r="D85" s="11"/>
      <c r="E85" s="16">
        <v>450000</v>
      </c>
      <c r="F85" s="16">
        <v>59985</v>
      </c>
      <c r="G85" s="41">
        <f t="shared" si="11"/>
        <v>509985</v>
      </c>
      <c r="H85" s="318">
        <v>10199.700000000001</v>
      </c>
      <c r="I85" s="159">
        <v>50</v>
      </c>
      <c r="J85" s="97">
        <v>46</v>
      </c>
      <c r="K85" s="91">
        <f t="shared" si="8"/>
        <v>469186.2</v>
      </c>
      <c r="L85" s="94">
        <f t="shared" si="9"/>
        <v>40798.799999999988</v>
      </c>
      <c r="M85" s="159">
        <f t="shared" si="10"/>
        <v>4</v>
      </c>
      <c r="N85" s="159"/>
      <c r="O85" s="97"/>
      <c r="P85" s="11"/>
    </row>
    <row r="86" spans="1:16" s="114" customFormat="1">
      <c r="A86" s="292" t="s">
        <v>702</v>
      </c>
      <c r="B86" s="96">
        <v>81</v>
      </c>
      <c r="C86" s="11" t="s">
        <v>703</v>
      </c>
      <c r="D86" s="11"/>
      <c r="E86" s="16">
        <v>450000</v>
      </c>
      <c r="F86" s="16">
        <v>59985</v>
      </c>
      <c r="G86" s="16">
        <v>509985</v>
      </c>
      <c r="H86" s="318">
        <v>10199.700000000001</v>
      </c>
      <c r="I86" s="159">
        <v>50</v>
      </c>
      <c r="J86" s="97">
        <v>31</v>
      </c>
      <c r="K86" s="91">
        <f t="shared" si="8"/>
        <v>316190.7</v>
      </c>
      <c r="L86" s="91">
        <f t="shared" si="9"/>
        <v>193794.3</v>
      </c>
      <c r="M86" s="159">
        <f t="shared" si="10"/>
        <v>19</v>
      </c>
      <c r="N86" s="159"/>
      <c r="O86" s="97"/>
      <c r="P86" s="11"/>
    </row>
    <row r="87" spans="1:16" s="114" customFormat="1">
      <c r="A87" s="294" t="s">
        <v>723</v>
      </c>
      <c r="B87" s="96">
        <v>82</v>
      </c>
      <c r="C87" s="11" t="s">
        <v>955</v>
      </c>
      <c r="D87" s="11"/>
      <c r="E87" s="16">
        <v>500000</v>
      </c>
      <c r="F87" s="16">
        <v>66650</v>
      </c>
      <c r="G87" s="41">
        <f>SUM(E87:F87)</f>
        <v>566650</v>
      </c>
      <c r="H87" s="327">
        <v>11333</v>
      </c>
      <c r="I87" s="159">
        <v>50</v>
      </c>
      <c r="J87" s="159">
        <v>13</v>
      </c>
      <c r="K87" s="91">
        <f t="shared" si="8"/>
        <v>147329</v>
      </c>
      <c r="L87" s="94">
        <f t="shared" si="9"/>
        <v>419321</v>
      </c>
      <c r="M87" s="159">
        <f t="shared" si="10"/>
        <v>37</v>
      </c>
      <c r="N87" s="159"/>
      <c r="O87" s="97"/>
      <c r="P87" s="11"/>
    </row>
    <row r="88" spans="1:16" s="114" customFormat="1">
      <c r="A88" s="122" t="s">
        <v>1176</v>
      </c>
      <c r="B88" s="96">
        <v>83</v>
      </c>
      <c r="C88" s="11" t="s">
        <v>1177</v>
      </c>
      <c r="D88" s="122"/>
      <c r="E88" s="16">
        <v>500000</v>
      </c>
      <c r="F88" s="16">
        <v>66650</v>
      </c>
      <c r="G88" s="41">
        <f>SUM(E88:F88)</f>
        <v>566650</v>
      </c>
      <c r="H88" s="16">
        <v>11333</v>
      </c>
      <c r="I88" s="159">
        <v>50</v>
      </c>
      <c r="J88" s="188">
        <v>5</v>
      </c>
      <c r="K88" s="16">
        <f t="shared" si="8"/>
        <v>56665</v>
      </c>
      <c r="L88" s="94">
        <f t="shared" si="9"/>
        <v>509985</v>
      </c>
      <c r="M88" s="159">
        <f t="shared" si="10"/>
        <v>45</v>
      </c>
      <c r="N88" s="159"/>
      <c r="O88" s="159"/>
      <c r="P88" s="11"/>
    </row>
    <row r="89" spans="1:16" s="114" customFormat="1">
      <c r="A89" s="292" t="s">
        <v>559</v>
      </c>
      <c r="B89" s="96">
        <v>84</v>
      </c>
      <c r="C89" s="11" t="s">
        <v>560</v>
      </c>
      <c r="D89" s="11"/>
      <c r="E89" s="16">
        <v>500000</v>
      </c>
      <c r="F89" s="16">
        <v>66650</v>
      </c>
      <c r="G89" s="16">
        <v>566650</v>
      </c>
      <c r="H89" s="146">
        <v>11333</v>
      </c>
      <c r="I89" s="159">
        <v>50</v>
      </c>
      <c r="J89" s="96">
        <v>20</v>
      </c>
      <c r="K89" s="91">
        <f t="shared" si="8"/>
        <v>226660</v>
      </c>
      <c r="L89" s="94">
        <f t="shared" si="9"/>
        <v>339990</v>
      </c>
      <c r="M89" s="159">
        <f t="shared" si="10"/>
        <v>30</v>
      </c>
      <c r="N89" s="159"/>
      <c r="O89" s="97"/>
      <c r="P89" s="123"/>
    </row>
    <row r="90" spans="1:16" s="114" customFormat="1">
      <c r="A90" s="295" t="s">
        <v>943</v>
      </c>
      <c r="B90" s="96">
        <v>85</v>
      </c>
      <c r="C90" s="11" t="s">
        <v>944</v>
      </c>
      <c r="D90" s="8"/>
      <c r="E90" s="16">
        <v>450000</v>
      </c>
      <c r="F90" s="16">
        <v>59985</v>
      </c>
      <c r="G90" s="41">
        <f t="shared" ref="G90:G95" si="12">SUM(E90:F90)</f>
        <v>509985</v>
      </c>
      <c r="H90" s="319">
        <v>10199.700000000001</v>
      </c>
      <c r="I90" s="159">
        <v>50</v>
      </c>
      <c r="J90" s="159">
        <v>45</v>
      </c>
      <c r="K90" s="16">
        <f t="shared" si="8"/>
        <v>458986.50000000006</v>
      </c>
      <c r="L90" s="94">
        <f t="shared" si="9"/>
        <v>50998.499999999942</v>
      </c>
      <c r="M90" s="159">
        <f t="shared" si="10"/>
        <v>5</v>
      </c>
      <c r="N90" s="159"/>
      <c r="O90" s="159"/>
      <c r="P90" s="11"/>
    </row>
    <row r="91" spans="1:16" s="114" customFormat="1">
      <c r="A91" s="292" t="s">
        <v>676</v>
      </c>
      <c r="B91" s="96">
        <v>86</v>
      </c>
      <c r="C91" s="11" t="s">
        <v>677</v>
      </c>
      <c r="D91" s="11"/>
      <c r="E91" s="19">
        <v>150000</v>
      </c>
      <c r="F91" s="19">
        <v>19995</v>
      </c>
      <c r="G91" s="19">
        <f t="shared" si="12"/>
        <v>169995</v>
      </c>
      <c r="H91" s="318">
        <v>3399.9</v>
      </c>
      <c r="I91" s="159">
        <v>50</v>
      </c>
      <c r="J91" s="97">
        <v>32</v>
      </c>
      <c r="K91" s="91">
        <f t="shared" si="8"/>
        <v>108796.8</v>
      </c>
      <c r="L91" s="91">
        <f t="shared" si="9"/>
        <v>61198.2</v>
      </c>
      <c r="M91" s="159">
        <f t="shared" si="10"/>
        <v>18</v>
      </c>
      <c r="N91" s="159"/>
      <c r="O91" s="97"/>
      <c r="P91" s="11"/>
    </row>
    <row r="92" spans="1:16" s="114" customFormat="1">
      <c r="A92" s="296" t="s">
        <v>686</v>
      </c>
      <c r="B92" s="96">
        <v>87</v>
      </c>
      <c r="C92" s="11" t="s">
        <v>687</v>
      </c>
      <c r="D92" s="11"/>
      <c r="E92" s="16">
        <v>500000</v>
      </c>
      <c r="F92" s="16">
        <v>66650</v>
      </c>
      <c r="G92" s="41">
        <f t="shared" si="12"/>
        <v>566650</v>
      </c>
      <c r="H92" s="318">
        <v>11333</v>
      </c>
      <c r="I92" s="240">
        <v>50</v>
      </c>
      <c r="J92" s="249">
        <v>45</v>
      </c>
      <c r="K92" s="91">
        <f t="shared" si="8"/>
        <v>509985</v>
      </c>
      <c r="L92" s="94">
        <f t="shared" si="9"/>
        <v>56665</v>
      </c>
      <c r="M92" s="159">
        <f t="shared" si="10"/>
        <v>5</v>
      </c>
      <c r="N92" s="159"/>
      <c r="O92" s="97"/>
      <c r="P92" s="8"/>
    </row>
    <row r="93" spans="1:16" s="114" customFormat="1">
      <c r="A93" s="295" t="s">
        <v>1233</v>
      </c>
      <c r="B93" s="96">
        <v>88</v>
      </c>
      <c r="C93" s="11" t="s">
        <v>1234</v>
      </c>
      <c r="D93" s="8"/>
      <c r="E93" s="16">
        <v>500000</v>
      </c>
      <c r="F93" s="16">
        <v>66650</v>
      </c>
      <c r="G93" s="41">
        <f t="shared" si="12"/>
        <v>566650</v>
      </c>
      <c r="H93" s="34">
        <v>11333</v>
      </c>
      <c r="I93" s="159">
        <v>50</v>
      </c>
      <c r="J93" s="323">
        <v>5</v>
      </c>
      <c r="K93" s="16">
        <f t="shared" si="8"/>
        <v>56665</v>
      </c>
      <c r="L93" s="94">
        <f t="shared" si="9"/>
        <v>509985</v>
      </c>
      <c r="M93" s="159">
        <f t="shared" si="10"/>
        <v>45</v>
      </c>
      <c r="N93" s="159"/>
      <c r="O93" s="159"/>
      <c r="P93" s="8"/>
    </row>
    <row r="94" spans="1:16" s="114" customFormat="1">
      <c r="A94" s="1" t="s">
        <v>1152</v>
      </c>
      <c r="B94" s="96">
        <v>89</v>
      </c>
      <c r="C94" s="11" t="s">
        <v>1153</v>
      </c>
      <c r="D94" s="1"/>
      <c r="E94" s="16">
        <v>500000</v>
      </c>
      <c r="F94" s="16">
        <v>66650</v>
      </c>
      <c r="G94" s="41">
        <f t="shared" si="12"/>
        <v>566650</v>
      </c>
      <c r="H94" s="34">
        <v>11333</v>
      </c>
      <c r="I94" s="159">
        <v>50</v>
      </c>
      <c r="J94" s="323">
        <v>5</v>
      </c>
      <c r="K94" s="16">
        <f t="shared" si="8"/>
        <v>56665</v>
      </c>
      <c r="L94" s="94">
        <f t="shared" si="9"/>
        <v>509985</v>
      </c>
      <c r="M94" s="159">
        <f t="shared" si="10"/>
        <v>45</v>
      </c>
      <c r="N94" s="159"/>
      <c r="O94" s="159"/>
      <c r="P94" s="8"/>
    </row>
    <row r="95" spans="1:16" s="114" customFormat="1">
      <c r="A95" s="292" t="s">
        <v>546</v>
      </c>
      <c r="B95" s="96">
        <v>90</v>
      </c>
      <c r="C95" s="11" t="s">
        <v>547</v>
      </c>
      <c r="D95" s="11"/>
      <c r="E95" s="19">
        <v>330000</v>
      </c>
      <c r="F95" s="19">
        <v>43989</v>
      </c>
      <c r="G95" s="19">
        <f t="shared" si="12"/>
        <v>373989</v>
      </c>
      <c r="H95" s="318">
        <v>9129.7800000000007</v>
      </c>
      <c r="I95" s="159">
        <v>40</v>
      </c>
      <c r="J95" s="159">
        <v>20</v>
      </c>
      <c r="K95" s="91">
        <f t="shared" si="8"/>
        <v>182595.6</v>
      </c>
      <c r="L95" s="94">
        <f t="shared" si="9"/>
        <v>191393.4</v>
      </c>
      <c r="M95" s="159">
        <f t="shared" si="10"/>
        <v>20</v>
      </c>
      <c r="N95" s="159"/>
      <c r="O95" s="97"/>
      <c r="P95" s="11"/>
    </row>
    <row r="96" spans="1:16" s="114" customFormat="1">
      <c r="A96" s="293" t="s">
        <v>893</v>
      </c>
      <c r="B96" s="96">
        <v>91</v>
      </c>
      <c r="C96" s="123" t="s">
        <v>915</v>
      </c>
      <c r="D96" s="123"/>
      <c r="E96" s="19">
        <v>450000</v>
      </c>
      <c r="F96" s="19">
        <v>59985</v>
      </c>
      <c r="G96" s="19">
        <v>509985</v>
      </c>
      <c r="H96" s="327">
        <v>10199.700000000001</v>
      </c>
      <c r="I96" s="159">
        <v>50</v>
      </c>
      <c r="J96" s="159">
        <v>15</v>
      </c>
      <c r="K96" s="16">
        <f t="shared" si="8"/>
        <v>152995.5</v>
      </c>
      <c r="L96" s="94">
        <f t="shared" si="9"/>
        <v>356989.5</v>
      </c>
      <c r="M96" s="159">
        <f t="shared" si="10"/>
        <v>35</v>
      </c>
      <c r="N96" s="159"/>
      <c r="O96" s="159"/>
      <c r="P96" s="11"/>
    </row>
    <row r="97" spans="1:16">
      <c r="A97" s="293" t="s">
        <v>1255</v>
      </c>
      <c r="B97" s="96">
        <v>92</v>
      </c>
      <c r="C97" s="123" t="s">
        <v>1256</v>
      </c>
      <c r="D97" s="123"/>
      <c r="E97" s="19">
        <v>450000</v>
      </c>
      <c r="F97" s="19">
        <v>59985</v>
      </c>
      <c r="G97" s="19">
        <v>509985</v>
      </c>
      <c r="H97" s="327">
        <v>10199.700000000001</v>
      </c>
      <c r="I97" s="159">
        <v>50</v>
      </c>
      <c r="J97" s="159">
        <v>7</v>
      </c>
      <c r="K97" s="16">
        <f t="shared" ref="K97:K128" si="13">J97*H97</f>
        <v>71397.900000000009</v>
      </c>
      <c r="L97" s="94">
        <f t="shared" si="9"/>
        <v>438587.1</v>
      </c>
      <c r="M97" s="159">
        <f t="shared" si="10"/>
        <v>43</v>
      </c>
      <c r="N97" s="159"/>
      <c r="O97" s="159"/>
      <c r="P97" s="11"/>
    </row>
    <row r="98" spans="1:16">
      <c r="A98" s="295" t="s">
        <v>947</v>
      </c>
      <c r="B98" s="96">
        <v>93</v>
      </c>
      <c r="C98" s="11" t="s">
        <v>948</v>
      </c>
      <c r="D98" s="8"/>
      <c r="E98" s="16">
        <v>500000</v>
      </c>
      <c r="F98" s="16">
        <v>66650</v>
      </c>
      <c r="G98" s="41">
        <f t="shared" ref="G98:G103" si="14">SUM(E98:F98)</f>
        <v>566650</v>
      </c>
      <c r="H98" s="319">
        <v>11333</v>
      </c>
      <c r="I98" s="159">
        <v>50</v>
      </c>
      <c r="J98" s="159">
        <v>12</v>
      </c>
      <c r="K98" s="16">
        <f t="shared" si="13"/>
        <v>135996</v>
      </c>
      <c r="L98" s="94">
        <f t="shared" si="9"/>
        <v>430654</v>
      </c>
      <c r="M98" s="159">
        <f t="shared" si="10"/>
        <v>38</v>
      </c>
      <c r="N98" s="159"/>
      <c r="O98" s="159"/>
      <c r="P98" s="8"/>
    </row>
    <row r="99" spans="1:16">
      <c r="A99" s="293" t="s">
        <v>1259</v>
      </c>
      <c r="B99" s="96">
        <v>94</v>
      </c>
      <c r="C99" s="123" t="s">
        <v>1260</v>
      </c>
      <c r="D99" s="123"/>
      <c r="E99" s="16">
        <v>500000</v>
      </c>
      <c r="F99" s="16">
        <v>66650</v>
      </c>
      <c r="G99" s="41">
        <f t="shared" si="14"/>
        <v>566650</v>
      </c>
      <c r="H99" s="327">
        <v>11333</v>
      </c>
      <c r="I99" s="159">
        <v>50</v>
      </c>
      <c r="J99" s="159">
        <v>7</v>
      </c>
      <c r="K99" s="16">
        <f t="shared" si="13"/>
        <v>79331</v>
      </c>
      <c r="L99" s="94">
        <f t="shared" si="9"/>
        <v>487319</v>
      </c>
      <c r="M99" s="159">
        <f t="shared" si="10"/>
        <v>43</v>
      </c>
      <c r="N99" s="159"/>
      <c r="O99" s="159"/>
      <c r="P99" s="11"/>
    </row>
    <row r="100" spans="1:16">
      <c r="A100" s="293" t="s">
        <v>1192</v>
      </c>
      <c r="B100" s="96">
        <v>95</v>
      </c>
      <c r="C100" s="123" t="s">
        <v>1193</v>
      </c>
      <c r="D100" s="123"/>
      <c r="E100" s="19">
        <v>330000</v>
      </c>
      <c r="F100" s="19">
        <v>43989</v>
      </c>
      <c r="G100" s="19">
        <f t="shared" si="14"/>
        <v>373989</v>
      </c>
      <c r="H100" s="327">
        <v>7479.78</v>
      </c>
      <c r="I100" s="159">
        <v>50</v>
      </c>
      <c r="J100" s="159">
        <v>6</v>
      </c>
      <c r="K100" s="16">
        <f t="shared" si="13"/>
        <v>44878.68</v>
      </c>
      <c r="L100" s="94">
        <f t="shared" si="9"/>
        <v>329110.32</v>
      </c>
      <c r="M100" s="159">
        <f t="shared" si="10"/>
        <v>44</v>
      </c>
      <c r="N100" s="159"/>
      <c r="O100" s="159"/>
      <c r="P100" s="11"/>
    </row>
    <row r="101" spans="1:16">
      <c r="A101" s="292" t="s">
        <v>886</v>
      </c>
      <c r="B101" s="96">
        <v>96</v>
      </c>
      <c r="C101" s="11" t="s">
        <v>908</v>
      </c>
      <c r="D101" s="11"/>
      <c r="E101" s="16">
        <v>500000</v>
      </c>
      <c r="F101" s="16">
        <v>66650</v>
      </c>
      <c r="G101" s="41">
        <f t="shared" si="14"/>
        <v>566650</v>
      </c>
      <c r="H101" s="318">
        <v>11333</v>
      </c>
      <c r="I101" s="159">
        <v>50</v>
      </c>
      <c r="J101" s="97">
        <v>46</v>
      </c>
      <c r="K101" s="91">
        <f t="shared" si="13"/>
        <v>521318</v>
      </c>
      <c r="L101" s="94">
        <f t="shared" si="9"/>
        <v>45332</v>
      </c>
      <c r="M101" s="159">
        <f t="shared" si="10"/>
        <v>4</v>
      </c>
      <c r="N101" s="159"/>
      <c r="O101" s="97"/>
      <c r="P101" s="11"/>
    </row>
    <row r="102" spans="1:16">
      <c r="A102" s="293" t="s">
        <v>1190</v>
      </c>
      <c r="B102" s="96">
        <v>97</v>
      </c>
      <c r="C102" s="123" t="s">
        <v>1191</v>
      </c>
      <c r="D102" s="123"/>
      <c r="E102" s="16">
        <v>500000</v>
      </c>
      <c r="F102" s="16">
        <v>66650</v>
      </c>
      <c r="G102" s="41">
        <f t="shared" si="14"/>
        <v>566650</v>
      </c>
      <c r="H102" s="327">
        <v>11333</v>
      </c>
      <c r="I102" s="159">
        <v>50</v>
      </c>
      <c r="J102" s="159">
        <v>7</v>
      </c>
      <c r="K102" s="16">
        <f t="shared" si="13"/>
        <v>79331</v>
      </c>
      <c r="L102" s="94">
        <f t="shared" ref="L102:L133" si="15">G102-K102</f>
        <v>487319</v>
      </c>
      <c r="M102" s="159">
        <f t="shared" ref="M102:M135" si="16">I102-J102</f>
        <v>43</v>
      </c>
      <c r="N102" s="159"/>
      <c r="O102" s="159"/>
      <c r="P102" s="11"/>
    </row>
    <row r="103" spans="1:16" s="114" customFormat="1">
      <c r="A103" s="292" t="s">
        <v>542</v>
      </c>
      <c r="B103" s="96">
        <v>98</v>
      </c>
      <c r="C103" s="11" t="s">
        <v>543</v>
      </c>
      <c r="D103" s="11"/>
      <c r="E103" s="16">
        <v>500000</v>
      </c>
      <c r="F103" s="16">
        <v>66650</v>
      </c>
      <c r="G103" s="41">
        <f t="shared" si="14"/>
        <v>566650</v>
      </c>
      <c r="H103" s="318">
        <v>11333</v>
      </c>
      <c r="I103" s="159">
        <v>50</v>
      </c>
      <c r="J103" s="97">
        <v>45</v>
      </c>
      <c r="K103" s="91">
        <f t="shared" si="13"/>
        <v>509985</v>
      </c>
      <c r="L103" s="94">
        <f t="shared" si="15"/>
        <v>56665</v>
      </c>
      <c r="M103" s="159">
        <f t="shared" si="16"/>
        <v>5</v>
      </c>
      <c r="N103" s="159"/>
      <c r="O103" s="97"/>
      <c r="P103" s="11"/>
    </row>
    <row r="104" spans="1:16" s="114" customFormat="1">
      <c r="A104" s="292" t="s">
        <v>680</v>
      </c>
      <c r="B104" s="96">
        <v>99</v>
      </c>
      <c r="C104" s="11" t="s">
        <v>681</v>
      </c>
      <c r="D104" s="11"/>
      <c r="E104" s="19">
        <v>500000</v>
      </c>
      <c r="F104" s="19">
        <v>66650</v>
      </c>
      <c r="G104" s="19">
        <v>566650</v>
      </c>
      <c r="H104" s="318">
        <v>11333</v>
      </c>
      <c r="I104" s="159">
        <v>50</v>
      </c>
      <c r="J104" s="97">
        <v>32</v>
      </c>
      <c r="K104" s="91">
        <f t="shared" si="13"/>
        <v>362656</v>
      </c>
      <c r="L104" s="91">
        <f t="shared" si="15"/>
        <v>203994</v>
      </c>
      <c r="M104" s="159">
        <f t="shared" si="16"/>
        <v>18</v>
      </c>
      <c r="N104" s="159"/>
      <c r="O104" s="97"/>
      <c r="P104" s="11"/>
    </row>
    <row r="105" spans="1:16" s="114" customFormat="1">
      <c r="A105" s="292" t="s">
        <v>684</v>
      </c>
      <c r="B105" s="96">
        <v>100</v>
      </c>
      <c r="C105" s="11" t="s">
        <v>685</v>
      </c>
      <c r="D105" s="11"/>
      <c r="E105" s="19">
        <v>500000</v>
      </c>
      <c r="F105" s="19">
        <v>66650</v>
      </c>
      <c r="G105" s="19">
        <v>566650</v>
      </c>
      <c r="H105" s="318">
        <v>11333</v>
      </c>
      <c r="I105" s="159">
        <v>50</v>
      </c>
      <c r="J105" s="97">
        <v>32</v>
      </c>
      <c r="K105" s="91">
        <f t="shared" si="13"/>
        <v>362656</v>
      </c>
      <c r="L105" s="91">
        <f t="shared" si="15"/>
        <v>203994</v>
      </c>
      <c r="M105" s="159">
        <f t="shared" si="16"/>
        <v>18</v>
      </c>
      <c r="N105" s="159"/>
      <c r="O105" s="97"/>
      <c r="P105" s="11"/>
    </row>
    <row r="106" spans="1:16" s="114" customFormat="1">
      <c r="A106" s="292" t="s">
        <v>730</v>
      </c>
      <c r="B106" s="96">
        <v>101</v>
      </c>
      <c r="C106" s="11" t="s">
        <v>731</v>
      </c>
      <c r="D106" s="11"/>
      <c r="E106" s="16">
        <v>500000</v>
      </c>
      <c r="F106" s="16">
        <v>66650</v>
      </c>
      <c r="G106" s="41">
        <f t="shared" ref="G106:G112" si="17">SUM(E106:F106)</f>
        <v>566650</v>
      </c>
      <c r="H106" s="318">
        <v>11333</v>
      </c>
      <c r="I106" s="159">
        <v>50</v>
      </c>
      <c r="J106" s="159">
        <v>22</v>
      </c>
      <c r="K106" s="91">
        <f t="shared" si="13"/>
        <v>249326</v>
      </c>
      <c r="L106" s="94">
        <f t="shared" si="15"/>
        <v>317324</v>
      </c>
      <c r="M106" s="159">
        <f t="shared" si="16"/>
        <v>28</v>
      </c>
      <c r="N106" s="159"/>
      <c r="O106" s="159"/>
      <c r="P106" s="11"/>
    </row>
    <row r="107" spans="1:16" s="114" customFormat="1">
      <c r="A107" s="293" t="s">
        <v>888</v>
      </c>
      <c r="B107" s="96">
        <v>102</v>
      </c>
      <c r="C107" s="123" t="s">
        <v>910</v>
      </c>
      <c r="D107" s="123"/>
      <c r="E107" s="16">
        <v>500000</v>
      </c>
      <c r="F107" s="16">
        <v>66650</v>
      </c>
      <c r="G107" s="41">
        <f t="shared" si="17"/>
        <v>566650</v>
      </c>
      <c r="H107" s="327">
        <v>11333</v>
      </c>
      <c r="I107" s="159">
        <v>50</v>
      </c>
      <c r="J107" s="159">
        <v>15</v>
      </c>
      <c r="K107" s="16">
        <f t="shared" si="13"/>
        <v>169995</v>
      </c>
      <c r="L107" s="94">
        <f t="shared" si="15"/>
        <v>396655</v>
      </c>
      <c r="M107" s="159">
        <f t="shared" si="16"/>
        <v>35</v>
      </c>
      <c r="N107" s="159"/>
      <c r="O107" s="159"/>
      <c r="P107" s="11"/>
    </row>
    <row r="108" spans="1:16" s="114" customFormat="1">
      <c r="A108" s="292" t="s">
        <v>949</v>
      </c>
      <c r="B108" s="96">
        <v>103</v>
      </c>
      <c r="C108" s="11" t="s">
        <v>950</v>
      </c>
      <c r="D108" s="11"/>
      <c r="E108" s="16">
        <v>500000</v>
      </c>
      <c r="F108" s="16">
        <v>66650</v>
      </c>
      <c r="G108" s="41">
        <f t="shared" si="17"/>
        <v>566650</v>
      </c>
      <c r="H108" s="318">
        <v>11333</v>
      </c>
      <c r="I108" s="159">
        <v>50</v>
      </c>
      <c r="J108" s="97">
        <v>45</v>
      </c>
      <c r="K108" s="91">
        <f t="shared" si="13"/>
        <v>509985</v>
      </c>
      <c r="L108" s="94">
        <f t="shared" si="15"/>
        <v>56665</v>
      </c>
      <c r="M108" s="159">
        <f t="shared" si="16"/>
        <v>5</v>
      </c>
      <c r="N108" s="159"/>
      <c r="O108" s="97"/>
      <c r="P108" s="11"/>
    </row>
    <row r="109" spans="1:16" s="114" customFormat="1">
      <c r="A109" s="292" t="s">
        <v>711</v>
      </c>
      <c r="B109" s="96">
        <v>104</v>
      </c>
      <c r="C109" s="11" t="s">
        <v>712</v>
      </c>
      <c r="D109" s="11"/>
      <c r="E109" s="16">
        <v>500000</v>
      </c>
      <c r="F109" s="16">
        <v>66650</v>
      </c>
      <c r="G109" s="41">
        <f t="shared" si="17"/>
        <v>566650</v>
      </c>
      <c r="H109" s="318">
        <v>11333</v>
      </c>
      <c r="I109" s="159">
        <v>50</v>
      </c>
      <c r="J109" s="97">
        <v>45</v>
      </c>
      <c r="K109" s="91">
        <f t="shared" si="13"/>
        <v>509985</v>
      </c>
      <c r="L109" s="94">
        <f t="shared" si="15"/>
        <v>56665</v>
      </c>
      <c r="M109" s="159">
        <f t="shared" si="16"/>
        <v>5</v>
      </c>
      <c r="N109" s="159"/>
      <c r="O109" s="97"/>
      <c r="P109" s="11"/>
    </row>
    <row r="110" spans="1:16" s="114" customFormat="1">
      <c r="A110" s="292" t="s">
        <v>585</v>
      </c>
      <c r="B110" s="96">
        <v>105</v>
      </c>
      <c r="C110" s="11" t="s">
        <v>586</v>
      </c>
      <c r="D110" s="11"/>
      <c r="E110" s="161">
        <v>500000</v>
      </c>
      <c r="F110" s="161">
        <v>66650</v>
      </c>
      <c r="G110" s="162">
        <f t="shared" si="17"/>
        <v>566650</v>
      </c>
      <c r="H110" s="318">
        <v>11333</v>
      </c>
      <c r="I110" s="96">
        <v>50</v>
      </c>
      <c r="J110" s="97">
        <v>46</v>
      </c>
      <c r="K110" s="146">
        <f t="shared" si="13"/>
        <v>521318</v>
      </c>
      <c r="L110" s="164">
        <f t="shared" si="15"/>
        <v>45332</v>
      </c>
      <c r="M110" s="159">
        <f t="shared" si="16"/>
        <v>4</v>
      </c>
      <c r="N110" s="159"/>
      <c r="O110" s="97"/>
      <c r="P110" s="11"/>
    </row>
    <row r="111" spans="1:16" s="114" customFormat="1">
      <c r="A111" s="292" t="s">
        <v>655</v>
      </c>
      <c r="B111" s="96">
        <v>106</v>
      </c>
      <c r="C111" s="11" t="s">
        <v>656</v>
      </c>
      <c r="D111" s="11"/>
      <c r="E111" s="16">
        <v>450000</v>
      </c>
      <c r="F111" s="16">
        <v>59985</v>
      </c>
      <c r="G111" s="41">
        <f t="shared" si="17"/>
        <v>509985</v>
      </c>
      <c r="H111" s="318">
        <v>10199.700000000001</v>
      </c>
      <c r="I111" s="159">
        <v>50</v>
      </c>
      <c r="J111" s="97">
        <v>46</v>
      </c>
      <c r="K111" s="91">
        <f t="shared" si="13"/>
        <v>469186.2</v>
      </c>
      <c r="L111" s="94">
        <f t="shared" si="15"/>
        <v>40798.799999999988</v>
      </c>
      <c r="M111" s="159">
        <f t="shared" si="16"/>
        <v>4</v>
      </c>
      <c r="N111" s="159"/>
      <c r="O111" s="97"/>
      <c r="P111" s="11"/>
    </row>
    <row r="112" spans="1:16" s="114" customFormat="1">
      <c r="A112" s="295" t="s">
        <v>939</v>
      </c>
      <c r="B112" s="96">
        <v>107</v>
      </c>
      <c r="C112" s="11" t="s">
        <v>940</v>
      </c>
      <c r="D112" s="8"/>
      <c r="E112" s="19">
        <v>330000</v>
      </c>
      <c r="F112" s="19">
        <v>43989</v>
      </c>
      <c r="G112" s="19">
        <f t="shared" si="17"/>
        <v>373989</v>
      </c>
      <c r="H112" s="319">
        <v>7479.78</v>
      </c>
      <c r="I112" s="159">
        <v>50</v>
      </c>
      <c r="J112" s="159">
        <v>12</v>
      </c>
      <c r="K112" s="16">
        <f t="shared" si="13"/>
        <v>89757.36</v>
      </c>
      <c r="L112" s="94">
        <f t="shared" si="15"/>
        <v>284231.64</v>
      </c>
      <c r="M112" s="159">
        <f t="shared" si="16"/>
        <v>38</v>
      </c>
      <c r="N112" s="159"/>
      <c r="O112" s="159"/>
      <c r="P112" s="8"/>
    </row>
    <row r="113" spans="1:16" s="114" customFormat="1">
      <c r="A113" s="293" t="s">
        <v>1215</v>
      </c>
      <c r="B113" s="96">
        <v>108</v>
      </c>
      <c r="C113" s="11" t="s">
        <v>1216</v>
      </c>
      <c r="D113" s="11"/>
      <c r="E113" s="16">
        <v>450000</v>
      </c>
      <c r="F113" s="16">
        <v>59985</v>
      </c>
      <c r="G113" s="16">
        <v>509985</v>
      </c>
      <c r="H113" s="327">
        <v>10199.700000000001</v>
      </c>
      <c r="I113" s="159">
        <v>50</v>
      </c>
      <c r="J113" s="96">
        <v>8</v>
      </c>
      <c r="K113" s="91">
        <f t="shared" si="13"/>
        <v>81597.600000000006</v>
      </c>
      <c r="L113" s="94">
        <f t="shared" si="15"/>
        <v>428387.4</v>
      </c>
      <c r="M113" s="159">
        <f t="shared" si="16"/>
        <v>42</v>
      </c>
      <c r="N113" s="159"/>
      <c r="O113" s="97"/>
      <c r="P113" s="11"/>
    </row>
    <row r="114" spans="1:16" s="114" customFormat="1">
      <c r="A114" s="293" t="s">
        <v>602</v>
      </c>
      <c r="B114" s="96">
        <v>109</v>
      </c>
      <c r="C114" s="11" t="s">
        <v>603</v>
      </c>
      <c r="D114" s="11"/>
      <c r="E114" s="19">
        <v>330000</v>
      </c>
      <c r="F114" s="19">
        <v>43989</v>
      </c>
      <c r="G114" s="19">
        <f>SUM(E114:F114)</f>
        <v>373989</v>
      </c>
      <c r="H114" s="327">
        <v>7479.78</v>
      </c>
      <c r="I114" s="159">
        <v>50</v>
      </c>
      <c r="J114" s="96">
        <v>8</v>
      </c>
      <c r="K114" s="91">
        <f t="shared" si="13"/>
        <v>59838.239999999998</v>
      </c>
      <c r="L114" s="94">
        <f t="shared" si="15"/>
        <v>314150.76</v>
      </c>
      <c r="M114" s="159">
        <f t="shared" si="16"/>
        <v>42</v>
      </c>
      <c r="N114" s="159"/>
      <c r="O114" s="97"/>
      <c r="P114" s="11"/>
    </row>
    <row r="115" spans="1:16" s="114" customFormat="1">
      <c r="A115" s="292" t="s">
        <v>548</v>
      </c>
      <c r="B115" s="96">
        <v>110</v>
      </c>
      <c r="C115" s="11" t="s">
        <v>549</v>
      </c>
      <c r="D115" s="11"/>
      <c r="E115" s="12">
        <v>330000</v>
      </c>
      <c r="F115" s="12">
        <v>43989</v>
      </c>
      <c r="G115" s="15">
        <f>SUM(E115:F115)</f>
        <v>373989</v>
      </c>
      <c r="H115" s="146">
        <v>7479.78</v>
      </c>
      <c r="I115" s="14">
        <v>50</v>
      </c>
      <c r="J115" s="14">
        <v>49</v>
      </c>
      <c r="K115" s="91">
        <f t="shared" si="13"/>
        <v>366509.22</v>
      </c>
      <c r="L115" s="15">
        <f t="shared" si="15"/>
        <v>7479.7800000000279</v>
      </c>
      <c r="M115" s="159">
        <f t="shared" si="16"/>
        <v>1</v>
      </c>
      <c r="N115" s="159"/>
      <c r="O115" s="97"/>
      <c r="P115" s="11"/>
    </row>
    <row r="116" spans="1:16" s="114" customFormat="1">
      <c r="A116" s="293" t="s">
        <v>900</v>
      </c>
      <c r="B116" s="96">
        <v>111</v>
      </c>
      <c r="C116" s="123" t="s">
        <v>923</v>
      </c>
      <c r="D116" s="123"/>
      <c r="E116" s="19">
        <v>330000</v>
      </c>
      <c r="F116" s="19">
        <v>43989</v>
      </c>
      <c r="G116" s="19">
        <f>SUM(E116:F116)</f>
        <v>373989</v>
      </c>
      <c r="H116" s="327">
        <v>7479.78</v>
      </c>
      <c r="I116" s="159">
        <v>50</v>
      </c>
      <c r="J116" s="159">
        <v>50</v>
      </c>
      <c r="K116" s="16">
        <f t="shared" si="13"/>
        <v>373989</v>
      </c>
      <c r="L116" s="94">
        <f t="shared" si="15"/>
        <v>0</v>
      </c>
      <c r="M116" s="159">
        <f t="shared" si="16"/>
        <v>0</v>
      </c>
      <c r="N116" s="159"/>
      <c r="O116" s="159"/>
      <c r="P116" s="11"/>
    </row>
    <row r="117" spans="1:16" s="114" customFormat="1">
      <c r="A117" s="293" t="s">
        <v>1219</v>
      </c>
      <c r="B117" s="96">
        <v>112</v>
      </c>
      <c r="C117" s="11" t="s">
        <v>1220</v>
      </c>
      <c r="D117" s="11"/>
      <c r="E117" s="19">
        <v>330000</v>
      </c>
      <c r="F117" s="19">
        <v>43989</v>
      </c>
      <c r="G117" s="19">
        <f>SUM(E117:F117)</f>
        <v>373989</v>
      </c>
      <c r="H117" s="327">
        <v>7479.78</v>
      </c>
      <c r="I117" s="159">
        <v>50</v>
      </c>
      <c r="J117" s="96">
        <v>8</v>
      </c>
      <c r="K117" s="91">
        <f t="shared" si="13"/>
        <v>59838.239999999998</v>
      </c>
      <c r="L117" s="94">
        <f t="shared" si="15"/>
        <v>314150.76</v>
      </c>
      <c r="M117" s="159">
        <f t="shared" si="16"/>
        <v>42</v>
      </c>
      <c r="N117" s="159"/>
      <c r="O117" s="97"/>
      <c r="P117" s="11"/>
    </row>
    <row r="118" spans="1:16" s="114" customFormat="1">
      <c r="A118" s="293" t="s">
        <v>1156</v>
      </c>
      <c r="B118" s="96">
        <v>113</v>
      </c>
      <c r="C118" s="11" t="s">
        <v>1157</v>
      </c>
      <c r="D118" s="11"/>
      <c r="E118" s="19"/>
      <c r="F118" s="19"/>
      <c r="G118" s="19">
        <v>200000</v>
      </c>
      <c r="H118" s="327">
        <v>5099.8500000000004</v>
      </c>
      <c r="I118" s="159">
        <v>50</v>
      </c>
      <c r="J118" s="96">
        <v>8</v>
      </c>
      <c r="K118" s="91">
        <f t="shared" si="13"/>
        <v>40798.800000000003</v>
      </c>
      <c r="L118" s="94">
        <f t="shared" si="15"/>
        <v>159201.20000000001</v>
      </c>
      <c r="M118" s="159">
        <f t="shared" si="16"/>
        <v>42</v>
      </c>
      <c r="N118" s="159"/>
      <c r="O118" s="97"/>
      <c r="P118" s="11"/>
    </row>
    <row r="119" spans="1:16" s="114" customFormat="1">
      <c r="A119" s="293" t="s">
        <v>1225</v>
      </c>
      <c r="B119" s="96">
        <v>114</v>
      </c>
      <c r="C119" s="11" t="s">
        <v>1226</v>
      </c>
      <c r="D119" s="11"/>
      <c r="E119" s="16">
        <v>500000</v>
      </c>
      <c r="F119" s="16">
        <v>66650</v>
      </c>
      <c r="G119" s="41">
        <f>SUM(E119:F119)</f>
        <v>566650</v>
      </c>
      <c r="H119" s="327">
        <v>11333</v>
      </c>
      <c r="I119" s="159">
        <v>50</v>
      </c>
      <c r="J119" s="96">
        <v>8</v>
      </c>
      <c r="K119" s="91">
        <f t="shared" si="13"/>
        <v>90664</v>
      </c>
      <c r="L119" s="94">
        <f t="shared" si="15"/>
        <v>475986</v>
      </c>
      <c r="M119" s="159">
        <f t="shared" si="16"/>
        <v>42</v>
      </c>
      <c r="N119" s="159"/>
      <c r="O119" s="97"/>
      <c r="P119" s="11"/>
    </row>
    <row r="120" spans="1:16" s="114" customFormat="1">
      <c r="A120" s="292" t="s">
        <v>516</v>
      </c>
      <c r="B120" s="96">
        <v>115</v>
      </c>
      <c r="C120" s="11" t="s">
        <v>517</v>
      </c>
      <c r="D120" s="11"/>
      <c r="E120" s="16">
        <v>500000</v>
      </c>
      <c r="F120" s="16">
        <v>66650</v>
      </c>
      <c r="G120" s="41">
        <f>SUM(E120:F120)</f>
        <v>566650</v>
      </c>
      <c r="H120" s="146">
        <v>11333</v>
      </c>
      <c r="I120" s="159">
        <v>50</v>
      </c>
      <c r="J120" s="97">
        <v>46</v>
      </c>
      <c r="K120" s="91">
        <f t="shared" si="13"/>
        <v>521318</v>
      </c>
      <c r="L120" s="94">
        <f t="shared" si="15"/>
        <v>45332</v>
      </c>
      <c r="M120" s="159">
        <f t="shared" si="16"/>
        <v>4</v>
      </c>
      <c r="N120" s="159"/>
      <c r="O120" s="97"/>
      <c r="P120" s="11"/>
    </row>
    <row r="121" spans="1:16" s="114" customFormat="1">
      <c r="A121" s="294" t="s">
        <v>606</v>
      </c>
      <c r="B121" s="96">
        <v>116</v>
      </c>
      <c r="C121" s="123" t="s">
        <v>952</v>
      </c>
      <c r="D121" s="123"/>
      <c r="E121" s="19">
        <v>150000</v>
      </c>
      <c r="F121" s="19">
        <v>19995</v>
      </c>
      <c r="G121" s="19">
        <f>SUM(E121:F121)</f>
        <v>169995</v>
      </c>
      <c r="H121" s="327">
        <v>3399.9</v>
      </c>
      <c r="I121" s="159">
        <v>50</v>
      </c>
      <c r="J121" s="159">
        <v>13</v>
      </c>
      <c r="K121" s="91">
        <f t="shared" si="13"/>
        <v>44198.700000000004</v>
      </c>
      <c r="L121" s="94">
        <f t="shared" si="15"/>
        <v>125796.29999999999</v>
      </c>
      <c r="M121" s="159">
        <f t="shared" si="16"/>
        <v>37</v>
      </c>
      <c r="N121" s="159"/>
      <c r="O121" s="97"/>
      <c r="P121" s="11"/>
    </row>
    <row r="122" spans="1:16" s="114" customFormat="1">
      <c r="A122" s="292" t="s">
        <v>649</v>
      </c>
      <c r="B122" s="96">
        <v>117</v>
      </c>
      <c r="C122" s="11" t="s">
        <v>650</v>
      </c>
      <c r="D122" s="11"/>
      <c r="E122" s="16">
        <v>450000</v>
      </c>
      <c r="F122" s="16">
        <v>59985</v>
      </c>
      <c r="G122" s="16">
        <v>509985</v>
      </c>
      <c r="H122" s="318">
        <v>10199.700000000001</v>
      </c>
      <c r="I122" s="159">
        <v>50</v>
      </c>
      <c r="J122" s="97">
        <v>31</v>
      </c>
      <c r="K122" s="91">
        <f t="shared" si="13"/>
        <v>316190.7</v>
      </c>
      <c r="L122" s="91">
        <f t="shared" si="15"/>
        <v>193794.3</v>
      </c>
      <c r="M122" s="159">
        <f t="shared" si="16"/>
        <v>19</v>
      </c>
      <c r="N122" s="159"/>
      <c r="O122" s="97"/>
      <c r="P122" s="11"/>
    </row>
    <row r="123" spans="1:16" s="114" customFormat="1">
      <c r="A123" s="293" t="s">
        <v>890</v>
      </c>
      <c r="B123" s="96">
        <v>118</v>
      </c>
      <c r="C123" s="123" t="s">
        <v>912</v>
      </c>
      <c r="D123" s="123"/>
      <c r="E123" s="16">
        <v>500000</v>
      </c>
      <c r="F123" s="16">
        <v>66650</v>
      </c>
      <c r="G123" s="41">
        <f>SUM(E123:F123)</f>
        <v>566650</v>
      </c>
      <c r="H123" s="327">
        <v>11333</v>
      </c>
      <c r="I123" s="159">
        <v>50</v>
      </c>
      <c r="J123" s="159">
        <v>15</v>
      </c>
      <c r="K123" s="16">
        <f t="shared" si="13"/>
        <v>169995</v>
      </c>
      <c r="L123" s="94">
        <f t="shared" si="15"/>
        <v>396655</v>
      </c>
      <c r="M123" s="159">
        <f t="shared" si="16"/>
        <v>35</v>
      </c>
      <c r="N123" s="159"/>
      <c r="O123" s="159"/>
      <c r="P123" s="11"/>
    </row>
    <row r="124" spans="1:16" s="114" customFormat="1">
      <c r="A124" s="292" t="s">
        <v>609</v>
      </c>
      <c r="B124" s="96">
        <v>119</v>
      </c>
      <c r="C124" s="11" t="s">
        <v>610</v>
      </c>
      <c r="D124" s="11"/>
      <c r="E124" s="16">
        <v>500000</v>
      </c>
      <c r="F124" s="16">
        <v>66650</v>
      </c>
      <c r="G124" s="41">
        <f>SUM(E124:F124)</f>
        <v>566650</v>
      </c>
      <c r="H124" s="318">
        <v>11333</v>
      </c>
      <c r="I124" s="159">
        <v>50</v>
      </c>
      <c r="J124" s="97">
        <v>45</v>
      </c>
      <c r="K124" s="91">
        <f t="shared" si="13"/>
        <v>509985</v>
      </c>
      <c r="L124" s="94">
        <f t="shared" si="15"/>
        <v>56665</v>
      </c>
      <c r="M124" s="159">
        <f t="shared" si="16"/>
        <v>5</v>
      </c>
      <c r="N124" s="159"/>
      <c r="O124" s="97"/>
      <c r="P124" s="11"/>
    </row>
    <row r="125" spans="1:16" s="114" customFormat="1">
      <c r="A125" s="293" t="s">
        <v>1241</v>
      </c>
      <c r="B125" s="96">
        <v>120</v>
      </c>
      <c r="C125" s="123" t="s">
        <v>1242</v>
      </c>
      <c r="D125" s="123"/>
      <c r="E125" s="19">
        <v>450000</v>
      </c>
      <c r="F125" s="19">
        <v>59985</v>
      </c>
      <c r="G125" s="19">
        <v>509985</v>
      </c>
      <c r="H125" s="327">
        <v>10199.700000000001</v>
      </c>
      <c r="I125" s="159">
        <v>50</v>
      </c>
      <c r="J125" s="159">
        <v>7</v>
      </c>
      <c r="K125" s="16">
        <f t="shared" si="13"/>
        <v>71397.900000000009</v>
      </c>
      <c r="L125" s="94">
        <f t="shared" si="15"/>
        <v>438587.1</v>
      </c>
      <c r="M125" s="159">
        <f t="shared" si="16"/>
        <v>43</v>
      </c>
      <c r="N125" s="159"/>
      <c r="O125" s="159"/>
      <c r="P125" s="11"/>
    </row>
    <row r="126" spans="1:16" s="114" customFormat="1">
      <c r="A126" s="292" t="s">
        <v>524</v>
      </c>
      <c r="B126" s="96">
        <v>121</v>
      </c>
      <c r="C126" s="11" t="s">
        <v>525</v>
      </c>
      <c r="D126" s="11"/>
      <c r="E126" s="19">
        <v>330000</v>
      </c>
      <c r="F126" s="19">
        <v>43989</v>
      </c>
      <c r="G126" s="19">
        <f>SUM(E126:F126)</f>
        <v>373989</v>
      </c>
      <c r="H126" s="146">
        <v>7479.78</v>
      </c>
      <c r="I126" s="159">
        <v>50</v>
      </c>
      <c r="J126" s="159">
        <v>20</v>
      </c>
      <c r="K126" s="91">
        <f t="shared" si="13"/>
        <v>149595.6</v>
      </c>
      <c r="L126" s="94">
        <f t="shared" si="15"/>
        <v>224393.4</v>
      </c>
      <c r="M126" s="159">
        <f t="shared" si="16"/>
        <v>30</v>
      </c>
      <c r="N126" s="159"/>
      <c r="O126" s="97"/>
      <c r="P126" s="11"/>
    </row>
    <row r="127" spans="1:16" s="114" customFormat="1">
      <c r="A127" s="292" t="s">
        <v>576</v>
      </c>
      <c r="B127" s="96">
        <v>122</v>
      </c>
      <c r="C127" s="11" t="s">
        <v>927</v>
      </c>
      <c r="D127" s="11"/>
      <c r="E127" s="16">
        <v>60000</v>
      </c>
      <c r="F127" s="16">
        <v>7998</v>
      </c>
      <c r="G127" s="41">
        <f>SUM(E127:F127)</f>
        <v>67998</v>
      </c>
      <c r="H127" s="318">
        <v>1699.95</v>
      </c>
      <c r="I127" s="159">
        <v>40</v>
      </c>
      <c r="J127" s="97">
        <v>21</v>
      </c>
      <c r="K127" s="91">
        <f t="shared" si="13"/>
        <v>35698.950000000004</v>
      </c>
      <c r="L127" s="94">
        <f t="shared" si="15"/>
        <v>32299.049999999996</v>
      </c>
      <c r="M127" s="159">
        <f t="shared" si="16"/>
        <v>19</v>
      </c>
      <c r="N127" s="159"/>
      <c r="O127" s="97"/>
      <c r="P127" s="11"/>
    </row>
    <row r="128" spans="1:16" s="114" customFormat="1">
      <c r="A128" s="1" t="s">
        <v>1168</v>
      </c>
      <c r="B128" s="96">
        <v>123</v>
      </c>
      <c r="C128" s="11" t="s">
        <v>1169</v>
      </c>
      <c r="D128" s="1"/>
      <c r="E128" s="19">
        <v>330000</v>
      </c>
      <c r="F128" s="19">
        <v>43989</v>
      </c>
      <c r="G128" s="19">
        <f>SUM(E128:F128)</f>
        <v>373989</v>
      </c>
      <c r="H128" s="34">
        <v>7479.78</v>
      </c>
      <c r="I128" s="159">
        <v>50</v>
      </c>
      <c r="J128" s="323">
        <v>5</v>
      </c>
      <c r="K128" s="16">
        <f t="shared" si="13"/>
        <v>37398.9</v>
      </c>
      <c r="L128" s="94">
        <f t="shared" si="15"/>
        <v>336590.1</v>
      </c>
      <c r="M128" s="159">
        <f t="shared" si="16"/>
        <v>45</v>
      </c>
      <c r="N128" s="159"/>
      <c r="O128" s="159"/>
      <c r="P128" s="11"/>
    </row>
    <row r="129" spans="1:16" s="114" customFormat="1">
      <c r="A129" s="293" t="s">
        <v>653</v>
      </c>
      <c r="B129" s="96">
        <v>124</v>
      </c>
      <c r="C129" s="11" t="s">
        <v>654</v>
      </c>
      <c r="D129" s="11"/>
      <c r="E129" s="19">
        <v>330000</v>
      </c>
      <c r="F129" s="19">
        <v>43989</v>
      </c>
      <c r="G129" s="19">
        <f>SUM(E129:F129)</f>
        <v>373989</v>
      </c>
      <c r="H129" s="327">
        <v>7479.78</v>
      </c>
      <c r="I129" s="159">
        <v>50</v>
      </c>
      <c r="J129" s="96">
        <v>38</v>
      </c>
      <c r="K129" s="91">
        <f t="shared" ref="K129:K135" si="18">J129*H129</f>
        <v>284231.64</v>
      </c>
      <c r="L129" s="94">
        <f t="shared" si="15"/>
        <v>89757.359999999986</v>
      </c>
      <c r="M129" s="159">
        <f t="shared" si="16"/>
        <v>12</v>
      </c>
      <c r="N129" s="159"/>
      <c r="O129" s="97"/>
      <c r="P129" s="11"/>
    </row>
    <row r="130" spans="1:16" s="114" customFormat="1">
      <c r="A130" s="293" t="s">
        <v>1160</v>
      </c>
      <c r="B130" s="96">
        <v>125</v>
      </c>
      <c r="C130" s="123" t="s">
        <v>1161</v>
      </c>
      <c r="D130" s="123"/>
      <c r="E130" s="19">
        <v>450000</v>
      </c>
      <c r="F130" s="19">
        <v>59985</v>
      </c>
      <c r="G130" s="19">
        <v>509985</v>
      </c>
      <c r="H130" s="327">
        <v>10199.700000000001</v>
      </c>
      <c r="I130" s="159">
        <v>50</v>
      </c>
      <c r="J130" s="159">
        <v>7</v>
      </c>
      <c r="K130" s="16">
        <f t="shared" si="18"/>
        <v>71397.900000000009</v>
      </c>
      <c r="L130" s="94">
        <f t="shared" si="15"/>
        <v>438587.1</v>
      </c>
      <c r="M130" s="159">
        <f t="shared" si="16"/>
        <v>43</v>
      </c>
      <c r="N130" s="159"/>
      <c r="O130" s="159"/>
      <c r="P130" s="11"/>
    </row>
    <row r="131" spans="1:16" s="114" customFormat="1">
      <c r="A131" s="293"/>
      <c r="B131" s="96">
        <v>126</v>
      </c>
      <c r="C131" s="123" t="s">
        <v>1270</v>
      </c>
      <c r="D131" s="123"/>
      <c r="E131" s="19">
        <v>150000</v>
      </c>
      <c r="F131" s="19">
        <v>19995</v>
      </c>
      <c r="G131" s="19">
        <f>SUM(E131:F131)</f>
        <v>169995</v>
      </c>
      <c r="H131" s="317">
        <v>3399.9</v>
      </c>
      <c r="I131" s="159">
        <v>50</v>
      </c>
      <c r="J131" s="159">
        <v>31</v>
      </c>
      <c r="K131" s="16">
        <f t="shared" si="18"/>
        <v>105396.90000000001</v>
      </c>
      <c r="L131" s="94">
        <f t="shared" si="15"/>
        <v>64598.099999999991</v>
      </c>
      <c r="M131" s="159">
        <f t="shared" si="16"/>
        <v>19</v>
      </c>
      <c r="N131" s="159"/>
      <c r="O131" s="159"/>
      <c r="P131" s="11"/>
    </row>
    <row r="132" spans="1:16" s="114" customFormat="1">
      <c r="A132" s="293"/>
      <c r="B132" s="96">
        <v>127</v>
      </c>
      <c r="C132" s="123" t="s">
        <v>1272</v>
      </c>
      <c r="D132" s="123"/>
      <c r="E132" s="19">
        <v>450000</v>
      </c>
      <c r="F132" s="19">
        <v>59985</v>
      </c>
      <c r="G132" s="19">
        <v>509985</v>
      </c>
      <c r="H132" s="317">
        <v>10199.700000000001</v>
      </c>
      <c r="I132" s="159">
        <v>50</v>
      </c>
      <c r="J132" s="159">
        <v>5</v>
      </c>
      <c r="K132" s="16">
        <f t="shared" si="18"/>
        <v>50998.5</v>
      </c>
      <c r="L132" s="94">
        <f t="shared" si="15"/>
        <v>458986.5</v>
      </c>
      <c r="M132" s="159">
        <f t="shared" si="16"/>
        <v>45</v>
      </c>
      <c r="N132" s="159"/>
      <c r="O132" s="159"/>
      <c r="P132" s="11"/>
    </row>
    <row r="133" spans="1:16" s="114" customFormat="1">
      <c r="A133" s="293"/>
      <c r="B133" s="96">
        <v>128</v>
      </c>
      <c r="C133" s="123" t="s">
        <v>1271</v>
      </c>
      <c r="D133" s="123"/>
      <c r="E133" s="19">
        <v>330000</v>
      </c>
      <c r="F133" s="19">
        <v>43989</v>
      </c>
      <c r="G133" s="19">
        <f>SUM(E133:F133)</f>
        <v>373989</v>
      </c>
      <c r="H133" s="317">
        <v>7479.78</v>
      </c>
      <c r="I133" s="159">
        <v>50</v>
      </c>
      <c r="J133" s="159">
        <v>5</v>
      </c>
      <c r="K133" s="16">
        <f t="shared" si="18"/>
        <v>37398.9</v>
      </c>
      <c r="L133" s="94">
        <f t="shared" si="15"/>
        <v>336590.1</v>
      </c>
      <c r="M133" s="159">
        <f t="shared" si="16"/>
        <v>45</v>
      </c>
      <c r="N133" s="159"/>
      <c r="O133" s="159"/>
      <c r="P133" s="11"/>
    </row>
    <row r="134" spans="1:16" s="114" customFormat="1">
      <c r="A134" s="293"/>
      <c r="B134" s="96">
        <v>129</v>
      </c>
      <c r="C134" s="123" t="s">
        <v>1268</v>
      </c>
      <c r="D134" s="123"/>
      <c r="E134" s="16">
        <v>500000</v>
      </c>
      <c r="F134" s="16">
        <v>66650</v>
      </c>
      <c r="G134" s="41">
        <f>SUM(E134:F134)</f>
        <v>566650</v>
      </c>
      <c r="H134" s="317">
        <v>11749.67</v>
      </c>
      <c r="I134" s="159">
        <v>50</v>
      </c>
      <c r="J134" s="159">
        <v>20</v>
      </c>
      <c r="K134" s="16">
        <f t="shared" si="18"/>
        <v>234993.4</v>
      </c>
      <c r="L134" s="94">
        <f>G134-K134</f>
        <v>331656.59999999998</v>
      </c>
      <c r="M134" s="159">
        <f t="shared" si="16"/>
        <v>30</v>
      </c>
      <c r="N134" s="159"/>
      <c r="O134" s="159"/>
      <c r="P134" s="11"/>
    </row>
    <row r="135" spans="1:16" s="114" customFormat="1">
      <c r="A135" s="293"/>
      <c r="B135" s="96">
        <v>130</v>
      </c>
      <c r="C135" s="123" t="s">
        <v>1269</v>
      </c>
      <c r="D135" s="123"/>
      <c r="E135" s="19">
        <v>450000</v>
      </c>
      <c r="F135" s="19">
        <v>59985</v>
      </c>
      <c r="G135" s="19">
        <v>509985</v>
      </c>
      <c r="H135" s="317">
        <v>10199.700000000001</v>
      </c>
      <c r="I135" s="159">
        <v>50</v>
      </c>
      <c r="J135" s="159">
        <v>27</v>
      </c>
      <c r="K135" s="16">
        <f t="shared" si="18"/>
        <v>275391.90000000002</v>
      </c>
      <c r="L135" s="94">
        <f>G135-K135</f>
        <v>234593.09999999998</v>
      </c>
      <c r="M135" s="159">
        <f t="shared" si="16"/>
        <v>23</v>
      </c>
      <c r="N135" s="159"/>
      <c r="O135" s="159"/>
      <c r="P135" s="11"/>
    </row>
    <row r="136" spans="1:16" s="114" customFormat="1">
      <c r="A136" s="295"/>
      <c r="B136" s="126"/>
      <c r="C136" s="8"/>
      <c r="D136" s="8"/>
      <c r="E136" s="34">
        <f>SUM(E6:E135)</f>
        <v>54140000</v>
      </c>
      <c r="F136" s="34">
        <f>SUM(F6:F135)</f>
        <v>7185887.2000000002</v>
      </c>
      <c r="G136" s="34">
        <f>SUM(G6:G135)</f>
        <v>61525887.200000003</v>
      </c>
      <c r="H136" s="34">
        <f>SUM(H6:H135)</f>
        <v>1246427.42</v>
      </c>
      <c r="I136" s="34"/>
      <c r="J136" s="34"/>
      <c r="K136" s="34">
        <f>SUM(K6:K135)</f>
        <v>29008033.019999992</v>
      </c>
      <c r="L136" s="34">
        <f>SUM(L6:L135)</f>
        <v>32517854.180000015</v>
      </c>
      <c r="M136" s="34"/>
      <c r="N136" s="34"/>
      <c r="O136" s="34"/>
      <c r="P136" s="8"/>
    </row>
    <row r="137" spans="1:16" s="114" customFormat="1">
      <c r="A137"/>
      <c r="B137" s="270"/>
      <c r="C137"/>
      <c r="D137"/>
      <c r="E137" s="165"/>
      <c r="F137" s="67"/>
      <c r="G137" s="67"/>
      <c r="H137" s="276"/>
      <c r="I137" s="67"/>
      <c r="J137" s="67"/>
      <c r="K137" s="67"/>
      <c r="L137" s="67"/>
      <c r="M137" s="67"/>
      <c r="N137" s="67"/>
      <c r="O137" s="67"/>
      <c r="P137" s="69"/>
    </row>
    <row r="138" spans="1:16" s="114" customFormat="1">
      <c r="A138"/>
      <c r="B138" s="270"/>
      <c r="C138"/>
      <c r="D138"/>
      <c r="E138" s="165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9"/>
    </row>
    <row r="139" spans="1:16" s="114" customFormat="1">
      <c r="A139"/>
      <c r="B139" s="270"/>
      <c r="C139"/>
      <c r="D139"/>
      <c r="E139" s="165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9"/>
    </row>
    <row r="140" spans="1:16" s="114" customFormat="1">
      <c r="A140"/>
      <c r="B140" s="270"/>
      <c r="C140"/>
      <c r="D140"/>
      <c r="E140" s="165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9"/>
    </row>
    <row r="141" spans="1:16" s="114" customFormat="1">
      <c r="A141" s="298"/>
      <c r="B141" s="44"/>
      <c r="C141" s="184"/>
      <c r="D141" s="184"/>
      <c r="E141"/>
      <c r="F141"/>
      <c r="G141"/>
      <c r="H141"/>
      <c r="I141" s="43"/>
      <c r="J141" s="99"/>
      <c r="K141"/>
      <c r="L141"/>
      <c r="M141" s="99"/>
      <c r="N141" s="99"/>
      <c r="O141" s="99"/>
      <c r="P141"/>
    </row>
    <row r="142" spans="1:16" s="114" customFormat="1">
      <c r="A142" s="298"/>
      <c r="B142" s="44"/>
      <c r="C142" s="184"/>
      <c r="D142" s="184"/>
      <c r="E142"/>
      <c r="F142"/>
      <c r="G142"/>
      <c r="H142"/>
      <c r="I142" s="43"/>
      <c r="J142" s="99"/>
      <c r="K142"/>
      <c r="L142"/>
      <c r="M142" s="99"/>
      <c r="N142" s="99"/>
      <c r="O142" s="99"/>
      <c r="P142"/>
    </row>
    <row r="143" spans="1:16" s="114" customFormat="1">
      <c r="A143" s="298"/>
      <c r="B143" s="44"/>
      <c r="C143" s="44"/>
      <c r="D143" s="184"/>
      <c r="E143"/>
      <c r="F143"/>
      <c r="G143"/>
      <c r="H143"/>
      <c r="I143" s="43"/>
      <c r="J143" s="99"/>
      <c r="K143"/>
      <c r="L143"/>
      <c r="M143" s="99"/>
      <c r="N143" s="99"/>
      <c r="O143" s="99"/>
      <c r="P143"/>
    </row>
    <row r="144" spans="1:16" s="114" customFormat="1">
      <c r="A144" s="298"/>
      <c r="B144" s="44"/>
      <c r="C144" s="44"/>
      <c r="D144" s="184"/>
      <c r="E144"/>
      <c r="F144"/>
      <c r="G144"/>
      <c r="H144"/>
      <c r="I144" s="43"/>
      <c r="J144" s="99"/>
      <c r="K144"/>
      <c r="L144"/>
      <c r="M144" s="99"/>
      <c r="N144" s="99"/>
      <c r="O144" s="99"/>
      <c r="P144"/>
    </row>
    <row r="145" spans="1:16" s="114" customFormat="1">
      <c r="A145" s="298"/>
      <c r="B145" s="44"/>
      <c r="C145" s="44"/>
      <c r="D145" s="184"/>
      <c r="E145"/>
      <c r="F145"/>
      <c r="G145"/>
      <c r="H145"/>
      <c r="I145" s="43"/>
      <c r="J145" s="99"/>
      <c r="K145"/>
      <c r="L145"/>
      <c r="M145" s="99"/>
      <c r="N145" s="99"/>
      <c r="O145" s="99"/>
      <c r="P145"/>
    </row>
    <row r="146" spans="1:16" s="114" customFormat="1">
      <c r="A146" s="298"/>
      <c r="B146" s="44"/>
      <c r="C146" s="44"/>
      <c r="D146" s="184"/>
      <c r="E146"/>
      <c r="F146"/>
      <c r="G146"/>
      <c r="H146"/>
      <c r="I146" s="43"/>
      <c r="J146" s="99"/>
      <c r="K146"/>
      <c r="L146"/>
      <c r="M146" s="99"/>
      <c r="N146" s="99"/>
      <c r="O146" s="99"/>
      <c r="P146"/>
    </row>
    <row r="147" spans="1:16">
      <c r="C147" s="44"/>
    </row>
    <row r="148" spans="1:16">
      <c r="C148" s="44"/>
    </row>
    <row r="149" spans="1:16">
      <c r="C149" s="44"/>
    </row>
    <row r="150" spans="1:16">
      <c r="C150" s="44"/>
    </row>
    <row r="151" spans="1:16">
      <c r="C151" s="44"/>
    </row>
    <row r="152" spans="1:16">
      <c r="C152" s="44"/>
    </row>
    <row r="153" spans="1:16">
      <c r="C153" s="44"/>
    </row>
    <row r="154" spans="1:16">
      <c r="C154" s="44"/>
    </row>
    <row r="155" spans="1:16">
      <c r="C155" s="44"/>
    </row>
    <row r="156" spans="1:16">
      <c r="C156" s="44"/>
    </row>
    <row r="157" spans="1:16">
      <c r="C157" s="44"/>
    </row>
    <row r="158" spans="1:16">
      <c r="C158" s="44"/>
    </row>
    <row r="159" spans="1:16">
      <c r="C159" s="44"/>
    </row>
    <row r="160" spans="1:16">
      <c r="C160" s="44"/>
    </row>
    <row r="161" spans="3:3">
      <c r="C161" s="44"/>
    </row>
    <row r="162" spans="3:3">
      <c r="C162" s="44"/>
    </row>
    <row r="163" spans="3:3">
      <c r="C163" s="44"/>
    </row>
    <row r="164" spans="3:3">
      <c r="C164" s="44"/>
    </row>
    <row r="165" spans="3:3">
      <c r="C165" s="44"/>
    </row>
    <row r="166" spans="3:3">
      <c r="C166" s="44"/>
    </row>
    <row r="167" spans="3:3">
      <c r="C167" s="44"/>
    </row>
    <row r="168" spans="3:3">
      <c r="C168" s="44"/>
    </row>
    <row r="169" spans="3:3">
      <c r="C169" s="44"/>
    </row>
    <row r="170" spans="3:3">
      <c r="C170" s="44"/>
    </row>
    <row r="171" spans="3:3">
      <c r="C171" s="44"/>
    </row>
    <row r="172" spans="3:3">
      <c r="C172" s="44"/>
    </row>
    <row r="173" spans="3:3">
      <c r="C173" s="44"/>
    </row>
    <row r="174" spans="3:3">
      <c r="C174" s="44"/>
    </row>
    <row r="175" spans="3:3">
      <c r="C175" s="44"/>
    </row>
    <row r="176" spans="3:3">
      <c r="C176" s="44"/>
    </row>
    <row r="177" spans="3:3">
      <c r="C177" s="44"/>
    </row>
    <row r="178" spans="3:3">
      <c r="C178" s="44"/>
    </row>
    <row r="179" spans="3:3">
      <c r="C179" s="44"/>
    </row>
    <row r="180" spans="3:3">
      <c r="C180" s="44"/>
    </row>
    <row r="181" spans="3:3">
      <c r="C181" s="44"/>
    </row>
    <row r="182" spans="3:3">
      <c r="C182" s="44"/>
    </row>
    <row r="183" spans="3:3">
      <c r="C183" s="44"/>
    </row>
    <row r="184" spans="3:3">
      <c r="C184" s="44"/>
    </row>
    <row r="185" spans="3:3">
      <c r="C185" s="44"/>
    </row>
    <row r="186" spans="3:3">
      <c r="C186" s="44"/>
    </row>
    <row r="187" spans="3:3">
      <c r="C187" s="44"/>
    </row>
    <row r="188" spans="3:3">
      <c r="C188" s="44"/>
    </row>
    <row r="189" spans="3:3">
      <c r="C189" s="44"/>
    </row>
    <row r="190" spans="3:3">
      <c r="C190" s="44"/>
    </row>
    <row r="191" spans="3:3">
      <c r="C191" s="44"/>
    </row>
    <row r="192" spans="3:3">
      <c r="C192" s="44"/>
    </row>
    <row r="193" spans="3:3">
      <c r="C193" s="44"/>
    </row>
    <row r="194" spans="3:3">
      <c r="C194" s="44"/>
    </row>
    <row r="195" spans="3:3">
      <c r="C195" s="44"/>
    </row>
    <row r="196" spans="3:3">
      <c r="C196" s="44"/>
    </row>
    <row r="197" spans="3:3">
      <c r="C197" s="44"/>
    </row>
    <row r="198" spans="3:3">
      <c r="C198" s="44"/>
    </row>
    <row r="199" spans="3:3">
      <c r="C199" s="44"/>
    </row>
    <row r="200" spans="3:3">
      <c r="C200" s="44"/>
    </row>
    <row r="201" spans="3:3">
      <c r="C201" s="44"/>
    </row>
    <row r="202" spans="3:3">
      <c r="C202" s="44"/>
    </row>
    <row r="203" spans="3:3">
      <c r="C203" s="44"/>
    </row>
    <row r="204" spans="3:3">
      <c r="C204" s="44"/>
    </row>
    <row r="205" spans="3:3">
      <c r="C205" s="44"/>
    </row>
    <row r="206" spans="3:3">
      <c r="C206" s="44"/>
    </row>
    <row r="207" spans="3:3">
      <c r="C207" s="44"/>
    </row>
    <row r="208" spans="3:3">
      <c r="C208" s="44"/>
    </row>
    <row r="209" spans="3:3">
      <c r="C209" s="44"/>
    </row>
    <row r="210" spans="3:3">
      <c r="C210" s="44"/>
    </row>
    <row r="211" spans="3:3">
      <c r="C211" s="44"/>
    </row>
    <row r="212" spans="3:3">
      <c r="C212" s="44"/>
    </row>
    <row r="213" spans="3:3">
      <c r="C213" s="44"/>
    </row>
    <row r="214" spans="3:3">
      <c r="C214" s="44"/>
    </row>
    <row r="215" spans="3:3">
      <c r="C215" s="44"/>
    </row>
    <row r="216" spans="3:3">
      <c r="C216" s="44"/>
    </row>
    <row r="217" spans="3:3">
      <c r="C217" s="44"/>
    </row>
    <row r="218" spans="3:3">
      <c r="C218" s="44"/>
    </row>
    <row r="219" spans="3:3">
      <c r="C219" s="44"/>
    </row>
    <row r="220" spans="3:3">
      <c r="C220" s="44"/>
    </row>
    <row r="221" spans="3:3">
      <c r="C221" s="44"/>
    </row>
    <row r="222" spans="3:3">
      <c r="C222" s="44"/>
    </row>
    <row r="223" spans="3:3">
      <c r="C223" s="44"/>
    </row>
    <row r="224" spans="3:3">
      <c r="C224" s="44"/>
    </row>
    <row r="225" spans="3:3">
      <c r="C225" s="44"/>
    </row>
    <row r="226" spans="3:3">
      <c r="C226" s="44"/>
    </row>
    <row r="227" spans="3:3">
      <c r="C227" s="44"/>
    </row>
    <row r="228" spans="3:3">
      <c r="C228" s="44"/>
    </row>
    <row r="229" spans="3:3">
      <c r="C229" s="44"/>
    </row>
    <row r="230" spans="3:3">
      <c r="C230" s="44"/>
    </row>
    <row r="231" spans="3:3">
      <c r="C231" s="44"/>
    </row>
    <row r="232" spans="3:3">
      <c r="C232" s="44"/>
    </row>
    <row r="233" spans="3:3">
      <c r="C233" s="44"/>
    </row>
    <row r="234" spans="3:3">
      <c r="C234" s="44"/>
    </row>
    <row r="235" spans="3:3">
      <c r="C235" s="44"/>
    </row>
    <row r="236" spans="3:3">
      <c r="C236" s="44"/>
    </row>
    <row r="237" spans="3:3">
      <c r="C237" s="44"/>
    </row>
    <row r="238" spans="3:3">
      <c r="C238" s="44"/>
    </row>
    <row r="239" spans="3:3">
      <c r="C239" s="44"/>
    </row>
    <row r="240" spans="3:3">
      <c r="C240" s="44"/>
    </row>
    <row r="241" spans="3:3">
      <c r="C241" s="44"/>
    </row>
    <row r="242" spans="3:3">
      <c r="C242" s="44"/>
    </row>
    <row r="243" spans="3:3">
      <c r="C243" s="44"/>
    </row>
    <row r="244" spans="3:3">
      <c r="C244" s="44"/>
    </row>
    <row r="245" spans="3:3">
      <c r="C245" s="44"/>
    </row>
    <row r="246" spans="3:3">
      <c r="C246" s="44"/>
    </row>
    <row r="247" spans="3:3">
      <c r="C247" s="44"/>
    </row>
    <row r="248" spans="3:3">
      <c r="C248" s="44"/>
    </row>
    <row r="249" spans="3:3">
      <c r="C249" s="44"/>
    </row>
    <row r="250" spans="3:3">
      <c r="C250" s="44"/>
    </row>
    <row r="251" spans="3:3">
      <c r="C251" s="44"/>
    </row>
    <row r="252" spans="3:3">
      <c r="C252" s="44"/>
    </row>
    <row r="253" spans="3:3">
      <c r="C253" s="44"/>
    </row>
    <row r="254" spans="3:3">
      <c r="C254" s="44"/>
    </row>
    <row r="255" spans="3:3">
      <c r="C255" s="44"/>
    </row>
    <row r="256" spans="3:3">
      <c r="C256" s="44"/>
    </row>
    <row r="257" spans="3:3">
      <c r="C257" s="44"/>
    </row>
    <row r="258" spans="3:3">
      <c r="C258" s="44"/>
    </row>
    <row r="259" spans="3:3">
      <c r="C259" s="44"/>
    </row>
    <row r="260" spans="3:3">
      <c r="C260" s="44"/>
    </row>
    <row r="261" spans="3:3">
      <c r="C261" s="44"/>
    </row>
    <row r="262" spans="3:3">
      <c r="C262" s="44"/>
    </row>
    <row r="263" spans="3:3">
      <c r="C263" s="44"/>
    </row>
    <row r="264" spans="3:3">
      <c r="C264" s="44"/>
    </row>
    <row r="265" spans="3:3">
      <c r="C265" s="44"/>
    </row>
    <row r="266" spans="3:3">
      <c r="C266" s="44"/>
    </row>
    <row r="267" spans="3:3">
      <c r="C267" s="44"/>
    </row>
    <row r="268" spans="3:3">
      <c r="C268" s="44"/>
    </row>
    <row r="269" spans="3:3">
      <c r="C269" s="44"/>
    </row>
    <row r="270" spans="3:3">
      <c r="C270" s="44"/>
    </row>
    <row r="271" spans="3:3">
      <c r="C271" s="44"/>
    </row>
  </sheetData>
  <sortState ref="A6:P135">
    <sortCondition ref="B6:B135"/>
  </sortState>
  <mergeCells count="2">
    <mergeCell ref="B3:P3"/>
    <mergeCell ref="B4:P4"/>
  </mergeCells>
  <conditionalFormatting sqref="C3:D3">
    <cfRule type="duplicateValues" dxfId="167" priority="17"/>
  </conditionalFormatting>
  <conditionalFormatting sqref="C131:D135">
    <cfRule type="duplicateValues" dxfId="166" priority="15"/>
    <cfRule type="duplicateValues" dxfId="165" priority="16"/>
  </conditionalFormatting>
  <conditionalFormatting sqref="C131:D135">
    <cfRule type="duplicateValues" dxfId="164" priority="14"/>
  </conditionalFormatting>
  <conditionalFormatting sqref="A131:A135">
    <cfRule type="duplicateValues" dxfId="163" priority="13"/>
  </conditionalFormatting>
  <conditionalFormatting sqref="A126:A1048576 A1:A120">
    <cfRule type="duplicateValues" dxfId="162" priority="8"/>
  </conditionalFormatting>
  <conditionalFormatting sqref="C129:D130">
    <cfRule type="duplicateValues" dxfId="161" priority="5"/>
  </conditionalFormatting>
  <conditionalFormatting sqref="A129:A130">
    <cfRule type="duplicateValues" dxfId="160" priority="4"/>
  </conditionalFormatting>
  <conditionalFormatting sqref="C129:D130">
    <cfRule type="duplicateValues" dxfId="159" priority="2"/>
    <cfRule type="duplicateValues" dxfId="158" priority="3"/>
  </conditionalFormatting>
  <conditionalFormatting sqref="C272:C1048576 C141:C142 C1:D5 D141:D1048576">
    <cfRule type="duplicateValues" dxfId="157" priority="23"/>
  </conditionalFormatting>
  <conditionalFormatting sqref="C272:C1048576 C141:C142 C4:D5 C1:D2 D141:D1048576">
    <cfRule type="duplicateValues" dxfId="156" priority="26"/>
  </conditionalFormatting>
  <conditionalFormatting sqref="C272:C1048576 C141:C142 D141:D1048576">
    <cfRule type="duplicateValues" dxfId="155" priority="30"/>
  </conditionalFormatting>
  <conditionalFormatting sqref="C1:C1048576">
    <cfRule type="duplicateValues" dxfId="154" priority="1"/>
  </conditionalFormatting>
  <conditionalFormatting sqref="C272:C1048576 C140:C142 C126:D139 D140:D1048576 C1:D120">
    <cfRule type="duplicateValues" dxfId="153" priority="36"/>
  </conditionalFormatting>
  <conditionalFormatting sqref="C272:C1048576 C140:C142 C126:D139 D140:D1048576 C1:D120">
    <cfRule type="duplicateValues" dxfId="152" priority="47"/>
    <cfRule type="duplicateValues" dxfId="151" priority="48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3:P243"/>
  <sheetViews>
    <sheetView workbookViewId="0">
      <selection activeCell="E15" sqref="E15"/>
    </sheetView>
  </sheetViews>
  <sheetFormatPr defaultRowHeight="15"/>
  <cols>
    <col min="1" max="1" width="13.140625" style="298" customWidth="1"/>
    <col min="2" max="2" width="4.5703125" style="44" customWidth="1"/>
    <col min="3" max="3" width="37" style="184" customWidth="1"/>
    <col min="4" max="4" width="10.85546875" style="184" customWidth="1"/>
    <col min="5" max="5" width="14" bestFit="1" customWidth="1"/>
    <col min="6" max="6" width="12.85546875" bestFit="1" customWidth="1"/>
    <col min="7" max="7" width="14.42578125" customWidth="1"/>
    <col min="8" max="8" width="13.28515625" bestFit="1" customWidth="1"/>
    <col min="9" max="9" width="10.140625" style="43" customWidth="1"/>
    <col min="10" max="10" width="9.5703125" style="99" customWidth="1"/>
    <col min="11" max="11" width="14" customWidth="1"/>
    <col min="12" max="12" width="14" bestFit="1" customWidth="1"/>
    <col min="13" max="13" width="11.28515625" style="99" customWidth="1"/>
    <col min="14" max="14" width="8.28515625" style="99" customWidth="1"/>
    <col min="15" max="15" width="8.85546875" style="99" customWidth="1"/>
    <col min="16" max="16" width="7.85546875" customWidth="1"/>
  </cols>
  <sheetData>
    <row r="3" spans="1:16" ht="20.25">
      <c r="A3" s="260"/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</row>
    <row r="4" spans="1:16" ht="18">
      <c r="A4" s="324"/>
      <c r="B4" s="424" t="s">
        <v>1299</v>
      </c>
      <c r="C4" s="424"/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</row>
    <row r="5" spans="1:16" s="44" customFormat="1" ht="51">
      <c r="A5" s="291" t="s">
        <v>869</v>
      </c>
      <c r="B5" s="5" t="s">
        <v>0</v>
      </c>
      <c r="C5" s="5" t="s">
        <v>1</v>
      </c>
      <c r="D5" s="325" t="s">
        <v>1275</v>
      </c>
      <c r="E5" s="7" t="s">
        <v>2</v>
      </c>
      <c r="F5" s="7" t="s">
        <v>3</v>
      </c>
      <c r="G5" s="5" t="s">
        <v>4</v>
      </c>
      <c r="H5" s="6" t="s">
        <v>6</v>
      </c>
      <c r="I5" s="7" t="s">
        <v>5</v>
      </c>
      <c r="J5" s="326" t="s">
        <v>7</v>
      </c>
      <c r="K5" s="7" t="s">
        <v>9</v>
      </c>
      <c r="L5" s="6" t="s">
        <v>10</v>
      </c>
      <c r="M5" s="7" t="s">
        <v>8</v>
      </c>
      <c r="N5" s="326" t="s">
        <v>1277</v>
      </c>
      <c r="O5" s="6" t="s">
        <v>11</v>
      </c>
      <c r="P5" s="325" t="s">
        <v>1276</v>
      </c>
    </row>
    <row r="6" spans="1:16" s="114" customFormat="1">
      <c r="A6" s="293" t="s">
        <v>1239</v>
      </c>
      <c r="B6" s="243">
        <v>1</v>
      </c>
      <c r="C6" s="123" t="s">
        <v>1263</v>
      </c>
      <c r="D6" s="123"/>
      <c r="E6" s="19">
        <v>150000</v>
      </c>
      <c r="F6" s="19">
        <v>19995</v>
      </c>
      <c r="G6" s="329">
        <f>SUM(E6:F6)</f>
        <v>169995</v>
      </c>
      <c r="H6" s="327">
        <v>4149.8999999999996</v>
      </c>
      <c r="I6" s="247">
        <v>40</v>
      </c>
      <c r="J6" s="159">
        <v>8</v>
      </c>
      <c r="K6" s="16">
        <f t="shared" ref="K6:K32" si="0">J6*H6</f>
        <v>33199.199999999997</v>
      </c>
      <c r="L6" s="94">
        <f t="shared" ref="L6:L37" si="1">G6-K6</f>
        <v>136795.79999999999</v>
      </c>
      <c r="M6" s="159">
        <f t="shared" ref="M6:M37" si="2">I6-J6</f>
        <v>32</v>
      </c>
      <c r="N6" s="159"/>
      <c r="O6" s="159"/>
      <c r="P6" s="11"/>
    </row>
    <row r="7" spans="1:16" s="114" customFormat="1">
      <c r="A7" s="293" t="s">
        <v>1243</v>
      </c>
      <c r="B7" s="243">
        <v>2</v>
      </c>
      <c r="C7" s="123" t="s">
        <v>1262</v>
      </c>
      <c r="D7" s="123"/>
      <c r="E7" s="19">
        <v>330000</v>
      </c>
      <c r="F7" s="19">
        <v>43989</v>
      </c>
      <c r="G7" s="329">
        <f>SUM(E7:F7)</f>
        <v>373989</v>
      </c>
      <c r="H7" s="327">
        <v>7479.78</v>
      </c>
      <c r="I7" s="247">
        <v>50</v>
      </c>
      <c r="J7" s="159">
        <v>8</v>
      </c>
      <c r="K7" s="16">
        <f t="shared" si="0"/>
        <v>59838.239999999998</v>
      </c>
      <c r="L7" s="94">
        <f t="shared" si="1"/>
        <v>314150.76</v>
      </c>
      <c r="M7" s="159">
        <f t="shared" si="2"/>
        <v>42</v>
      </c>
      <c r="N7" s="159"/>
      <c r="O7" s="159"/>
      <c r="P7" s="11"/>
    </row>
    <row r="8" spans="1:16" s="114" customFormat="1">
      <c r="A8" s="292" t="s">
        <v>524</v>
      </c>
      <c r="B8" s="243">
        <v>3</v>
      </c>
      <c r="C8" s="11" t="s">
        <v>490</v>
      </c>
      <c r="D8" s="11"/>
      <c r="E8" s="19">
        <v>330000</v>
      </c>
      <c r="F8" s="19">
        <v>43989</v>
      </c>
      <c r="G8" s="329">
        <f>SUM(E8:F8)</f>
        <v>373989</v>
      </c>
      <c r="H8" s="146">
        <v>7479.78</v>
      </c>
      <c r="I8" s="247">
        <v>50</v>
      </c>
      <c r="J8" s="159">
        <v>21</v>
      </c>
      <c r="K8" s="91">
        <f t="shared" si="0"/>
        <v>157075.38</v>
      </c>
      <c r="L8" s="94">
        <f t="shared" si="1"/>
        <v>216913.62</v>
      </c>
      <c r="M8" s="159">
        <f t="shared" si="2"/>
        <v>29</v>
      </c>
      <c r="N8" s="159"/>
      <c r="O8" s="97"/>
      <c r="P8" s="11"/>
    </row>
    <row r="9" spans="1:16" s="114" customFormat="1">
      <c r="A9" s="293" t="s">
        <v>895</v>
      </c>
      <c r="B9" s="243">
        <v>4</v>
      </c>
      <c r="C9" s="123" t="s">
        <v>875</v>
      </c>
      <c r="D9" s="123"/>
      <c r="E9" s="19">
        <v>450000</v>
      </c>
      <c r="F9" s="19">
        <v>59985</v>
      </c>
      <c r="G9" s="329">
        <v>509985</v>
      </c>
      <c r="H9" s="327">
        <v>10199.700000000001</v>
      </c>
      <c r="I9" s="247">
        <v>50</v>
      </c>
      <c r="J9" s="159">
        <v>16</v>
      </c>
      <c r="K9" s="16">
        <f t="shared" si="0"/>
        <v>163195.20000000001</v>
      </c>
      <c r="L9" s="94">
        <f t="shared" si="1"/>
        <v>346789.8</v>
      </c>
      <c r="M9" s="159">
        <f t="shared" si="2"/>
        <v>34</v>
      </c>
      <c r="N9" s="159"/>
      <c r="O9" s="159"/>
      <c r="P9" s="11"/>
    </row>
    <row r="10" spans="1:16" s="114" customFormat="1">
      <c r="A10" s="294" t="s">
        <v>606</v>
      </c>
      <c r="B10" s="243">
        <v>5</v>
      </c>
      <c r="C10" s="123" t="s">
        <v>853</v>
      </c>
      <c r="D10" s="123"/>
      <c r="E10" s="19">
        <v>150000</v>
      </c>
      <c r="F10" s="19">
        <v>19995</v>
      </c>
      <c r="G10" s="329">
        <f>SUM(E10:F10)</f>
        <v>169995</v>
      </c>
      <c r="H10" s="327">
        <v>3399.9</v>
      </c>
      <c r="I10" s="247">
        <v>50</v>
      </c>
      <c r="J10" s="159">
        <v>14</v>
      </c>
      <c r="K10" s="91">
        <f t="shared" si="0"/>
        <v>47598.6</v>
      </c>
      <c r="L10" s="94">
        <f t="shared" si="1"/>
        <v>122396.4</v>
      </c>
      <c r="M10" s="159">
        <f t="shared" si="2"/>
        <v>36</v>
      </c>
      <c r="N10" s="159"/>
      <c r="O10" s="97"/>
      <c r="P10" s="11"/>
    </row>
    <row r="11" spans="1:16" s="114" customFormat="1">
      <c r="A11" s="293" t="s">
        <v>1215</v>
      </c>
      <c r="B11" s="243">
        <v>6</v>
      </c>
      <c r="C11" s="11" t="s">
        <v>462</v>
      </c>
      <c r="D11" s="11"/>
      <c r="E11" s="16">
        <v>450000</v>
      </c>
      <c r="F11" s="16">
        <v>59985</v>
      </c>
      <c r="G11" s="330">
        <v>509985</v>
      </c>
      <c r="H11" s="327">
        <v>10199.700000000001</v>
      </c>
      <c r="I11" s="247">
        <v>50</v>
      </c>
      <c r="J11" s="96">
        <v>9</v>
      </c>
      <c r="K11" s="91">
        <f t="shared" si="0"/>
        <v>91797.3</v>
      </c>
      <c r="L11" s="94">
        <f t="shared" si="1"/>
        <v>418187.7</v>
      </c>
      <c r="M11" s="159">
        <f t="shared" si="2"/>
        <v>41</v>
      </c>
      <c r="N11" s="159"/>
      <c r="O11" s="97"/>
      <c r="P11" s="11"/>
    </row>
    <row r="12" spans="1:16" s="114" customFormat="1">
      <c r="A12" s="293" t="s">
        <v>602</v>
      </c>
      <c r="B12" s="243">
        <v>7</v>
      </c>
      <c r="C12" s="11" t="s">
        <v>372</v>
      </c>
      <c r="D12" s="11"/>
      <c r="E12" s="19">
        <v>330000</v>
      </c>
      <c r="F12" s="19">
        <v>43989</v>
      </c>
      <c r="G12" s="329">
        <f>SUM(E12:F12)</f>
        <v>373989</v>
      </c>
      <c r="H12" s="327">
        <v>7479.78</v>
      </c>
      <c r="I12" s="247">
        <v>50</v>
      </c>
      <c r="J12" s="96">
        <v>9</v>
      </c>
      <c r="K12" s="91">
        <f t="shared" si="0"/>
        <v>67318.02</v>
      </c>
      <c r="L12" s="94">
        <f t="shared" si="1"/>
        <v>306670.98</v>
      </c>
      <c r="M12" s="159">
        <f t="shared" si="2"/>
        <v>41</v>
      </c>
      <c r="N12" s="159"/>
      <c r="O12" s="97"/>
      <c r="P12" s="11"/>
    </row>
    <row r="13" spans="1:16" s="114" customFormat="1">
      <c r="A13" s="122" t="s">
        <v>1227</v>
      </c>
      <c r="B13" s="243">
        <v>8</v>
      </c>
      <c r="C13" s="11" t="s">
        <v>1290</v>
      </c>
      <c r="D13" s="122"/>
      <c r="E13" s="16">
        <v>500000</v>
      </c>
      <c r="F13" s="16">
        <v>66650</v>
      </c>
      <c r="G13" s="331">
        <f>SUM(E13:F13)</f>
        <v>566650</v>
      </c>
      <c r="H13" s="16">
        <v>11333</v>
      </c>
      <c r="I13" s="247">
        <v>50</v>
      </c>
      <c r="J13" s="188">
        <v>6</v>
      </c>
      <c r="K13" s="16">
        <f t="shared" si="0"/>
        <v>67998</v>
      </c>
      <c r="L13" s="94">
        <f t="shared" si="1"/>
        <v>498652</v>
      </c>
      <c r="M13" s="159">
        <f t="shared" si="2"/>
        <v>44</v>
      </c>
      <c r="N13" s="159"/>
      <c r="O13" s="159"/>
      <c r="P13" s="122"/>
    </row>
    <row r="14" spans="1:16" s="114" customFormat="1">
      <c r="A14" s="292" t="s">
        <v>709</v>
      </c>
      <c r="B14" s="243">
        <v>9</v>
      </c>
      <c r="C14" s="11" t="s">
        <v>310</v>
      </c>
      <c r="D14" s="11"/>
      <c r="E14" s="19">
        <v>500000</v>
      </c>
      <c r="F14" s="19">
        <v>66650</v>
      </c>
      <c r="G14" s="329">
        <v>566650</v>
      </c>
      <c r="H14" s="318">
        <v>11333</v>
      </c>
      <c r="I14" s="247">
        <v>50</v>
      </c>
      <c r="J14" s="96">
        <v>33</v>
      </c>
      <c r="K14" s="16">
        <f t="shared" si="0"/>
        <v>373989</v>
      </c>
      <c r="L14" s="16">
        <f t="shared" si="1"/>
        <v>192661</v>
      </c>
      <c r="M14" s="159">
        <f t="shared" si="2"/>
        <v>17</v>
      </c>
      <c r="N14" s="159"/>
      <c r="O14" s="96"/>
      <c r="P14" s="11"/>
    </row>
    <row r="15" spans="1:16" s="114" customFormat="1">
      <c r="A15" s="293" t="s">
        <v>1180</v>
      </c>
      <c r="B15" s="243">
        <v>10</v>
      </c>
      <c r="C15" s="123" t="s">
        <v>1284</v>
      </c>
      <c r="D15" s="123"/>
      <c r="E15" s="16">
        <v>500000</v>
      </c>
      <c r="F15" s="16">
        <v>66650</v>
      </c>
      <c r="G15" s="331">
        <f>SUM(E15:F15)</f>
        <v>566650</v>
      </c>
      <c r="H15" s="327">
        <v>11333</v>
      </c>
      <c r="I15" s="247">
        <v>50</v>
      </c>
      <c r="J15" s="159">
        <v>16</v>
      </c>
      <c r="K15" s="16">
        <f t="shared" si="0"/>
        <v>181328</v>
      </c>
      <c r="L15" s="94">
        <f t="shared" si="1"/>
        <v>385322</v>
      </c>
      <c r="M15" s="159">
        <f t="shared" si="2"/>
        <v>34</v>
      </c>
      <c r="N15" s="159"/>
      <c r="O15" s="159"/>
      <c r="P15" s="11"/>
    </row>
    <row r="16" spans="1:16" s="114" customFormat="1">
      <c r="A16" s="295" t="s">
        <v>945</v>
      </c>
      <c r="B16" s="243">
        <v>11</v>
      </c>
      <c r="C16" s="11" t="s">
        <v>1035</v>
      </c>
      <c r="D16" s="8"/>
      <c r="E16" s="16">
        <v>500000</v>
      </c>
      <c r="F16" s="16">
        <v>66650</v>
      </c>
      <c r="G16" s="331">
        <f>SUM(E16:F16)</f>
        <v>566650</v>
      </c>
      <c r="H16" s="319">
        <v>11333</v>
      </c>
      <c r="I16" s="247">
        <v>50</v>
      </c>
      <c r="J16" s="159">
        <v>16</v>
      </c>
      <c r="K16" s="16">
        <f t="shared" si="0"/>
        <v>181328</v>
      </c>
      <c r="L16" s="94">
        <f t="shared" si="1"/>
        <v>385322</v>
      </c>
      <c r="M16" s="159">
        <f t="shared" si="2"/>
        <v>34</v>
      </c>
      <c r="N16" s="159"/>
      <c r="O16" s="97"/>
      <c r="P16" s="8"/>
    </row>
    <row r="17" spans="1:16" s="114" customFormat="1">
      <c r="A17" s="292" t="s">
        <v>649</v>
      </c>
      <c r="B17" s="243">
        <v>12</v>
      </c>
      <c r="C17" s="11" t="s">
        <v>360</v>
      </c>
      <c r="D17" s="11"/>
      <c r="E17" s="16">
        <v>450000</v>
      </c>
      <c r="F17" s="16">
        <v>59985</v>
      </c>
      <c r="G17" s="330">
        <v>509985</v>
      </c>
      <c r="H17" s="318">
        <v>10199.700000000001</v>
      </c>
      <c r="I17" s="247">
        <v>50</v>
      </c>
      <c r="J17" s="97">
        <v>32</v>
      </c>
      <c r="K17" s="91">
        <f t="shared" si="0"/>
        <v>326390.40000000002</v>
      </c>
      <c r="L17" s="91">
        <f t="shared" si="1"/>
        <v>183594.59999999998</v>
      </c>
      <c r="M17" s="159">
        <f t="shared" si="2"/>
        <v>18</v>
      </c>
      <c r="N17" s="159"/>
      <c r="O17" s="97"/>
      <c r="P17" s="11"/>
    </row>
    <row r="18" spans="1:16" s="114" customFormat="1">
      <c r="A18" s="292" t="s">
        <v>617</v>
      </c>
      <c r="B18" s="243">
        <v>13</v>
      </c>
      <c r="C18" s="11" t="s">
        <v>361</v>
      </c>
      <c r="D18" s="11"/>
      <c r="E18" s="16">
        <v>450000</v>
      </c>
      <c r="F18" s="16">
        <v>59985</v>
      </c>
      <c r="G18" s="330">
        <v>509985</v>
      </c>
      <c r="H18" s="318">
        <v>10199.700000000001</v>
      </c>
      <c r="I18" s="247">
        <v>50</v>
      </c>
      <c r="J18" s="97">
        <v>47</v>
      </c>
      <c r="K18" s="91">
        <f t="shared" si="0"/>
        <v>479385.9</v>
      </c>
      <c r="L18" s="94">
        <f t="shared" si="1"/>
        <v>30599.099999999977</v>
      </c>
      <c r="M18" s="159">
        <f t="shared" si="2"/>
        <v>3</v>
      </c>
      <c r="N18" s="159"/>
      <c r="O18" s="97"/>
      <c r="P18" s="11"/>
    </row>
    <row r="19" spans="1:16" s="114" customFormat="1">
      <c r="A19" s="292" t="s">
        <v>505</v>
      </c>
      <c r="B19" s="243">
        <v>14</v>
      </c>
      <c r="C19" s="11" t="s">
        <v>313</v>
      </c>
      <c r="D19" s="11"/>
      <c r="E19" s="16">
        <v>500000</v>
      </c>
      <c r="F19" s="16">
        <v>66650</v>
      </c>
      <c r="G19" s="331">
        <f>SUM(E19:F19)</f>
        <v>566650</v>
      </c>
      <c r="H19" s="318">
        <v>11333</v>
      </c>
      <c r="I19" s="247">
        <v>50</v>
      </c>
      <c r="J19" s="97">
        <v>47</v>
      </c>
      <c r="K19" s="91">
        <f t="shared" si="0"/>
        <v>532651</v>
      </c>
      <c r="L19" s="94">
        <f t="shared" si="1"/>
        <v>33999</v>
      </c>
      <c r="M19" s="159">
        <f t="shared" si="2"/>
        <v>3</v>
      </c>
      <c r="N19" s="159"/>
      <c r="O19" s="97"/>
      <c r="P19" s="11"/>
    </row>
    <row r="20" spans="1:16" s="114" customFormat="1">
      <c r="A20" s="292" t="s">
        <v>559</v>
      </c>
      <c r="B20" s="243">
        <v>15</v>
      </c>
      <c r="C20" s="11" t="s">
        <v>441</v>
      </c>
      <c r="D20" s="11"/>
      <c r="E20" s="16">
        <v>500000</v>
      </c>
      <c r="F20" s="16">
        <v>66650</v>
      </c>
      <c r="G20" s="330">
        <v>566650</v>
      </c>
      <c r="H20" s="146">
        <v>11333</v>
      </c>
      <c r="I20" s="247">
        <v>50</v>
      </c>
      <c r="J20" s="96">
        <v>21</v>
      </c>
      <c r="K20" s="91">
        <f t="shared" si="0"/>
        <v>237993</v>
      </c>
      <c r="L20" s="94">
        <f t="shared" si="1"/>
        <v>328657</v>
      </c>
      <c r="M20" s="159">
        <f t="shared" si="2"/>
        <v>29</v>
      </c>
      <c r="N20" s="159"/>
      <c r="O20" s="97"/>
      <c r="P20" s="123"/>
    </row>
    <row r="21" spans="1:16" s="114" customFormat="1">
      <c r="A21" s="293" t="s">
        <v>1172</v>
      </c>
      <c r="B21" s="243">
        <v>16</v>
      </c>
      <c r="C21" s="11" t="s">
        <v>439</v>
      </c>
      <c r="D21" s="11"/>
      <c r="E21" s="19">
        <v>330000</v>
      </c>
      <c r="F21" s="19">
        <v>43989</v>
      </c>
      <c r="G21" s="329">
        <f>SUM(E21:F21)</f>
        <v>373989</v>
      </c>
      <c r="H21" s="327">
        <v>7479.78</v>
      </c>
      <c r="I21" s="247">
        <v>50</v>
      </c>
      <c r="J21" s="96">
        <v>9</v>
      </c>
      <c r="K21" s="91">
        <f t="shared" si="0"/>
        <v>67318.02</v>
      </c>
      <c r="L21" s="94">
        <f t="shared" si="1"/>
        <v>306670.98</v>
      </c>
      <c r="M21" s="159">
        <f t="shared" si="2"/>
        <v>41</v>
      </c>
      <c r="N21" s="159"/>
      <c r="O21" s="97"/>
      <c r="P21" s="11"/>
    </row>
    <row r="22" spans="1:16" s="114" customFormat="1">
      <c r="A22" s="292" t="s">
        <v>690</v>
      </c>
      <c r="B22" s="243">
        <v>17</v>
      </c>
      <c r="C22" s="11" t="s">
        <v>496</v>
      </c>
      <c r="D22" s="11"/>
      <c r="E22" s="16">
        <v>500000</v>
      </c>
      <c r="F22" s="16">
        <v>66650</v>
      </c>
      <c r="G22" s="331">
        <f>SUM(E22:F22)</f>
        <v>566650</v>
      </c>
      <c r="H22" s="318">
        <v>11333</v>
      </c>
      <c r="I22" s="247">
        <v>50</v>
      </c>
      <c r="J22" s="159">
        <v>19</v>
      </c>
      <c r="K22" s="91">
        <f t="shared" si="0"/>
        <v>215327</v>
      </c>
      <c r="L22" s="94">
        <f t="shared" si="1"/>
        <v>351323</v>
      </c>
      <c r="M22" s="159">
        <f t="shared" si="2"/>
        <v>31</v>
      </c>
      <c r="N22" s="159"/>
      <c r="O22" s="97"/>
      <c r="P22" s="11"/>
    </row>
    <row r="23" spans="1:16" s="114" customFormat="1">
      <c r="A23" s="295" t="s">
        <v>939</v>
      </c>
      <c r="B23" s="243">
        <v>18</v>
      </c>
      <c r="C23" s="11" t="s">
        <v>1022</v>
      </c>
      <c r="D23" s="8"/>
      <c r="E23" s="19">
        <v>330000</v>
      </c>
      <c r="F23" s="19">
        <v>43989</v>
      </c>
      <c r="G23" s="329">
        <f>SUM(E23:F23)</f>
        <v>373989</v>
      </c>
      <c r="H23" s="319">
        <v>7479.78</v>
      </c>
      <c r="I23" s="247">
        <v>50</v>
      </c>
      <c r="J23" s="159">
        <v>13</v>
      </c>
      <c r="K23" s="16">
        <f t="shared" si="0"/>
        <v>97237.14</v>
      </c>
      <c r="L23" s="94">
        <f t="shared" si="1"/>
        <v>276751.86</v>
      </c>
      <c r="M23" s="159">
        <f t="shared" si="2"/>
        <v>37</v>
      </c>
      <c r="N23" s="159"/>
      <c r="O23" s="159"/>
      <c r="P23" s="8"/>
    </row>
    <row r="24" spans="1:16" s="114" customFormat="1">
      <c r="A24" s="292" t="s">
        <v>726</v>
      </c>
      <c r="B24" s="243">
        <v>19</v>
      </c>
      <c r="C24" s="11" t="s">
        <v>314</v>
      </c>
      <c r="D24" s="11"/>
      <c r="E24" s="19">
        <v>500000</v>
      </c>
      <c r="F24" s="19">
        <v>66650</v>
      </c>
      <c r="G24" s="329">
        <v>566650</v>
      </c>
      <c r="H24" s="318">
        <v>11333</v>
      </c>
      <c r="I24" s="247">
        <v>50</v>
      </c>
      <c r="J24" s="97">
        <v>33</v>
      </c>
      <c r="K24" s="91">
        <f t="shared" si="0"/>
        <v>373989</v>
      </c>
      <c r="L24" s="91">
        <f t="shared" si="1"/>
        <v>192661</v>
      </c>
      <c r="M24" s="159">
        <f t="shared" si="2"/>
        <v>17</v>
      </c>
      <c r="N24" s="159"/>
      <c r="O24" s="97"/>
      <c r="P24" s="11"/>
    </row>
    <row r="25" spans="1:16" s="114" customFormat="1">
      <c r="A25" s="292" t="s">
        <v>680</v>
      </c>
      <c r="B25" s="243">
        <v>20</v>
      </c>
      <c r="C25" s="11" t="s">
        <v>315</v>
      </c>
      <c r="D25" s="11"/>
      <c r="E25" s="19">
        <v>500000</v>
      </c>
      <c r="F25" s="19">
        <v>66650</v>
      </c>
      <c r="G25" s="329">
        <v>566650</v>
      </c>
      <c r="H25" s="318">
        <v>11333</v>
      </c>
      <c r="I25" s="247">
        <v>50</v>
      </c>
      <c r="J25" s="97">
        <v>33</v>
      </c>
      <c r="K25" s="91">
        <f t="shared" si="0"/>
        <v>373989</v>
      </c>
      <c r="L25" s="91">
        <f t="shared" si="1"/>
        <v>192661</v>
      </c>
      <c r="M25" s="159">
        <f t="shared" si="2"/>
        <v>17</v>
      </c>
      <c r="N25" s="159"/>
      <c r="O25" s="97"/>
      <c r="P25" s="11"/>
    </row>
    <row r="26" spans="1:16" s="114" customFormat="1">
      <c r="A26" s="292" t="s">
        <v>576</v>
      </c>
      <c r="B26" s="243">
        <v>21</v>
      </c>
      <c r="C26" s="11" t="s">
        <v>216</v>
      </c>
      <c r="D26" s="11"/>
      <c r="E26" s="16">
        <v>60000</v>
      </c>
      <c r="F26" s="16">
        <v>7998</v>
      </c>
      <c r="G26" s="331">
        <f>SUM(E26:F26)</f>
        <v>67998</v>
      </c>
      <c r="H26" s="318">
        <v>1699.95</v>
      </c>
      <c r="I26" s="247">
        <v>40</v>
      </c>
      <c r="J26" s="97">
        <v>22</v>
      </c>
      <c r="K26" s="91">
        <f t="shared" si="0"/>
        <v>37398.9</v>
      </c>
      <c r="L26" s="94">
        <f t="shared" si="1"/>
        <v>30599.1</v>
      </c>
      <c r="M26" s="159">
        <f t="shared" si="2"/>
        <v>18</v>
      </c>
      <c r="N26" s="159"/>
      <c r="O26" s="97"/>
      <c r="P26" s="11"/>
    </row>
    <row r="27" spans="1:16" s="114" customFormat="1">
      <c r="A27" s="292" t="s">
        <v>949</v>
      </c>
      <c r="B27" s="243">
        <v>22</v>
      </c>
      <c r="C27" s="11" t="s">
        <v>1092</v>
      </c>
      <c r="D27" s="11"/>
      <c r="E27" s="16">
        <v>500000</v>
      </c>
      <c r="F27" s="16">
        <v>66650</v>
      </c>
      <c r="G27" s="331">
        <f>SUM(E27:F27)</f>
        <v>566650</v>
      </c>
      <c r="H27" s="318">
        <v>11333</v>
      </c>
      <c r="I27" s="247">
        <v>50</v>
      </c>
      <c r="J27" s="97">
        <v>46</v>
      </c>
      <c r="K27" s="91">
        <f t="shared" si="0"/>
        <v>521318</v>
      </c>
      <c r="L27" s="94">
        <f t="shared" si="1"/>
        <v>45332</v>
      </c>
      <c r="M27" s="159">
        <f t="shared" si="2"/>
        <v>4</v>
      </c>
      <c r="N27" s="159"/>
      <c r="O27" s="97"/>
      <c r="P27" s="11"/>
    </row>
    <row r="28" spans="1:16" s="114" customFormat="1">
      <c r="A28" s="293" t="s">
        <v>1219</v>
      </c>
      <c r="B28" s="243">
        <v>23</v>
      </c>
      <c r="C28" s="11" t="s">
        <v>1137</v>
      </c>
      <c r="D28" s="11"/>
      <c r="E28" s="19">
        <v>330000</v>
      </c>
      <c r="F28" s="19">
        <v>43989</v>
      </c>
      <c r="G28" s="329">
        <f>SUM(E28:F28)</f>
        <v>373989</v>
      </c>
      <c r="H28" s="327">
        <v>7479.78</v>
      </c>
      <c r="I28" s="247">
        <v>50</v>
      </c>
      <c r="J28" s="96">
        <v>9</v>
      </c>
      <c r="K28" s="91">
        <f t="shared" si="0"/>
        <v>67318.02</v>
      </c>
      <c r="L28" s="94">
        <f t="shared" si="1"/>
        <v>306670.98</v>
      </c>
      <c r="M28" s="159">
        <f t="shared" si="2"/>
        <v>41</v>
      </c>
      <c r="N28" s="159"/>
      <c r="O28" s="97"/>
      <c r="P28" s="11"/>
    </row>
    <row r="29" spans="1:16" s="114" customFormat="1">
      <c r="A29" s="293" t="s">
        <v>1255</v>
      </c>
      <c r="B29" s="243">
        <v>24</v>
      </c>
      <c r="C29" s="123" t="s">
        <v>293</v>
      </c>
      <c r="D29" s="123"/>
      <c r="E29" s="19">
        <v>450000</v>
      </c>
      <c r="F29" s="19">
        <v>59985</v>
      </c>
      <c r="G29" s="329">
        <v>509985</v>
      </c>
      <c r="H29" s="327">
        <v>10199.700000000001</v>
      </c>
      <c r="I29" s="247">
        <v>50</v>
      </c>
      <c r="J29" s="159">
        <v>8</v>
      </c>
      <c r="K29" s="16">
        <f t="shared" si="0"/>
        <v>81597.600000000006</v>
      </c>
      <c r="L29" s="94">
        <f t="shared" si="1"/>
        <v>428387.4</v>
      </c>
      <c r="M29" s="159">
        <f t="shared" si="2"/>
        <v>42</v>
      </c>
      <c r="N29" s="159"/>
      <c r="O29" s="159"/>
      <c r="P29" s="11"/>
    </row>
    <row r="30" spans="1:16" s="114" customFormat="1">
      <c r="A30" s="292" t="s">
        <v>633</v>
      </c>
      <c r="B30" s="243">
        <v>25</v>
      </c>
      <c r="C30" s="11" t="s">
        <v>457</v>
      </c>
      <c r="D30" s="11"/>
      <c r="E30" s="19">
        <v>150000</v>
      </c>
      <c r="F30" s="19">
        <v>19995</v>
      </c>
      <c r="G30" s="329">
        <f>SUM(E30:F30)</f>
        <v>169995</v>
      </c>
      <c r="H30" s="252">
        <v>3399.9</v>
      </c>
      <c r="I30" s="247">
        <v>50</v>
      </c>
      <c r="J30" s="101">
        <v>21</v>
      </c>
      <c r="K30" s="91">
        <f t="shared" si="0"/>
        <v>71397.900000000009</v>
      </c>
      <c r="L30" s="94">
        <f t="shared" si="1"/>
        <v>98597.099999999991</v>
      </c>
      <c r="M30" s="159">
        <f t="shared" si="2"/>
        <v>29</v>
      </c>
      <c r="N30" s="159"/>
      <c r="O30" s="97"/>
      <c r="P30" s="8"/>
    </row>
    <row r="31" spans="1:16" s="114" customFormat="1">
      <c r="A31" s="293" t="s">
        <v>1259</v>
      </c>
      <c r="B31" s="243">
        <v>26</v>
      </c>
      <c r="C31" s="123" t="s">
        <v>1265</v>
      </c>
      <c r="D31" s="123"/>
      <c r="E31" s="16">
        <v>500000</v>
      </c>
      <c r="F31" s="16">
        <v>66650</v>
      </c>
      <c r="G31" s="331">
        <f>SUM(E31:F31)</f>
        <v>566650</v>
      </c>
      <c r="H31" s="327">
        <v>11333</v>
      </c>
      <c r="I31" s="247">
        <v>50</v>
      </c>
      <c r="J31" s="159">
        <v>8</v>
      </c>
      <c r="K31" s="16">
        <f t="shared" si="0"/>
        <v>90664</v>
      </c>
      <c r="L31" s="94">
        <f t="shared" si="1"/>
        <v>475986</v>
      </c>
      <c r="M31" s="159">
        <f t="shared" si="2"/>
        <v>42</v>
      </c>
      <c r="N31" s="159"/>
      <c r="O31" s="159"/>
      <c r="P31" s="11"/>
    </row>
    <row r="32" spans="1:16" s="114" customFormat="1">
      <c r="A32" s="295" t="s">
        <v>947</v>
      </c>
      <c r="B32" s="243">
        <v>27</v>
      </c>
      <c r="C32" s="11" t="s">
        <v>1095</v>
      </c>
      <c r="D32" s="8"/>
      <c r="E32" s="16">
        <v>500000</v>
      </c>
      <c r="F32" s="16">
        <v>66650</v>
      </c>
      <c r="G32" s="331">
        <f>SUM(E32:F32)</f>
        <v>566650</v>
      </c>
      <c r="H32" s="319">
        <v>11333</v>
      </c>
      <c r="I32" s="247">
        <v>50</v>
      </c>
      <c r="J32" s="159">
        <v>13</v>
      </c>
      <c r="K32" s="16">
        <f t="shared" si="0"/>
        <v>147329</v>
      </c>
      <c r="L32" s="94">
        <f t="shared" si="1"/>
        <v>419321</v>
      </c>
      <c r="M32" s="159">
        <f t="shared" si="2"/>
        <v>37</v>
      </c>
      <c r="N32" s="159"/>
      <c r="O32" s="159"/>
      <c r="P32" s="8"/>
    </row>
    <row r="33" spans="1:16" s="114" customFormat="1">
      <c r="A33" s="292" t="s">
        <v>534</v>
      </c>
      <c r="B33" s="243">
        <v>28</v>
      </c>
      <c r="C33" s="11" t="s">
        <v>363</v>
      </c>
      <c r="D33" s="11"/>
      <c r="E33" s="16">
        <v>450000</v>
      </c>
      <c r="F33" s="16">
        <v>59985</v>
      </c>
      <c r="G33" s="330">
        <v>509985</v>
      </c>
      <c r="H33" s="318">
        <v>10199.700000000001</v>
      </c>
      <c r="I33" s="247">
        <v>50</v>
      </c>
      <c r="J33" s="97">
        <v>25</v>
      </c>
      <c r="K33" s="91">
        <f>(1*10199.7)</f>
        <v>10199.700000000001</v>
      </c>
      <c r="L33" s="94">
        <f t="shared" si="1"/>
        <v>499785.3</v>
      </c>
      <c r="M33" s="159">
        <f t="shared" si="2"/>
        <v>25</v>
      </c>
      <c r="N33" s="159"/>
      <c r="O33" s="97"/>
      <c r="P33" s="11"/>
    </row>
    <row r="34" spans="1:16" s="114" customFormat="1">
      <c r="A34" s="292" t="s">
        <v>626</v>
      </c>
      <c r="B34" s="243">
        <v>29</v>
      </c>
      <c r="C34" s="11" t="s">
        <v>375</v>
      </c>
      <c r="D34" s="11"/>
      <c r="E34" s="16">
        <v>330000</v>
      </c>
      <c r="F34" s="16">
        <v>43989</v>
      </c>
      <c r="G34" s="331">
        <f>SUM(E34:F34)</f>
        <v>373989</v>
      </c>
      <c r="H34" s="318">
        <v>7479.78</v>
      </c>
      <c r="I34" s="247">
        <v>50</v>
      </c>
      <c r="J34" s="97">
        <v>47</v>
      </c>
      <c r="K34" s="91">
        <f t="shared" ref="K34:K65" si="3">J34*H34</f>
        <v>351549.66</v>
      </c>
      <c r="L34" s="94">
        <f t="shared" si="1"/>
        <v>22439.340000000026</v>
      </c>
      <c r="M34" s="159">
        <f t="shared" si="2"/>
        <v>3</v>
      </c>
      <c r="N34" s="159"/>
      <c r="O34" s="97"/>
      <c r="P34" s="11"/>
    </row>
    <row r="35" spans="1:16" s="114" customFormat="1">
      <c r="A35" s="292" t="s">
        <v>730</v>
      </c>
      <c r="B35" s="243">
        <v>30</v>
      </c>
      <c r="C35" s="11" t="s">
        <v>320</v>
      </c>
      <c r="D35" s="11"/>
      <c r="E35" s="16">
        <v>500000</v>
      </c>
      <c r="F35" s="16">
        <v>66650</v>
      </c>
      <c r="G35" s="331">
        <f>SUM(E35:F35)</f>
        <v>566650</v>
      </c>
      <c r="H35" s="318">
        <v>11333</v>
      </c>
      <c r="I35" s="247">
        <v>50</v>
      </c>
      <c r="J35" s="159">
        <v>23</v>
      </c>
      <c r="K35" s="91">
        <f t="shared" si="3"/>
        <v>260659</v>
      </c>
      <c r="L35" s="94">
        <f t="shared" si="1"/>
        <v>305991</v>
      </c>
      <c r="M35" s="159">
        <f t="shared" si="2"/>
        <v>27</v>
      </c>
      <c r="N35" s="159"/>
      <c r="O35" s="159"/>
      <c r="P35" s="11"/>
    </row>
    <row r="36" spans="1:16" s="114" customFormat="1">
      <c r="A36" s="293" t="s">
        <v>1156</v>
      </c>
      <c r="B36" s="243">
        <v>31</v>
      </c>
      <c r="C36" s="11" t="s">
        <v>1296</v>
      </c>
      <c r="D36" s="11"/>
      <c r="E36" s="19"/>
      <c r="F36" s="19"/>
      <c r="G36" s="329">
        <v>200000</v>
      </c>
      <c r="H36" s="327">
        <v>5099.8500000000004</v>
      </c>
      <c r="I36" s="247">
        <v>50</v>
      </c>
      <c r="J36" s="96">
        <v>9</v>
      </c>
      <c r="K36" s="91">
        <f t="shared" si="3"/>
        <v>45898.65</v>
      </c>
      <c r="L36" s="94">
        <f t="shared" si="1"/>
        <v>154101.35</v>
      </c>
      <c r="M36" s="159">
        <f t="shared" si="2"/>
        <v>41</v>
      </c>
      <c r="N36" s="159"/>
      <c r="O36" s="97"/>
      <c r="P36" s="11"/>
    </row>
    <row r="37" spans="1:16" s="114" customFormat="1">
      <c r="A37" s="293" t="s">
        <v>1229</v>
      </c>
      <c r="B37" s="243">
        <v>32</v>
      </c>
      <c r="C37" s="123" t="s">
        <v>1264</v>
      </c>
      <c r="D37" s="123"/>
      <c r="E37" s="19">
        <v>150000</v>
      </c>
      <c r="F37" s="19">
        <v>19995</v>
      </c>
      <c r="G37" s="329">
        <f>SUM(E37:F37)</f>
        <v>169995</v>
      </c>
      <c r="H37" s="327">
        <v>4149.8999999999996</v>
      </c>
      <c r="I37" s="247">
        <v>40</v>
      </c>
      <c r="J37" s="159">
        <v>8</v>
      </c>
      <c r="K37" s="16">
        <f t="shared" si="3"/>
        <v>33199.199999999997</v>
      </c>
      <c r="L37" s="94">
        <f t="shared" si="1"/>
        <v>136795.79999999999</v>
      </c>
      <c r="M37" s="159">
        <f t="shared" si="2"/>
        <v>32</v>
      </c>
      <c r="N37" s="159"/>
      <c r="O37" s="159"/>
      <c r="P37" s="11"/>
    </row>
    <row r="38" spans="1:16" s="114" customFormat="1">
      <c r="A38" s="292" t="s">
        <v>623</v>
      </c>
      <c r="B38" s="243">
        <v>33</v>
      </c>
      <c r="C38" s="123" t="s">
        <v>1030</v>
      </c>
      <c r="D38" s="123"/>
      <c r="E38" s="19">
        <v>450000</v>
      </c>
      <c r="F38" s="19">
        <v>59985</v>
      </c>
      <c r="G38" s="329">
        <v>509985</v>
      </c>
      <c r="H38" s="327">
        <v>10199.700000000001</v>
      </c>
      <c r="I38" s="247">
        <v>50</v>
      </c>
      <c r="J38" s="159">
        <v>13</v>
      </c>
      <c r="K38" s="91">
        <f t="shared" si="3"/>
        <v>132596.1</v>
      </c>
      <c r="L38" s="94">
        <f t="shared" ref="L38:L69" si="4">G38-K38</f>
        <v>377388.9</v>
      </c>
      <c r="M38" s="159">
        <f t="shared" ref="M38:M69" si="5">I38-J38</f>
        <v>37</v>
      </c>
      <c r="N38" s="159"/>
      <c r="O38" s="97"/>
      <c r="P38" s="11"/>
    </row>
    <row r="39" spans="1:16" s="114" customFormat="1">
      <c r="A39" s="295" t="s">
        <v>1233</v>
      </c>
      <c r="B39" s="243">
        <v>34</v>
      </c>
      <c r="C39" s="11" t="s">
        <v>463</v>
      </c>
      <c r="D39" s="8"/>
      <c r="E39" s="16">
        <v>500000</v>
      </c>
      <c r="F39" s="16">
        <v>66650</v>
      </c>
      <c r="G39" s="331">
        <f t="shared" ref="G39:G45" si="6">SUM(E39:F39)</f>
        <v>566650</v>
      </c>
      <c r="H39" s="34">
        <v>11333</v>
      </c>
      <c r="I39" s="247">
        <v>50</v>
      </c>
      <c r="J39" s="323">
        <v>6</v>
      </c>
      <c r="K39" s="16">
        <f t="shared" si="3"/>
        <v>67998</v>
      </c>
      <c r="L39" s="94">
        <f t="shared" si="4"/>
        <v>498652</v>
      </c>
      <c r="M39" s="159">
        <f t="shared" si="5"/>
        <v>44</v>
      </c>
      <c r="N39" s="159"/>
      <c r="O39" s="159"/>
      <c r="P39" s="8"/>
    </row>
    <row r="40" spans="1:16" s="114" customFormat="1">
      <c r="A40" s="292" t="s">
        <v>526</v>
      </c>
      <c r="B40" s="243">
        <v>35</v>
      </c>
      <c r="C40" s="11" t="s">
        <v>112</v>
      </c>
      <c r="D40" s="11"/>
      <c r="E40" s="16">
        <v>330000</v>
      </c>
      <c r="F40" s="16">
        <v>43989</v>
      </c>
      <c r="G40" s="331">
        <f t="shared" si="6"/>
        <v>373989</v>
      </c>
      <c r="H40" s="146">
        <v>7479.78</v>
      </c>
      <c r="I40" s="247">
        <v>50</v>
      </c>
      <c r="J40" s="97">
        <v>47</v>
      </c>
      <c r="K40" s="91">
        <f t="shared" si="3"/>
        <v>351549.66</v>
      </c>
      <c r="L40" s="94">
        <f t="shared" si="4"/>
        <v>22439.340000000026</v>
      </c>
      <c r="M40" s="159">
        <f t="shared" si="5"/>
        <v>3</v>
      </c>
      <c r="N40" s="159"/>
      <c r="O40" s="97"/>
      <c r="P40" s="11"/>
    </row>
    <row r="41" spans="1:16" s="114" customFormat="1">
      <c r="A41" s="292" t="s">
        <v>609</v>
      </c>
      <c r="B41" s="243">
        <v>36</v>
      </c>
      <c r="C41" s="11" t="s">
        <v>321</v>
      </c>
      <c r="D41" s="11"/>
      <c r="E41" s="16">
        <v>500000</v>
      </c>
      <c r="F41" s="16">
        <v>66650</v>
      </c>
      <c r="G41" s="331">
        <f t="shared" si="6"/>
        <v>566650</v>
      </c>
      <c r="H41" s="318">
        <v>11333</v>
      </c>
      <c r="I41" s="247">
        <v>50</v>
      </c>
      <c r="J41" s="97">
        <v>46</v>
      </c>
      <c r="K41" s="91">
        <f t="shared" si="3"/>
        <v>521318</v>
      </c>
      <c r="L41" s="94">
        <f t="shared" si="4"/>
        <v>45332</v>
      </c>
      <c r="M41" s="159">
        <f t="shared" si="5"/>
        <v>4</v>
      </c>
      <c r="N41" s="159"/>
      <c r="O41" s="97"/>
      <c r="P41" s="11"/>
    </row>
    <row r="42" spans="1:16" s="114" customFormat="1">
      <c r="A42" s="292" t="s">
        <v>682</v>
      </c>
      <c r="B42" s="243">
        <v>37</v>
      </c>
      <c r="C42" s="11" t="s">
        <v>322</v>
      </c>
      <c r="D42" s="11"/>
      <c r="E42" s="16">
        <v>500000</v>
      </c>
      <c r="F42" s="16">
        <v>66650</v>
      </c>
      <c r="G42" s="331">
        <f t="shared" si="6"/>
        <v>566650</v>
      </c>
      <c r="H42" s="318">
        <v>11333</v>
      </c>
      <c r="I42" s="247">
        <v>50</v>
      </c>
      <c r="J42" s="97">
        <v>47</v>
      </c>
      <c r="K42" s="91">
        <f t="shared" si="3"/>
        <v>532651</v>
      </c>
      <c r="L42" s="94">
        <f t="shared" si="4"/>
        <v>33999</v>
      </c>
      <c r="M42" s="159">
        <f t="shared" si="5"/>
        <v>3</v>
      </c>
      <c r="N42" s="159"/>
      <c r="O42" s="97"/>
      <c r="P42" s="11"/>
    </row>
    <row r="43" spans="1:16" s="114" customFormat="1">
      <c r="A43" s="292" t="s">
        <v>542</v>
      </c>
      <c r="B43" s="243">
        <v>38</v>
      </c>
      <c r="C43" s="11" t="s">
        <v>323</v>
      </c>
      <c r="D43" s="11"/>
      <c r="E43" s="16">
        <v>500000</v>
      </c>
      <c r="F43" s="16">
        <v>66650</v>
      </c>
      <c r="G43" s="331">
        <f t="shared" si="6"/>
        <v>566650</v>
      </c>
      <c r="H43" s="318">
        <v>11333</v>
      </c>
      <c r="I43" s="247">
        <v>50</v>
      </c>
      <c r="J43" s="97">
        <v>46</v>
      </c>
      <c r="K43" s="91">
        <f t="shared" si="3"/>
        <v>521318</v>
      </c>
      <c r="L43" s="94">
        <f t="shared" si="4"/>
        <v>45332</v>
      </c>
      <c r="M43" s="159">
        <f t="shared" si="5"/>
        <v>4</v>
      </c>
      <c r="N43" s="159"/>
      <c r="O43" s="97"/>
      <c r="P43" s="11"/>
    </row>
    <row r="44" spans="1:16" s="114" customFormat="1">
      <c r="A44" s="293" t="s">
        <v>1166</v>
      </c>
      <c r="B44" s="243">
        <v>39</v>
      </c>
      <c r="C44" s="11" t="s">
        <v>1119</v>
      </c>
      <c r="D44" s="11"/>
      <c r="E44" s="16">
        <v>500000</v>
      </c>
      <c r="F44" s="16">
        <v>66650</v>
      </c>
      <c r="G44" s="331">
        <f t="shared" si="6"/>
        <v>566650</v>
      </c>
      <c r="H44" s="327">
        <v>11333</v>
      </c>
      <c r="I44" s="247">
        <v>50</v>
      </c>
      <c r="J44" s="96">
        <v>9</v>
      </c>
      <c r="K44" s="91">
        <f t="shared" si="3"/>
        <v>101997</v>
      </c>
      <c r="L44" s="94">
        <f t="shared" si="4"/>
        <v>464653</v>
      </c>
      <c r="M44" s="159">
        <f t="shared" si="5"/>
        <v>41</v>
      </c>
      <c r="N44" s="159"/>
      <c r="O44" s="97"/>
      <c r="P44" s="11"/>
    </row>
    <row r="45" spans="1:16" s="114" customFormat="1">
      <c r="A45" s="1" t="s">
        <v>1152</v>
      </c>
      <c r="B45" s="243">
        <v>40</v>
      </c>
      <c r="C45" s="11" t="s">
        <v>1294</v>
      </c>
      <c r="D45" s="1"/>
      <c r="E45" s="16">
        <v>500000</v>
      </c>
      <c r="F45" s="16">
        <v>66650</v>
      </c>
      <c r="G45" s="331">
        <f t="shared" si="6"/>
        <v>566650</v>
      </c>
      <c r="H45" s="34">
        <v>11333</v>
      </c>
      <c r="I45" s="247">
        <v>50</v>
      </c>
      <c r="J45" s="323">
        <v>6</v>
      </c>
      <c r="K45" s="16">
        <f t="shared" si="3"/>
        <v>67998</v>
      </c>
      <c r="L45" s="94">
        <f t="shared" si="4"/>
        <v>498652</v>
      </c>
      <c r="M45" s="159">
        <f t="shared" si="5"/>
        <v>44</v>
      </c>
      <c r="N45" s="159"/>
      <c r="O45" s="159"/>
      <c r="P45" s="8"/>
    </row>
    <row r="46" spans="1:16" s="114" customFormat="1">
      <c r="A46" s="293" t="s">
        <v>893</v>
      </c>
      <c r="B46" s="243">
        <v>41</v>
      </c>
      <c r="C46" s="123" t="s">
        <v>859</v>
      </c>
      <c r="D46" s="123"/>
      <c r="E46" s="19">
        <v>450000</v>
      </c>
      <c r="F46" s="19">
        <v>59985</v>
      </c>
      <c r="G46" s="329">
        <v>509985</v>
      </c>
      <c r="H46" s="327">
        <v>10199.700000000001</v>
      </c>
      <c r="I46" s="247">
        <v>50</v>
      </c>
      <c r="J46" s="159">
        <v>16</v>
      </c>
      <c r="K46" s="16">
        <f t="shared" si="3"/>
        <v>163195.20000000001</v>
      </c>
      <c r="L46" s="94">
        <f t="shared" si="4"/>
        <v>346789.8</v>
      </c>
      <c r="M46" s="159">
        <f t="shared" si="5"/>
        <v>34</v>
      </c>
      <c r="N46" s="159"/>
      <c r="O46" s="159"/>
      <c r="P46" s="11"/>
    </row>
    <row r="47" spans="1:16" s="114" customFormat="1">
      <c r="A47" s="293" t="s">
        <v>1160</v>
      </c>
      <c r="B47" s="243">
        <v>42</v>
      </c>
      <c r="C47" s="123" t="s">
        <v>465</v>
      </c>
      <c r="D47" s="123"/>
      <c r="E47" s="19">
        <v>450000</v>
      </c>
      <c r="F47" s="19">
        <v>59985</v>
      </c>
      <c r="G47" s="329">
        <v>509985</v>
      </c>
      <c r="H47" s="327">
        <v>10199.700000000001</v>
      </c>
      <c r="I47" s="247">
        <v>50</v>
      </c>
      <c r="J47" s="159">
        <v>8</v>
      </c>
      <c r="K47" s="16">
        <f t="shared" si="3"/>
        <v>81597.600000000006</v>
      </c>
      <c r="L47" s="94">
        <f t="shared" si="4"/>
        <v>428387.4</v>
      </c>
      <c r="M47" s="159">
        <f t="shared" si="5"/>
        <v>42</v>
      </c>
      <c r="N47" s="159"/>
      <c r="O47" s="159"/>
      <c r="P47" s="11"/>
    </row>
    <row r="48" spans="1:16" s="114" customFormat="1">
      <c r="A48" s="293" t="s">
        <v>1190</v>
      </c>
      <c r="B48" s="243">
        <v>43</v>
      </c>
      <c r="C48" s="123" t="s">
        <v>1124</v>
      </c>
      <c r="D48" s="123"/>
      <c r="E48" s="16">
        <v>500000</v>
      </c>
      <c r="F48" s="16">
        <v>66650</v>
      </c>
      <c r="G48" s="331">
        <f>SUM(E48:F48)</f>
        <v>566650</v>
      </c>
      <c r="H48" s="327">
        <v>11333</v>
      </c>
      <c r="I48" s="247">
        <v>50</v>
      </c>
      <c r="J48" s="159">
        <v>8</v>
      </c>
      <c r="K48" s="16">
        <f t="shared" si="3"/>
        <v>90664</v>
      </c>
      <c r="L48" s="94">
        <f t="shared" si="4"/>
        <v>475986</v>
      </c>
      <c r="M48" s="159">
        <f t="shared" si="5"/>
        <v>42</v>
      </c>
      <c r="N48" s="159"/>
      <c r="O48" s="159"/>
      <c r="P48" s="11"/>
    </row>
    <row r="49" spans="1:16" s="114" customFormat="1">
      <c r="A49" s="292" t="s">
        <v>715</v>
      </c>
      <c r="B49" s="243">
        <v>44</v>
      </c>
      <c r="C49" s="11" t="s">
        <v>489</v>
      </c>
      <c r="D49" s="11"/>
      <c r="E49" s="19">
        <v>450000</v>
      </c>
      <c r="F49" s="19">
        <v>59985</v>
      </c>
      <c r="G49" s="329">
        <v>509985</v>
      </c>
      <c r="H49" s="318">
        <v>10199.700000000001</v>
      </c>
      <c r="I49" s="247">
        <v>50</v>
      </c>
      <c r="J49" s="101">
        <v>21</v>
      </c>
      <c r="K49" s="91">
        <f t="shared" si="3"/>
        <v>214193.7</v>
      </c>
      <c r="L49" s="94">
        <f t="shared" si="4"/>
        <v>295791.3</v>
      </c>
      <c r="M49" s="159">
        <f t="shared" si="5"/>
        <v>29</v>
      </c>
      <c r="N49" s="159"/>
      <c r="O49" s="97"/>
      <c r="P49" s="8"/>
    </row>
    <row r="50" spans="1:16" s="114" customFormat="1">
      <c r="A50" s="292" t="s">
        <v>724</v>
      </c>
      <c r="B50" s="243">
        <v>45</v>
      </c>
      <c r="C50" s="11" t="s">
        <v>326</v>
      </c>
      <c r="D50" s="11"/>
      <c r="E50" s="19">
        <v>500000</v>
      </c>
      <c r="F50" s="19">
        <v>66650</v>
      </c>
      <c r="G50" s="329">
        <v>566650</v>
      </c>
      <c r="H50" s="318">
        <v>11333</v>
      </c>
      <c r="I50" s="247">
        <v>50</v>
      </c>
      <c r="J50" s="97">
        <v>32</v>
      </c>
      <c r="K50" s="91">
        <f t="shared" si="3"/>
        <v>362656</v>
      </c>
      <c r="L50" s="91">
        <f t="shared" si="4"/>
        <v>203994</v>
      </c>
      <c r="M50" s="159">
        <f t="shared" si="5"/>
        <v>18</v>
      </c>
      <c r="N50" s="159"/>
      <c r="O50" s="97"/>
      <c r="P50" s="11"/>
    </row>
    <row r="51" spans="1:16" s="114" customFormat="1">
      <c r="A51" s="293" t="s">
        <v>887</v>
      </c>
      <c r="B51" s="243">
        <v>46</v>
      </c>
      <c r="C51" s="123" t="s">
        <v>863</v>
      </c>
      <c r="D51" s="123"/>
      <c r="E51" s="16">
        <v>500000</v>
      </c>
      <c r="F51" s="16">
        <v>66650</v>
      </c>
      <c r="G51" s="331">
        <f>SUM(E51:F51)</f>
        <v>566650</v>
      </c>
      <c r="H51" s="327">
        <v>11333</v>
      </c>
      <c r="I51" s="247">
        <v>50</v>
      </c>
      <c r="J51" s="159">
        <v>16</v>
      </c>
      <c r="K51" s="16">
        <f t="shared" si="3"/>
        <v>181328</v>
      </c>
      <c r="L51" s="94">
        <f t="shared" si="4"/>
        <v>385322</v>
      </c>
      <c r="M51" s="159">
        <f t="shared" si="5"/>
        <v>34</v>
      </c>
      <c r="N51" s="159"/>
      <c r="O51" s="159"/>
      <c r="P51" s="11"/>
    </row>
    <row r="52" spans="1:16" s="114" customFormat="1">
      <c r="A52" s="293" t="s">
        <v>894</v>
      </c>
      <c r="B52" s="243">
        <v>47</v>
      </c>
      <c r="C52" s="123" t="s">
        <v>856</v>
      </c>
      <c r="D52" s="123"/>
      <c r="E52" s="19">
        <v>450000</v>
      </c>
      <c r="F52" s="19">
        <v>59985</v>
      </c>
      <c r="G52" s="329">
        <v>509985</v>
      </c>
      <c r="H52" s="327">
        <v>10199.700000000001</v>
      </c>
      <c r="I52" s="247">
        <v>50</v>
      </c>
      <c r="J52" s="159">
        <v>16</v>
      </c>
      <c r="K52" s="16">
        <f t="shared" si="3"/>
        <v>163195.20000000001</v>
      </c>
      <c r="L52" s="94">
        <f t="shared" si="4"/>
        <v>346789.8</v>
      </c>
      <c r="M52" s="159">
        <f t="shared" si="5"/>
        <v>34</v>
      </c>
      <c r="N52" s="159"/>
      <c r="O52" s="159"/>
      <c r="P52" s="122"/>
    </row>
    <row r="53" spans="1:16" s="114" customFormat="1">
      <c r="A53" s="122" t="s">
        <v>1253</v>
      </c>
      <c r="B53" s="243">
        <v>48</v>
      </c>
      <c r="C53" s="11" t="s">
        <v>451</v>
      </c>
      <c r="D53" s="122"/>
      <c r="E53" s="16">
        <v>500000</v>
      </c>
      <c r="F53" s="16">
        <v>66650</v>
      </c>
      <c r="G53" s="331">
        <f>SUM(E53:F53)</f>
        <v>566650</v>
      </c>
      <c r="H53" s="16">
        <v>11333</v>
      </c>
      <c r="I53" s="247">
        <v>50</v>
      </c>
      <c r="J53" s="188">
        <v>6</v>
      </c>
      <c r="K53" s="16">
        <f t="shared" si="3"/>
        <v>67998</v>
      </c>
      <c r="L53" s="94">
        <f t="shared" si="4"/>
        <v>498652</v>
      </c>
      <c r="M53" s="159">
        <f t="shared" si="5"/>
        <v>44</v>
      </c>
      <c r="N53" s="159"/>
      <c r="O53" s="159"/>
      <c r="P53" s="11"/>
    </row>
    <row r="54" spans="1:16" s="114" customFormat="1">
      <c r="A54" s="292" t="s">
        <v>619</v>
      </c>
      <c r="B54" s="243">
        <v>49</v>
      </c>
      <c r="C54" s="11" t="s">
        <v>327</v>
      </c>
      <c r="D54" s="11"/>
      <c r="E54" s="16">
        <v>500000</v>
      </c>
      <c r="F54" s="16">
        <v>66650</v>
      </c>
      <c r="G54" s="330">
        <v>566650</v>
      </c>
      <c r="H54" s="318">
        <v>11333</v>
      </c>
      <c r="I54" s="247">
        <v>50</v>
      </c>
      <c r="J54" s="97">
        <v>47</v>
      </c>
      <c r="K54" s="91">
        <f t="shared" si="3"/>
        <v>532651</v>
      </c>
      <c r="L54" s="94">
        <f t="shared" si="4"/>
        <v>33999</v>
      </c>
      <c r="M54" s="159">
        <f t="shared" si="5"/>
        <v>3</v>
      </c>
      <c r="N54" s="159"/>
      <c r="O54" s="97"/>
      <c r="P54" s="11"/>
    </row>
    <row r="55" spans="1:16" s="114" customFormat="1">
      <c r="A55" s="294" t="s">
        <v>663</v>
      </c>
      <c r="B55" s="243">
        <v>50</v>
      </c>
      <c r="C55" s="11" t="s">
        <v>854</v>
      </c>
      <c r="D55" s="11"/>
      <c r="E55" s="19">
        <v>330000</v>
      </c>
      <c r="F55" s="19">
        <v>43989</v>
      </c>
      <c r="G55" s="329">
        <f>SUM(E55:F55)</f>
        <v>373989</v>
      </c>
      <c r="H55" s="327">
        <v>7479.78</v>
      </c>
      <c r="I55" s="247">
        <v>50</v>
      </c>
      <c r="J55" s="159">
        <v>14</v>
      </c>
      <c r="K55" s="91">
        <f t="shared" si="3"/>
        <v>104716.92</v>
      </c>
      <c r="L55" s="94">
        <f t="shared" si="4"/>
        <v>269272.08</v>
      </c>
      <c r="M55" s="159">
        <f t="shared" si="5"/>
        <v>36</v>
      </c>
      <c r="N55" s="159"/>
      <c r="O55" s="97"/>
      <c r="P55" s="122"/>
    </row>
    <row r="56" spans="1:16" s="114" customFormat="1">
      <c r="A56" s="292" t="s">
        <v>664</v>
      </c>
      <c r="B56" s="243">
        <v>51</v>
      </c>
      <c r="C56" s="11" t="s">
        <v>294</v>
      </c>
      <c r="D56" s="11"/>
      <c r="E56" s="19">
        <v>330000</v>
      </c>
      <c r="F56" s="19">
        <v>43989</v>
      </c>
      <c r="G56" s="329">
        <f>SUM(E56:F56)</f>
        <v>373989</v>
      </c>
      <c r="H56" s="252">
        <v>7479.78</v>
      </c>
      <c r="I56" s="247">
        <v>50</v>
      </c>
      <c r="J56" s="101">
        <v>21</v>
      </c>
      <c r="K56" s="91">
        <f t="shared" si="3"/>
        <v>157075.38</v>
      </c>
      <c r="L56" s="94">
        <f t="shared" si="4"/>
        <v>216913.62</v>
      </c>
      <c r="M56" s="159">
        <f t="shared" si="5"/>
        <v>29</v>
      </c>
      <c r="N56" s="159"/>
      <c r="O56" s="97"/>
      <c r="P56" s="11"/>
    </row>
    <row r="57" spans="1:16" s="114" customFormat="1">
      <c r="A57" s="122" t="s">
        <v>1174</v>
      </c>
      <c r="B57" s="243">
        <v>52</v>
      </c>
      <c r="C57" s="11" t="s">
        <v>433</v>
      </c>
      <c r="D57" s="122"/>
      <c r="E57" s="16">
        <v>500000</v>
      </c>
      <c r="F57" s="16">
        <v>66650</v>
      </c>
      <c r="G57" s="331">
        <f>SUM(E57:F57)</f>
        <v>566650</v>
      </c>
      <c r="H57" s="16">
        <v>11333</v>
      </c>
      <c r="I57" s="247">
        <v>50</v>
      </c>
      <c r="J57" s="188">
        <v>6</v>
      </c>
      <c r="K57" s="16">
        <f t="shared" si="3"/>
        <v>67998</v>
      </c>
      <c r="L57" s="94">
        <f t="shared" si="4"/>
        <v>498652</v>
      </c>
      <c r="M57" s="159">
        <f t="shared" si="5"/>
        <v>44</v>
      </c>
      <c r="N57" s="159"/>
      <c r="O57" s="159"/>
      <c r="P57" s="11"/>
    </row>
    <row r="58" spans="1:16" s="114" customFormat="1">
      <c r="A58" s="293" t="s">
        <v>896</v>
      </c>
      <c r="B58" s="243">
        <v>53</v>
      </c>
      <c r="C58" s="123" t="s">
        <v>873</v>
      </c>
      <c r="D58" s="123"/>
      <c r="E58" s="19">
        <v>450000</v>
      </c>
      <c r="F58" s="19">
        <v>59985</v>
      </c>
      <c r="G58" s="329">
        <v>509985</v>
      </c>
      <c r="H58" s="327">
        <v>10199.700000000001</v>
      </c>
      <c r="I58" s="247">
        <v>50</v>
      </c>
      <c r="J58" s="159">
        <v>16</v>
      </c>
      <c r="K58" s="16">
        <f t="shared" si="3"/>
        <v>163195.20000000001</v>
      </c>
      <c r="L58" s="94">
        <f t="shared" si="4"/>
        <v>346789.8</v>
      </c>
      <c r="M58" s="159">
        <f t="shared" si="5"/>
        <v>34</v>
      </c>
      <c r="N58" s="159"/>
      <c r="O58" s="159"/>
      <c r="P58" s="11"/>
    </row>
    <row r="59" spans="1:16" s="114" customFormat="1">
      <c r="A59" s="292" t="s">
        <v>516</v>
      </c>
      <c r="B59" s="243">
        <v>54</v>
      </c>
      <c r="C59" s="11" t="s">
        <v>328</v>
      </c>
      <c r="D59" s="11"/>
      <c r="E59" s="16">
        <v>500000</v>
      </c>
      <c r="F59" s="16">
        <v>66650</v>
      </c>
      <c r="G59" s="331">
        <f>SUM(E59:F59)</f>
        <v>566650</v>
      </c>
      <c r="H59" s="146">
        <v>11333</v>
      </c>
      <c r="I59" s="247">
        <v>50</v>
      </c>
      <c r="J59" s="97">
        <v>47</v>
      </c>
      <c r="K59" s="91">
        <f t="shared" si="3"/>
        <v>532651</v>
      </c>
      <c r="L59" s="94">
        <f t="shared" si="4"/>
        <v>33999</v>
      </c>
      <c r="M59" s="159">
        <f t="shared" si="5"/>
        <v>3</v>
      </c>
      <c r="N59" s="159"/>
      <c r="O59" s="97"/>
      <c r="P59" s="11"/>
    </row>
    <row r="60" spans="1:16" s="114" customFormat="1">
      <c r="A60" s="293" t="s">
        <v>1249</v>
      </c>
      <c r="B60" s="243">
        <v>55</v>
      </c>
      <c r="C60" s="11" t="s">
        <v>1289</v>
      </c>
      <c r="D60" s="11"/>
      <c r="E60" s="19">
        <v>330000</v>
      </c>
      <c r="F60" s="19">
        <v>43989</v>
      </c>
      <c r="G60" s="329">
        <f>SUM(E60:F60)</f>
        <v>373989</v>
      </c>
      <c r="H60" s="327">
        <v>7479.78</v>
      </c>
      <c r="I60" s="247">
        <v>50</v>
      </c>
      <c r="J60" s="96">
        <v>9</v>
      </c>
      <c r="K60" s="91">
        <f t="shared" si="3"/>
        <v>67318.02</v>
      </c>
      <c r="L60" s="94">
        <f t="shared" si="4"/>
        <v>306670.98</v>
      </c>
      <c r="M60" s="159">
        <f t="shared" si="5"/>
        <v>41</v>
      </c>
      <c r="N60" s="159"/>
      <c r="O60" s="97"/>
      <c r="P60" s="11"/>
    </row>
    <row r="61" spans="1:16" s="114" customFormat="1">
      <c r="A61" s="295" t="s">
        <v>937</v>
      </c>
      <c r="B61" s="243">
        <v>56</v>
      </c>
      <c r="C61" s="11" t="s">
        <v>453</v>
      </c>
      <c r="D61" s="8"/>
      <c r="E61" s="19">
        <v>150000</v>
      </c>
      <c r="F61" s="19">
        <v>19995</v>
      </c>
      <c r="G61" s="329">
        <f>SUM(E61:F61)</f>
        <v>169995</v>
      </c>
      <c r="H61" s="319">
        <v>3399.9</v>
      </c>
      <c r="I61" s="247">
        <v>50</v>
      </c>
      <c r="J61" s="159">
        <v>13</v>
      </c>
      <c r="K61" s="16">
        <f t="shared" si="3"/>
        <v>44198.700000000004</v>
      </c>
      <c r="L61" s="94">
        <f t="shared" si="4"/>
        <v>125796.29999999999</v>
      </c>
      <c r="M61" s="159">
        <f t="shared" si="5"/>
        <v>37</v>
      </c>
      <c r="N61" s="159"/>
      <c r="O61" s="159"/>
      <c r="P61" s="11"/>
    </row>
    <row r="62" spans="1:16" s="114" customFormat="1">
      <c r="A62" s="292" t="s">
        <v>717</v>
      </c>
      <c r="B62" s="243">
        <v>57</v>
      </c>
      <c r="C62" s="11" t="s">
        <v>286</v>
      </c>
      <c r="D62" s="11"/>
      <c r="E62" s="16">
        <v>450000</v>
      </c>
      <c r="F62" s="16">
        <v>59985</v>
      </c>
      <c r="G62" s="330">
        <v>509985</v>
      </c>
      <c r="H62" s="318">
        <v>10199.700000000001</v>
      </c>
      <c r="I62" s="247">
        <v>50</v>
      </c>
      <c r="J62" s="97">
        <v>35</v>
      </c>
      <c r="K62" s="91">
        <f t="shared" si="3"/>
        <v>356989.5</v>
      </c>
      <c r="L62" s="94">
        <f t="shared" si="4"/>
        <v>152995.5</v>
      </c>
      <c r="M62" s="159">
        <f t="shared" si="5"/>
        <v>15</v>
      </c>
      <c r="N62" s="159"/>
      <c r="O62" s="97"/>
      <c r="P62" s="122"/>
    </row>
    <row r="63" spans="1:16" s="114" customFormat="1">
      <c r="A63" s="292" t="s">
        <v>698</v>
      </c>
      <c r="B63" s="243">
        <v>58</v>
      </c>
      <c r="C63" s="11" t="s">
        <v>332</v>
      </c>
      <c r="D63" s="11"/>
      <c r="E63" s="19">
        <v>500000</v>
      </c>
      <c r="F63" s="19">
        <v>66650</v>
      </c>
      <c r="G63" s="329">
        <v>566650</v>
      </c>
      <c r="H63" s="318">
        <v>11333</v>
      </c>
      <c r="I63" s="247">
        <v>50</v>
      </c>
      <c r="J63" s="97">
        <v>33</v>
      </c>
      <c r="K63" s="91">
        <f t="shared" si="3"/>
        <v>373989</v>
      </c>
      <c r="L63" s="91">
        <f t="shared" si="4"/>
        <v>192661</v>
      </c>
      <c r="M63" s="159">
        <f t="shared" si="5"/>
        <v>17</v>
      </c>
      <c r="N63" s="159"/>
      <c r="O63" s="97"/>
      <c r="P63" s="11"/>
    </row>
    <row r="64" spans="1:16" s="114" customFormat="1">
      <c r="A64" s="293" t="s">
        <v>1162</v>
      </c>
      <c r="B64" s="243">
        <v>59</v>
      </c>
      <c r="C64" s="123" t="s">
        <v>1117</v>
      </c>
      <c r="D64" s="123"/>
      <c r="E64" s="16">
        <v>500000</v>
      </c>
      <c r="F64" s="16">
        <v>66650</v>
      </c>
      <c r="G64" s="331">
        <f>SUM(E64:F64)</f>
        <v>566650</v>
      </c>
      <c r="H64" s="327">
        <v>11333</v>
      </c>
      <c r="I64" s="247">
        <v>50</v>
      </c>
      <c r="J64" s="159">
        <v>8</v>
      </c>
      <c r="K64" s="16">
        <f t="shared" si="3"/>
        <v>90664</v>
      </c>
      <c r="L64" s="94">
        <f t="shared" si="4"/>
        <v>475986</v>
      </c>
      <c r="M64" s="159">
        <f t="shared" si="5"/>
        <v>42</v>
      </c>
      <c r="N64" s="159"/>
      <c r="O64" s="159"/>
      <c r="P64" s="11"/>
    </row>
    <row r="65" spans="1:16" s="114" customFormat="1">
      <c r="A65" s="292" t="s">
        <v>702</v>
      </c>
      <c r="B65" s="243">
        <v>60</v>
      </c>
      <c r="C65" s="11" t="s">
        <v>364</v>
      </c>
      <c r="D65" s="11"/>
      <c r="E65" s="16">
        <v>450000</v>
      </c>
      <c r="F65" s="16">
        <v>59985</v>
      </c>
      <c r="G65" s="330">
        <v>509985</v>
      </c>
      <c r="H65" s="318">
        <v>10199.700000000001</v>
      </c>
      <c r="I65" s="247">
        <v>50</v>
      </c>
      <c r="J65" s="97">
        <v>32</v>
      </c>
      <c r="K65" s="91">
        <f t="shared" si="3"/>
        <v>326390.40000000002</v>
      </c>
      <c r="L65" s="91">
        <f t="shared" si="4"/>
        <v>183594.59999999998</v>
      </c>
      <c r="M65" s="159">
        <f t="shared" si="5"/>
        <v>18</v>
      </c>
      <c r="N65" s="159"/>
      <c r="O65" s="97"/>
      <c r="P65" s="11"/>
    </row>
    <row r="66" spans="1:16" s="114" customFormat="1">
      <c r="A66" s="292" t="s">
        <v>676</v>
      </c>
      <c r="B66" s="243">
        <v>61</v>
      </c>
      <c r="C66" s="11" t="s">
        <v>425</v>
      </c>
      <c r="D66" s="11"/>
      <c r="E66" s="19">
        <v>150000</v>
      </c>
      <c r="F66" s="19">
        <v>19995</v>
      </c>
      <c r="G66" s="329">
        <f>SUM(E66:F66)</f>
        <v>169995</v>
      </c>
      <c r="H66" s="318">
        <v>3399.9</v>
      </c>
      <c r="I66" s="247">
        <v>50</v>
      </c>
      <c r="J66" s="97">
        <v>33</v>
      </c>
      <c r="K66" s="91">
        <f t="shared" ref="K66:K96" si="7">J66*H66</f>
        <v>112196.7</v>
      </c>
      <c r="L66" s="91">
        <f t="shared" si="4"/>
        <v>57798.3</v>
      </c>
      <c r="M66" s="159">
        <f t="shared" si="5"/>
        <v>17</v>
      </c>
      <c r="N66" s="159"/>
      <c r="O66" s="97"/>
      <c r="P66" s="11"/>
    </row>
    <row r="67" spans="1:16" s="114" customFormat="1">
      <c r="A67" s="293" t="s">
        <v>1241</v>
      </c>
      <c r="B67" s="243">
        <v>62</v>
      </c>
      <c r="C67" s="123" t="s">
        <v>450</v>
      </c>
      <c r="D67" s="123"/>
      <c r="E67" s="19">
        <v>450000</v>
      </c>
      <c r="F67" s="19">
        <v>59985</v>
      </c>
      <c r="G67" s="329">
        <v>509985</v>
      </c>
      <c r="H67" s="327">
        <v>10199.700000000001</v>
      </c>
      <c r="I67" s="247">
        <v>50</v>
      </c>
      <c r="J67" s="159">
        <v>8</v>
      </c>
      <c r="K67" s="16">
        <f t="shared" si="7"/>
        <v>81597.600000000006</v>
      </c>
      <c r="L67" s="94">
        <f t="shared" si="4"/>
        <v>428387.4</v>
      </c>
      <c r="M67" s="159">
        <f t="shared" si="5"/>
        <v>42</v>
      </c>
      <c r="N67" s="159"/>
      <c r="O67" s="159"/>
      <c r="P67" s="11"/>
    </row>
    <row r="68" spans="1:16" s="114" customFormat="1">
      <c r="A68" s="1" t="s">
        <v>1168</v>
      </c>
      <c r="B68" s="243">
        <v>63</v>
      </c>
      <c r="C68" s="11" t="s">
        <v>1297</v>
      </c>
      <c r="D68" s="1"/>
      <c r="E68" s="19">
        <v>330000</v>
      </c>
      <c r="F68" s="19">
        <v>43989</v>
      </c>
      <c r="G68" s="329">
        <f>SUM(E68:F68)</f>
        <v>373989</v>
      </c>
      <c r="H68" s="34">
        <v>7479.78</v>
      </c>
      <c r="I68" s="247">
        <v>50</v>
      </c>
      <c r="J68" s="323">
        <v>6</v>
      </c>
      <c r="K68" s="16">
        <f t="shared" si="7"/>
        <v>44878.68</v>
      </c>
      <c r="L68" s="94">
        <f t="shared" si="4"/>
        <v>329110.32</v>
      </c>
      <c r="M68" s="159">
        <f t="shared" si="5"/>
        <v>44</v>
      </c>
      <c r="N68" s="159"/>
      <c r="O68" s="159"/>
      <c r="P68" s="11"/>
    </row>
    <row r="69" spans="1:16" s="114" customFormat="1">
      <c r="A69" s="292" t="s">
        <v>522</v>
      </c>
      <c r="B69" s="243">
        <v>64</v>
      </c>
      <c r="C69" s="11" t="s">
        <v>334</v>
      </c>
      <c r="D69" s="11"/>
      <c r="E69" s="19">
        <v>500000</v>
      </c>
      <c r="F69" s="19">
        <v>66650</v>
      </c>
      <c r="G69" s="329">
        <v>566650</v>
      </c>
      <c r="H69" s="318">
        <v>11333</v>
      </c>
      <c r="I69" s="247">
        <v>50</v>
      </c>
      <c r="J69" s="97">
        <v>33</v>
      </c>
      <c r="K69" s="91">
        <f t="shared" si="7"/>
        <v>373989</v>
      </c>
      <c r="L69" s="91">
        <f t="shared" si="4"/>
        <v>192661</v>
      </c>
      <c r="M69" s="159">
        <f t="shared" si="5"/>
        <v>17</v>
      </c>
      <c r="N69" s="159"/>
      <c r="O69" s="97"/>
      <c r="P69" s="11"/>
    </row>
    <row r="70" spans="1:16" s="114" customFormat="1">
      <c r="A70" s="292" t="s">
        <v>666</v>
      </c>
      <c r="B70" s="243">
        <v>65</v>
      </c>
      <c r="C70" s="11" t="s">
        <v>494</v>
      </c>
      <c r="D70" s="11"/>
      <c r="E70" s="19">
        <v>150000</v>
      </c>
      <c r="F70" s="19">
        <v>19995</v>
      </c>
      <c r="G70" s="329">
        <f>SUM(E70:F70)</f>
        <v>169995</v>
      </c>
      <c r="H70" s="318">
        <v>3339.9</v>
      </c>
      <c r="I70" s="247">
        <v>50</v>
      </c>
      <c r="J70" s="159">
        <v>19</v>
      </c>
      <c r="K70" s="91">
        <f t="shared" si="7"/>
        <v>63458.1</v>
      </c>
      <c r="L70" s="94">
        <f t="shared" ref="L70:L101" si="8">G70-K70</f>
        <v>106536.9</v>
      </c>
      <c r="M70" s="159">
        <f t="shared" ref="M70:M101" si="9">I70-J70</f>
        <v>31</v>
      </c>
      <c r="N70" s="159"/>
      <c r="O70" s="97"/>
      <c r="P70" s="11"/>
    </row>
    <row r="71" spans="1:16" s="114" customFormat="1">
      <c r="A71" s="293" t="s">
        <v>902</v>
      </c>
      <c r="B71" s="243">
        <v>66</v>
      </c>
      <c r="C71" s="123" t="s">
        <v>732</v>
      </c>
      <c r="D71" s="123"/>
      <c r="E71" s="19">
        <v>150000</v>
      </c>
      <c r="F71" s="19">
        <v>19995</v>
      </c>
      <c r="G71" s="329">
        <f>SUM(E71:F71)</f>
        <v>169995</v>
      </c>
      <c r="H71" s="327">
        <v>3399.9</v>
      </c>
      <c r="I71" s="247">
        <v>50</v>
      </c>
      <c r="J71" s="159">
        <v>16</v>
      </c>
      <c r="K71" s="16">
        <f t="shared" si="7"/>
        <v>54398.400000000001</v>
      </c>
      <c r="L71" s="94">
        <f t="shared" si="8"/>
        <v>115596.6</v>
      </c>
      <c r="M71" s="159">
        <f t="shared" si="9"/>
        <v>34</v>
      </c>
      <c r="N71" s="159"/>
      <c r="O71" s="159"/>
      <c r="P71" s="11"/>
    </row>
    <row r="72" spans="1:16" s="114" customFormat="1">
      <c r="A72" s="293" t="s">
        <v>1231</v>
      </c>
      <c r="B72" s="243">
        <v>67</v>
      </c>
      <c r="C72" s="123" t="s">
        <v>1138</v>
      </c>
      <c r="D72" s="123"/>
      <c r="E72" s="19">
        <v>450000</v>
      </c>
      <c r="F72" s="19">
        <v>59985</v>
      </c>
      <c r="G72" s="329">
        <v>509985</v>
      </c>
      <c r="H72" s="327">
        <v>10199.700000000001</v>
      </c>
      <c r="I72" s="247">
        <v>50</v>
      </c>
      <c r="J72" s="159">
        <v>8</v>
      </c>
      <c r="K72" s="16">
        <f t="shared" si="7"/>
        <v>81597.600000000006</v>
      </c>
      <c r="L72" s="94">
        <f t="shared" si="8"/>
        <v>428387.4</v>
      </c>
      <c r="M72" s="159">
        <f t="shared" si="9"/>
        <v>42</v>
      </c>
      <c r="N72" s="159"/>
      <c r="O72" s="159"/>
      <c r="P72" s="11"/>
    </row>
    <row r="73" spans="1:16" s="114" customFormat="1">
      <c r="A73" s="292" t="s">
        <v>686</v>
      </c>
      <c r="B73" s="243">
        <v>68</v>
      </c>
      <c r="C73" s="11" t="s">
        <v>335</v>
      </c>
      <c r="D73" s="11"/>
      <c r="E73" s="16">
        <v>500000</v>
      </c>
      <c r="F73" s="16">
        <v>66650</v>
      </c>
      <c r="G73" s="331">
        <f>SUM(E73:F73)</f>
        <v>566650</v>
      </c>
      <c r="H73" s="318">
        <v>11333</v>
      </c>
      <c r="I73" s="247">
        <v>50</v>
      </c>
      <c r="J73" s="97">
        <v>46</v>
      </c>
      <c r="K73" s="91">
        <f t="shared" si="7"/>
        <v>521318</v>
      </c>
      <c r="L73" s="94">
        <f t="shared" si="8"/>
        <v>45332</v>
      </c>
      <c r="M73" s="159">
        <f t="shared" si="9"/>
        <v>4</v>
      </c>
      <c r="N73" s="159"/>
      <c r="O73" s="97"/>
      <c r="P73" s="8"/>
    </row>
    <row r="74" spans="1:16" s="114" customFormat="1">
      <c r="A74" s="293" t="s">
        <v>890</v>
      </c>
      <c r="B74" s="243">
        <v>69</v>
      </c>
      <c r="C74" s="123" t="s">
        <v>295</v>
      </c>
      <c r="D74" s="123"/>
      <c r="E74" s="16">
        <v>500000</v>
      </c>
      <c r="F74" s="16">
        <v>66650</v>
      </c>
      <c r="G74" s="331">
        <f>SUM(E74:F74)</f>
        <v>566650</v>
      </c>
      <c r="H74" s="327">
        <v>11333</v>
      </c>
      <c r="I74" s="247">
        <v>50</v>
      </c>
      <c r="J74" s="159">
        <v>16</v>
      </c>
      <c r="K74" s="16">
        <f t="shared" si="7"/>
        <v>181328</v>
      </c>
      <c r="L74" s="94">
        <f t="shared" si="8"/>
        <v>385322</v>
      </c>
      <c r="M74" s="159">
        <f t="shared" si="9"/>
        <v>34</v>
      </c>
      <c r="N74" s="159"/>
      <c r="O74" s="159"/>
      <c r="P74" s="11"/>
    </row>
    <row r="75" spans="1:16" s="114" customFormat="1">
      <c r="A75" s="292" t="s">
        <v>530</v>
      </c>
      <c r="B75" s="243">
        <v>70</v>
      </c>
      <c r="C75" s="11" t="s">
        <v>336</v>
      </c>
      <c r="D75" s="11"/>
      <c r="E75" s="16">
        <v>500000</v>
      </c>
      <c r="F75" s="16">
        <v>66650</v>
      </c>
      <c r="G75" s="330">
        <v>566650</v>
      </c>
      <c r="H75" s="318">
        <v>11333</v>
      </c>
      <c r="I75" s="247">
        <v>50</v>
      </c>
      <c r="J75" s="97">
        <v>46</v>
      </c>
      <c r="K75" s="91">
        <f t="shared" si="7"/>
        <v>521318</v>
      </c>
      <c r="L75" s="94">
        <f t="shared" si="8"/>
        <v>45332</v>
      </c>
      <c r="M75" s="159">
        <f t="shared" si="9"/>
        <v>4</v>
      </c>
      <c r="N75" s="159"/>
      <c r="O75" s="97"/>
      <c r="P75" s="11"/>
    </row>
    <row r="76" spans="1:16" s="114" customFormat="1">
      <c r="A76" s="292" t="s">
        <v>886</v>
      </c>
      <c r="B76" s="243">
        <v>71</v>
      </c>
      <c r="C76" s="11" t="s">
        <v>865</v>
      </c>
      <c r="D76" s="11"/>
      <c r="E76" s="16">
        <v>500000</v>
      </c>
      <c r="F76" s="16">
        <v>66650</v>
      </c>
      <c r="G76" s="331">
        <f>SUM(E76:F76)</f>
        <v>566650</v>
      </c>
      <c r="H76" s="318">
        <v>11333</v>
      </c>
      <c r="I76" s="247">
        <v>50</v>
      </c>
      <c r="J76" s="97">
        <v>47</v>
      </c>
      <c r="K76" s="91">
        <f t="shared" si="7"/>
        <v>532651</v>
      </c>
      <c r="L76" s="94">
        <f t="shared" si="8"/>
        <v>33999</v>
      </c>
      <c r="M76" s="159">
        <f t="shared" si="9"/>
        <v>3</v>
      </c>
      <c r="N76" s="159"/>
      <c r="O76" s="97"/>
      <c r="P76" s="11"/>
    </row>
    <row r="77" spans="1:16" s="114" customFormat="1">
      <c r="A77" s="292" t="s">
        <v>551</v>
      </c>
      <c r="B77" s="243">
        <v>72</v>
      </c>
      <c r="C77" s="11" t="s">
        <v>339</v>
      </c>
      <c r="D77" s="11"/>
      <c r="E77" s="19">
        <v>500000</v>
      </c>
      <c r="F77" s="19">
        <v>66650</v>
      </c>
      <c r="G77" s="329">
        <v>566650</v>
      </c>
      <c r="H77" s="318">
        <v>11333</v>
      </c>
      <c r="I77" s="247">
        <v>50</v>
      </c>
      <c r="J77" s="97">
        <v>33</v>
      </c>
      <c r="K77" s="91">
        <f t="shared" si="7"/>
        <v>373989</v>
      </c>
      <c r="L77" s="91">
        <f t="shared" si="8"/>
        <v>192661</v>
      </c>
      <c r="M77" s="159">
        <f t="shared" si="9"/>
        <v>17</v>
      </c>
      <c r="N77" s="159"/>
      <c r="O77" s="97"/>
      <c r="P77" s="11"/>
    </row>
    <row r="78" spans="1:16" s="114" customFormat="1">
      <c r="A78" s="292" t="s">
        <v>518</v>
      </c>
      <c r="B78" s="243">
        <v>73</v>
      </c>
      <c r="C78" s="11" t="s">
        <v>341</v>
      </c>
      <c r="D78" s="11"/>
      <c r="E78" s="19">
        <v>500000</v>
      </c>
      <c r="F78" s="19">
        <v>66650</v>
      </c>
      <c r="G78" s="329">
        <v>566650</v>
      </c>
      <c r="H78" s="318">
        <v>11333</v>
      </c>
      <c r="I78" s="247">
        <v>50</v>
      </c>
      <c r="J78" s="97">
        <v>33</v>
      </c>
      <c r="K78" s="91">
        <f t="shared" si="7"/>
        <v>373989</v>
      </c>
      <c r="L78" s="91">
        <f t="shared" si="8"/>
        <v>192661</v>
      </c>
      <c r="M78" s="159">
        <f t="shared" si="9"/>
        <v>17</v>
      </c>
      <c r="N78" s="159"/>
      <c r="O78" s="97"/>
      <c r="P78" s="11"/>
    </row>
    <row r="79" spans="1:16" s="114" customFormat="1">
      <c r="A79" s="122" t="s">
        <v>1194</v>
      </c>
      <c r="B79" s="243">
        <v>74</v>
      </c>
      <c r="C79" s="11" t="s">
        <v>448</v>
      </c>
      <c r="D79" s="122"/>
      <c r="E79" s="16">
        <v>500000</v>
      </c>
      <c r="F79" s="16">
        <v>66650</v>
      </c>
      <c r="G79" s="331">
        <f>SUM(E79:F79)</f>
        <v>566650</v>
      </c>
      <c r="H79" s="16">
        <v>11333</v>
      </c>
      <c r="I79" s="247">
        <v>50</v>
      </c>
      <c r="J79" s="188">
        <v>6</v>
      </c>
      <c r="K79" s="16">
        <f t="shared" si="7"/>
        <v>67998</v>
      </c>
      <c r="L79" s="94">
        <f t="shared" si="8"/>
        <v>498652</v>
      </c>
      <c r="M79" s="159">
        <f t="shared" si="9"/>
        <v>44</v>
      </c>
      <c r="N79" s="159"/>
      <c r="O79" s="159"/>
      <c r="P79" s="11"/>
    </row>
    <row r="80" spans="1:16" s="114" customFormat="1">
      <c r="A80" s="295" t="s">
        <v>943</v>
      </c>
      <c r="B80" s="243">
        <v>75</v>
      </c>
      <c r="C80" s="11" t="s">
        <v>986</v>
      </c>
      <c r="D80" s="8"/>
      <c r="E80" s="16">
        <v>450000</v>
      </c>
      <c r="F80" s="16">
        <v>59985</v>
      </c>
      <c r="G80" s="331">
        <f>SUM(E80:F80)</f>
        <v>509985</v>
      </c>
      <c r="H80" s="319">
        <v>10199.700000000001</v>
      </c>
      <c r="I80" s="247">
        <v>50</v>
      </c>
      <c r="J80" s="159">
        <v>46</v>
      </c>
      <c r="K80" s="16">
        <f t="shared" si="7"/>
        <v>469186.2</v>
      </c>
      <c r="L80" s="94">
        <f t="shared" si="8"/>
        <v>40798.799999999988</v>
      </c>
      <c r="M80" s="159">
        <f t="shared" si="9"/>
        <v>4</v>
      </c>
      <c r="N80" s="159"/>
      <c r="O80" s="159"/>
      <c r="P80" s="11"/>
    </row>
    <row r="81" spans="1:16" s="114" customFormat="1">
      <c r="A81" s="292" t="s">
        <v>655</v>
      </c>
      <c r="B81" s="243">
        <v>76</v>
      </c>
      <c r="C81" s="11" t="s">
        <v>367</v>
      </c>
      <c r="D81" s="11"/>
      <c r="E81" s="16">
        <v>450000</v>
      </c>
      <c r="F81" s="16">
        <v>59985</v>
      </c>
      <c r="G81" s="331">
        <f>SUM(E81:F81)</f>
        <v>509985</v>
      </c>
      <c r="H81" s="318">
        <v>10199.700000000001</v>
      </c>
      <c r="I81" s="247">
        <v>50</v>
      </c>
      <c r="J81" s="97">
        <v>47</v>
      </c>
      <c r="K81" s="91">
        <f t="shared" si="7"/>
        <v>479385.9</v>
      </c>
      <c r="L81" s="94">
        <f t="shared" si="8"/>
        <v>30599.099999999977</v>
      </c>
      <c r="M81" s="159">
        <f t="shared" si="9"/>
        <v>3</v>
      </c>
      <c r="N81" s="159"/>
      <c r="O81" s="97"/>
      <c r="P81" s="11"/>
    </row>
    <row r="82" spans="1:16" s="114" customFormat="1">
      <c r="A82" s="292" t="s">
        <v>883</v>
      </c>
      <c r="B82" s="243">
        <v>77</v>
      </c>
      <c r="C82" s="11" t="s">
        <v>867</v>
      </c>
      <c r="D82" s="11"/>
      <c r="E82" s="16">
        <v>500000</v>
      </c>
      <c r="F82" s="16">
        <v>66650</v>
      </c>
      <c r="G82" s="331">
        <f>SUM(E82:F82)</f>
        <v>566650</v>
      </c>
      <c r="H82" s="318">
        <v>11333</v>
      </c>
      <c r="I82" s="247">
        <v>50</v>
      </c>
      <c r="J82" s="97">
        <v>55</v>
      </c>
      <c r="K82" s="91">
        <f t="shared" si="7"/>
        <v>623315</v>
      </c>
      <c r="L82" s="94">
        <f t="shared" si="8"/>
        <v>-56665</v>
      </c>
      <c r="M82" s="159">
        <f t="shared" si="9"/>
        <v>-5</v>
      </c>
      <c r="N82" s="159"/>
      <c r="O82" s="97"/>
      <c r="P82" s="123"/>
    </row>
    <row r="83" spans="1:16" s="114" customFormat="1">
      <c r="A83" s="292" t="s">
        <v>596</v>
      </c>
      <c r="B83" s="243">
        <v>78</v>
      </c>
      <c r="C83" s="11" t="s">
        <v>345</v>
      </c>
      <c r="D83" s="11"/>
      <c r="E83" s="19">
        <v>500000</v>
      </c>
      <c r="F83" s="19">
        <v>66650</v>
      </c>
      <c r="G83" s="329">
        <v>566650</v>
      </c>
      <c r="H83" s="318">
        <v>11333</v>
      </c>
      <c r="I83" s="247">
        <v>50</v>
      </c>
      <c r="J83" s="97">
        <v>33</v>
      </c>
      <c r="K83" s="91">
        <f t="shared" si="7"/>
        <v>373989</v>
      </c>
      <c r="L83" s="91">
        <f t="shared" si="8"/>
        <v>192661</v>
      </c>
      <c r="M83" s="159">
        <f t="shared" si="9"/>
        <v>17</v>
      </c>
      <c r="N83" s="159"/>
      <c r="O83" s="97"/>
      <c r="P83" s="8"/>
    </row>
    <row r="84" spans="1:16" s="114" customFormat="1">
      <c r="A84" s="293" t="s">
        <v>885</v>
      </c>
      <c r="B84" s="243">
        <v>79</v>
      </c>
      <c r="C84" s="123" t="s">
        <v>864</v>
      </c>
      <c r="D84" s="123"/>
      <c r="E84" s="16">
        <v>500000</v>
      </c>
      <c r="F84" s="16">
        <v>66650</v>
      </c>
      <c r="G84" s="331">
        <f>SUM(E84:F84)</f>
        <v>566650</v>
      </c>
      <c r="H84" s="327">
        <v>11333</v>
      </c>
      <c r="I84" s="247">
        <v>50</v>
      </c>
      <c r="J84" s="159">
        <v>16</v>
      </c>
      <c r="K84" s="16">
        <f t="shared" si="7"/>
        <v>181328</v>
      </c>
      <c r="L84" s="94">
        <f t="shared" si="8"/>
        <v>385322</v>
      </c>
      <c r="M84" s="159">
        <f t="shared" si="9"/>
        <v>34</v>
      </c>
      <c r="N84" s="159"/>
      <c r="O84" s="159"/>
      <c r="P84" s="11"/>
    </row>
    <row r="85" spans="1:16" s="114" customFormat="1">
      <c r="A85" s="293" t="s">
        <v>1237</v>
      </c>
      <c r="B85" s="243">
        <v>80</v>
      </c>
      <c r="C85" s="123" t="s">
        <v>1139</v>
      </c>
      <c r="D85" s="123"/>
      <c r="E85" s="16">
        <v>500000</v>
      </c>
      <c r="F85" s="16">
        <v>66650</v>
      </c>
      <c r="G85" s="331">
        <f>SUM(E85:F85)</f>
        <v>566650</v>
      </c>
      <c r="H85" s="327">
        <v>11333</v>
      </c>
      <c r="I85" s="247">
        <v>50</v>
      </c>
      <c r="J85" s="159">
        <v>8</v>
      </c>
      <c r="K85" s="16">
        <f t="shared" si="7"/>
        <v>90664</v>
      </c>
      <c r="L85" s="94">
        <f t="shared" si="8"/>
        <v>475986</v>
      </c>
      <c r="M85" s="159">
        <f t="shared" si="9"/>
        <v>42</v>
      </c>
      <c r="N85" s="159"/>
      <c r="O85" s="159"/>
      <c r="P85" s="8"/>
    </row>
    <row r="86" spans="1:16" s="114" customFormat="1">
      <c r="A86" s="292" t="s">
        <v>642</v>
      </c>
      <c r="B86" s="243">
        <v>81</v>
      </c>
      <c r="C86" s="11" t="s">
        <v>444</v>
      </c>
      <c r="D86" s="11"/>
      <c r="E86" s="16">
        <v>500000</v>
      </c>
      <c r="F86" s="16">
        <v>66650</v>
      </c>
      <c r="G86" s="330">
        <v>566650</v>
      </c>
      <c r="H86" s="252">
        <v>11333</v>
      </c>
      <c r="I86" s="247">
        <v>50</v>
      </c>
      <c r="J86" s="101">
        <v>21</v>
      </c>
      <c r="K86" s="91">
        <f t="shared" si="7"/>
        <v>237993</v>
      </c>
      <c r="L86" s="94">
        <f t="shared" si="8"/>
        <v>328657</v>
      </c>
      <c r="M86" s="159">
        <f t="shared" si="9"/>
        <v>29</v>
      </c>
      <c r="N86" s="159"/>
      <c r="O86" s="97"/>
      <c r="P86" s="11"/>
    </row>
    <row r="87" spans="1:16" s="114" customFormat="1">
      <c r="A87" s="292" t="s">
        <v>661</v>
      </c>
      <c r="B87" s="243">
        <v>82</v>
      </c>
      <c r="C87" s="11" t="s">
        <v>346</v>
      </c>
      <c r="D87" s="11"/>
      <c r="E87" s="19">
        <v>500000</v>
      </c>
      <c r="F87" s="19">
        <v>66650</v>
      </c>
      <c r="G87" s="329">
        <v>566650</v>
      </c>
      <c r="H87" s="318">
        <v>11333</v>
      </c>
      <c r="I87" s="247">
        <v>50</v>
      </c>
      <c r="J87" s="97">
        <v>32</v>
      </c>
      <c r="K87" s="91">
        <f t="shared" si="7"/>
        <v>362656</v>
      </c>
      <c r="L87" s="91">
        <f t="shared" si="8"/>
        <v>203994</v>
      </c>
      <c r="M87" s="159">
        <f t="shared" si="9"/>
        <v>18</v>
      </c>
      <c r="N87" s="159"/>
      <c r="O87" s="97"/>
      <c r="P87" s="11"/>
    </row>
    <row r="88" spans="1:16" s="114" customFormat="1">
      <c r="A88" s="294" t="s">
        <v>723</v>
      </c>
      <c r="B88" s="243">
        <v>83</v>
      </c>
      <c r="C88" s="11" t="s">
        <v>861</v>
      </c>
      <c r="D88" s="11"/>
      <c r="E88" s="16">
        <v>500000</v>
      </c>
      <c r="F88" s="16">
        <v>66650</v>
      </c>
      <c r="G88" s="331">
        <f>SUM(E88:F88)</f>
        <v>566650</v>
      </c>
      <c r="H88" s="327">
        <v>11333</v>
      </c>
      <c r="I88" s="247">
        <v>50</v>
      </c>
      <c r="J88" s="159">
        <v>14</v>
      </c>
      <c r="K88" s="91">
        <f t="shared" si="7"/>
        <v>158662</v>
      </c>
      <c r="L88" s="94">
        <f t="shared" si="8"/>
        <v>407988</v>
      </c>
      <c r="M88" s="159">
        <f t="shared" si="9"/>
        <v>36</v>
      </c>
      <c r="N88" s="159"/>
      <c r="O88" s="97"/>
      <c r="P88" s="11"/>
    </row>
    <row r="89" spans="1:16" s="114" customFormat="1">
      <c r="A89" s="293" t="s">
        <v>1225</v>
      </c>
      <c r="B89" s="243">
        <v>84</v>
      </c>
      <c r="C89" s="11" t="s">
        <v>1135</v>
      </c>
      <c r="D89" s="11"/>
      <c r="E89" s="16">
        <v>500000</v>
      </c>
      <c r="F89" s="16">
        <v>66650</v>
      </c>
      <c r="G89" s="331">
        <f>SUM(E89:F89)</f>
        <v>566650</v>
      </c>
      <c r="H89" s="327">
        <v>11333</v>
      </c>
      <c r="I89" s="247">
        <v>50</v>
      </c>
      <c r="J89" s="96">
        <v>9</v>
      </c>
      <c r="K89" s="91">
        <f t="shared" si="7"/>
        <v>101997</v>
      </c>
      <c r="L89" s="94">
        <f t="shared" si="8"/>
        <v>464653</v>
      </c>
      <c r="M89" s="159">
        <f t="shared" si="9"/>
        <v>41</v>
      </c>
      <c r="N89" s="159"/>
      <c r="O89" s="97"/>
      <c r="P89" s="11"/>
    </row>
    <row r="90" spans="1:16" s="114" customFormat="1">
      <c r="A90" s="293" t="s">
        <v>1178</v>
      </c>
      <c r="B90" s="243">
        <v>85</v>
      </c>
      <c r="C90" s="11" t="s">
        <v>1121</v>
      </c>
      <c r="D90" s="11"/>
      <c r="E90" s="12">
        <v>150000</v>
      </c>
      <c r="F90" s="12">
        <v>19995</v>
      </c>
      <c r="G90" s="332">
        <f>SUM(E90:F90)</f>
        <v>169995</v>
      </c>
      <c r="H90" s="327">
        <v>3399.9</v>
      </c>
      <c r="I90" s="248">
        <v>50</v>
      </c>
      <c r="J90" s="96">
        <v>9</v>
      </c>
      <c r="K90" s="91">
        <f t="shared" si="7"/>
        <v>30599.100000000002</v>
      </c>
      <c r="L90" s="94">
        <f t="shared" si="8"/>
        <v>139395.9</v>
      </c>
      <c r="M90" s="159">
        <f t="shared" si="9"/>
        <v>41</v>
      </c>
      <c r="N90" s="159"/>
      <c r="O90" s="97"/>
      <c r="P90" s="11"/>
    </row>
    <row r="91" spans="1:16" s="114" customFormat="1">
      <c r="A91" s="292" t="s">
        <v>719</v>
      </c>
      <c r="B91" s="243">
        <v>86</v>
      </c>
      <c r="C91" s="11" t="s">
        <v>487</v>
      </c>
      <c r="D91" s="11"/>
      <c r="E91" s="16">
        <v>500000</v>
      </c>
      <c r="F91" s="16">
        <v>66650</v>
      </c>
      <c r="G91" s="330">
        <v>566650</v>
      </c>
      <c r="H91" s="318">
        <v>11333</v>
      </c>
      <c r="I91" s="334">
        <v>50</v>
      </c>
      <c r="J91" s="251">
        <v>21</v>
      </c>
      <c r="K91" s="91">
        <f t="shared" si="7"/>
        <v>237993</v>
      </c>
      <c r="L91" s="94">
        <f t="shared" si="8"/>
        <v>328657</v>
      </c>
      <c r="M91" s="159">
        <f t="shared" si="9"/>
        <v>29</v>
      </c>
      <c r="N91" s="159"/>
      <c r="O91" s="97"/>
      <c r="P91" s="8"/>
    </row>
    <row r="92" spans="1:16" s="114" customFormat="1">
      <c r="A92" s="292" t="s">
        <v>668</v>
      </c>
      <c r="B92" s="243">
        <v>87</v>
      </c>
      <c r="C92" s="11" t="s">
        <v>368</v>
      </c>
      <c r="D92" s="11"/>
      <c r="E92" s="16">
        <v>450000</v>
      </c>
      <c r="F92" s="16">
        <v>59985</v>
      </c>
      <c r="G92" s="330">
        <v>509985</v>
      </c>
      <c r="H92" s="318">
        <v>10199.700000000001</v>
      </c>
      <c r="I92" s="247">
        <v>50</v>
      </c>
      <c r="J92" s="97">
        <v>32</v>
      </c>
      <c r="K92" s="91">
        <f t="shared" si="7"/>
        <v>326390.40000000002</v>
      </c>
      <c r="L92" s="91">
        <f t="shared" si="8"/>
        <v>183594.59999999998</v>
      </c>
      <c r="M92" s="159">
        <f t="shared" si="9"/>
        <v>18</v>
      </c>
      <c r="N92" s="159"/>
      <c r="O92" s="97"/>
      <c r="P92" s="11"/>
    </row>
    <row r="93" spans="1:16" s="114" customFormat="1">
      <c r="A93" s="292" t="s">
        <v>594</v>
      </c>
      <c r="B93" s="243">
        <v>88</v>
      </c>
      <c r="C93" s="11" t="s">
        <v>347</v>
      </c>
      <c r="D93" s="11"/>
      <c r="E93" s="16">
        <v>500000</v>
      </c>
      <c r="F93" s="16">
        <v>66650</v>
      </c>
      <c r="G93" s="331">
        <f t="shared" ref="G93:G102" si="10">SUM(E93:F93)</f>
        <v>566650</v>
      </c>
      <c r="H93" s="318">
        <v>11333</v>
      </c>
      <c r="I93" s="247">
        <v>50</v>
      </c>
      <c r="J93" s="97">
        <v>47</v>
      </c>
      <c r="K93" s="91">
        <f t="shared" si="7"/>
        <v>532651</v>
      </c>
      <c r="L93" s="94">
        <f t="shared" si="8"/>
        <v>33999</v>
      </c>
      <c r="M93" s="159">
        <f t="shared" si="9"/>
        <v>3</v>
      </c>
      <c r="N93" s="159"/>
      <c r="O93" s="97"/>
      <c r="P93" s="11"/>
    </row>
    <row r="94" spans="1:16" s="114" customFormat="1">
      <c r="A94" s="293" t="s">
        <v>1207</v>
      </c>
      <c r="B94" s="243">
        <v>89</v>
      </c>
      <c r="C94" s="123" t="s">
        <v>1130</v>
      </c>
      <c r="D94" s="123"/>
      <c r="E94" s="19">
        <v>330000</v>
      </c>
      <c r="F94" s="19">
        <v>43989</v>
      </c>
      <c r="G94" s="329">
        <f t="shared" si="10"/>
        <v>373989</v>
      </c>
      <c r="H94" s="327">
        <v>7479.78</v>
      </c>
      <c r="I94" s="247">
        <v>50</v>
      </c>
      <c r="J94" s="159">
        <v>8</v>
      </c>
      <c r="K94" s="16">
        <f t="shared" si="7"/>
        <v>59838.239999999998</v>
      </c>
      <c r="L94" s="94">
        <f t="shared" si="8"/>
        <v>314150.76</v>
      </c>
      <c r="M94" s="159">
        <f t="shared" si="9"/>
        <v>42</v>
      </c>
      <c r="N94" s="159"/>
      <c r="O94" s="159"/>
      <c r="P94" s="11"/>
    </row>
    <row r="95" spans="1:16" s="114" customFormat="1">
      <c r="A95" s="292" t="s">
        <v>585</v>
      </c>
      <c r="B95" s="243">
        <v>90</v>
      </c>
      <c r="C95" s="11" t="s">
        <v>348</v>
      </c>
      <c r="D95" s="11"/>
      <c r="E95" s="161">
        <v>500000</v>
      </c>
      <c r="F95" s="161">
        <v>66650</v>
      </c>
      <c r="G95" s="333">
        <f t="shared" si="10"/>
        <v>566650</v>
      </c>
      <c r="H95" s="318">
        <v>11333</v>
      </c>
      <c r="I95" s="243">
        <v>50</v>
      </c>
      <c r="J95" s="97">
        <v>47</v>
      </c>
      <c r="K95" s="146">
        <f t="shared" si="7"/>
        <v>532651</v>
      </c>
      <c r="L95" s="164">
        <f t="shared" si="8"/>
        <v>33999</v>
      </c>
      <c r="M95" s="159">
        <f t="shared" si="9"/>
        <v>3</v>
      </c>
      <c r="N95" s="159"/>
      <c r="O95" s="97"/>
      <c r="P95" s="11"/>
    </row>
    <row r="96" spans="1:16" s="114" customFormat="1">
      <c r="A96" s="293" t="s">
        <v>899</v>
      </c>
      <c r="B96" s="243">
        <v>91</v>
      </c>
      <c r="C96" s="123" t="s">
        <v>852</v>
      </c>
      <c r="D96" s="123"/>
      <c r="E96" s="19">
        <v>330000</v>
      </c>
      <c r="F96" s="19">
        <v>43989</v>
      </c>
      <c r="G96" s="329">
        <f t="shared" si="10"/>
        <v>373989</v>
      </c>
      <c r="H96" s="327">
        <v>7479.78</v>
      </c>
      <c r="I96" s="247">
        <v>50</v>
      </c>
      <c r="J96" s="159">
        <v>16</v>
      </c>
      <c r="K96" s="16">
        <f t="shared" si="7"/>
        <v>119676.48</v>
      </c>
      <c r="L96" s="94">
        <f t="shared" si="8"/>
        <v>254312.52000000002</v>
      </c>
      <c r="M96" s="159">
        <f t="shared" si="9"/>
        <v>34</v>
      </c>
      <c r="N96" s="159"/>
      <c r="O96" s="159"/>
      <c r="P96" s="11"/>
    </row>
    <row r="97" spans="1:16" s="114" customFormat="1">
      <c r="A97" s="292" t="s">
        <v>647</v>
      </c>
      <c r="B97" s="243">
        <v>92</v>
      </c>
      <c r="C97" s="11" t="s">
        <v>349</v>
      </c>
      <c r="D97" s="11"/>
      <c r="E97" s="16">
        <v>500000</v>
      </c>
      <c r="F97" s="16">
        <v>66650</v>
      </c>
      <c r="G97" s="331">
        <f t="shared" si="10"/>
        <v>566650</v>
      </c>
      <c r="H97" s="318">
        <v>11333</v>
      </c>
      <c r="I97" s="247">
        <v>50</v>
      </c>
      <c r="J97" s="97">
        <v>25</v>
      </c>
      <c r="K97" s="91">
        <f>(1*11333)</f>
        <v>11333</v>
      </c>
      <c r="L97" s="91">
        <f t="shared" si="8"/>
        <v>555317</v>
      </c>
      <c r="M97" s="159">
        <f t="shared" si="9"/>
        <v>25</v>
      </c>
      <c r="N97" s="159"/>
      <c r="O97" s="97"/>
      <c r="P97" s="11"/>
    </row>
    <row r="98" spans="1:16" s="114" customFormat="1">
      <c r="A98" s="122" t="s">
        <v>1176</v>
      </c>
      <c r="B98" s="243">
        <v>93</v>
      </c>
      <c r="C98" s="11" t="s">
        <v>1293</v>
      </c>
      <c r="D98" s="122"/>
      <c r="E98" s="16">
        <v>500000</v>
      </c>
      <c r="F98" s="16">
        <v>66650</v>
      </c>
      <c r="G98" s="331">
        <f t="shared" si="10"/>
        <v>566650</v>
      </c>
      <c r="H98" s="16">
        <v>11333</v>
      </c>
      <c r="I98" s="247">
        <v>50</v>
      </c>
      <c r="J98" s="188">
        <v>6</v>
      </c>
      <c r="K98" s="16">
        <f t="shared" ref="K98:K103" si="11">J98*H98</f>
        <v>67998</v>
      </c>
      <c r="L98" s="94">
        <f t="shared" si="8"/>
        <v>498652</v>
      </c>
      <c r="M98" s="159">
        <f t="shared" si="9"/>
        <v>44</v>
      </c>
      <c r="N98" s="159"/>
      <c r="O98" s="159"/>
      <c r="P98" s="11"/>
    </row>
    <row r="99" spans="1:16" s="114" customFormat="1">
      <c r="A99" s="293" t="s">
        <v>929</v>
      </c>
      <c r="B99" s="243">
        <v>94</v>
      </c>
      <c r="C99" s="11" t="s">
        <v>979</v>
      </c>
      <c r="D99" s="11"/>
      <c r="E99" s="16">
        <v>500000</v>
      </c>
      <c r="F99" s="16">
        <v>66650</v>
      </c>
      <c r="G99" s="331">
        <f t="shared" si="10"/>
        <v>566650</v>
      </c>
      <c r="H99" s="327">
        <v>11333</v>
      </c>
      <c r="I99" s="247">
        <v>50</v>
      </c>
      <c r="J99" s="159">
        <v>46</v>
      </c>
      <c r="K99" s="16">
        <f t="shared" si="11"/>
        <v>521318</v>
      </c>
      <c r="L99" s="94">
        <f t="shared" si="8"/>
        <v>45332</v>
      </c>
      <c r="M99" s="159">
        <f t="shared" si="9"/>
        <v>4</v>
      </c>
      <c r="N99" s="159"/>
      <c r="O99" s="159"/>
      <c r="P99" s="122"/>
    </row>
    <row r="100" spans="1:16" s="114" customFormat="1">
      <c r="A100" s="295" t="s">
        <v>941</v>
      </c>
      <c r="B100" s="243">
        <v>95</v>
      </c>
      <c r="C100" s="11" t="s">
        <v>1066</v>
      </c>
      <c r="D100" s="8"/>
      <c r="E100" s="19">
        <v>330000</v>
      </c>
      <c r="F100" s="19">
        <v>43989</v>
      </c>
      <c r="G100" s="329">
        <f t="shared" si="10"/>
        <v>373989</v>
      </c>
      <c r="H100" s="319">
        <v>7479.78</v>
      </c>
      <c r="I100" s="247">
        <v>50</v>
      </c>
      <c r="J100" s="159">
        <v>13</v>
      </c>
      <c r="K100" s="16">
        <f t="shared" si="11"/>
        <v>97237.14</v>
      </c>
      <c r="L100" s="94">
        <f t="shared" si="8"/>
        <v>276751.86</v>
      </c>
      <c r="M100" s="159">
        <f t="shared" si="9"/>
        <v>37</v>
      </c>
      <c r="N100" s="159"/>
      <c r="O100" s="159"/>
      <c r="P100" s="11"/>
    </row>
    <row r="101" spans="1:16" s="114" customFormat="1">
      <c r="A101" s="292" t="s">
        <v>600</v>
      </c>
      <c r="B101" s="243">
        <v>96</v>
      </c>
      <c r="C101" s="11" t="s">
        <v>369</v>
      </c>
      <c r="D101" s="11"/>
      <c r="E101" s="16">
        <v>450000</v>
      </c>
      <c r="F101" s="16">
        <v>59985</v>
      </c>
      <c r="G101" s="331">
        <f t="shared" si="10"/>
        <v>509985</v>
      </c>
      <c r="H101" s="318">
        <v>10199.700000000001</v>
      </c>
      <c r="I101" s="247">
        <v>50</v>
      </c>
      <c r="J101" s="97">
        <v>46</v>
      </c>
      <c r="K101" s="91">
        <f t="shared" si="11"/>
        <v>469186.2</v>
      </c>
      <c r="L101" s="94">
        <f t="shared" si="8"/>
        <v>40798.799999999988</v>
      </c>
      <c r="M101" s="159">
        <f t="shared" si="9"/>
        <v>4</v>
      </c>
      <c r="N101" s="159"/>
      <c r="O101" s="97"/>
      <c r="P101" s="11"/>
    </row>
    <row r="102" spans="1:16" s="114" customFormat="1">
      <c r="A102" s="295" t="s">
        <v>930</v>
      </c>
      <c r="B102" s="243">
        <v>97</v>
      </c>
      <c r="C102" s="11" t="s">
        <v>992</v>
      </c>
      <c r="D102" s="8"/>
      <c r="E102" s="19">
        <v>330000</v>
      </c>
      <c r="F102" s="19">
        <v>31672.200000000012</v>
      </c>
      <c r="G102" s="329">
        <f t="shared" si="10"/>
        <v>361672.2</v>
      </c>
      <c r="H102" s="319">
        <v>10046.450000000001</v>
      </c>
      <c r="I102" s="247">
        <v>36</v>
      </c>
      <c r="J102" s="159">
        <v>20</v>
      </c>
      <c r="K102" s="16">
        <f t="shared" si="11"/>
        <v>200929</v>
      </c>
      <c r="L102" s="94">
        <f t="shared" ref="L102:L121" si="12">G102-K102</f>
        <v>160743.20000000001</v>
      </c>
      <c r="M102" s="159">
        <f t="shared" ref="M102:M121" si="13">I102-J102</f>
        <v>16</v>
      </c>
      <c r="N102" s="159"/>
      <c r="O102" s="159"/>
      <c r="P102" s="11"/>
    </row>
    <row r="103" spans="1:16" s="114" customFormat="1">
      <c r="A103" s="293" t="s">
        <v>1291</v>
      </c>
      <c r="B103" s="243">
        <v>98</v>
      </c>
      <c r="C103" s="123" t="s">
        <v>484</v>
      </c>
      <c r="D103" s="123"/>
      <c r="E103" s="19">
        <v>450000</v>
      </c>
      <c r="F103" s="19">
        <v>59985</v>
      </c>
      <c r="G103" s="329">
        <v>509985</v>
      </c>
      <c r="H103" s="327">
        <v>10199.700000000001</v>
      </c>
      <c r="I103" s="247">
        <v>50</v>
      </c>
      <c r="J103" s="159">
        <v>8</v>
      </c>
      <c r="K103" s="16">
        <f t="shared" si="11"/>
        <v>81597.600000000006</v>
      </c>
      <c r="L103" s="94">
        <f t="shared" si="12"/>
        <v>428387.4</v>
      </c>
      <c r="M103" s="159">
        <f t="shared" si="13"/>
        <v>42</v>
      </c>
      <c r="N103" s="159"/>
      <c r="O103" s="159"/>
      <c r="P103" s="8"/>
    </row>
    <row r="104" spans="1:16" s="114" customFormat="1">
      <c r="A104" s="292" t="s">
        <v>638</v>
      </c>
      <c r="B104" s="243">
        <v>99</v>
      </c>
      <c r="C104" s="11" t="s">
        <v>350</v>
      </c>
      <c r="D104" s="11"/>
      <c r="E104" s="16">
        <v>500000</v>
      </c>
      <c r="F104" s="16">
        <v>66650</v>
      </c>
      <c r="G104" s="331">
        <f>SUM(E104:F104)</f>
        <v>566650</v>
      </c>
      <c r="H104" s="318">
        <v>11333</v>
      </c>
      <c r="I104" s="247">
        <v>50</v>
      </c>
      <c r="J104" s="97">
        <v>25</v>
      </c>
      <c r="K104" s="91">
        <f>(1*11333)</f>
        <v>11333</v>
      </c>
      <c r="L104" s="91">
        <f t="shared" si="12"/>
        <v>555317</v>
      </c>
      <c r="M104" s="159">
        <f t="shared" si="13"/>
        <v>25</v>
      </c>
      <c r="N104" s="159"/>
      <c r="O104" s="97"/>
      <c r="P104" s="8"/>
    </row>
    <row r="105" spans="1:16" s="114" customFormat="1">
      <c r="A105" s="293" t="s">
        <v>1205</v>
      </c>
      <c r="B105" s="243">
        <v>100</v>
      </c>
      <c r="C105" s="11" t="s">
        <v>452</v>
      </c>
      <c r="D105" s="11"/>
      <c r="E105" s="16">
        <v>500000</v>
      </c>
      <c r="F105" s="16">
        <v>66650</v>
      </c>
      <c r="G105" s="331">
        <f>SUM(E105:F105)</f>
        <v>566650</v>
      </c>
      <c r="H105" s="327">
        <v>11333</v>
      </c>
      <c r="I105" s="247">
        <v>50</v>
      </c>
      <c r="J105" s="96">
        <v>9</v>
      </c>
      <c r="K105" s="91">
        <f t="shared" ref="K105:K121" si="14">J105*H105</f>
        <v>101997</v>
      </c>
      <c r="L105" s="94">
        <f t="shared" si="12"/>
        <v>464653</v>
      </c>
      <c r="M105" s="159">
        <f t="shared" si="13"/>
        <v>41</v>
      </c>
      <c r="N105" s="159"/>
      <c r="O105" s="97"/>
      <c r="P105" s="11"/>
    </row>
    <row r="106" spans="1:16" s="114" customFormat="1">
      <c r="A106" s="292" t="s">
        <v>645</v>
      </c>
      <c r="B106" s="243">
        <v>101</v>
      </c>
      <c r="C106" s="11" t="s">
        <v>351</v>
      </c>
      <c r="D106" s="11"/>
      <c r="E106" s="16">
        <v>500000</v>
      </c>
      <c r="F106" s="16">
        <v>66650</v>
      </c>
      <c r="G106" s="331">
        <f>SUM(E106:F106)</f>
        <v>566650</v>
      </c>
      <c r="H106" s="318">
        <v>11333</v>
      </c>
      <c r="I106" s="247">
        <v>50</v>
      </c>
      <c r="J106" s="97">
        <v>46</v>
      </c>
      <c r="K106" s="91">
        <f t="shared" si="14"/>
        <v>521318</v>
      </c>
      <c r="L106" s="94">
        <f t="shared" si="12"/>
        <v>45332</v>
      </c>
      <c r="M106" s="159">
        <f t="shared" si="13"/>
        <v>4</v>
      </c>
      <c r="N106" s="159"/>
      <c r="O106" s="97"/>
      <c r="P106" s="11"/>
    </row>
    <row r="107" spans="1:16" s="114" customFormat="1">
      <c r="A107" s="293" t="s">
        <v>628</v>
      </c>
      <c r="B107" s="243">
        <v>102</v>
      </c>
      <c r="C107" s="123" t="s">
        <v>858</v>
      </c>
      <c r="D107" s="123"/>
      <c r="E107" s="19">
        <v>450000</v>
      </c>
      <c r="F107" s="19">
        <v>59985</v>
      </c>
      <c r="G107" s="329">
        <v>509985</v>
      </c>
      <c r="H107" s="327">
        <v>10199.700000000001</v>
      </c>
      <c r="I107" s="247">
        <v>50</v>
      </c>
      <c r="J107" s="159">
        <v>8</v>
      </c>
      <c r="K107" s="16">
        <f t="shared" si="14"/>
        <v>81597.600000000006</v>
      </c>
      <c r="L107" s="94">
        <f t="shared" si="12"/>
        <v>428387.4</v>
      </c>
      <c r="M107" s="159">
        <f t="shared" si="13"/>
        <v>42</v>
      </c>
      <c r="N107" s="159"/>
      <c r="O107" s="159"/>
      <c r="P107" s="11"/>
    </row>
    <row r="108" spans="1:16" s="114" customFormat="1">
      <c r="A108" s="293" t="s">
        <v>678</v>
      </c>
      <c r="B108" s="243">
        <v>103</v>
      </c>
      <c r="C108" s="123" t="s">
        <v>302</v>
      </c>
      <c r="D108" s="123"/>
      <c r="E108" s="16">
        <v>500000</v>
      </c>
      <c r="F108" s="16">
        <v>66650</v>
      </c>
      <c r="G108" s="331">
        <f>SUM(E108:F108)</f>
        <v>566650</v>
      </c>
      <c r="H108" s="327">
        <v>15222</v>
      </c>
      <c r="I108" s="247">
        <v>50</v>
      </c>
      <c r="J108" s="159">
        <v>16</v>
      </c>
      <c r="K108" s="16">
        <f t="shared" si="14"/>
        <v>243552</v>
      </c>
      <c r="L108" s="94">
        <f t="shared" si="12"/>
        <v>323098</v>
      </c>
      <c r="M108" s="159">
        <f t="shared" si="13"/>
        <v>34</v>
      </c>
      <c r="N108" s="159"/>
      <c r="O108" s="159"/>
      <c r="P108" s="11"/>
    </row>
    <row r="109" spans="1:16" s="114" customFormat="1">
      <c r="A109" s="292" t="s">
        <v>501</v>
      </c>
      <c r="B109" s="243">
        <v>104</v>
      </c>
      <c r="C109" s="11" t="s">
        <v>488</v>
      </c>
      <c r="D109" s="11"/>
      <c r="E109" s="16">
        <v>500000</v>
      </c>
      <c r="F109" s="16">
        <v>66650</v>
      </c>
      <c r="G109" s="330">
        <v>566650</v>
      </c>
      <c r="H109" s="146">
        <v>11333</v>
      </c>
      <c r="I109" s="247">
        <v>50</v>
      </c>
      <c r="J109" s="159">
        <v>21</v>
      </c>
      <c r="K109" s="91">
        <f t="shared" si="14"/>
        <v>237993</v>
      </c>
      <c r="L109" s="94">
        <f t="shared" si="12"/>
        <v>328657</v>
      </c>
      <c r="M109" s="159">
        <f t="shared" si="13"/>
        <v>29</v>
      </c>
      <c r="N109" s="159"/>
      <c r="O109" s="97"/>
      <c r="P109" s="11"/>
    </row>
    <row r="110" spans="1:16" s="114" customFormat="1">
      <c r="A110" s="293" t="s">
        <v>1170</v>
      </c>
      <c r="B110" s="243">
        <v>105</v>
      </c>
      <c r="C110" s="123" t="s">
        <v>1122</v>
      </c>
      <c r="D110" s="123"/>
      <c r="E110" s="16">
        <v>500000</v>
      </c>
      <c r="F110" s="16">
        <v>66650</v>
      </c>
      <c r="G110" s="331">
        <f>SUM(E110:F110)</f>
        <v>566650</v>
      </c>
      <c r="H110" s="327">
        <v>11333</v>
      </c>
      <c r="I110" s="247">
        <v>50</v>
      </c>
      <c r="J110" s="159">
        <v>8</v>
      </c>
      <c r="K110" s="16">
        <f t="shared" si="14"/>
        <v>90664</v>
      </c>
      <c r="L110" s="94">
        <f t="shared" si="12"/>
        <v>475986</v>
      </c>
      <c r="M110" s="159">
        <f t="shared" si="13"/>
        <v>42</v>
      </c>
      <c r="N110" s="159"/>
      <c r="O110" s="159"/>
      <c r="P110" s="11"/>
    </row>
    <row r="111" spans="1:16" s="114" customFormat="1">
      <c r="A111" s="292" t="s">
        <v>583</v>
      </c>
      <c r="B111" s="243">
        <v>106</v>
      </c>
      <c r="C111" s="11" t="s">
        <v>352</v>
      </c>
      <c r="D111" s="11"/>
      <c r="E111" s="16">
        <v>500000</v>
      </c>
      <c r="F111" s="16">
        <v>66650</v>
      </c>
      <c r="G111" s="331">
        <f>SUM(E111:F111)</f>
        <v>566650</v>
      </c>
      <c r="H111" s="318">
        <v>11333</v>
      </c>
      <c r="I111" s="247">
        <v>50</v>
      </c>
      <c r="J111" s="97">
        <v>47</v>
      </c>
      <c r="K111" s="91">
        <f t="shared" si="14"/>
        <v>532651</v>
      </c>
      <c r="L111" s="94">
        <f t="shared" si="12"/>
        <v>33999</v>
      </c>
      <c r="M111" s="159">
        <f t="shared" si="13"/>
        <v>3</v>
      </c>
      <c r="N111" s="159"/>
      <c r="O111" s="97"/>
      <c r="P111" s="8"/>
    </row>
    <row r="112" spans="1:16" s="114" customFormat="1">
      <c r="A112" s="292" t="s">
        <v>561</v>
      </c>
      <c r="B112" s="243">
        <v>107</v>
      </c>
      <c r="C112" s="11" t="s">
        <v>371</v>
      </c>
      <c r="D112" s="11"/>
      <c r="E112" s="16">
        <v>450000</v>
      </c>
      <c r="F112" s="16">
        <v>59985</v>
      </c>
      <c r="G112" s="331">
        <f>SUM(E112:F112)</f>
        <v>509985</v>
      </c>
      <c r="H112" s="318">
        <v>10199.700000000001</v>
      </c>
      <c r="I112" s="247">
        <v>50</v>
      </c>
      <c r="J112" s="97">
        <v>47</v>
      </c>
      <c r="K112" s="91">
        <f t="shared" si="14"/>
        <v>479385.9</v>
      </c>
      <c r="L112" s="94">
        <f t="shared" si="12"/>
        <v>30599.099999999977</v>
      </c>
      <c r="M112" s="159">
        <f t="shared" si="13"/>
        <v>3</v>
      </c>
      <c r="N112" s="159"/>
      <c r="O112" s="97"/>
      <c r="P112" s="11"/>
    </row>
    <row r="113" spans="1:16" s="114" customFormat="1">
      <c r="A113" s="292" t="s">
        <v>684</v>
      </c>
      <c r="B113" s="243">
        <v>108</v>
      </c>
      <c r="C113" s="11" t="s">
        <v>353</v>
      </c>
      <c r="D113" s="11"/>
      <c r="E113" s="19">
        <v>500000</v>
      </c>
      <c r="F113" s="19">
        <v>66650</v>
      </c>
      <c r="G113" s="329">
        <v>566650</v>
      </c>
      <c r="H113" s="318">
        <v>11333</v>
      </c>
      <c r="I113" s="247">
        <v>50</v>
      </c>
      <c r="J113" s="97">
        <v>33</v>
      </c>
      <c r="K113" s="91">
        <f t="shared" si="14"/>
        <v>373989</v>
      </c>
      <c r="L113" s="91">
        <f t="shared" si="12"/>
        <v>192661</v>
      </c>
      <c r="M113" s="159">
        <f t="shared" si="13"/>
        <v>17</v>
      </c>
      <c r="N113" s="159"/>
      <c r="O113" s="97"/>
      <c r="P113" s="11"/>
    </row>
    <row r="114" spans="1:16" s="114" customFormat="1">
      <c r="A114" s="293" t="s">
        <v>901</v>
      </c>
      <c r="B114" s="243">
        <v>109</v>
      </c>
      <c r="C114" s="123" t="s">
        <v>877</v>
      </c>
      <c r="D114" s="123"/>
      <c r="E114" s="19">
        <v>330000</v>
      </c>
      <c r="F114" s="19">
        <v>43989</v>
      </c>
      <c r="G114" s="329">
        <f>SUM(E114:F114)</f>
        <v>373989</v>
      </c>
      <c r="H114" s="327">
        <v>7479.78</v>
      </c>
      <c r="I114" s="247">
        <v>50</v>
      </c>
      <c r="J114" s="159">
        <v>16</v>
      </c>
      <c r="K114" s="16">
        <f t="shared" si="14"/>
        <v>119676.48</v>
      </c>
      <c r="L114" s="94">
        <f t="shared" si="12"/>
        <v>254312.52000000002</v>
      </c>
      <c r="M114" s="159">
        <f t="shared" si="13"/>
        <v>34</v>
      </c>
      <c r="N114" s="159"/>
      <c r="O114" s="159"/>
      <c r="P114" s="11"/>
    </row>
    <row r="115" spans="1:16" s="114" customFormat="1">
      <c r="A115" s="292" t="s">
        <v>509</v>
      </c>
      <c r="B115" s="243">
        <v>110</v>
      </c>
      <c r="C115" s="11" t="s">
        <v>29</v>
      </c>
      <c r="D115" s="11"/>
      <c r="E115" s="19">
        <v>450000</v>
      </c>
      <c r="F115" s="19">
        <v>59985</v>
      </c>
      <c r="G115" s="329">
        <v>509985</v>
      </c>
      <c r="H115" s="318">
        <v>10199.700000000001</v>
      </c>
      <c r="I115" s="247">
        <v>50</v>
      </c>
      <c r="J115" s="97">
        <v>33</v>
      </c>
      <c r="K115" s="91">
        <f t="shared" si="14"/>
        <v>336590.10000000003</v>
      </c>
      <c r="L115" s="91">
        <f t="shared" si="12"/>
        <v>173394.89999999997</v>
      </c>
      <c r="M115" s="159">
        <f t="shared" si="13"/>
        <v>17</v>
      </c>
      <c r="N115" s="159"/>
      <c r="O115" s="97"/>
      <c r="P115" s="11"/>
    </row>
    <row r="116" spans="1:16" s="114" customFormat="1">
      <c r="A116" s="292" t="s">
        <v>711</v>
      </c>
      <c r="B116" s="243">
        <v>111</v>
      </c>
      <c r="C116" s="11" t="s">
        <v>356</v>
      </c>
      <c r="D116" s="11"/>
      <c r="E116" s="16">
        <v>500000</v>
      </c>
      <c r="F116" s="16">
        <v>66650</v>
      </c>
      <c r="G116" s="331">
        <f>SUM(E116:F116)</f>
        <v>566650</v>
      </c>
      <c r="H116" s="318">
        <v>11333</v>
      </c>
      <c r="I116" s="247">
        <v>50</v>
      </c>
      <c r="J116" s="97">
        <v>46</v>
      </c>
      <c r="K116" s="91">
        <f t="shared" si="14"/>
        <v>521318</v>
      </c>
      <c r="L116" s="94">
        <f t="shared" si="12"/>
        <v>45332</v>
      </c>
      <c r="M116" s="159">
        <f t="shared" si="13"/>
        <v>4</v>
      </c>
      <c r="N116" s="159"/>
      <c r="O116" s="97"/>
      <c r="P116" s="11"/>
    </row>
    <row r="117" spans="1:16" s="114" customFormat="1">
      <c r="A117" s="292" t="s">
        <v>507</v>
      </c>
      <c r="B117" s="243">
        <v>112</v>
      </c>
      <c r="C117" s="11" t="s">
        <v>358</v>
      </c>
      <c r="D117" s="11"/>
      <c r="E117" s="16">
        <v>500000</v>
      </c>
      <c r="F117" s="16">
        <v>66650</v>
      </c>
      <c r="G117" s="330">
        <v>566650</v>
      </c>
      <c r="H117" s="318">
        <v>11333</v>
      </c>
      <c r="I117" s="247">
        <v>50</v>
      </c>
      <c r="J117" s="97">
        <v>33</v>
      </c>
      <c r="K117" s="91">
        <f t="shared" si="14"/>
        <v>373989</v>
      </c>
      <c r="L117" s="91">
        <f t="shared" si="12"/>
        <v>192661</v>
      </c>
      <c r="M117" s="159">
        <f t="shared" si="13"/>
        <v>17</v>
      </c>
      <c r="N117" s="159"/>
      <c r="O117" s="97"/>
      <c r="P117" s="11"/>
    </row>
    <row r="118" spans="1:16" s="114" customFormat="1">
      <c r="A118" s="292" t="s">
        <v>728</v>
      </c>
      <c r="B118" s="243">
        <v>113</v>
      </c>
      <c r="C118" s="11" t="s">
        <v>303</v>
      </c>
      <c r="D118" s="11"/>
      <c r="E118" s="16">
        <v>500000</v>
      </c>
      <c r="F118" s="16">
        <v>47992</v>
      </c>
      <c r="G118" s="331">
        <f t="shared" ref="G118:G125" si="15">SUM(E118:F118)</f>
        <v>547992</v>
      </c>
      <c r="H118" s="146">
        <v>15222</v>
      </c>
      <c r="I118" s="247">
        <v>36</v>
      </c>
      <c r="J118" s="97">
        <v>37</v>
      </c>
      <c r="K118" s="91">
        <f t="shared" si="14"/>
        <v>563214</v>
      </c>
      <c r="L118" s="94">
        <f t="shared" si="12"/>
        <v>-15222</v>
      </c>
      <c r="M118" s="159">
        <f t="shared" si="13"/>
        <v>-1</v>
      </c>
      <c r="N118" s="159"/>
      <c r="O118" s="97"/>
      <c r="P118" s="8"/>
    </row>
    <row r="119" spans="1:16" s="114" customFormat="1">
      <c r="A119" s="292" t="s">
        <v>590</v>
      </c>
      <c r="B119" s="243">
        <v>114</v>
      </c>
      <c r="C119" s="11" t="s">
        <v>290</v>
      </c>
      <c r="D119" s="11"/>
      <c r="E119" s="19">
        <v>150000</v>
      </c>
      <c r="F119" s="19">
        <v>19995</v>
      </c>
      <c r="G119" s="329">
        <f t="shared" si="15"/>
        <v>169995</v>
      </c>
      <c r="H119" s="146">
        <v>3399.9</v>
      </c>
      <c r="I119" s="247">
        <v>50</v>
      </c>
      <c r="J119" s="97">
        <v>46</v>
      </c>
      <c r="K119" s="91">
        <f t="shared" si="14"/>
        <v>156395.4</v>
      </c>
      <c r="L119" s="94">
        <f t="shared" si="12"/>
        <v>13599.600000000006</v>
      </c>
      <c r="M119" s="159">
        <f t="shared" si="13"/>
        <v>4</v>
      </c>
      <c r="N119" s="159"/>
      <c r="O119" s="97"/>
      <c r="P119" s="8"/>
    </row>
    <row r="120" spans="1:16" s="114" customFormat="1">
      <c r="A120" s="293" t="s">
        <v>1213</v>
      </c>
      <c r="B120" s="243">
        <v>115</v>
      </c>
      <c r="C120" s="123" t="s">
        <v>1292</v>
      </c>
      <c r="D120" s="123"/>
      <c r="E120" s="19">
        <v>330000</v>
      </c>
      <c r="F120" s="19">
        <v>43989</v>
      </c>
      <c r="G120" s="329">
        <f t="shared" si="15"/>
        <v>373989</v>
      </c>
      <c r="H120" s="327">
        <v>7479.78</v>
      </c>
      <c r="I120" s="247">
        <v>50</v>
      </c>
      <c r="J120" s="159">
        <v>8</v>
      </c>
      <c r="K120" s="16">
        <f t="shared" si="14"/>
        <v>59838.239999999998</v>
      </c>
      <c r="L120" s="94">
        <f t="shared" si="12"/>
        <v>314150.76</v>
      </c>
      <c r="M120" s="159">
        <f t="shared" si="13"/>
        <v>42</v>
      </c>
      <c r="N120" s="159"/>
      <c r="O120" s="159"/>
      <c r="P120" s="11"/>
    </row>
    <row r="121" spans="1:16" s="114" customFormat="1">
      <c r="A121" s="293" t="s">
        <v>888</v>
      </c>
      <c r="B121" s="243">
        <v>116</v>
      </c>
      <c r="C121" s="123" t="s">
        <v>412</v>
      </c>
      <c r="D121" s="123"/>
      <c r="E121" s="16">
        <v>500000</v>
      </c>
      <c r="F121" s="16">
        <v>66650</v>
      </c>
      <c r="G121" s="41">
        <f t="shared" si="15"/>
        <v>566650</v>
      </c>
      <c r="H121" s="327">
        <v>11333</v>
      </c>
      <c r="I121" s="159">
        <v>50</v>
      </c>
      <c r="J121" s="159">
        <v>16</v>
      </c>
      <c r="K121" s="16">
        <f t="shared" si="14"/>
        <v>181328</v>
      </c>
      <c r="L121" s="94">
        <f t="shared" si="12"/>
        <v>385322</v>
      </c>
      <c r="M121" s="159">
        <f t="shared" si="13"/>
        <v>34</v>
      </c>
      <c r="N121" s="159"/>
      <c r="O121" s="159"/>
      <c r="P121" s="11"/>
    </row>
    <row r="122" spans="1:16" s="114" customFormat="1">
      <c r="A122" s="11" t="s">
        <v>1209</v>
      </c>
      <c r="B122" s="243">
        <v>117</v>
      </c>
      <c r="C122" s="11" t="s">
        <v>1288</v>
      </c>
      <c r="D122" s="11"/>
      <c r="E122" s="19">
        <v>150000</v>
      </c>
      <c r="F122" s="19">
        <v>19995</v>
      </c>
      <c r="G122" s="329">
        <f t="shared" si="15"/>
        <v>169995</v>
      </c>
      <c r="H122" s="254">
        <v>3399.9</v>
      </c>
      <c r="I122" s="159">
        <v>50</v>
      </c>
      <c r="J122" s="159">
        <v>1</v>
      </c>
      <c r="K122" s="16">
        <f t="shared" ref="K122:K134" si="16">J122*H122</f>
        <v>3399.9</v>
      </c>
      <c r="L122" s="94">
        <f t="shared" ref="L122:L134" si="17">G122-K122</f>
        <v>166595.1</v>
      </c>
      <c r="M122" s="159">
        <f t="shared" ref="M122:M134" si="18">I122-J122</f>
        <v>49</v>
      </c>
      <c r="N122" s="11"/>
      <c r="O122" s="11"/>
      <c r="P122" s="11"/>
    </row>
    <row r="123" spans="1:16" s="114" customFormat="1">
      <c r="A123" s="11" t="s">
        <v>884</v>
      </c>
      <c r="B123" s="243">
        <v>118</v>
      </c>
      <c r="C123" s="11" t="s">
        <v>866</v>
      </c>
      <c r="D123" s="11"/>
      <c r="E123" s="16">
        <v>500000</v>
      </c>
      <c r="F123" s="16">
        <v>66650</v>
      </c>
      <c r="G123" s="41">
        <f t="shared" si="15"/>
        <v>566650</v>
      </c>
      <c r="H123" s="254">
        <v>11333</v>
      </c>
      <c r="I123" s="159">
        <v>50</v>
      </c>
      <c r="J123" s="159">
        <v>1</v>
      </c>
      <c r="K123" s="16">
        <f t="shared" si="16"/>
        <v>11333</v>
      </c>
      <c r="L123" s="94">
        <f t="shared" si="17"/>
        <v>555317</v>
      </c>
      <c r="M123" s="159">
        <f t="shared" si="18"/>
        <v>49</v>
      </c>
      <c r="N123" s="11"/>
      <c r="O123" s="11"/>
      <c r="P123" s="11"/>
    </row>
    <row r="124" spans="1:16" s="114" customFormat="1">
      <c r="A124" s="11" t="s">
        <v>1247</v>
      </c>
      <c r="B124" s="243">
        <v>119</v>
      </c>
      <c r="C124" s="11" t="s">
        <v>436</v>
      </c>
      <c r="D124" s="11"/>
      <c r="E124" s="16">
        <v>500000</v>
      </c>
      <c r="F124" s="16">
        <v>66650</v>
      </c>
      <c r="G124" s="41">
        <f t="shared" si="15"/>
        <v>566650</v>
      </c>
      <c r="H124" s="254">
        <v>21333</v>
      </c>
      <c r="I124" s="159">
        <v>25</v>
      </c>
      <c r="J124" s="159">
        <v>1</v>
      </c>
      <c r="K124" s="16">
        <f t="shared" si="16"/>
        <v>21333</v>
      </c>
      <c r="L124" s="94">
        <f t="shared" si="17"/>
        <v>545317</v>
      </c>
      <c r="M124" s="159">
        <f t="shared" si="18"/>
        <v>24</v>
      </c>
      <c r="N124" s="11"/>
      <c r="O124" s="11"/>
      <c r="P124" s="11"/>
    </row>
    <row r="125" spans="1:16" s="114" customFormat="1">
      <c r="A125" s="11" t="s">
        <v>1144</v>
      </c>
      <c r="B125" s="243">
        <v>120</v>
      </c>
      <c r="C125" s="11" t="s">
        <v>1282</v>
      </c>
      <c r="D125" s="11"/>
      <c r="E125" s="19">
        <v>330000</v>
      </c>
      <c r="F125" s="19">
        <v>43989</v>
      </c>
      <c r="G125" s="329">
        <f t="shared" si="15"/>
        <v>373989</v>
      </c>
      <c r="H125" s="254">
        <v>7479.78</v>
      </c>
      <c r="I125" s="159">
        <v>50</v>
      </c>
      <c r="J125" s="159">
        <v>1</v>
      </c>
      <c r="K125" s="16">
        <f t="shared" si="16"/>
        <v>7479.78</v>
      </c>
      <c r="L125" s="94">
        <f t="shared" si="17"/>
        <v>366509.22</v>
      </c>
      <c r="M125" s="159">
        <f t="shared" si="18"/>
        <v>49</v>
      </c>
      <c r="N125" s="11"/>
      <c r="O125" s="11"/>
      <c r="P125" s="11"/>
    </row>
    <row r="126" spans="1:16" s="114" customFormat="1">
      <c r="A126" s="11" t="s">
        <v>1251</v>
      </c>
      <c r="B126" s="243">
        <v>121</v>
      </c>
      <c r="C126" s="11" t="s">
        <v>1286</v>
      </c>
      <c r="D126" s="11"/>
      <c r="E126" s="19">
        <v>450000</v>
      </c>
      <c r="F126" s="19">
        <v>59985</v>
      </c>
      <c r="G126" s="329">
        <v>509985</v>
      </c>
      <c r="H126" s="254">
        <v>10199.700000000001</v>
      </c>
      <c r="I126" s="159">
        <v>50</v>
      </c>
      <c r="J126" s="159">
        <v>1</v>
      </c>
      <c r="K126" s="16">
        <f t="shared" si="16"/>
        <v>10199.700000000001</v>
      </c>
      <c r="L126" s="94">
        <f t="shared" si="17"/>
        <v>499785.3</v>
      </c>
      <c r="M126" s="159">
        <f t="shared" si="18"/>
        <v>49</v>
      </c>
      <c r="N126" s="11"/>
      <c r="O126" s="11"/>
      <c r="P126" s="11"/>
    </row>
    <row r="127" spans="1:16" s="114" customFormat="1">
      <c r="A127" s="11" t="s">
        <v>1186</v>
      </c>
      <c r="B127" s="243">
        <v>122</v>
      </c>
      <c r="C127" s="11" t="s">
        <v>1281</v>
      </c>
      <c r="D127" s="11"/>
      <c r="E127" s="16">
        <v>500000</v>
      </c>
      <c r="F127" s="16">
        <v>66650</v>
      </c>
      <c r="G127" s="41">
        <f>SUM(E127:F127)</f>
        <v>566650</v>
      </c>
      <c r="H127" s="254">
        <v>11333</v>
      </c>
      <c r="I127" s="159">
        <v>50</v>
      </c>
      <c r="J127" s="159">
        <v>1</v>
      </c>
      <c r="K127" s="16">
        <f t="shared" si="16"/>
        <v>11333</v>
      </c>
      <c r="L127" s="94">
        <f t="shared" si="17"/>
        <v>555317</v>
      </c>
      <c r="M127" s="159">
        <f t="shared" si="18"/>
        <v>49</v>
      </c>
      <c r="N127" s="11"/>
      <c r="O127" s="11"/>
      <c r="P127" s="11"/>
    </row>
    <row r="128" spans="1:16" s="114" customFormat="1">
      <c r="A128" s="8" t="s">
        <v>1158</v>
      </c>
      <c r="B128" s="243">
        <v>123</v>
      </c>
      <c r="C128" s="8" t="s">
        <v>1287</v>
      </c>
      <c r="D128" s="8"/>
      <c r="E128" s="19">
        <v>450000</v>
      </c>
      <c r="F128" s="19">
        <v>59985</v>
      </c>
      <c r="G128" s="329">
        <v>509985</v>
      </c>
      <c r="H128" s="34">
        <v>10199.700000000001</v>
      </c>
      <c r="I128" s="159">
        <v>50</v>
      </c>
      <c r="J128" s="323">
        <v>1</v>
      </c>
      <c r="K128" s="16">
        <f t="shared" si="16"/>
        <v>10199.700000000001</v>
      </c>
      <c r="L128" s="94">
        <f t="shared" si="17"/>
        <v>499785.3</v>
      </c>
      <c r="M128" s="159">
        <f t="shared" si="18"/>
        <v>49</v>
      </c>
      <c r="N128" s="34"/>
      <c r="O128" s="34"/>
      <c r="P128" s="8"/>
    </row>
    <row r="129" spans="1:16" s="114" customFormat="1">
      <c r="A129" s="8" t="s">
        <v>1196</v>
      </c>
      <c r="B129" s="243">
        <v>124</v>
      </c>
      <c r="C129" s="8" t="s">
        <v>1280</v>
      </c>
      <c r="D129" s="8"/>
      <c r="E129" s="16">
        <v>500000</v>
      </c>
      <c r="F129" s="16">
        <v>66650</v>
      </c>
      <c r="G129" s="41">
        <f>SUM(E129:F129)</f>
        <v>566650</v>
      </c>
      <c r="H129" s="34">
        <v>11333</v>
      </c>
      <c r="I129" s="159">
        <v>50</v>
      </c>
      <c r="J129" s="323">
        <v>1</v>
      </c>
      <c r="K129" s="16">
        <f t="shared" si="16"/>
        <v>11333</v>
      </c>
      <c r="L129" s="94">
        <f t="shared" si="17"/>
        <v>555317</v>
      </c>
      <c r="M129" s="159">
        <f t="shared" si="18"/>
        <v>49</v>
      </c>
      <c r="N129" s="34"/>
      <c r="O129" s="34"/>
      <c r="P129" s="8"/>
    </row>
    <row r="130" spans="1:16" s="114" customFormat="1">
      <c r="A130" s="8" t="s">
        <v>1184</v>
      </c>
      <c r="B130" s="243">
        <v>125</v>
      </c>
      <c r="C130" s="8" t="s">
        <v>1285</v>
      </c>
      <c r="D130" s="8"/>
      <c r="E130" s="16">
        <v>500000</v>
      </c>
      <c r="F130" s="16">
        <v>66650</v>
      </c>
      <c r="G130" s="41">
        <f>SUM(E130:F130)</f>
        <v>566650</v>
      </c>
      <c r="H130" s="34">
        <v>11333</v>
      </c>
      <c r="I130" s="159">
        <v>50</v>
      </c>
      <c r="J130" s="323">
        <v>1</v>
      </c>
      <c r="K130" s="16">
        <f t="shared" si="16"/>
        <v>11333</v>
      </c>
      <c r="L130" s="94">
        <f t="shared" si="17"/>
        <v>555317</v>
      </c>
      <c r="M130" s="159">
        <f t="shared" si="18"/>
        <v>49</v>
      </c>
      <c r="N130" s="34"/>
      <c r="O130" s="34"/>
      <c r="P130" s="8"/>
    </row>
    <row r="131" spans="1:16" s="114" customFormat="1">
      <c r="A131" s="8" t="s">
        <v>1223</v>
      </c>
      <c r="B131" s="243">
        <v>126</v>
      </c>
      <c r="C131" s="8" t="s">
        <v>443</v>
      </c>
      <c r="D131" s="8"/>
      <c r="E131" s="19">
        <v>330000</v>
      </c>
      <c r="F131" s="19">
        <v>43989</v>
      </c>
      <c r="G131" s="329">
        <f>SUM(E131:F131)</f>
        <v>373989</v>
      </c>
      <c r="H131" s="34">
        <v>7479.78</v>
      </c>
      <c r="I131" s="159">
        <v>50</v>
      </c>
      <c r="J131" s="323">
        <v>1</v>
      </c>
      <c r="K131" s="16">
        <f t="shared" si="16"/>
        <v>7479.78</v>
      </c>
      <c r="L131" s="94">
        <f t="shared" si="17"/>
        <v>366509.22</v>
      </c>
      <c r="M131" s="159">
        <f t="shared" si="18"/>
        <v>49</v>
      </c>
      <c r="N131" s="34"/>
      <c r="O131" s="34"/>
      <c r="P131" s="8"/>
    </row>
    <row r="132" spans="1:16" s="114" customFormat="1">
      <c r="A132" s="295" t="s">
        <v>1188</v>
      </c>
      <c r="B132" s="243">
        <v>127</v>
      </c>
      <c r="C132" s="8" t="s">
        <v>1295</v>
      </c>
      <c r="D132" s="8"/>
      <c r="E132" s="19">
        <v>330000</v>
      </c>
      <c r="F132" s="19">
        <v>43989</v>
      </c>
      <c r="G132" s="329">
        <f>SUM(E132:F132)</f>
        <v>373989</v>
      </c>
      <c r="H132" s="13">
        <v>7479.78</v>
      </c>
      <c r="I132" s="159">
        <v>50</v>
      </c>
      <c r="J132" s="101">
        <v>1</v>
      </c>
      <c r="K132" s="16">
        <f t="shared" si="16"/>
        <v>7479.78</v>
      </c>
      <c r="L132" s="94">
        <f t="shared" si="17"/>
        <v>366509.22</v>
      </c>
      <c r="M132" s="159">
        <f t="shared" si="18"/>
        <v>49</v>
      </c>
      <c r="N132" s="101"/>
      <c r="O132" s="101"/>
      <c r="P132" s="8"/>
    </row>
    <row r="133" spans="1:16" s="114" customFormat="1">
      <c r="A133" s="295" t="s">
        <v>1199</v>
      </c>
      <c r="B133" s="243">
        <v>128</v>
      </c>
      <c r="C133" s="8" t="s">
        <v>449</v>
      </c>
      <c r="D133" s="8"/>
      <c r="E133" s="19">
        <v>450000</v>
      </c>
      <c r="F133" s="19">
        <v>59985</v>
      </c>
      <c r="G133" s="329">
        <v>509985</v>
      </c>
      <c r="H133" s="13">
        <v>10199.700000000001</v>
      </c>
      <c r="I133" s="159">
        <v>50</v>
      </c>
      <c r="J133" s="101">
        <v>1</v>
      </c>
      <c r="K133" s="16">
        <f t="shared" si="16"/>
        <v>10199.700000000001</v>
      </c>
      <c r="L133" s="94">
        <f t="shared" si="17"/>
        <v>499785.3</v>
      </c>
      <c r="M133" s="159">
        <f t="shared" si="18"/>
        <v>49</v>
      </c>
      <c r="N133" s="101"/>
      <c r="O133" s="101"/>
      <c r="P133" s="8"/>
    </row>
    <row r="134" spans="1:16" s="114" customFormat="1">
      <c r="A134" s="295" t="s">
        <v>1148</v>
      </c>
      <c r="B134" s="243">
        <v>129</v>
      </c>
      <c r="C134" s="126" t="s">
        <v>1283</v>
      </c>
      <c r="D134" s="8"/>
      <c r="E134" s="16">
        <v>500000</v>
      </c>
      <c r="F134" s="16">
        <v>66650</v>
      </c>
      <c r="G134" s="41">
        <f>SUM(E134:F134)</f>
        <v>566650</v>
      </c>
      <c r="H134" s="13">
        <v>11333</v>
      </c>
      <c r="I134" s="159">
        <v>50</v>
      </c>
      <c r="J134" s="101">
        <v>1</v>
      </c>
      <c r="K134" s="16">
        <f t="shared" si="16"/>
        <v>11333</v>
      </c>
      <c r="L134" s="94">
        <f t="shared" si="17"/>
        <v>555317</v>
      </c>
      <c r="M134" s="159">
        <f t="shared" si="18"/>
        <v>49</v>
      </c>
      <c r="N134" s="101"/>
      <c r="O134" s="101"/>
      <c r="P134" s="8"/>
    </row>
    <row r="135" spans="1:16" s="114" customFormat="1">
      <c r="A135" s="293"/>
      <c r="B135" s="243">
        <v>130</v>
      </c>
      <c r="C135" s="123" t="s">
        <v>1270</v>
      </c>
      <c r="D135" s="123"/>
      <c r="E135" s="19">
        <v>150000</v>
      </c>
      <c r="F135" s="19">
        <v>19995</v>
      </c>
      <c r="G135" s="19">
        <f>SUM(E135:F135)</f>
        <v>169995</v>
      </c>
      <c r="H135" s="317">
        <v>3399.9</v>
      </c>
      <c r="I135" s="159">
        <v>50</v>
      </c>
      <c r="J135" s="159">
        <v>32</v>
      </c>
      <c r="K135" s="16">
        <f>J135*H135</f>
        <v>108796.8</v>
      </c>
      <c r="L135" s="94">
        <f>G135-K135</f>
        <v>61198.2</v>
      </c>
      <c r="M135" s="159">
        <f>I135-J135</f>
        <v>18</v>
      </c>
      <c r="N135" s="159"/>
      <c r="O135" s="159"/>
      <c r="P135" s="11"/>
    </row>
    <row r="136" spans="1:16" s="114" customFormat="1">
      <c r="A136" s="293"/>
      <c r="B136" s="243">
        <v>131</v>
      </c>
      <c r="C136" s="123" t="s">
        <v>1272</v>
      </c>
      <c r="D136" s="123"/>
      <c r="E136" s="19">
        <v>450000</v>
      </c>
      <c r="F136" s="19">
        <v>59985</v>
      </c>
      <c r="G136" s="19">
        <v>509985</v>
      </c>
      <c r="H136" s="317">
        <v>10199.700000000001</v>
      </c>
      <c r="I136" s="159">
        <v>50</v>
      </c>
      <c r="J136" s="159">
        <v>6</v>
      </c>
      <c r="K136" s="16">
        <f>J136*H136</f>
        <v>61198.200000000004</v>
      </c>
      <c r="L136" s="94">
        <f>G136-K136</f>
        <v>448786.8</v>
      </c>
      <c r="M136" s="159">
        <f>I136-J136</f>
        <v>44</v>
      </c>
      <c r="N136" s="159"/>
      <c r="O136" s="159"/>
      <c r="P136" s="11"/>
    </row>
    <row r="137" spans="1:16" s="114" customFormat="1">
      <c r="A137" s="293"/>
      <c r="B137" s="243">
        <v>132</v>
      </c>
      <c r="C137" s="123" t="s">
        <v>1271</v>
      </c>
      <c r="D137" s="123"/>
      <c r="E137" s="19">
        <v>330000</v>
      </c>
      <c r="F137" s="19">
        <v>43989</v>
      </c>
      <c r="G137" s="19">
        <f>SUM(E137:F137)</f>
        <v>373989</v>
      </c>
      <c r="H137" s="317">
        <v>7479.78</v>
      </c>
      <c r="I137" s="159">
        <v>50</v>
      </c>
      <c r="J137" s="159">
        <v>6</v>
      </c>
      <c r="K137" s="16">
        <f>J137*H137</f>
        <v>44878.68</v>
      </c>
      <c r="L137" s="94">
        <f>G137-K137</f>
        <v>329110.32</v>
      </c>
      <c r="M137" s="159">
        <f>I137-J137</f>
        <v>44</v>
      </c>
      <c r="N137" s="159"/>
      <c r="O137" s="159"/>
      <c r="P137" s="11"/>
    </row>
    <row r="138" spans="1:16" s="114" customFormat="1">
      <c r="A138" s="293"/>
      <c r="B138" s="243">
        <v>133</v>
      </c>
      <c r="C138" s="123" t="s">
        <v>1268</v>
      </c>
      <c r="D138" s="123"/>
      <c r="E138" s="16">
        <v>500000</v>
      </c>
      <c r="F138" s="16">
        <v>66650</v>
      </c>
      <c r="G138" s="41">
        <f>SUM(E138:F138)</f>
        <v>566650</v>
      </c>
      <c r="H138" s="317">
        <v>11749.67</v>
      </c>
      <c r="I138" s="159">
        <v>50</v>
      </c>
      <c r="J138" s="159">
        <v>21</v>
      </c>
      <c r="K138" s="16">
        <f>J138*H138</f>
        <v>246743.07</v>
      </c>
      <c r="L138" s="94">
        <f>G138-K138</f>
        <v>319906.93</v>
      </c>
      <c r="M138" s="159">
        <f>I138-J138</f>
        <v>29</v>
      </c>
      <c r="N138" s="159"/>
      <c r="O138" s="159"/>
      <c r="P138" s="11"/>
    </row>
    <row r="139" spans="1:16" s="114" customFormat="1">
      <c r="A139" s="293"/>
      <c r="B139" s="243">
        <v>134</v>
      </c>
      <c r="C139" s="123" t="s">
        <v>1269</v>
      </c>
      <c r="D139" s="123"/>
      <c r="E139" s="19">
        <v>450000</v>
      </c>
      <c r="F139" s="19">
        <v>59985</v>
      </c>
      <c r="G139" s="19">
        <v>509985</v>
      </c>
      <c r="H139" s="317">
        <v>10199.700000000001</v>
      </c>
      <c r="I139" s="159">
        <v>50</v>
      </c>
      <c r="J139" s="159">
        <v>28</v>
      </c>
      <c r="K139" s="16">
        <f>J139*H139</f>
        <v>285591.60000000003</v>
      </c>
      <c r="L139" s="94">
        <f>G139-K139</f>
        <v>224393.39999999997</v>
      </c>
      <c r="M139" s="159">
        <f>I139-J139</f>
        <v>22</v>
      </c>
      <c r="N139" s="159"/>
      <c r="O139" s="159"/>
      <c r="P139" s="11"/>
    </row>
    <row r="140" spans="1:16" s="114" customFormat="1">
      <c r="A140" s="295"/>
      <c r="B140" s="126"/>
      <c r="C140" s="8"/>
      <c r="D140" s="8"/>
      <c r="E140" s="34">
        <f>SUM(E6:E139)</f>
        <v>56670000</v>
      </c>
      <c r="F140" s="34">
        <f>SUM(F6:F139)</f>
        <v>7523136.2000000002</v>
      </c>
      <c r="G140" s="34">
        <f>SUM(G6:G139)</f>
        <v>64393136.200000003</v>
      </c>
      <c r="H140" s="34">
        <f>SUM(H6:H139)</f>
        <v>1312123.3999999994</v>
      </c>
      <c r="I140" s="34"/>
      <c r="J140" s="34"/>
      <c r="K140" s="34">
        <f>SUM(K6:K139)</f>
        <v>27909321.359999996</v>
      </c>
      <c r="L140" s="34">
        <f>SUM(L6:L139)</f>
        <v>36483814.840000004</v>
      </c>
      <c r="M140" s="34"/>
      <c r="N140" s="34"/>
      <c r="O140" s="34"/>
      <c r="P140" s="8"/>
    </row>
    <row r="141" spans="1:16">
      <c r="C141" s="44"/>
    </row>
    <row r="142" spans="1:16">
      <c r="C142" s="44"/>
    </row>
    <row r="143" spans="1:16">
      <c r="C143" s="44"/>
    </row>
    <row r="144" spans="1:16" s="184" customFormat="1">
      <c r="A144" s="298"/>
      <c r="B144" s="44"/>
      <c r="C144" s="44"/>
      <c r="E144"/>
      <c r="F144"/>
      <c r="G144"/>
      <c r="H144"/>
      <c r="I144" s="43"/>
      <c r="J144" s="99"/>
      <c r="K144"/>
      <c r="L144"/>
      <c r="M144" s="99"/>
      <c r="N144" s="99"/>
      <c r="O144" s="99"/>
      <c r="P144"/>
    </row>
    <row r="145" spans="1:16" s="184" customFormat="1">
      <c r="A145" s="298"/>
      <c r="B145" s="44"/>
      <c r="C145" s="44"/>
      <c r="E145"/>
      <c r="F145"/>
      <c r="G145"/>
      <c r="H145"/>
      <c r="I145" s="43"/>
      <c r="J145" s="99"/>
      <c r="K145"/>
      <c r="L145"/>
      <c r="M145" s="99"/>
      <c r="N145" s="99"/>
      <c r="O145" s="99"/>
      <c r="P145"/>
    </row>
    <row r="146" spans="1:16" s="184" customFormat="1">
      <c r="A146" s="298"/>
      <c r="B146" s="44"/>
      <c r="C146" s="44"/>
      <c r="E146"/>
      <c r="F146"/>
      <c r="G146"/>
      <c r="H146"/>
      <c r="I146" s="43"/>
      <c r="J146" s="99"/>
      <c r="K146"/>
      <c r="L146"/>
      <c r="M146" s="99"/>
      <c r="N146" s="99"/>
      <c r="O146" s="99"/>
      <c r="P146"/>
    </row>
    <row r="147" spans="1:16" s="184" customFormat="1">
      <c r="A147" s="298"/>
      <c r="B147" s="44"/>
      <c r="C147" s="44"/>
      <c r="E147"/>
      <c r="F147"/>
      <c r="G147"/>
      <c r="H147"/>
      <c r="I147" s="43"/>
      <c r="J147" s="99"/>
      <c r="K147"/>
      <c r="L147"/>
      <c r="M147" s="99"/>
      <c r="N147" s="99"/>
      <c r="O147" s="99"/>
      <c r="P147"/>
    </row>
    <row r="148" spans="1:16" s="184" customFormat="1">
      <c r="A148" s="298"/>
      <c r="B148" s="44"/>
      <c r="C148" s="44"/>
      <c r="E148"/>
      <c r="F148"/>
      <c r="G148"/>
      <c r="H148"/>
      <c r="I148" s="43"/>
      <c r="J148" s="99"/>
      <c r="K148"/>
      <c r="L148"/>
      <c r="M148" s="99"/>
      <c r="N148" s="99"/>
      <c r="O148" s="99"/>
      <c r="P148"/>
    </row>
    <row r="149" spans="1:16" s="184" customFormat="1">
      <c r="A149" s="298"/>
      <c r="B149" s="44"/>
      <c r="C149" s="44"/>
      <c r="E149"/>
      <c r="F149"/>
      <c r="G149"/>
      <c r="H149"/>
      <c r="I149" s="43"/>
      <c r="J149" s="99"/>
      <c r="K149"/>
      <c r="L149"/>
      <c r="M149" s="99"/>
      <c r="N149" s="99"/>
      <c r="O149" s="99"/>
      <c r="P149"/>
    </row>
    <row r="150" spans="1:16" s="184" customFormat="1">
      <c r="A150" s="298"/>
      <c r="B150" s="44"/>
      <c r="C150" s="44"/>
      <c r="E150"/>
      <c r="F150"/>
      <c r="G150"/>
      <c r="H150"/>
      <c r="I150" s="43"/>
      <c r="J150" s="99"/>
      <c r="K150"/>
      <c r="L150"/>
      <c r="M150" s="99"/>
      <c r="N150" s="99"/>
      <c r="O150" s="99"/>
      <c r="P150"/>
    </row>
    <row r="151" spans="1:16" s="184" customFormat="1">
      <c r="A151" s="298"/>
      <c r="B151" s="44"/>
      <c r="C151" s="44"/>
      <c r="E151"/>
      <c r="F151"/>
      <c r="G151"/>
      <c r="H151"/>
      <c r="I151" s="43"/>
      <c r="J151" s="99"/>
      <c r="K151"/>
      <c r="L151"/>
      <c r="M151" s="99"/>
      <c r="N151" s="99"/>
      <c r="O151" s="99"/>
      <c r="P151"/>
    </row>
    <row r="152" spans="1:16" s="184" customFormat="1">
      <c r="A152" s="298"/>
      <c r="B152" s="44"/>
      <c r="C152" s="44"/>
      <c r="E152"/>
      <c r="F152"/>
      <c r="G152"/>
      <c r="H152"/>
      <c r="I152" s="43"/>
      <c r="J152" s="99"/>
      <c r="K152"/>
      <c r="L152"/>
      <c r="M152" s="99"/>
      <c r="N152" s="99"/>
      <c r="O152" s="99"/>
      <c r="P152"/>
    </row>
    <row r="153" spans="1:16" s="184" customFormat="1">
      <c r="A153" s="298"/>
      <c r="B153" s="44"/>
      <c r="C153" s="44"/>
      <c r="E153"/>
      <c r="F153"/>
      <c r="G153"/>
      <c r="H153"/>
      <c r="I153" s="43"/>
      <c r="J153" s="99"/>
      <c r="K153"/>
      <c r="L153"/>
      <c r="M153" s="99"/>
      <c r="N153" s="99"/>
      <c r="O153" s="99"/>
      <c r="P153"/>
    </row>
    <row r="154" spans="1:16" s="184" customFormat="1">
      <c r="A154" s="298"/>
      <c r="B154" s="44"/>
      <c r="C154" s="44"/>
      <c r="E154"/>
      <c r="F154"/>
      <c r="G154"/>
      <c r="H154"/>
      <c r="I154" s="43"/>
      <c r="J154" s="99"/>
      <c r="K154"/>
      <c r="L154"/>
      <c r="M154" s="99"/>
      <c r="N154" s="99"/>
      <c r="O154" s="99"/>
      <c r="P154"/>
    </row>
    <row r="155" spans="1:16" s="184" customFormat="1">
      <c r="A155" s="298"/>
      <c r="B155" s="44"/>
      <c r="C155" s="44"/>
      <c r="E155"/>
      <c r="F155"/>
      <c r="G155"/>
      <c r="H155"/>
      <c r="I155" s="43"/>
      <c r="J155" s="99"/>
      <c r="K155"/>
      <c r="L155"/>
      <c r="M155" s="99"/>
      <c r="N155" s="99"/>
      <c r="O155" s="99"/>
      <c r="P155"/>
    </row>
    <row r="156" spans="1:16" s="184" customFormat="1">
      <c r="A156" s="298"/>
      <c r="B156" s="44"/>
      <c r="C156" s="44"/>
      <c r="E156"/>
      <c r="F156"/>
      <c r="G156"/>
      <c r="H156"/>
      <c r="I156" s="43"/>
      <c r="J156" s="99"/>
      <c r="K156"/>
      <c r="L156"/>
      <c r="M156" s="99"/>
      <c r="N156" s="99"/>
      <c r="O156" s="99"/>
      <c r="P156"/>
    </row>
    <row r="157" spans="1:16" s="184" customFormat="1">
      <c r="A157" s="298"/>
      <c r="B157" s="44"/>
      <c r="C157" s="44"/>
      <c r="E157"/>
      <c r="F157"/>
      <c r="G157"/>
      <c r="H157"/>
      <c r="I157" s="43"/>
      <c r="J157" s="99"/>
      <c r="K157"/>
      <c r="L157"/>
      <c r="M157" s="99"/>
      <c r="N157" s="99"/>
      <c r="O157" s="99"/>
      <c r="P157"/>
    </row>
    <row r="158" spans="1:16" s="184" customFormat="1">
      <c r="A158" s="298"/>
      <c r="B158" s="44"/>
      <c r="C158" s="44"/>
      <c r="E158"/>
      <c r="F158"/>
      <c r="G158"/>
      <c r="H158"/>
      <c r="I158" s="43"/>
      <c r="J158" s="99"/>
      <c r="K158"/>
      <c r="L158"/>
      <c r="M158" s="99"/>
      <c r="N158" s="99"/>
      <c r="O158" s="99"/>
      <c r="P158"/>
    </row>
    <row r="159" spans="1:16" s="184" customFormat="1">
      <c r="A159" s="298"/>
      <c r="B159" s="44"/>
      <c r="C159" s="44"/>
      <c r="E159"/>
      <c r="F159"/>
      <c r="G159"/>
      <c r="H159"/>
      <c r="I159" s="43"/>
      <c r="J159" s="99"/>
      <c r="K159"/>
      <c r="L159"/>
      <c r="M159" s="99"/>
      <c r="N159" s="99"/>
      <c r="O159" s="99"/>
      <c r="P159"/>
    </row>
    <row r="160" spans="1:16" s="184" customFormat="1">
      <c r="A160" s="298"/>
      <c r="B160" s="44"/>
      <c r="C160" s="44"/>
      <c r="E160"/>
      <c r="F160"/>
      <c r="G160"/>
      <c r="H160"/>
      <c r="I160" s="43"/>
      <c r="J160" s="99"/>
      <c r="K160"/>
      <c r="L160"/>
      <c r="M160" s="99"/>
      <c r="N160" s="99"/>
      <c r="O160" s="99"/>
      <c r="P160"/>
    </row>
    <row r="161" spans="1:16" s="184" customFormat="1">
      <c r="A161" s="298"/>
      <c r="B161" s="44"/>
      <c r="C161" s="44"/>
      <c r="E161"/>
      <c r="F161"/>
      <c r="G161"/>
      <c r="H161"/>
      <c r="I161" s="43"/>
      <c r="J161" s="99"/>
      <c r="K161"/>
      <c r="L161"/>
      <c r="M161" s="99"/>
      <c r="N161" s="99"/>
      <c r="O161" s="99"/>
      <c r="P161"/>
    </row>
    <row r="162" spans="1:16" s="184" customFormat="1">
      <c r="A162" s="298"/>
      <c r="B162" s="44"/>
      <c r="C162" s="44"/>
      <c r="E162"/>
      <c r="F162"/>
      <c r="G162"/>
      <c r="H162"/>
      <c r="I162" s="43"/>
      <c r="J162" s="99"/>
      <c r="K162"/>
      <c r="L162"/>
      <c r="M162" s="99"/>
      <c r="N162" s="99"/>
      <c r="O162" s="99"/>
      <c r="P162"/>
    </row>
    <row r="163" spans="1:16" s="184" customFormat="1">
      <c r="A163" s="298"/>
      <c r="B163" s="44"/>
      <c r="C163" s="44"/>
      <c r="E163"/>
      <c r="F163"/>
      <c r="G163"/>
      <c r="H163"/>
      <c r="I163" s="43"/>
      <c r="J163" s="99"/>
      <c r="K163"/>
      <c r="L163"/>
      <c r="M163" s="99"/>
      <c r="N163" s="99"/>
      <c r="O163" s="99"/>
      <c r="P163"/>
    </row>
    <row r="164" spans="1:16" s="184" customFormat="1">
      <c r="A164" s="298"/>
      <c r="B164" s="44"/>
      <c r="C164" s="44"/>
      <c r="E164"/>
      <c r="F164"/>
      <c r="G164"/>
      <c r="H164"/>
      <c r="I164" s="43"/>
      <c r="J164" s="99"/>
      <c r="K164"/>
      <c r="L164"/>
      <c r="M164" s="99"/>
      <c r="N164" s="99"/>
      <c r="O164" s="99"/>
      <c r="P164"/>
    </row>
    <row r="165" spans="1:16" s="184" customFormat="1">
      <c r="A165" s="298"/>
      <c r="B165" s="44"/>
      <c r="C165" s="44"/>
      <c r="E165"/>
      <c r="F165"/>
      <c r="G165"/>
      <c r="H165"/>
      <c r="I165" s="43"/>
      <c r="J165" s="99"/>
      <c r="K165"/>
      <c r="L165"/>
      <c r="M165" s="99"/>
      <c r="N165" s="99"/>
      <c r="O165" s="99"/>
      <c r="P165"/>
    </row>
    <row r="166" spans="1:16" s="184" customFormat="1">
      <c r="A166" s="298"/>
      <c r="B166" s="44"/>
      <c r="C166" s="44"/>
      <c r="E166"/>
      <c r="F166"/>
      <c r="G166"/>
      <c r="H166"/>
      <c r="I166" s="43"/>
      <c r="J166" s="99"/>
      <c r="K166"/>
      <c r="L166"/>
      <c r="M166" s="99"/>
      <c r="N166" s="99"/>
      <c r="O166" s="99"/>
      <c r="P166"/>
    </row>
    <row r="167" spans="1:16" s="184" customFormat="1">
      <c r="A167" s="298"/>
      <c r="B167" s="44"/>
      <c r="C167" s="44"/>
      <c r="E167"/>
      <c r="F167"/>
      <c r="G167"/>
      <c r="H167"/>
      <c r="I167" s="43"/>
      <c r="J167" s="99"/>
      <c r="K167"/>
      <c r="L167"/>
      <c r="M167" s="99"/>
      <c r="N167" s="99"/>
      <c r="O167" s="99"/>
      <c r="P167"/>
    </row>
    <row r="168" spans="1:16" s="184" customFormat="1">
      <c r="A168" s="298"/>
      <c r="B168" s="44"/>
      <c r="C168" s="44"/>
      <c r="E168"/>
      <c r="F168"/>
      <c r="G168"/>
      <c r="H168"/>
      <c r="I168" s="43"/>
      <c r="J168" s="99"/>
      <c r="K168"/>
      <c r="L168"/>
      <c r="M168" s="99"/>
      <c r="N168" s="99"/>
      <c r="O168" s="99"/>
      <c r="P168"/>
    </row>
    <row r="169" spans="1:16" s="184" customFormat="1">
      <c r="A169" s="298"/>
      <c r="B169" s="44"/>
      <c r="C169" s="44"/>
      <c r="E169"/>
      <c r="F169"/>
      <c r="G169"/>
      <c r="H169"/>
      <c r="I169" s="43"/>
      <c r="J169" s="99"/>
      <c r="K169"/>
      <c r="L169"/>
      <c r="M169" s="99"/>
      <c r="N169" s="99"/>
      <c r="O169" s="99"/>
      <c r="P169"/>
    </row>
    <row r="170" spans="1:16" s="184" customFormat="1">
      <c r="A170" s="298"/>
      <c r="B170" s="44"/>
      <c r="C170" s="44"/>
      <c r="E170"/>
      <c r="F170"/>
      <c r="G170"/>
      <c r="H170"/>
      <c r="I170" s="43"/>
      <c r="J170" s="99"/>
      <c r="K170"/>
      <c r="L170"/>
      <c r="M170" s="99"/>
      <c r="N170" s="99"/>
      <c r="O170" s="99"/>
      <c r="P170"/>
    </row>
    <row r="171" spans="1:16" s="184" customFormat="1">
      <c r="A171" s="298"/>
      <c r="B171" s="44"/>
      <c r="C171" s="44"/>
      <c r="E171"/>
      <c r="F171"/>
      <c r="G171"/>
      <c r="H171"/>
      <c r="I171" s="43"/>
      <c r="J171" s="99"/>
      <c r="K171"/>
      <c r="L171"/>
      <c r="M171" s="99"/>
      <c r="N171" s="99"/>
      <c r="O171" s="99"/>
      <c r="P171"/>
    </row>
    <row r="172" spans="1:16" s="184" customFormat="1">
      <c r="A172" s="298"/>
      <c r="B172" s="44"/>
      <c r="C172" s="44"/>
      <c r="E172"/>
      <c r="F172"/>
      <c r="G172"/>
      <c r="H172"/>
      <c r="I172" s="43"/>
      <c r="J172" s="99"/>
      <c r="K172"/>
      <c r="L172"/>
      <c r="M172" s="99"/>
      <c r="N172" s="99"/>
      <c r="O172" s="99"/>
      <c r="P172"/>
    </row>
    <row r="173" spans="1:16" s="184" customFormat="1">
      <c r="A173" s="298"/>
      <c r="B173" s="44"/>
      <c r="C173" s="44"/>
      <c r="E173"/>
      <c r="F173"/>
      <c r="G173"/>
      <c r="H173"/>
      <c r="I173" s="43"/>
      <c r="J173" s="99"/>
      <c r="K173"/>
      <c r="L173"/>
      <c r="M173" s="99"/>
      <c r="N173" s="99"/>
      <c r="O173" s="99"/>
      <c r="P173"/>
    </row>
    <row r="174" spans="1:16" s="184" customFormat="1">
      <c r="A174" s="298"/>
      <c r="B174" s="44"/>
      <c r="C174" s="44"/>
      <c r="E174"/>
      <c r="F174"/>
      <c r="G174"/>
      <c r="H174"/>
      <c r="I174" s="43"/>
      <c r="J174" s="99"/>
      <c r="K174"/>
      <c r="L174"/>
      <c r="M174" s="99"/>
      <c r="N174" s="99"/>
      <c r="O174" s="99"/>
      <c r="P174"/>
    </row>
    <row r="175" spans="1:16" s="184" customFormat="1">
      <c r="A175" s="298"/>
      <c r="B175" s="44"/>
      <c r="C175" s="44"/>
      <c r="E175"/>
      <c r="F175"/>
      <c r="G175"/>
      <c r="H175"/>
      <c r="I175" s="43"/>
      <c r="J175" s="99"/>
      <c r="K175"/>
      <c r="L175"/>
      <c r="M175" s="99"/>
      <c r="N175" s="99"/>
      <c r="O175" s="99"/>
      <c r="P175"/>
    </row>
    <row r="176" spans="1:16" s="184" customFormat="1">
      <c r="A176" s="298"/>
      <c r="B176" s="44"/>
      <c r="C176" s="44"/>
      <c r="E176"/>
      <c r="F176"/>
      <c r="G176"/>
      <c r="H176"/>
      <c r="I176" s="43"/>
      <c r="J176" s="99"/>
      <c r="K176"/>
      <c r="L176"/>
      <c r="M176" s="99"/>
      <c r="N176" s="99"/>
      <c r="O176" s="99"/>
      <c r="P176"/>
    </row>
    <row r="177" spans="1:16" s="184" customFormat="1">
      <c r="A177" s="298"/>
      <c r="B177" s="44"/>
      <c r="C177" s="44"/>
      <c r="E177"/>
      <c r="F177"/>
      <c r="G177"/>
      <c r="H177"/>
      <c r="I177" s="43"/>
      <c r="J177" s="99"/>
      <c r="K177"/>
      <c r="L177"/>
      <c r="M177" s="99"/>
      <c r="N177" s="99"/>
      <c r="O177" s="99"/>
      <c r="P177"/>
    </row>
    <row r="178" spans="1:16" s="184" customFormat="1">
      <c r="A178" s="298"/>
      <c r="B178" s="44"/>
      <c r="C178" s="44"/>
      <c r="E178"/>
      <c r="F178"/>
      <c r="G178"/>
      <c r="H178"/>
      <c r="I178" s="43"/>
      <c r="J178" s="99"/>
      <c r="K178"/>
      <c r="L178"/>
      <c r="M178" s="99"/>
      <c r="N178" s="99"/>
      <c r="O178" s="99"/>
      <c r="P178"/>
    </row>
    <row r="179" spans="1:16" s="184" customFormat="1">
      <c r="A179" s="298"/>
      <c r="B179" s="44"/>
      <c r="C179" s="44"/>
      <c r="E179"/>
      <c r="F179"/>
      <c r="G179"/>
      <c r="H179"/>
      <c r="I179" s="43"/>
      <c r="J179" s="99"/>
      <c r="K179"/>
      <c r="L179"/>
      <c r="M179" s="99"/>
      <c r="N179" s="99"/>
      <c r="O179" s="99"/>
      <c r="P179"/>
    </row>
    <row r="180" spans="1:16" s="184" customFormat="1">
      <c r="A180" s="298"/>
      <c r="B180" s="44"/>
      <c r="C180" s="44"/>
      <c r="E180"/>
      <c r="F180"/>
      <c r="G180"/>
      <c r="H180"/>
      <c r="I180" s="43"/>
      <c r="J180" s="99"/>
      <c r="K180"/>
      <c r="L180"/>
      <c r="M180" s="99"/>
      <c r="N180" s="99"/>
      <c r="O180" s="99"/>
      <c r="P180"/>
    </row>
    <row r="181" spans="1:16" s="184" customFormat="1">
      <c r="A181" s="298"/>
      <c r="B181" s="44"/>
      <c r="C181" s="44"/>
      <c r="E181"/>
      <c r="F181"/>
      <c r="G181"/>
      <c r="H181"/>
      <c r="I181" s="43"/>
      <c r="J181" s="99"/>
      <c r="K181"/>
      <c r="L181"/>
      <c r="M181" s="99"/>
      <c r="N181" s="99"/>
      <c r="O181" s="99"/>
      <c r="P181"/>
    </row>
    <row r="182" spans="1:16" s="184" customFormat="1">
      <c r="A182" s="298"/>
      <c r="B182" s="44"/>
      <c r="C182" s="44"/>
      <c r="E182"/>
      <c r="F182"/>
      <c r="G182"/>
      <c r="H182"/>
      <c r="I182" s="43"/>
      <c r="J182" s="99"/>
      <c r="K182"/>
      <c r="L182"/>
      <c r="M182" s="99"/>
      <c r="N182" s="99"/>
      <c r="O182" s="99"/>
      <c r="P182"/>
    </row>
    <row r="183" spans="1:16" s="184" customFormat="1">
      <c r="A183" s="298"/>
      <c r="B183" s="44"/>
      <c r="C183" s="44"/>
      <c r="E183"/>
      <c r="F183"/>
      <c r="G183"/>
      <c r="H183"/>
      <c r="I183" s="43"/>
      <c r="J183" s="99"/>
      <c r="K183"/>
      <c r="L183"/>
      <c r="M183" s="99"/>
      <c r="N183" s="99"/>
      <c r="O183" s="99"/>
      <c r="P183"/>
    </row>
    <row r="184" spans="1:16" s="184" customFormat="1">
      <c r="A184" s="298"/>
      <c r="B184" s="44"/>
      <c r="C184" s="44"/>
      <c r="E184"/>
      <c r="F184"/>
      <c r="G184"/>
      <c r="H184"/>
      <c r="I184" s="43"/>
      <c r="J184" s="99"/>
      <c r="K184"/>
      <c r="L184"/>
      <c r="M184" s="99"/>
      <c r="N184" s="99"/>
      <c r="O184" s="99"/>
      <c r="P184"/>
    </row>
    <row r="185" spans="1:16" s="184" customFormat="1">
      <c r="A185" s="298"/>
      <c r="B185" s="44"/>
      <c r="C185" s="44"/>
      <c r="E185"/>
      <c r="F185"/>
      <c r="G185"/>
      <c r="H185"/>
      <c r="I185" s="43"/>
      <c r="J185" s="99"/>
      <c r="K185"/>
      <c r="L185"/>
      <c r="M185" s="99"/>
      <c r="N185" s="99"/>
      <c r="O185" s="99"/>
      <c r="P185"/>
    </row>
    <row r="186" spans="1:16" s="184" customFormat="1">
      <c r="A186" s="298"/>
      <c r="B186" s="44"/>
      <c r="C186" s="44"/>
      <c r="E186"/>
      <c r="F186"/>
      <c r="G186"/>
      <c r="H186"/>
      <c r="I186" s="43"/>
      <c r="J186" s="99"/>
      <c r="K186"/>
      <c r="L186"/>
      <c r="M186" s="99"/>
      <c r="N186" s="99"/>
      <c r="O186" s="99"/>
      <c r="P186"/>
    </row>
    <row r="187" spans="1:16" s="184" customFormat="1">
      <c r="A187" s="298"/>
      <c r="B187" s="44"/>
      <c r="C187" s="44"/>
      <c r="E187"/>
      <c r="F187"/>
      <c r="G187"/>
      <c r="H187"/>
      <c r="I187" s="43"/>
      <c r="J187" s="99"/>
      <c r="K187"/>
      <c r="L187"/>
      <c r="M187" s="99"/>
      <c r="N187" s="99"/>
      <c r="O187" s="99"/>
      <c r="P187"/>
    </row>
    <row r="188" spans="1:16" s="184" customFormat="1">
      <c r="A188" s="298"/>
      <c r="B188" s="44"/>
      <c r="C188" s="44"/>
      <c r="E188"/>
      <c r="F188"/>
      <c r="G188"/>
      <c r="H188"/>
      <c r="I188" s="43"/>
      <c r="J188" s="99"/>
      <c r="K188"/>
      <c r="L188"/>
      <c r="M188" s="99"/>
      <c r="N188" s="99"/>
      <c r="O188" s="99"/>
      <c r="P188"/>
    </row>
    <row r="189" spans="1:16" s="184" customFormat="1">
      <c r="A189" s="298"/>
      <c r="B189" s="44"/>
      <c r="C189" s="44"/>
      <c r="E189"/>
      <c r="F189"/>
      <c r="G189"/>
      <c r="H189"/>
      <c r="I189" s="43"/>
      <c r="J189" s="99"/>
      <c r="K189"/>
      <c r="L189"/>
      <c r="M189" s="99"/>
      <c r="N189" s="99"/>
      <c r="O189" s="99"/>
      <c r="P189"/>
    </row>
    <row r="190" spans="1:16" s="184" customFormat="1">
      <c r="A190" s="298"/>
      <c r="B190" s="44"/>
      <c r="C190" s="44"/>
      <c r="E190"/>
      <c r="F190"/>
      <c r="G190"/>
      <c r="H190"/>
      <c r="I190" s="43"/>
      <c r="J190" s="99"/>
      <c r="K190"/>
      <c r="L190"/>
      <c r="M190" s="99"/>
      <c r="N190" s="99"/>
      <c r="O190" s="99"/>
      <c r="P190"/>
    </row>
    <row r="191" spans="1:16" s="184" customFormat="1">
      <c r="A191" s="298"/>
      <c r="B191" s="44"/>
      <c r="C191" s="44"/>
      <c r="E191"/>
      <c r="F191"/>
      <c r="G191"/>
      <c r="H191"/>
      <c r="I191" s="43"/>
      <c r="J191" s="99"/>
      <c r="K191"/>
      <c r="L191"/>
      <c r="M191" s="99"/>
      <c r="N191" s="99"/>
      <c r="O191" s="99"/>
      <c r="P191"/>
    </row>
    <row r="192" spans="1:16" s="184" customFormat="1">
      <c r="A192" s="298"/>
      <c r="B192" s="44"/>
      <c r="C192" s="44"/>
      <c r="E192"/>
      <c r="F192"/>
      <c r="G192"/>
      <c r="H192"/>
      <c r="I192" s="43"/>
      <c r="J192" s="99"/>
      <c r="K192"/>
      <c r="L192"/>
      <c r="M192" s="99"/>
      <c r="N192" s="99"/>
      <c r="O192" s="99"/>
      <c r="P192"/>
    </row>
    <row r="193" spans="1:16" s="184" customFormat="1">
      <c r="A193" s="298"/>
      <c r="B193" s="44"/>
      <c r="C193" s="44"/>
      <c r="E193"/>
      <c r="F193"/>
      <c r="G193"/>
      <c r="H193"/>
      <c r="I193" s="43"/>
      <c r="J193" s="99"/>
      <c r="K193"/>
      <c r="L193"/>
      <c r="M193" s="99"/>
      <c r="N193" s="99"/>
      <c r="O193" s="99"/>
      <c r="P193"/>
    </row>
    <row r="194" spans="1:16" s="184" customFormat="1">
      <c r="A194" s="298"/>
      <c r="B194" s="44"/>
      <c r="C194" s="44"/>
      <c r="E194"/>
      <c r="F194"/>
      <c r="G194"/>
      <c r="H194"/>
      <c r="I194" s="43"/>
      <c r="J194" s="99"/>
      <c r="K194"/>
      <c r="L194"/>
      <c r="M194" s="99"/>
      <c r="N194" s="99"/>
      <c r="O194" s="99"/>
      <c r="P194"/>
    </row>
    <row r="195" spans="1:16" s="184" customFormat="1">
      <c r="A195" s="298"/>
      <c r="B195" s="44"/>
      <c r="C195" s="44"/>
      <c r="E195"/>
      <c r="F195"/>
      <c r="G195"/>
      <c r="H195"/>
      <c r="I195" s="43"/>
      <c r="J195" s="99"/>
      <c r="K195"/>
      <c r="L195"/>
      <c r="M195" s="99"/>
      <c r="N195" s="99"/>
      <c r="O195" s="99"/>
      <c r="P195"/>
    </row>
    <row r="196" spans="1:16" s="184" customFormat="1">
      <c r="A196" s="298"/>
      <c r="B196" s="44"/>
      <c r="C196" s="44"/>
      <c r="E196"/>
      <c r="F196"/>
      <c r="G196"/>
      <c r="H196"/>
      <c r="I196" s="43"/>
      <c r="J196" s="99"/>
      <c r="K196"/>
      <c r="L196"/>
      <c r="M196" s="99"/>
      <c r="N196" s="99"/>
      <c r="O196" s="99"/>
      <c r="P196"/>
    </row>
    <row r="197" spans="1:16" s="184" customFormat="1">
      <c r="A197" s="298"/>
      <c r="B197" s="44"/>
      <c r="C197" s="44"/>
      <c r="E197"/>
      <c r="F197"/>
      <c r="G197"/>
      <c r="H197"/>
      <c r="I197" s="43"/>
      <c r="J197" s="99"/>
      <c r="K197"/>
      <c r="L197"/>
      <c r="M197" s="99"/>
      <c r="N197" s="99"/>
      <c r="O197" s="99"/>
      <c r="P197"/>
    </row>
    <row r="198" spans="1:16" s="184" customFormat="1">
      <c r="A198" s="298"/>
      <c r="B198" s="44"/>
      <c r="C198" s="44"/>
      <c r="E198"/>
      <c r="F198"/>
      <c r="G198"/>
      <c r="H198"/>
      <c r="I198" s="43"/>
      <c r="J198" s="99"/>
      <c r="K198"/>
      <c r="L198"/>
      <c r="M198" s="99"/>
      <c r="N198" s="99"/>
      <c r="O198" s="99"/>
      <c r="P198"/>
    </row>
    <row r="199" spans="1:16" s="184" customFormat="1">
      <c r="A199" s="298"/>
      <c r="B199" s="44"/>
      <c r="C199" s="44"/>
      <c r="E199"/>
      <c r="F199"/>
      <c r="G199"/>
      <c r="H199"/>
      <c r="I199" s="43"/>
      <c r="J199" s="99"/>
      <c r="K199"/>
      <c r="L199"/>
      <c r="M199" s="99"/>
      <c r="N199" s="99"/>
      <c r="O199" s="99"/>
      <c r="P199"/>
    </row>
    <row r="200" spans="1:16" s="184" customFormat="1">
      <c r="A200" s="298"/>
      <c r="B200" s="44"/>
      <c r="C200" s="44"/>
      <c r="E200"/>
      <c r="F200"/>
      <c r="G200"/>
      <c r="H200"/>
      <c r="I200" s="43"/>
      <c r="J200" s="99"/>
      <c r="K200"/>
      <c r="L200"/>
      <c r="M200" s="99"/>
      <c r="N200" s="99"/>
      <c r="O200" s="99"/>
      <c r="P200"/>
    </row>
    <row r="201" spans="1:16" s="184" customFormat="1">
      <c r="A201" s="298"/>
      <c r="B201" s="44"/>
      <c r="C201" s="44"/>
      <c r="E201"/>
      <c r="F201"/>
      <c r="G201"/>
      <c r="H201"/>
      <c r="I201" s="43"/>
      <c r="J201" s="99"/>
      <c r="K201"/>
      <c r="L201"/>
      <c r="M201" s="99"/>
      <c r="N201" s="99"/>
      <c r="O201" s="99"/>
      <c r="P201"/>
    </row>
    <row r="202" spans="1:16" s="184" customFormat="1">
      <c r="A202" s="298"/>
      <c r="B202" s="44"/>
      <c r="C202" s="44"/>
      <c r="E202"/>
      <c r="F202"/>
      <c r="G202"/>
      <c r="H202"/>
      <c r="I202" s="43"/>
      <c r="J202" s="99"/>
      <c r="K202"/>
      <c r="L202"/>
      <c r="M202" s="99"/>
      <c r="N202" s="99"/>
      <c r="O202" s="99"/>
      <c r="P202"/>
    </row>
    <row r="203" spans="1:16" s="184" customFormat="1">
      <c r="A203" s="298"/>
      <c r="B203" s="44"/>
      <c r="C203" s="44"/>
      <c r="E203"/>
      <c r="F203"/>
      <c r="G203"/>
      <c r="H203"/>
      <c r="I203" s="43"/>
      <c r="J203" s="99"/>
      <c r="K203"/>
      <c r="L203"/>
      <c r="M203" s="99"/>
      <c r="N203" s="99"/>
      <c r="O203" s="99"/>
      <c r="P203"/>
    </row>
    <row r="204" spans="1:16" s="184" customFormat="1">
      <c r="A204" s="298"/>
      <c r="B204" s="44"/>
      <c r="C204" s="44"/>
      <c r="E204"/>
      <c r="F204"/>
      <c r="G204"/>
      <c r="H204"/>
      <c r="I204" s="43"/>
      <c r="J204" s="99"/>
      <c r="K204"/>
      <c r="L204"/>
      <c r="M204" s="99"/>
      <c r="N204" s="99"/>
      <c r="O204" s="99"/>
      <c r="P204"/>
    </row>
    <row r="205" spans="1:16" s="184" customFormat="1">
      <c r="A205" s="298"/>
      <c r="B205" s="44"/>
      <c r="C205" s="44"/>
      <c r="E205"/>
      <c r="F205"/>
      <c r="G205"/>
      <c r="H205"/>
      <c r="I205" s="43"/>
      <c r="J205" s="99"/>
      <c r="K205"/>
      <c r="L205"/>
      <c r="M205" s="99"/>
      <c r="N205" s="99"/>
      <c r="O205" s="99"/>
      <c r="P205"/>
    </row>
    <row r="206" spans="1:16" s="184" customFormat="1">
      <c r="A206" s="298"/>
      <c r="B206" s="44"/>
      <c r="C206" s="44"/>
      <c r="E206"/>
      <c r="F206"/>
      <c r="G206"/>
      <c r="H206"/>
      <c r="I206" s="43"/>
      <c r="J206" s="99"/>
      <c r="K206"/>
      <c r="L206"/>
      <c r="M206" s="99"/>
      <c r="N206" s="99"/>
      <c r="O206" s="99"/>
      <c r="P206"/>
    </row>
    <row r="207" spans="1:16" s="184" customFormat="1">
      <c r="A207" s="298"/>
      <c r="B207" s="44"/>
      <c r="C207" s="44"/>
      <c r="E207"/>
      <c r="F207"/>
      <c r="G207"/>
      <c r="H207"/>
      <c r="I207" s="43"/>
      <c r="J207" s="99"/>
      <c r="K207"/>
      <c r="L207"/>
      <c r="M207" s="99"/>
      <c r="N207" s="99"/>
      <c r="O207" s="99"/>
      <c r="P207"/>
    </row>
    <row r="208" spans="1:16" s="184" customFormat="1">
      <c r="A208" s="298"/>
      <c r="B208" s="44"/>
      <c r="C208" s="44"/>
      <c r="E208"/>
      <c r="F208"/>
      <c r="G208"/>
      <c r="H208"/>
      <c r="I208" s="43"/>
      <c r="J208" s="99"/>
      <c r="K208"/>
      <c r="L208"/>
      <c r="M208" s="99"/>
      <c r="N208" s="99"/>
      <c r="O208" s="99"/>
      <c r="P208"/>
    </row>
    <row r="209" spans="1:16" s="184" customFormat="1">
      <c r="A209" s="298"/>
      <c r="B209" s="44"/>
      <c r="C209" s="44"/>
      <c r="E209"/>
      <c r="F209"/>
      <c r="G209"/>
      <c r="H209"/>
      <c r="I209" s="43"/>
      <c r="J209" s="99"/>
      <c r="K209"/>
      <c r="L209"/>
      <c r="M209" s="99"/>
      <c r="N209" s="99"/>
      <c r="O209" s="99"/>
      <c r="P209"/>
    </row>
    <row r="210" spans="1:16" s="184" customFormat="1">
      <c r="A210" s="298"/>
      <c r="B210" s="44"/>
      <c r="C210" s="44"/>
      <c r="E210"/>
      <c r="F210"/>
      <c r="G210"/>
      <c r="H210"/>
      <c r="I210" s="43"/>
      <c r="J210" s="99"/>
      <c r="K210"/>
      <c r="L210"/>
      <c r="M210" s="99"/>
      <c r="N210" s="99"/>
      <c r="O210" s="99"/>
      <c r="P210"/>
    </row>
    <row r="211" spans="1:16" s="184" customFormat="1">
      <c r="A211" s="298"/>
      <c r="B211" s="44"/>
      <c r="C211" s="44"/>
      <c r="E211"/>
      <c r="F211"/>
      <c r="G211"/>
      <c r="H211"/>
      <c r="I211" s="43"/>
      <c r="J211" s="99"/>
      <c r="K211"/>
      <c r="L211"/>
      <c r="M211" s="99"/>
      <c r="N211" s="99"/>
      <c r="O211" s="99"/>
      <c r="P211"/>
    </row>
    <row r="212" spans="1:16" s="184" customFormat="1">
      <c r="A212" s="298"/>
      <c r="B212" s="44"/>
      <c r="C212" s="44"/>
      <c r="E212"/>
      <c r="F212"/>
      <c r="G212"/>
      <c r="H212"/>
      <c r="I212" s="43"/>
      <c r="J212" s="99"/>
      <c r="K212"/>
      <c r="L212"/>
      <c r="M212" s="99"/>
      <c r="N212" s="99"/>
      <c r="O212" s="99"/>
      <c r="P212"/>
    </row>
    <row r="213" spans="1:16" s="184" customFormat="1">
      <c r="A213" s="298"/>
      <c r="B213" s="44"/>
      <c r="C213" s="44"/>
      <c r="E213"/>
      <c r="F213"/>
      <c r="G213"/>
      <c r="H213"/>
      <c r="I213" s="43"/>
      <c r="J213" s="99"/>
      <c r="K213"/>
      <c r="L213"/>
      <c r="M213" s="99"/>
      <c r="N213" s="99"/>
      <c r="O213" s="99"/>
      <c r="P213"/>
    </row>
    <row r="214" spans="1:16" s="184" customFormat="1">
      <c r="A214" s="298"/>
      <c r="B214" s="44"/>
      <c r="C214" s="44"/>
      <c r="E214"/>
      <c r="F214"/>
      <c r="G214"/>
      <c r="H214"/>
      <c r="I214" s="43"/>
      <c r="J214" s="99"/>
      <c r="K214"/>
      <c r="L214"/>
      <c r="M214" s="99"/>
      <c r="N214" s="99"/>
      <c r="O214" s="99"/>
      <c r="P214"/>
    </row>
    <row r="215" spans="1:16" s="184" customFormat="1">
      <c r="A215" s="298"/>
      <c r="B215" s="44"/>
      <c r="C215" s="44"/>
      <c r="E215"/>
      <c r="F215"/>
      <c r="G215"/>
      <c r="H215"/>
      <c r="I215" s="43"/>
      <c r="J215" s="99"/>
      <c r="K215"/>
      <c r="L215"/>
      <c r="M215" s="99"/>
      <c r="N215" s="99"/>
      <c r="O215" s="99"/>
      <c r="P215"/>
    </row>
    <row r="216" spans="1:16" s="184" customFormat="1">
      <c r="A216" s="298"/>
      <c r="B216" s="44"/>
      <c r="C216" s="44"/>
      <c r="E216"/>
      <c r="F216"/>
      <c r="G216"/>
      <c r="H216"/>
      <c r="I216" s="43"/>
      <c r="J216" s="99"/>
      <c r="K216"/>
      <c r="L216"/>
      <c r="M216" s="99"/>
      <c r="N216" s="99"/>
      <c r="O216" s="99"/>
      <c r="P216"/>
    </row>
    <row r="217" spans="1:16" s="184" customFormat="1">
      <c r="A217" s="298"/>
      <c r="B217" s="44"/>
      <c r="C217" s="44"/>
      <c r="E217"/>
      <c r="F217"/>
      <c r="G217"/>
      <c r="H217"/>
      <c r="I217" s="43"/>
      <c r="J217" s="99"/>
      <c r="K217"/>
      <c r="L217"/>
      <c r="M217" s="99"/>
      <c r="N217" s="99"/>
      <c r="O217" s="99"/>
      <c r="P217"/>
    </row>
    <row r="218" spans="1:16" s="184" customFormat="1">
      <c r="A218" s="298"/>
      <c r="B218" s="44"/>
      <c r="C218" s="44"/>
      <c r="E218"/>
      <c r="F218"/>
      <c r="G218"/>
      <c r="H218"/>
      <c r="I218" s="43"/>
      <c r="J218" s="99"/>
      <c r="K218"/>
      <c r="L218"/>
      <c r="M218" s="99"/>
      <c r="N218" s="99"/>
      <c r="O218" s="99"/>
      <c r="P218"/>
    </row>
    <row r="219" spans="1:16" s="184" customFormat="1">
      <c r="A219" s="298"/>
      <c r="B219" s="44"/>
      <c r="C219" s="44"/>
      <c r="E219"/>
      <c r="F219"/>
      <c r="G219"/>
      <c r="H219"/>
      <c r="I219" s="43"/>
      <c r="J219" s="99"/>
      <c r="K219"/>
      <c r="L219"/>
      <c r="M219" s="99"/>
      <c r="N219" s="99"/>
      <c r="O219" s="99"/>
      <c r="P219"/>
    </row>
    <row r="220" spans="1:16" s="184" customFormat="1">
      <c r="A220" s="298"/>
      <c r="B220" s="44"/>
      <c r="C220" s="44"/>
      <c r="E220"/>
      <c r="F220"/>
      <c r="G220"/>
      <c r="H220"/>
      <c r="I220" s="43"/>
      <c r="J220" s="99"/>
      <c r="K220"/>
      <c r="L220"/>
      <c r="M220" s="99"/>
      <c r="N220" s="99"/>
      <c r="O220" s="99"/>
      <c r="P220"/>
    </row>
    <row r="221" spans="1:16" s="184" customFormat="1">
      <c r="A221" s="298"/>
      <c r="B221" s="44"/>
      <c r="C221" s="44"/>
      <c r="E221"/>
      <c r="F221"/>
      <c r="G221"/>
      <c r="H221"/>
      <c r="I221" s="43"/>
      <c r="J221" s="99"/>
      <c r="K221"/>
      <c r="L221"/>
      <c r="M221" s="99"/>
      <c r="N221" s="99"/>
      <c r="O221" s="99"/>
      <c r="P221"/>
    </row>
    <row r="222" spans="1:16" s="184" customFormat="1">
      <c r="A222" s="298"/>
      <c r="B222" s="44"/>
      <c r="C222" s="44"/>
      <c r="E222"/>
      <c r="F222"/>
      <c r="G222"/>
      <c r="H222"/>
      <c r="I222" s="43"/>
      <c r="J222" s="99"/>
      <c r="K222"/>
      <c r="L222"/>
      <c r="M222" s="99"/>
      <c r="N222" s="99"/>
      <c r="O222" s="99"/>
      <c r="P222"/>
    </row>
    <row r="223" spans="1:16" s="184" customFormat="1">
      <c r="A223" s="298"/>
      <c r="B223" s="44"/>
      <c r="C223" s="44"/>
      <c r="E223"/>
      <c r="F223"/>
      <c r="G223"/>
      <c r="H223"/>
      <c r="I223" s="43"/>
      <c r="J223" s="99"/>
      <c r="K223"/>
      <c r="L223"/>
      <c r="M223" s="99"/>
      <c r="N223" s="99"/>
      <c r="O223" s="99"/>
      <c r="P223"/>
    </row>
    <row r="224" spans="1:16" s="184" customFormat="1">
      <c r="A224" s="298"/>
      <c r="B224" s="44"/>
      <c r="C224" s="44"/>
      <c r="E224"/>
      <c r="F224"/>
      <c r="G224"/>
      <c r="H224"/>
      <c r="I224" s="43"/>
      <c r="J224" s="99"/>
      <c r="K224"/>
      <c r="L224"/>
      <c r="M224" s="99"/>
      <c r="N224" s="99"/>
      <c r="O224" s="99"/>
      <c r="P224"/>
    </row>
    <row r="225" spans="1:16" s="184" customFormat="1">
      <c r="A225" s="298"/>
      <c r="B225" s="44"/>
      <c r="C225" s="44"/>
      <c r="E225"/>
      <c r="F225"/>
      <c r="G225"/>
      <c r="H225"/>
      <c r="I225" s="43"/>
      <c r="J225" s="99"/>
      <c r="K225"/>
      <c r="L225"/>
      <c r="M225" s="99"/>
      <c r="N225" s="99"/>
      <c r="O225" s="99"/>
      <c r="P225"/>
    </row>
    <row r="226" spans="1:16" s="184" customFormat="1">
      <c r="A226" s="298"/>
      <c r="B226" s="44"/>
      <c r="C226" s="44"/>
      <c r="E226"/>
      <c r="F226"/>
      <c r="G226"/>
      <c r="H226"/>
      <c r="I226" s="43"/>
      <c r="J226" s="99"/>
      <c r="K226"/>
      <c r="L226"/>
      <c r="M226" s="99"/>
      <c r="N226" s="99"/>
      <c r="O226" s="99"/>
      <c r="P226"/>
    </row>
    <row r="227" spans="1:16" s="184" customFormat="1">
      <c r="A227" s="298"/>
      <c r="B227" s="44"/>
      <c r="C227" s="44"/>
      <c r="E227"/>
      <c r="F227"/>
      <c r="G227"/>
      <c r="H227"/>
      <c r="I227" s="43"/>
      <c r="J227" s="99"/>
      <c r="K227"/>
      <c r="L227"/>
      <c r="M227" s="99"/>
      <c r="N227" s="99"/>
      <c r="O227" s="99"/>
      <c r="P227"/>
    </row>
    <row r="228" spans="1:16" s="184" customFormat="1">
      <c r="A228" s="298"/>
      <c r="B228" s="44"/>
      <c r="C228" s="44"/>
      <c r="E228"/>
      <c r="F228"/>
      <c r="G228"/>
      <c r="H228"/>
      <c r="I228" s="43"/>
      <c r="J228" s="99"/>
      <c r="K228"/>
      <c r="L228"/>
      <c r="M228" s="99"/>
      <c r="N228" s="99"/>
      <c r="O228" s="99"/>
      <c r="P228"/>
    </row>
    <row r="229" spans="1:16" s="184" customFormat="1">
      <c r="A229" s="298"/>
      <c r="B229" s="44"/>
      <c r="C229" s="44"/>
      <c r="E229"/>
      <c r="F229"/>
      <c r="G229"/>
      <c r="H229"/>
      <c r="I229" s="43"/>
      <c r="J229" s="99"/>
      <c r="K229"/>
      <c r="L229"/>
      <c r="M229" s="99"/>
      <c r="N229" s="99"/>
      <c r="O229" s="99"/>
      <c r="P229"/>
    </row>
    <row r="230" spans="1:16" s="184" customFormat="1">
      <c r="A230" s="298"/>
      <c r="B230" s="44"/>
      <c r="C230" s="44"/>
      <c r="E230"/>
      <c r="F230"/>
      <c r="G230"/>
      <c r="H230"/>
      <c r="I230" s="43"/>
      <c r="J230" s="99"/>
      <c r="K230"/>
      <c r="L230"/>
      <c r="M230" s="99"/>
      <c r="N230" s="99"/>
      <c r="O230" s="99"/>
      <c r="P230"/>
    </row>
    <row r="231" spans="1:16" s="184" customFormat="1">
      <c r="A231" s="298"/>
      <c r="B231" s="44"/>
      <c r="C231" s="44"/>
      <c r="E231"/>
      <c r="F231"/>
      <c r="G231"/>
      <c r="H231"/>
      <c r="I231" s="43"/>
      <c r="J231" s="99"/>
      <c r="K231"/>
      <c r="L231"/>
      <c r="M231" s="99"/>
      <c r="N231" s="99"/>
      <c r="O231" s="99"/>
      <c r="P231"/>
    </row>
    <row r="232" spans="1:16" s="184" customFormat="1">
      <c r="A232" s="298"/>
      <c r="B232" s="44"/>
      <c r="C232" s="44"/>
      <c r="E232"/>
      <c r="F232"/>
      <c r="G232"/>
      <c r="H232"/>
      <c r="I232" s="43"/>
      <c r="J232" s="99"/>
      <c r="K232"/>
      <c r="L232"/>
      <c r="M232" s="99"/>
      <c r="N232" s="99"/>
      <c r="O232" s="99"/>
      <c r="P232"/>
    </row>
    <row r="233" spans="1:16" s="184" customFormat="1">
      <c r="A233" s="298"/>
      <c r="B233" s="44"/>
      <c r="C233" s="44"/>
      <c r="E233"/>
      <c r="F233"/>
      <c r="G233"/>
      <c r="H233"/>
      <c r="I233" s="43"/>
      <c r="J233" s="99"/>
      <c r="K233"/>
      <c r="L233"/>
      <c r="M233" s="99"/>
      <c r="N233" s="99"/>
      <c r="O233" s="99"/>
      <c r="P233"/>
    </row>
    <row r="234" spans="1:16" s="184" customFormat="1">
      <c r="A234" s="298"/>
      <c r="B234" s="44"/>
      <c r="C234" s="44"/>
      <c r="E234"/>
      <c r="F234"/>
      <c r="G234"/>
      <c r="H234"/>
      <c r="I234" s="43"/>
      <c r="J234" s="99"/>
      <c r="K234"/>
      <c r="L234"/>
      <c r="M234" s="99"/>
      <c r="N234" s="99"/>
      <c r="O234" s="99"/>
      <c r="P234"/>
    </row>
    <row r="235" spans="1:16" s="184" customFormat="1">
      <c r="A235" s="298"/>
      <c r="B235" s="44"/>
      <c r="C235" s="44"/>
      <c r="E235"/>
      <c r="F235"/>
      <c r="G235"/>
      <c r="H235"/>
      <c r="I235" s="43"/>
      <c r="J235" s="99"/>
      <c r="K235"/>
      <c r="L235"/>
      <c r="M235" s="99"/>
      <c r="N235" s="99"/>
      <c r="O235" s="99"/>
      <c r="P235"/>
    </row>
    <row r="236" spans="1:16" s="184" customFormat="1">
      <c r="A236" s="298"/>
      <c r="B236" s="44"/>
      <c r="C236" s="44"/>
      <c r="E236"/>
      <c r="F236"/>
      <c r="G236"/>
      <c r="H236"/>
      <c r="I236" s="43"/>
      <c r="J236" s="99"/>
      <c r="K236"/>
      <c r="L236"/>
      <c r="M236" s="99"/>
      <c r="N236" s="99"/>
      <c r="O236" s="99"/>
      <c r="P236"/>
    </row>
    <row r="237" spans="1:16" s="184" customFormat="1">
      <c r="A237" s="298"/>
      <c r="B237" s="44"/>
      <c r="C237" s="44"/>
      <c r="E237"/>
      <c r="F237"/>
      <c r="G237"/>
      <c r="H237"/>
      <c r="I237" s="43"/>
      <c r="J237" s="99"/>
      <c r="K237"/>
      <c r="L237"/>
      <c r="M237" s="99"/>
      <c r="N237" s="99"/>
      <c r="O237" s="99"/>
      <c r="P237"/>
    </row>
    <row r="238" spans="1:16" s="184" customFormat="1">
      <c r="A238" s="298"/>
      <c r="B238" s="44"/>
      <c r="C238" s="44"/>
      <c r="E238"/>
      <c r="F238"/>
      <c r="G238"/>
      <c r="H238"/>
      <c r="I238" s="43"/>
      <c r="J238" s="99"/>
      <c r="K238"/>
      <c r="L238"/>
      <c r="M238" s="99"/>
      <c r="N238" s="99"/>
      <c r="O238" s="99"/>
      <c r="P238"/>
    </row>
    <row r="239" spans="1:16" s="184" customFormat="1">
      <c r="A239" s="298"/>
      <c r="B239" s="44"/>
      <c r="C239" s="44"/>
      <c r="E239"/>
      <c r="F239"/>
      <c r="G239"/>
      <c r="H239"/>
      <c r="I239" s="43"/>
      <c r="J239" s="99"/>
      <c r="K239"/>
      <c r="L239"/>
      <c r="M239" s="99"/>
      <c r="N239" s="99"/>
      <c r="O239" s="99"/>
      <c r="P239"/>
    </row>
    <row r="240" spans="1:16" s="184" customFormat="1">
      <c r="A240" s="298"/>
      <c r="B240" s="44"/>
      <c r="C240" s="44"/>
      <c r="E240"/>
      <c r="F240"/>
      <c r="G240"/>
      <c r="H240"/>
      <c r="I240" s="43"/>
      <c r="J240" s="99"/>
      <c r="K240"/>
      <c r="L240"/>
      <c r="M240" s="99"/>
      <c r="N240" s="99"/>
      <c r="O240" s="99"/>
      <c r="P240"/>
    </row>
    <row r="241" spans="1:16" s="184" customFormat="1">
      <c r="A241" s="298"/>
      <c r="B241" s="44"/>
      <c r="C241" s="44"/>
      <c r="E241"/>
      <c r="F241"/>
      <c r="G241"/>
      <c r="H241"/>
      <c r="I241" s="43"/>
      <c r="J241" s="99"/>
      <c r="K241"/>
      <c r="L241"/>
      <c r="M241" s="99"/>
      <c r="N241" s="99"/>
      <c r="O241" s="99"/>
      <c r="P241"/>
    </row>
    <row r="242" spans="1:16" s="184" customFormat="1">
      <c r="A242" s="298"/>
      <c r="B242" s="44"/>
      <c r="C242" s="44"/>
      <c r="E242"/>
      <c r="F242"/>
      <c r="G242"/>
      <c r="H242"/>
      <c r="I242" s="43"/>
      <c r="J242" s="99"/>
      <c r="K242"/>
      <c r="L242"/>
      <c r="M242" s="99"/>
      <c r="N242" s="99"/>
      <c r="O242" s="99"/>
      <c r="P242"/>
    </row>
    <row r="243" spans="1:16" s="184" customFormat="1">
      <c r="A243" s="298"/>
      <c r="B243" s="44"/>
      <c r="C243" s="44"/>
      <c r="E243"/>
      <c r="F243"/>
      <c r="G243"/>
      <c r="H243"/>
      <c r="I243" s="43"/>
      <c r="J243" s="99"/>
      <c r="K243"/>
      <c r="L243"/>
      <c r="M243" s="99"/>
      <c r="N243" s="99"/>
      <c r="O243" s="99"/>
      <c r="P243"/>
    </row>
  </sheetData>
  <mergeCells count="2">
    <mergeCell ref="B3:P3"/>
    <mergeCell ref="B4:P4"/>
  </mergeCells>
  <conditionalFormatting sqref="C3:D3">
    <cfRule type="duplicateValues" dxfId="150" priority="17"/>
  </conditionalFormatting>
  <conditionalFormatting sqref="C135:D139">
    <cfRule type="duplicateValues" dxfId="149" priority="15"/>
    <cfRule type="duplicateValues" dxfId="148" priority="16"/>
  </conditionalFormatting>
  <conditionalFormatting sqref="C135:D139">
    <cfRule type="duplicateValues" dxfId="147" priority="14"/>
  </conditionalFormatting>
  <conditionalFormatting sqref="A135:A139">
    <cfRule type="duplicateValues" dxfId="146" priority="13"/>
  </conditionalFormatting>
  <conditionalFormatting sqref="A1:A111 A117:A121 A128:A1048576">
    <cfRule type="duplicateValues" dxfId="145" priority="12"/>
  </conditionalFormatting>
  <conditionalFormatting sqref="C120:D121">
    <cfRule type="duplicateValues" dxfId="144" priority="11"/>
  </conditionalFormatting>
  <conditionalFormatting sqref="A120:A121">
    <cfRule type="duplicateValues" dxfId="143" priority="10"/>
  </conditionalFormatting>
  <conditionalFormatting sqref="C120:D121">
    <cfRule type="duplicateValues" dxfId="142" priority="8"/>
    <cfRule type="duplicateValues" dxfId="141" priority="9"/>
  </conditionalFormatting>
  <conditionalFormatting sqref="C244:C1048576 C132:C133 C1:D5 D132:D134 D141:D1048576">
    <cfRule type="duplicateValues" dxfId="140" priority="7"/>
  </conditionalFormatting>
  <conditionalFormatting sqref="C244:C1048576 C132:C133 C4:D5 C1:D2 D132:D134 D141:D1048576">
    <cfRule type="duplicateValues" dxfId="139" priority="6"/>
  </conditionalFormatting>
  <conditionalFormatting sqref="C244:C1048576 C132:C133 D132:D134 D141:D1048576">
    <cfRule type="duplicateValues" dxfId="138" priority="5"/>
  </conditionalFormatting>
  <conditionalFormatting sqref="C1:C121 C128:C1048576">
    <cfRule type="duplicateValues" dxfId="137" priority="4"/>
  </conditionalFormatting>
  <conditionalFormatting sqref="C244:C1048576 C131:C133 C117:D121 C128:D130 C135:D140 C1:D111 D131:D134 D141:D1048576">
    <cfRule type="duplicateValues" dxfId="136" priority="3"/>
  </conditionalFormatting>
  <conditionalFormatting sqref="C244:C1048576 C131:C133 C117:D121 C128:D130 C135:D140 C1:D111 D131:D134 D141:D1048576">
    <cfRule type="duplicateValues" dxfId="135" priority="1"/>
    <cfRule type="duplicateValues" dxfId="134" priority="2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3:P238"/>
  <sheetViews>
    <sheetView workbookViewId="0">
      <selection activeCell="C5" sqref="C5"/>
    </sheetView>
  </sheetViews>
  <sheetFormatPr defaultRowHeight="15"/>
  <cols>
    <col min="1" max="1" width="13.140625" style="298" customWidth="1"/>
    <col min="2" max="2" width="4.5703125" style="44" customWidth="1"/>
    <col min="3" max="3" width="37" style="184" customWidth="1"/>
    <col min="4" max="4" width="10.85546875" style="184" customWidth="1"/>
    <col min="5" max="5" width="14" bestFit="1" customWidth="1"/>
    <col min="6" max="6" width="12.85546875" bestFit="1" customWidth="1"/>
    <col min="7" max="7" width="14.42578125" customWidth="1"/>
    <col min="8" max="8" width="13.28515625" bestFit="1" customWidth="1"/>
    <col min="9" max="9" width="10.140625" style="43" customWidth="1"/>
    <col min="10" max="10" width="9.5703125" style="99" customWidth="1"/>
    <col min="11" max="11" width="14" customWidth="1"/>
    <col min="12" max="12" width="14" bestFit="1" customWidth="1"/>
    <col min="13" max="13" width="11.28515625" style="99" customWidth="1"/>
    <col min="14" max="14" width="8.28515625" style="99" customWidth="1"/>
    <col min="15" max="15" width="8.85546875" style="99" customWidth="1"/>
    <col min="16" max="16" width="7.85546875" customWidth="1"/>
  </cols>
  <sheetData>
    <row r="3" spans="1:16" ht="20.25">
      <c r="A3" s="260"/>
      <c r="B3" s="419" t="s">
        <v>245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</row>
    <row r="4" spans="1:16" ht="18">
      <c r="A4" s="324"/>
      <c r="B4" s="424" t="s">
        <v>1300</v>
      </c>
      <c r="C4" s="424"/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</row>
    <row r="5" spans="1:16" s="44" customFormat="1" ht="51">
      <c r="A5" s="291" t="s">
        <v>869</v>
      </c>
      <c r="B5" s="5" t="s">
        <v>0</v>
      </c>
      <c r="C5" s="266" t="s">
        <v>1</v>
      </c>
      <c r="D5" s="325" t="s">
        <v>1275</v>
      </c>
      <c r="E5" s="7" t="s">
        <v>2</v>
      </c>
      <c r="F5" s="7" t="s">
        <v>3</v>
      </c>
      <c r="G5" s="5" t="s">
        <v>4</v>
      </c>
      <c r="H5" s="6" t="s">
        <v>6</v>
      </c>
      <c r="I5" s="7" t="s">
        <v>5</v>
      </c>
      <c r="J5" s="326" t="s">
        <v>7</v>
      </c>
      <c r="K5" s="7" t="s">
        <v>9</v>
      </c>
      <c r="L5" s="6" t="s">
        <v>10</v>
      </c>
      <c r="M5" s="7" t="s">
        <v>8</v>
      </c>
      <c r="N5" s="326" t="s">
        <v>1277</v>
      </c>
      <c r="O5" s="6" t="s">
        <v>11</v>
      </c>
      <c r="P5" s="325" t="s">
        <v>1276</v>
      </c>
    </row>
    <row r="6" spans="1:16" s="114" customFormat="1">
      <c r="A6" s="293" t="s">
        <v>1239</v>
      </c>
      <c r="B6" s="243">
        <v>1</v>
      </c>
      <c r="C6" s="123" t="s">
        <v>1263</v>
      </c>
      <c r="D6" s="123"/>
      <c r="E6" s="19">
        <v>150000</v>
      </c>
      <c r="F6" s="19">
        <v>19995</v>
      </c>
      <c r="G6" s="329">
        <f>SUM(E6:F6)</f>
        <v>169995</v>
      </c>
      <c r="H6" s="327">
        <v>4149.8999999999996</v>
      </c>
      <c r="I6" s="247">
        <v>40</v>
      </c>
      <c r="J6" s="159">
        <v>9</v>
      </c>
      <c r="K6" s="16">
        <f t="shared" ref="K6:K36" si="0">J6*H6</f>
        <v>37349.1</v>
      </c>
      <c r="L6" s="94">
        <f t="shared" ref="L6:L37" si="1">G6-K6</f>
        <v>132645.9</v>
      </c>
      <c r="M6" s="159">
        <f t="shared" ref="M6:M37" si="2">I6-J6</f>
        <v>31</v>
      </c>
      <c r="N6" s="159"/>
      <c r="O6" s="159"/>
      <c r="P6" s="11"/>
    </row>
    <row r="7" spans="1:16" s="114" customFormat="1">
      <c r="A7" s="293" t="s">
        <v>1243</v>
      </c>
      <c r="B7" s="243">
        <v>2</v>
      </c>
      <c r="C7" s="123" t="s">
        <v>1262</v>
      </c>
      <c r="D7" s="123"/>
      <c r="E7" s="19">
        <v>330000</v>
      </c>
      <c r="F7" s="19">
        <v>43989</v>
      </c>
      <c r="G7" s="329">
        <f>SUM(E7:F7)</f>
        <v>373989</v>
      </c>
      <c r="H7" s="327">
        <v>7479.78</v>
      </c>
      <c r="I7" s="247">
        <v>50</v>
      </c>
      <c r="J7" s="159">
        <v>9</v>
      </c>
      <c r="K7" s="16">
        <f t="shared" si="0"/>
        <v>67318.02</v>
      </c>
      <c r="L7" s="94">
        <f t="shared" si="1"/>
        <v>306670.98</v>
      </c>
      <c r="M7" s="159">
        <f t="shared" si="2"/>
        <v>41</v>
      </c>
      <c r="N7" s="159"/>
      <c r="O7" s="159"/>
      <c r="P7" s="11"/>
    </row>
    <row r="8" spans="1:16" s="114" customFormat="1">
      <c r="A8" s="292" t="s">
        <v>524</v>
      </c>
      <c r="B8" s="243">
        <v>3</v>
      </c>
      <c r="C8" s="11" t="s">
        <v>490</v>
      </c>
      <c r="D8" s="11"/>
      <c r="E8" s="19">
        <v>330000</v>
      </c>
      <c r="F8" s="19">
        <v>43989</v>
      </c>
      <c r="G8" s="329">
        <f>SUM(E8:F8)</f>
        <v>373989</v>
      </c>
      <c r="H8" s="146">
        <v>7479.78</v>
      </c>
      <c r="I8" s="247">
        <v>50</v>
      </c>
      <c r="J8" s="159">
        <v>22</v>
      </c>
      <c r="K8" s="91">
        <f t="shared" si="0"/>
        <v>164555.16</v>
      </c>
      <c r="L8" s="94">
        <f t="shared" si="1"/>
        <v>209433.84</v>
      </c>
      <c r="M8" s="159">
        <f t="shared" si="2"/>
        <v>28</v>
      </c>
      <c r="N8" s="159"/>
      <c r="O8" s="97"/>
      <c r="P8" s="11"/>
    </row>
    <row r="9" spans="1:16" s="114" customFormat="1">
      <c r="A9" s="293" t="s">
        <v>895</v>
      </c>
      <c r="B9" s="243">
        <v>4</v>
      </c>
      <c r="C9" s="123" t="s">
        <v>875</v>
      </c>
      <c r="D9" s="123"/>
      <c r="E9" s="19">
        <v>450000</v>
      </c>
      <c r="F9" s="19">
        <v>59985</v>
      </c>
      <c r="G9" s="329">
        <v>509985</v>
      </c>
      <c r="H9" s="327">
        <v>10199.700000000001</v>
      </c>
      <c r="I9" s="247">
        <v>50</v>
      </c>
      <c r="J9" s="159">
        <v>17</v>
      </c>
      <c r="K9" s="16">
        <f t="shared" si="0"/>
        <v>173394.90000000002</v>
      </c>
      <c r="L9" s="94">
        <f t="shared" si="1"/>
        <v>336590.1</v>
      </c>
      <c r="M9" s="159">
        <f t="shared" si="2"/>
        <v>33</v>
      </c>
      <c r="N9" s="159"/>
      <c r="O9" s="159"/>
      <c r="P9" s="11"/>
    </row>
    <row r="10" spans="1:16" s="114" customFormat="1">
      <c r="A10" s="294" t="s">
        <v>606</v>
      </c>
      <c r="B10" s="243">
        <v>5</v>
      </c>
      <c r="C10" s="123" t="s">
        <v>853</v>
      </c>
      <c r="D10" s="123"/>
      <c r="E10" s="19">
        <v>150000</v>
      </c>
      <c r="F10" s="19">
        <v>19995</v>
      </c>
      <c r="G10" s="329">
        <f>SUM(E10:F10)</f>
        <v>169995</v>
      </c>
      <c r="H10" s="327">
        <v>3399.9</v>
      </c>
      <c r="I10" s="247">
        <v>50</v>
      </c>
      <c r="J10" s="159">
        <v>15</v>
      </c>
      <c r="K10" s="91">
        <f t="shared" si="0"/>
        <v>50998.5</v>
      </c>
      <c r="L10" s="94">
        <f t="shared" si="1"/>
        <v>118996.5</v>
      </c>
      <c r="M10" s="159">
        <f t="shared" si="2"/>
        <v>35</v>
      </c>
      <c r="N10" s="159"/>
      <c r="O10" s="97"/>
      <c r="P10" s="11"/>
    </row>
    <row r="11" spans="1:16" s="114" customFormat="1">
      <c r="A11" s="293" t="s">
        <v>1215</v>
      </c>
      <c r="B11" s="243">
        <v>6</v>
      </c>
      <c r="C11" s="11" t="s">
        <v>462</v>
      </c>
      <c r="D11" s="11"/>
      <c r="E11" s="16">
        <v>450000</v>
      </c>
      <c r="F11" s="16">
        <v>59985</v>
      </c>
      <c r="G11" s="330">
        <v>509985</v>
      </c>
      <c r="H11" s="327">
        <v>10199.700000000001</v>
      </c>
      <c r="I11" s="247">
        <v>50</v>
      </c>
      <c r="J11" s="96">
        <v>10</v>
      </c>
      <c r="K11" s="91">
        <f t="shared" si="0"/>
        <v>101997</v>
      </c>
      <c r="L11" s="94">
        <f t="shared" si="1"/>
        <v>407988</v>
      </c>
      <c r="M11" s="159">
        <f t="shared" si="2"/>
        <v>40</v>
      </c>
      <c r="N11" s="159"/>
      <c r="O11" s="97"/>
      <c r="P11" s="11"/>
    </row>
    <row r="12" spans="1:16" s="114" customFormat="1">
      <c r="A12" s="293" t="s">
        <v>602</v>
      </c>
      <c r="B12" s="243">
        <v>7</v>
      </c>
      <c r="C12" s="11" t="s">
        <v>372</v>
      </c>
      <c r="D12" s="11"/>
      <c r="E12" s="19">
        <v>330000</v>
      </c>
      <c r="F12" s="19">
        <v>43989</v>
      </c>
      <c r="G12" s="329">
        <f>SUM(E12:F12)</f>
        <v>373989</v>
      </c>
      <c r="H12" s="327">
        <v>7479.78</v>
      </c>
      <c r="I12" s="247">
        <v>50</v>
      </c>
      <c r="J12" s="96">
        <v>10</v>
      </c>
      <c r="K12" s="91">
        <f t="shared" si="0"/>
        <v>74797.8</v>
      </c>
      <c r="L12" s="94">
        <f t="shared" si="1"/>
        <v>299191.2</v>
      </c>
      <c r="M12" s="159">
        <f t="shared" si="2"/>
        <v>40</v>
      </c>
      <c r="N12" s="159"/>
      <c r="O12" s="97"/>
      <c r="P12" s="11"/>
    </row>
    <row r="13" spans="1:16" s="114" customFormat="1">
      <c r="A13" s="122" t="s">
        <v>1227</v>
      </c>
      <c r="B13" s="243">
        <v>8</v>
      </c>
      <c r="C13" s="11" t="s">
        <v>1290</v>
      </c>
      <c r="D13" s="122"/>
      <c r="E13" s="16">
        <v>500000</v>
      </c>
      <c r="F13" s="16">
        <v>66650</v>
      </c>
      <c r="G13" s="331">
        <f>SUM(E13:F13)</f>
        <v>566650</v>
      </c>
      <c r="H13" s="16">
        <v>11333</v>
      </c>
      <c r="I13" s="247">
        <v>50</v>
      </c>
      <c r="J13" s="188">
        <v>7</v>
      </c>
      <c r="K13" s="16">
        <f t="shared" si="0"/>
        <v>79331</v>
      </c>
      <c r="L13" s="94">
        <f t="shared" si="1"/>
        <v>487319</v>
      </c>
      <c r="M13" s="159">
        <f t="shared" si="2"/>
        <v>43</v>
      </c>
      <c r="N13" s="159"/>
      <c r="O13" s="159"/>
      <c r="P13" s="122"/>
    </row>
    <row r="14" spans="1:16" s="114" customFormat="1">
      <c r="A14" s="292" t="s">
        <v>709</v>
      </c>
      <c r="B14" s="243">
        <v>9</v>
      </c>
      <c r="C14" s="11" t="s">
        <v>310</v>
      </c>
      <c r="D14" s="11"/>
      <c r="E14" s="19">
        <v>500000</v>
      </c>
      <c r="F14" s="19">
        <v>66650</v>
      </c>
      <c r="G14" s="329">
        <v>566650</v>
      </c>
      <c r="H14" s="318">
        <v>11333</v>
      </c>
      <c r="I14" s="247">
        <v>50</v>
      </c>
      <c r="J14" s="96">
        <v>34</v>
      </c>
      <c r="K14" s="16">
        <f t="shared" si="0"/>
        <v>385322</v>
      </c>
      <c r="L14" s="16">
        <f t="shared" si="1"/>
        <v>181328</v>
      </c>
      <c r="M14" s="159">
        <f t="shared" si="2"/>
        <v>16</v>
      </c>
      <c r="N14" s="159"/>
      <c r="O14" s="96"/>
      <c r="P14" s="11"/>
    </row>
    <row r="15" spans="1:16" s="114" customFormat="1">
      <c r="A15" s="293" t="s">
        <v>1180</v>
      </c>
      <c r="B15" s="243">
        <v>10</v>
      </c>
      <c r="C15" s="123" t="s">
        <v>1284</v>
      </c>
      <c r="D15" s="123"/>
      <c r="E15" s="16">
        <v>500000</v>
      </c>
      <c r="F15" s="16">
        <v>66650</v>
      </c>
      <c r="G15" s="331">
        <f>SUM(E15:F15)</f>
        <v>566650</v>
      </c>
      <c r="H15" s="327">
        <v>11333</v>
      </c>
      <c r="I15" s="247">
        <v>50</v>
      </c>
      <c r="J15" s="159">
        <v>17</v>
      </c>
      <c r="K15" s="16">
        <f t="shared" si="0"/>
        <v>192661</v>
      </c>
      <c r="L15" s="94">
        <f t="shared" si="1"/>
        <v>373989</v>
      </c>
      <c r="M15" s="159">
        <f t="shared" si="2"/>
        <v>33</v>
      </c>
      <c r="N15" s="159"/>
      <c r="O15" s="159"/>
      <c r="P15" s="11"/>
    </row>
    <row r="16" spans="1:16" s="114" customFormat="1">
      <c r="A16" s="295" t="s">
        <v>945</v>
      </c>
      <c r="B16" s="243">
        <v>11</v>
      </c>
      <c r="C16" s="11" t="s">
        <v>1035</v>
      </c>
      <c r="D16" s="8"/>
      <c r="E16" s="16">
        <v>500000</v>
      </c>
      <c r="F16" s="16">
        <v>66650</v>
      </c>
      <c r="G16" s="331">
        <f>SUM(E16:F16)</f>
        <v>566650</v>
      </c>
      <c r="H16" s="319">
        <v>11333</v>
      </c>
      <c r="I16" s="247">
        <v>50</v>
      </c>
      <c r="J16" s="159">
        <v>17</v>
      </c>
      <c r="K16" s="16">
        <f t="shared" si="0"/>
        <v>192661</v>
      </c>
      <c r="L16" s="94">
        <f t="shared" si="1"/>
        <v>373989</v>
      </c>
      <c r="M16" s="159">
        <f t="shared" si="2"/>
        <v>33</v>
      </c>
      <c r="N16" s="159"/>
      <c r="O16" s="97"/>
      <c r="P16" s="8"/>
    </row>
    <row r="17" spans="1:16" s="114" customFormat="1">
      <c r="A17" s="11" t="s">
        <v>884</v>
      </c>
      <c r="B17" s="243">
        <v>12</v>
      </c>
      <c r="C17" s="11" t="s">
        <v>866</v>
      </c>
      <c r="D17" s="11"/>
      <c r="E17" s="16">
        <v>500000</v>
      </c>
      <c r="F17" s="16">
        <v>66650</v>
      </c>
      <c r="G17" s="331">
        <f>SUM(E17:F17)</f>
        <v>566650</v>
      </c>
      <c r="H17" s="254">
        <v>11333</v>
      </c>
      <c r="I17" s="247">
        <v>50</v>
      </c>
      <c r="J17" s="159">
        <v>2</v>
      </c>
      <c r="K17" s="16">
        <f t="shared" si="0"/>
        <v>22666</v>
      </c>
      <c r="L17" s="94">
        <f t="shared" si="1"/>
        <v>543984</v>
      </c>
      <c r="M17" s="159">
        <f t="shared" si="2"/>
        <v>48</v>
      </c>
      <c r="N17" s="11"/>
      <c r="O17" s="11"/>
      <c r="P17" s="11"/>
    </row>
    <row r="18" spans="1:16" s="114" customFormat="1">
      <c r="A18" s="292" t="s">
        <v>649</v>
      </c>
      <c r="B18" s="243">
        <v>13</v>
      </c>
      <c r="C18" s="11" t="s">
        <v>360</v>
      </c>
      <c r="D18" s="11"/>
      <c r="E18" s="16">
        <v>450000</v>
      </c>
      <c r="F18" s="16">
        <v>59985</v>
      </c>
      <c r="G18" s="330">
        <v>509985</v>
      </c>
      <c r="H18" s="318">
        <v>10199.700000000001</v>
      </c>
      <c r="I18" s="247">
        <v>50</v>
      </c>
      <c r="J18" s="97">
        <v>33</v>
      </c>
      <c r="K18" s="91">
        <f t="shared" si="0"/>
        <v>336590.10000000003</v>
      </c>
      <c r="L18" s="91">
        <f t="shared" si="1"/>
        <v>173394.89999999997</v>
      </c>
      <c r="M18" s="159">
        <f t="shared" si="2"/>
        <v>17</v>
      </c>
      <c r="N18" s="159"/>
      <c r="O18" s="97"/>
      <c r="P18" s="11"/>
    </row>
    <row r="19" spans="1:16" s="114" customFormat="1">
      <c r="A19" s="292" t="s">
        <v>617</v>
      </c>
      <c r="B19" s="243">
        <v>14</v>
      </c>
      <c r="C19" s="11" t="s">
        <v>361</v>
      </c>
      <c r="D19" s="11"/>
      <c r="E19" s="16">
        <v>450000</v>
      </c>
      <c r="F19" s="16">
        <v>59985</v>
      </c>
      <c r="G19" s="330">
        <v>509985</v>
      </c>
      <c r="H19" s="318">
        <v>10199.700000000001</v>
      </c>
      <c r="I19" s="247">
        <v>50</v>
      </c>
      <c r="J19" s="97">
        <v>48</v>
      </c>
      <c r="K19" s="91">
        <f t="shared" si="0"/>
        <v>489585.60000000003</v>
      </c>
      <c r="L19" s="94">
        <f t="shared" si="1"/>
        <v>20399.399999999965</v>
      </c>
      <c r="M19" s="159">
        <f t="shared" si="2"/>
        <v>2</v>
      </c>
      <c r="N19" s="159"/>
      <c r="O19" s="97"/>
      <c r="P19" s="11"/>
    </row>
    <row r="20" spans="1:16" s="114" customFormat="1">
      <c r="A20" s="292" t="s">
        <v>505</v>
      </c>
      <c r="B20" s="243">
        <v>15</v>
      </c>
      <c r="C20" s="11" t="s">
        <v>313</v>
      </c>
      <c r="D20" s="11"/>
      <c r="E20" s="16">
        <v>500000</v>
      </c>
      <c r="F20" s="16">
        <v>66650</v>
      </c>
      <c r="G20" s="331">
        <f>SUM(E20:F20)</f>
        <v>566650</v>
      </c>
      <c r="H20" s="318">
        <v>11333</v>
      </c>
      <c r="I20" s="247">
        <v>50</v>
      </c>
      <c r="J20" s="97">
        <v>48</v>
      </c>
      <c r="K20" s="91">
        <f t="shared" si="0"/>
        <v>543984</v>
      </c>
      <c r="L20" s="94">
        <f t="shared" si="1"/>
        <v>22666</v>
      </c>
      <c r="M20" s="159">
        <f t="shared" si="2"/>
        <v>2</v>
      </c>
      <c r="N20" s="159"/>
      <c r="O20" s="97"/>
      <c r="P20" s="11"/>
    </row>
    <row r="21" spans="1:16" s="114" customFormat="1">
      <c r="A21" s="292" t="s">
        <v>559</v>
      </c>
      <c r="B21" s="243">
        <v>16</v>
      </c>
      <c r="C21" s="11" t="s">
        <v>441</v>
      </c>
      <c r="D21" s="11"/>
      <c r="E21" s="16">
        <v>500000</v>
      </c>
      <c r="F21" s="16">
        <v>66650</v>
      </c>
      <c r="G21" s="330">
        <v>566650</v>
      </c>
      <c r="H21" s="146">
        <v>11333</v>
      </c>
      <c r="I21" s="247">
        <v>50</v>
      </c>
      <c r="J21" s="96">
        <v>22</v>
      </c>
      <c r="K21" s="91">
        <f t="shared" si="0"/>
        <v>249326</v>
      </c>
      <c r="L21" s="94">
        <f t="shared" si="1"/>
        <v>317324</v>
      </c>
      <c r="M21" s="159">
        <f t="shared" si="2"/>
        <v>28</v>
      </c>
      <c r="N21" s="159"/>
      <c r="O21" s="97"/>
      <c r="P21" s="123"/>
    </row>
    <row r="22" spans="1:16" s="114" customFormat="1">
      <c r="A22" s="293" t="s">
        <v>1172</v>
      </c>
      <c r="B22" s="243">
        <v>17</v>
      </c>
      <c r="C22" s="11" t="s">
        <v>439</v>
      </c>
      <c r="D22" s="11"/>
      <c r="E22" s="19">
        <v>330000</v>
      </c>
      <c r="F22" s="19">
        <v>43989</v>
      </c>
      <c r="G22" s="329">
        <f>SUM(E22:F22)</f>
        <v>373989</v>
      </c>
      <c r="H22" s="327">
        <v>7479.78</v>
      </c>
      <c r="I22" s="247">
        <v>50</v>
      </c>
      <c r="J22" s="96">
        <v>10</v>
      </c>
      <c r="K22" s="91">
        <f t="shared" si="0"/>
        <v>74797.8</v>
      </c>
      <c r="L22" s="94">
        <f t="shared" si="1"/>
        <v>299191.2</v>
      </c>
      <c r="M22" s="159">
        <f t="shared" si="2"/>
        <v>40</v>
      </c>
      <c r="N22" s="159"/>
      <c r="O22" s="97"/>
      <c r="P22" s="11"/>
    </row>
    <row r="23" spans="1:16" s="114" customFormat="1">
      <c r="A23" s="292" t="s">
        <v>690</v>
      </c>
      <c r="B23" s="243">
        <v>18</v>
      </c>
      <c r="C23" s="11" t="s">
        <v>496</v>
      </c>
      <c r="D23" s="11"/>
      <c r="E23" s="16">
        <v>500000</v>
      </c>
      <c r="F23" s="16">
        <v>66650</v>
      </c>
      <c r="G23" s="331">
        <f>SUM(E23:F23)</f>
        <v>566650</v>
      </c>
      <c r="H23" s="318">
        <v>11333</v>
      </c>
      <c r="I23" s="247">
        <v>50</v>
      </c>
      <c r="J23" s="159">
        <v>20</v>
      </c>
      <c r="K23" s="91">
        <f t="shared" si="0"/>
        <v>226660</v>
      </c>
      <c r="L23" s="94">
        <f t="shared" si="1"/>
        <v>339990</v>
      </c>
      <c r="M23" s="159">
        <f t="shared" si="2"/>
        <v>30</v>
      </c>
      <c r="N23" s="159"/>
      <c r="O23" s="97"/>
      <c r="P23" s="11"/>
    </row>
    <row r="24" spans="1:16" s="114" customFormat="1">
      <c r="A24" s="295" t="s">
        <v>939</v>
      </c>
      <c r="B24" s="243">
        <v>19</v>
      </c>
      <c r="C24" s="11" t="s">
        <v>1022</v>
      </c>
      <c r="D24" s="8"/>
      <c r="E24" s="19">
        <v>330000</v>
      </c>
      <c r="F24" s="19">
        <v>43989</v>
      </c>
      <c r="G24" s="329">
        <f>SUM(E24:F24)</f>
        <v>373989</v>
      </c>
      <c r="H24" s="319">
        <v>7479.78</v>
      </c>
      <c r="I24" s="247">
        <v>50</v>
      </c>
      <c r="J24" s="159">
        <v>14</v>
      </c>
      <c r="K24" s="16">
        <f t="shared" si="0"/>
        <v>104716.92</v>
      </c>
      <c r="L24" s="94">
        <f t="shared" si="1"/>
        <v>269272.08</v>
      </c>
      <c r="M24" s="159">
        <f t="shared" si="2"/>
        <v>36</v>
      </c>
      <c r="N24" s="159"/>
      <c r="O24" s="159"/>
      <c r="P24" s="8"/>
    </row>
    <row r="25" spans="1:16" s="114" customFormat="1">
      <c r="A25" s="292" t="s">
        <v>726</v>
      </c>
      <c r="B25" s="243">
        <v>20</v>
      </c>
      <c r="C25" s="11" t="s">
        <v>314</v>
      </c>
      <c r="D25" s="11"/>
      <c r="E25" s="19">
        <v>500000</v>
      </c>
      <c r="F25" s="19">
        <v>66650</v>
      </c>
      <c r="G25" s="329">
        <v>566650</v>
      </c>
      <c r="H25" s="318">
        <v>11333</v>
      </c>
      <c r="I25" s="247">
        <v>50</v>
      </c>
      <c r="J25" s="97">
        <v>34</v>
      </c>
      <c r="K25" s="91">
        <f t="shared" si="0"/>
        <v>385322</v>
      </c>
      <c r="L25" s="91">
        <f t="shared" si="1"/>
        <v>181328</v>
      </c>
      <c r="M25" s="159">
        <f t="shared" si="2"/>
        <v>16</v>
      </c>
      <c r="N25" s="159"/>
      <c r="O25" s="97"/>
      <c r="P25" s="11"/>
    </row>
    <row r="26" spans="1:16" s="114" customFormat="1">
      <c r="A26" s="292" t="s">
        <v>680</v>
      </c>
      <c r="B26" s="243">
        <v>21</v>
      </c>
      <c r="C26" s="11" t="s">
        <v>315</v>
      </c>
      <c r="D26" s="11"/>
      <c r="E26" s="19">
        <v>500000</v>
      </c>
      <c r="F26" s="19">
        <v>66650</v>
      </c>
      <c r="G26" s="329">
        <v>566650</v>
      </c>
      <c r="H26" s="318">
        <v>11333</v>
      </c>
      <c r="I26" s="247">
        <v>50</v>
      </c>
      <c r="J26" s="97">
        <v>34</v>
      </c>
      <c r="K26" s="91">
        <f t="shared" si="0"/>
        <v>385322</v>
      </c>
      <c r="L26" s="91">
        <f t="shared" si="1"/>
        <v>181328</v>
      </c>
      <c r="M26" s="159">
        <f t="shared" si="2"/>
        <v>16</v>
      </c>
      <c r="N26" s="159"/>
      <c r="O26" s="97"/>
      <c r="P26" s="11"/>
    </row>
    <row r="27" spans="1:16" s="114" customFormat="1">
      <c r="A27" s="292" t="s">
        <v>576</v>
      </c>
      <c r="B27" s="243">
        <v>22</v>
      </c>
      <c r="C27" s="11" t="s">
        <v>216</v>
      </c>
      <c r="D27" s="11"/>
      <c r="E27" s="16">
        <v>60000</v>
      </c>
      <c r="F27" s="16">
        <v>7998</v>
      </c>
      <c r="G27" s="331">
        <f>SUM(E27:F27)</f>
        <v>67998</v>
      </c>
      <c r="H27" s="318">
        <v>1699.95</v>
      </c>
      <c r="I27" s="247">
        <v>40</v>
      </c>
      <c r="J27" s="97">
        <v>23</v>
      </c>
      <c r="K27" s="91">
        <f t="shared" si="0"/>
        <v>39098.85</v>
      </c>
      <c r="L27" s="94">
        <f t="shared" si="1"/>
        <v>28899.15</v>
      </c>
      <c r="M27" s="159">
        <f t="shared" si="2"/>
        <v>17</v>
      </c>
      <c r="N27" s="159"/>
      <c r="O27" s="97"/>
      <c r="P27" s="11"/>
    </row>
    <row r="28" spans="1:16" s="114" customFormat="1">
      <c r="A28" s="292" t="s">
        <v>949</v>
      </c>
      <c r="B28" s="243">
        <v>23</v>
      </c>
      <c r="C28" s="11" t="s">
        <v>1092</v>
      </c>
      <c r="D28" s="11"/>
      <c r="E28" s="16">
        <v>500000</v>
      </c>
      <c r="F28" s="16">
        <v>66650</v>
      </c>
      <c r="G28" s="331">
        <f>SUM(E28:F28)</f>
        <v>566650</v>
      </c>
      <c r="H28" s="318">
        <v>11333</v>
      </c>
      <c r="I28" s="247">
        <v>50</v>
      </c>
      <c r="J28" s="97">
        <v>47</v>
      </c>
      <c r="K28" s="91">
        <f t="shared" si="0"/>
        <v>532651</v>
      </c>
      <c r="L28" s="94">
        <f t="shared" si="1"/>
        <v>33999</v>
      </c>
      <c r="M28" s="159">
        <f t="shared" si="2"/>
        <v>3</v>
      </c>
      <c r="N28" s="159"/>
      <c r="O28" s="97"/>
      <c r="P28" s="11"/>
    </row>
    <row r="29" spans="1:16" s="114" customFormat="1">
      <c r="A29" s="11" t="s">
        <v>1247</v>
      </c>
      <c r="B29" s="243">
        <v>24</v>
      </c>
      <c r="C29" s="11" t="s">
        <v>436</v>
      </c>
      <c r="D29" s="11"/>
      <c r="E29" s="16">
        <v>500000</v>
      </c>
      <c r="F29" s="16">
        <v>66650</v>
      </c>
      <c r="G29" s="331">
        <f>SUM(E29:F29)</f>
        <v>566650</v>
      </c>
      <c r="H29" s="254">
        <v>21333</v>
      </c>
      <c r="I29" s="247">
        <v>25</v>
      </c>
      <c r="J29" s="159">
        <v>2</v>
      </c>
      <c r="K29" s="16">
        <f t="shared" si="0"/>
        <v>42666</v>
      </c>
      <c r="L29" s="94">
        <f t="shared" si="1"/>
        <v>523984</v>
      </c>
      <c r="M29" s="159">
        <f t="shared" si="2"/>
        <v>23</v>
      </c>
      <c r="N29" s="11"/>
      <c r="O29" s="11"/>
      <c r="P29" s="11"/>
    </row>
    <row r="30" spans="1:16" s="114" customFormat="1">
      <c r="A30" s="11" t="s">
        <v>1144</v>
      </c>
      <c r="B30" s="243">
        <v>25</v>
      </c>
      <c r="C30" s="11" t="s">
        <v>1282</v>
      </c>
      <c r="D30" s="11"/>
      <c r="E30" s="19">
        <v>330000</v>
      </c>
      <c r="F30" s="19">
        <v>43989</v>
      </c>
      <c r="G30" s="329">
        <f>SUM(E30:F30)</f>
        <v>373989</v>
      </c>
      <c r="H30" s="254">
        <v>7479.78</v>
      </c>
      <c r="I30" s="247">
        <v>50</v>
      </c>
      <c r="J30" s="159">
        <v>2</v>
      </c>
      <c r="K30" s="16">
        <f t="shared" si="0"/>
        <v>14959.56</v>
      </c>
      <c r="L30" s="94">
        <f t="shared" si="1"/>
        <v>359029.44</v>
      </c>
      <c r="M30" s="159">
        <f t="shared" si="2"/>
        <v>48</v>
      </c>
      <c r="N30" s="11"/>
      <c r="O30" s="11"/>
      <c r="P30" s="11"/>
    </row>
    <row r="31" spans="1:16" s="114" customFormat="1">
      <c r="A31" s="293" t="s">
        <v>1219</v>
      </c>
      <c r="B31" s="243">
        <v>26</v>
      </c>
      <c r="C31" s="11" t="s">
        <v>1137</v>
      </c>
      <c r="D31" s="11"/>
      <c r="E31" s="19">
        <v>330000</v>
      </c>
      <c r="F31" s="19">
        <v>43989</v>
      </c>
      <c r="G31" s="329">
        <f>SUM(E31:F31)</f>
        <v>373989</v>
      </c>
      <c r="H31" s="327">
        <v>7479.78</v>
      </c>
      <c r="I31" s="247">
        <v>50</v>
      </c>
      <c r="J31" s="96">
        <v>10</v>
      </c>
      <c r="K31" s="91">
        <f t="shared" si="0"/>
        <v>74797.8</v>
      </c>
      <c r="L31" s="94">
        <f t="shared" si="1"/>
        <v>299191.2</v>
      </c>
      <c r="M31" s="159">
        <f t="shared" si="2"/>
        <v>40</v>
      </c>
      <c r="N31" s="159"/>
      <c r="O31" s="97"/>
      <c r="P31" s="11"/>
    </row>
    <row r="32" spans="1:16" s="114" customFormat="1">
      <c r="A32" s="293" t="s">
        <v>1255</v>
      </c>
      <c r="B32" s="243">
        <v>27</v>
      </c>
      <c r="C32" s="123" t="s">
        <v>293</v>
      </c>
      <c r="D32" s="123"/>
      <c r="E32" s="19">
        <v>450000</v>
      </c>
      <c r="F32" s="19">
        <v>59985</v>
      </c>
      <c r="G32" s="329">
        <v>509985</v>
      </c>
      <c r="H32" s="327">
        <v>10199.700000000001</v>
      </c>
      <c r="I32" s="247">
        <v>50</v>
      </c>
      <c r="J32" s="159">
        <v>9</v>
      </c>
      <c r="K32" s="16">
        <f t="shared" si="0"/>
        <v>91797.3</v>
      </c>
      <c r="L32" s="94">
        <f t="shared" si="1"/>
        <v>418187.7</v>
      </c>
      <c r="M32" s="159">
        <f t="shared" si="2"/>
        <v>41</v>
      </c>
      <c r="N32" s="159"/>
      <c r="O32" s="159"/>
      <c r="P32" s="11"/>
    </row>
    <row r="33" spans="1:16" s="114" customFormat="1">
      <c r="A33" s="11" t="s">
        <v>1251</v>
      </c>
      <c r="B33" s="243">
        <v>28</v>
      </c>
      <c r="C33" s="11" t="s">
        <v>1286</v>
      </c>
      <c r="D33" s="11"/>
      <c r="E33" s="19">
        <v>450000</v>
      </c>
      <c r="F33" s="19">
        <v>59985</v>
      </c>
      <c r="G33" s="329">
        <v>509985</v>
      </c>
      <c r="H33" s="254">
        <v>10199.700000000001</v>
      </c>
      <c r="I33" s="247">
        <v>50</v>
      </c>
      <c r="J33" s="159">
        <v>2</v>
      </c>
      <c r="K33" s="16">
        <f t="shared" si="0"/>
        <v>20399.400000000001</v>
      </c>
      <c r="L33" s="94">
        <f t="shared" si="1"/>
        <v>489585.6</v>
      </c>
      <c r="M33" s="159">
        <f t="shared" si="2"/>
        <v>48</v>
      </c>
      <c r="N33" s="11"/>
      <c r="O33" s="11"/>
      <c r="P33" s="11"/>
    </row>
    <row r="34" spans="1:16" s="114" customFormat="1">
      <c r="A34" s="292" t="s">
        <v>633</v>
      </c>
      <c r="B34" s="243">
        <v>29</v>
      </c>
      <c r="C34" s="11" t="s">
        <v>457</v>
      </c>
      <c r="D34" s="11"/>
      <c r="E34" s="19">
        <v>150000</v>
      </c>
      <c r="F34" s="19">
        <v>19995</v>
      </c>
      <c r="G34" s="329">
        <f>SUM(E34:F34)</f>
        <v>169995</v>
      </c>
      <c r="H34" s="252">
        <v>3399.9</v>
      </c>
      <c r="I34" s="247">
        <v>50</v>
      </c>
      <c r="J34" s="101">
        <v>22</v>
      </c>
      <c r="K34" s="91">
        <f t="shared" si="0"/>
        <v>74797.8</v>
      </c>
      <c r="L34" s="94">
        <f t="shared" si="1"/>
        <v>95197.2</v>
      </c>
      <c r="M34" s="159">
        <f t="shared" si="2"/>
        <v>28</v>
      </c>
      <c r="N34" s="159"/>
      <c r="O34" s="97"/>
      <c r="P34" s="8"/>
    </row>
    <row r="35" spans="1:16" s="114" customFormat="1">
      <c r="A35" s="293" t="s">
        <v>1259</v>
      </c>
      <c r="B35" s="243">
        <v>30</v>
      </c>
      <c r="C35" s="123" t="s">
        <v>1265</v>
      </c>
      <c r="D35" s="123"/>
      <c r="E35" s="16">
        <v>500000</v>
      </c>
      <c r="F35" s="16">
        <v>66650</v>
      </c>
      <c r="G35" s="331">
        <f>SUM(E35:F35)</f>
        <v>566650</v>
      </c>
      <c r="H35" s="327">
        <v>11333</v>
      </c>
      <c r="I35" s="247">
        <v>50</v>
      </c>
      <c r="J35" s="159">
        <v>9</v>
      </c>
      <c r="K35" s="16">
        <f t="shared" si="0"/>
        <v>101997</v>
      </c>
      <c r="L35" s="94">
        <f t="shared" si="1"/>
        <v>464653</v>
      </c>
      <c r="M35" s="159">
        <f t="shared" si="2"/>
        <v>41</v>
      </c>
      <c r="N35" s="159"/>
      <c r="O35" s="159"/>
      <c r="P35" s="11"/>
    </row>
    <row r="36" spans="1:16" s="114" customFormat="1">
      <c r="A36" s="295" t="s">
        <v>947</v>
      </c>
      <c r="B36" s="243">
        <v>31</v>
      </c>
      <c r="C36" s="11" t="s">
        <v>1095</v>
      </c>
      <c r="D36" s="8"/>
      <c r="E36" s="16">
        <v>500000</v>
      </c>
      <c r="F36" s="16">
        <v>66650</v>
      </c>
      <c r="G36" s="331">
        <f>SUM(E36:F36)</f>
        <v>566650</v>
      </c>
      <c r="H36" s="319">
        <v>11333</v>
      </c>
      <c r="I36" s="247">
        <v>50</v>
      </c>
      <c r="J36" s="159">
        <v>14</v>
      </c>
      <c r="K36" s="16">
        <f t="shared" si="0"/>
        <v>158662</v>
      </c>
      <c r="L36" s="94">
        <f t="shared" si="1"/>
        <v>407988</v>
      </c>
      <c r="M36" s="159">
        <f t="shared" si="2"/>
        <v>36</v>
      </c>
      <c r="N36" s="159"/>
      <c r="O36" s="159"/>
      <c r="P36" s="8"/>
    </row>
    <row r="37" spans="1:16" s="114" customFormat="1">
      <c r="A37" s="292" t="s">
        <v>534</v>
      </c>
      <c r="B37" s="243">
        <v>32</v>
      </c>
      <c r="C37" s="11" t="s">
        <v>363</v>
      </c>
      <c r="D37" s="11"/>
      <c r="E37" s="16">
        <v>450000</v>
      </c>
      <c r="F37" s="16">
        <v>59985</v>
      </c>
      <c r="G37" s="330">
        <v>509985</v>
      </c>
      <c r="H37" s="318">
        <v>10199.700000000001</v>
      </c>
      <c r="I37" s="247">
        <v>50</v>
      </c>
      <c r="J37" s="97">
        <v>26</v>
      </c>
      <c r="K37" s="91">
        <f>(1*10199.7)</f>
        <v>10199.700000000001</v>
      </c>
      <c r="L37" s="94">
        <f t="shared" si="1"/>
        <v>499785.3</v>
      </c>
      <c r="M37" s="159">
        <f t="shared" si="2"/>
        <v>24</v>
      </c>
      <c r="N37" s="159"/>
      <c r="O37" s="97"/>
      <c r="P37" s="11"/>
    </row>
    <row r="38" spans="1:16" s="114" customFormat="1">
      <c r="A38" s="292" t="s">
        <v>626</v>
      </c>
      <c r="B38" s="243">
        <v>33</v>
      </c>
      <c r="C38" s="11" t="s">
        <v>375</v>
      </c>
      <c r="D38" s="11"/>
      <c r="E38" s="16">
        <v>330000</v>
      </c>
      <c r="F38" s="16">
        <v>43989</v>
      </c>
      <c r="G38" s="331">
        <f>SUM(E38:F38)</f>
        <v>373989</v>
      </c>
      <c r="H38" s="318">
        <v>7479.78</v>
      </c>
      <c r="I38" s="247">
        <v>50</v>
      </c>
      <c r="J38" s="97">
        <v>48</v>
      </c>
      <c r="K38" s="91">
        <f t="shared" ref="K38:K69" si="3">J38*H38</f>
        <v>359029.44</v>
      </c>
      <c r="L38" s="94">
        <f t="shared" ref="L38:L69" si="4">G38-K38</f>
        <v>14959.559999999998</v>
      </c>
      <c r="M38" s="159">
        <f t="shared" ref="M38:M69" si="5">I38-J38</f>
        <v>2</v>
      </c>
      <c r="N38" s="159"/>
      <c r="O38" s="97"/>
      <c r="P38" s="11"/>
    </row>
    <row r="39" spans="1:16" s="114" customFormat="1">
      <c r="A39" s="292" t="s">
        <v>730</v>
      </c>
      <c r="B39" s="243">
        <v>34</v>
      </c>
      <c r="C39" s="11" t="s">
        <v>320</v>
      </c>
      <c r="D39" s="11"/>
      <c r="E39" s="16">
        <v>500000</v>
      </c>
      <c r="F39" s="16">
        <v>66650</v>
      </c>
      <c r="G39" s="331">
        <f>SUM(E39:F39)</f>
        <v>566650</v>
      </c>
      <c r="H39" s="318">
        <v>11333</v>
      </c>
      <c r="I39" s="247">
        <v>50</v>
      </c>
      <c r="J39" s="159">
        <v>24</v>
      </c>
      <c r="K39" s="91">
        <f t="shared" si="3"/>
        <v>271992</v>
      </c>
      <c r="L39" s="94">
        <f t="shared" si="4"/>
        <v>294658</v>
      </c>
      <c r="M39" s="159">
        <f t="shared" si="5"/>
        <v>26</v>
      </c>
      <c r="N39" s="159"/>
      <c r="O39" s="159"/>
      <c r="P39" s="11"/>
    </row>
    <row r="40" spans="1:16" s="114" customFormat="1">
      <c r="A40" s="293" t="s">
        <v>1156</v>
      </c>
      <c r="B40" s="243">
        <v>35</v>
      </c>
      <c r="C40" s="11" t="s">
        <v>1296</v>
      </c>
      <c r="D40" s="11"/>
      <c r="E40" s="19"/>
      <c r="F40" s="19"/>
      <c r="G40" s="329">
        <v>200000</v>
      </c>
      <c r="H40" s="327">
        <v>5099.8500000000004</v>
      </c>
      <c r="I40" s="247">
        <v>50</v>
      </c>
      <c r="J40" s="96">
        <v>10</v>
      </c>
      <c r="K40" s="91">
        <f t="shared" si="3"/>
        <v>50998.5</v>
      </c>
      <c r="L40" s="94">
        <f t="shared" si="4"/>
        <v>149001.5</v>
      </c>
      <c r="M40" s="159">
        <f t="shared" si="5"/>
        <v>40</v>
      </c>
      <c r="N40" s="159"/>
      <c r="O40" s="97"/>
      <c r="P40" s="11"/>
    </row>
    <row r="41" spans="1:16" s="114" customFormat="1">
      <c r="A41" s="293" t="s">
        <v>1229</v>
      </c>
      <c r="B41" s="243">
        <v>36</v>
      </c>
      <c r="C41" s="123" t="s">
        <v>1264</v>
      </c>
      <c r="D41" s="123"/>
      <c r="E41" s="19">
        <v>150000</v>
      </c>
      <c r="F41" s="19">
        <v>19995</v>
      </c>
      <c r="G41" s="329">
        <f>SUM(E41:F41)</f>
        <v>169995</v>
      </c>
      <c r="H41" s="327">
        <v>4149.8999999999996</v>
      </c>
      <c r="I41" s="247">
        <v>40</v>
      </c>
      <c r="J41" s="159">
        <v>9</v>
      </c>
      <c r="K41" s="16">
        <f t="shared" si="3"/>
        <v>37349.1</v>
      </c>
      <c r="L41" s="94">
        <f t="shared" si="4"/>
        <v>132645.9</v>
      </c>
      <c r="M41" s="159">
        <f t="shared" si="5"/>
        <v>31</v>
      </c>
      <c r="N41" s="159"/>
      <c r="O41" s="159"/>
      <c r="P41" s="11"/>
    </row>
    <row r="42" spans="1:16" s="114" customFormat="1">
      <c r="A42" s="292" t="s">
        <v>623</v>
      </c>
      <c r="B42" s="243">
        <v>37</v>
      </c>
      <c r="C42" s="123" t="s">
        <v>1030</v>
      </c>
      <c r="D42" s="123"/>
      <c r="E42" s="19">
        <v>450000</v>
      </c>
      <c r="F42" s="19">
        <v>59985</v>
      </c>
      <c r="G42" s="329">
        <v>509985</v>
      </c>
      <c r="H42" s="327">
        <v>10199.700000000001</v>
      </c>
      <c r="I42" s="247">
        <v>50</v>
      </c>
      <c r="J42" s="159">
        <v>14</v>
      </c>
      <c r="K42" s="91">
        <f t="shared" si="3"/>
        <v>142795.80000000002</v>
      </c>
      <c r="L42" s="94">
        <f t="shared" si="4"/>
        <v>367189.19999999995</v>
      </c>
      <c r="M42" s="159">
        <f t="shared" si="5"/>
        <v>36</v>
      </c>
      <c r="N42" s="159"/>
      <c r="O42" s="97"/>
      <c r="P42" s="11"/>
    </row>
    <row r="43" spans="1:16" s="114" customFormat="1">
      <c r="A43" s="295" t="s">
        <v>1233</v>
      </c>
      <c r="B43" s="243">
        <v>38</v>
      </c>
      <c r="C43" s="11" t="s">
        <v>463</v>
      </c>
      <c r="D43" s="8"/>
      <c r="E43" s="16">
        <v>500000</v>
      </c>
      <c r="F43" s="16">
        <v>66650</v>
      </c>
      <c r="G43" s="331">
        <f t="shared" ref="G43:G49" si="6">SUM(E43:F43)</f>
        <v>566650</v>
      </c>
      <c r="H43" s="34">
        <v>11333</v>
      </c>
      <c r="I43" s="247">
        <v>50</v>
      </c>
      <c r="J43" s="323">
        <v>7</v>
      </c>
      <c r="K43" s="16">
        <f t="shared" si="3"/>
        <v>79331</v>
      </c>
      <c r="L43" s="94">
        <f t="shared" si="4"/>
        <v>487319</v>
      </c>
      <c r="M43" s="159">
        <f t="shared" si="5"/>
        <v>43</v>
      </c>
      <c r="N43" s="159"/>
      <c r="O43" s="159"/>
      <c r="P43" s="8"/>
    </row>
    <row r="44" spans="1:16" s="114" customFormat="1">
      <c r="A44" s="292" t="s">
        <v>526</v>
      </c>
      <c r="B44" s="243">
        <v>39</v>
      </c>
      <c r="C44" s="11" t="s">
        <v>112</v>
      </c>
      <c r="D44" s="11"/>
      <c r="E44" s="16">
        <v>330000</v>
      </c>
      <c r="F44" s="16">
        <v>43989</v>
      </c>
      <c r="G44" s="331">
        <f t="shared" si="6"/>
        <v>373989</v>
      </c>
      <c r="H44" s="146">
        <v>7479.78</v>
      </c>
      <c r="I44" s="247">
        <v>50</v>
      </c>
      <c r="J44" s="97">
        <v>48</v>
      </c>
      <c r="K44" s="91">
        <f t="shared" si="3"/>
        <v>359029.44</v>
      </c>
      <c r="L44" s="94">
        <f t="shared" si="4"/>
        <v>14959.559999999998</v>
      </c>
      <c r="M44" s="159">
        <f t="shared" si="5"/>
        <v>2</v>
      </c>
      <c r="N44" s="159"/>
      <c r="O44" s="97"/>
      <c r="P44" s="11"/>
    </row>
    <row r="45" spans="1:16" s="114" customFormat="1">
      <c r="A45" s="292" t="s">
        <v>609</v>
      </c>
      <c r="B45" s="243">
        <v>40</v>
      </c>
      <c r="C45" s="11" t="s">
        <v>321</v>
      </c>
      <c r="D45" s="11"/>
      <c r="E45" s="16">
        <v>500000</v>
      </c>
      <c r="F45" s="16">
        <v>66650</v>
      </c>
      <c r="G45" s="331">
        <f t="shared" si="6"/>
        <v>566650</v>
      </c>
      <c r="H45" s="318">
        <v>11333</v>
      </c>
      <c r="I45" s="247">
        <v>50</v>
      </c>
      <c r="J45" s="97">
        <v>47</v>
      </c>
      <c r="K45" s="91">
        <f t="shared" si="3"/>
        <v>532651</v>
      </c>
      <c r="L45" s="94">
        <f t="shared" si="4"/>
        <v>33999</v>
      </c>
      <c r="M45" s="159">
        <f t="shared" si="5"/>
        <v>3</v>
      </c>
      <c r="N45" s="159"/>
      <c r="O45" s="97"/>
      <c r="P45" s="11"/>
    </row>
    <row r="46" spans="1:16" s="114" customFormat="1">
      <c r="A46" s="292" t="s">
        <v>682</v>
      </c>
      <c r="B46" s="243">
        <v>41</v>
      </c>
      <c r="C46" s="11" t="s">
        <v>322</v>
      </c>
      <c r="D46" s="11"/>
      <c r="E46" s="16">
        <v>500000</v>
      </c>
      <c r="F46" s="16">
        <v>66650</v>
      </c>
      <c r="G46" s="331">
        <f t="shared" si="6"/>
        <v>566650</v>
      </c>
      <c r="H46" s="318">
        <v>11333</v>
      </c>
      <c r="I46" s="247">
        <v>50</v>
      </c>
      <c r="J46" s="97">
        <v>48</v>
      </c>
      <c r="K46" s="91">
        <f t="shared" si="3"/>
        <v>543984</v>
      </c>
      <c r="L46" s="94">
        <f t="shared" si="4"/>
        <v>22666</v>
      </c>
      <c r="M46" s="159">
        <f t="shared" si="5"/>
        <v>2</v>
      </c>
      <c r="N46" s="159"/>
      <c r="O46" s="97"/>
      <c r="P46" s="11"/>
    </row>
    <row r="47" spans="1:16" s="114" customFormat="1">
      <c r="A47" s="292" t="s">
        <v>542</v>
      </c>
      <c r="B47" s="243">
        <v>42</v>
      </c>
      <c r="C47" s="11" t="s">
        <v>323</v>
      </c>
      <c r="D47" s="11"/>
      <c r="E47" s="16">
        <v>500000</v>
      </c>
      <c r="F47" s="16">
        <v>66650</v>
      </c>
      <c r="G47" s="331">
        <f t="shared" si="6"/>
        <v>566650</v>
      </c>
      <c r="H47" s="318">
        <v>11333</v>
      </c>
      <c r="I47" s="247">
        <v>50</v>
      </c>
      <c r="J47" s="97">
        <v>47</v>
      </c>
      <c r="K47" s="91">
        <f t="shared" si="3"/>
        <v>532651</v>
      </c>
      <c r="L47" s="94">
        <f t="shared" si="4"/>
        <v>33999</v>
      </c>
      <c r="M47" s="159">
        <f t="shared" si="5"/>
        <v>3</v>
      </c>
      <c r="N47" s="159"/>
      <c r="O47" s="97"/>
      <c r="P47" s="11"/>
    </row>
    <row r="48" spans="1:16" s="114" customFormat="1">
      <c r="A48" s="293" t="s">
        <v>1166</v>
      </c>
      <c r="B48" s="243">
        <v>43</v>
      </c>
      <c r="C48" s="11" t="s">
        <v>1119</v>
      </c>
      <c r="D48" s="11"/>
      <c r="E48" s="16">
        <v>500000</v>
      </c>
      <c r="F48" s="16">
        <v>66650</v>
      </c>
      <c r="G48" s="331">
        <f t="shared" si="6"/>
        <v>566650</v>
      </c>
      <c r="H48" s="327">
        <v>11333</v>
      </c>
      <c r="I48" s="247">
        <v>50</v>
      </c>
      <c r="J48" s="96">
        <v>10</v>
      </c>
      <c r="K48" s="91">
        <f t="shared" si="3"/>
        <v>113330</v>
      </c>
      <c r="L48" s="94">
        <f t="shared" si="4"/>
        <v>453320</v>
      </c>
      <c r="M48" s="159">
        <f t="shared" si="5"/>
        <v>40</v>
      </c>
      <c r="N48" s="159"/>
      <c r="O48" s="97"/>
      <c r="P48" s="11"/>
    </row>
    <row r="49" spans="1:16" s="114" customFormat="1">
      <c r="A49" s="1" t="s">
        <v>1152</v>
      </c>
      <c r="B49" s="243">
        <v>44</v>
      </c>
      <c r="C49" s="11" t="s">
        <v>1294</v>
      </c>
      <c r="D49" s="1"/>
      <c r="E49" s="16">
        <v>500000</v>
      </c>
      <c r="F49" s="16">
        <v>66650</v>
      </c>
      <c r="G49" s="331">
        <f t="shared" si="6"/>
        <v>566650</v>
      </c>
      <c r="H49" s="34">
        <v>11333</v>
      </c>
      <c r="I49" s="247">
        <v>50</v>
      </c>
      <c r="J49" s="323">
        <v>7</v>
      </c>
      <c r="K49" s="16">
        <f t="shared" si="3"/>
        <v>79331</v>
      </c>
      <c r="L49" s="94">
        <f t="shared" si="4"/>
        <v>487319</v>
      </c>
      <c r="M49" s="159">
        <f t="shared" si="5"/>
        <v>43</v>
      </c>
      <c r="N49" s="159"/>
      <c r="O49" s="159"/>
      <c r="P49" s="8"/>
    </row>
    <row r="50" spans="1:16" s="114" customFormat="1">
      <c r="A50" s="293" t="s">
        <v>893</v>
      </c>
      <c r="B50" s="243">
        <v>45</v>
      </c>
      <c r="C50" s="123" t="s">
        <v>859</v>
      </c>
      <c r="D50" s="123"/>
      <c r="E50" s="19">
        <v>450000</v>
      </c>
      <c r="F50" s="19">
        <v>59985</v>
      </c>
      <c r="G50" s="329">
        <v>509985</v>
      </c>
      <c r="H50" s="327">
        <v>10199.700000000001</v>
      </c>
      <c r="I50" s="247">
        <v>50</v>
      </c>
      <c r="J50" s="159">
        <v>17</v>
      </c>
      <c r="K50" s="16">
        <f t="shared" si="3"/>
        <v>173394.90000000002</v>
      </c>
      <c r="L50" s="94">
        <f t="shared" si="4"/>
        <v>336590.1</v>
      </c>
      <c r="M50" s="159">
        <f t="shared" si="5"/>
        <v>33</v>
      </c>
      <c r="N50" s="159"/>
      <c r="O50" s="159"/>
      <c r="P50" s="11"/>
    </row>
    <row r="51" spans="1:16" s="114" customFormat="1">
      <c r="A51" s="293" t="s">
        <v>1160</v>
      </c>
      <c r="B51" s="243">
        <v>46</v>
      </c>
      <c r="C51" s="123" t="s">
        <v>465</v>
      </c>
      <c r="D51" s="123"/>
      <c r="E51" s="19">
        <v>450000</v>
      </c>
      <c r="F51" s="19">
        <v>59985</v>
      </c>
      <c r="G51" s="329">
        <v>509985</v>
      </c>
      <c r="H51" s="327">
        <v>10199.700000000001</v>
      </c>
      <c r="I51" s="247">
        <v>50</v>
      </c>
      <c r="J51" s="159">
        <v>9</v>
      </c>
      <c r="K51" s="16">
        <f t="shared" si="3"/>
        <v>91797.3</v>
      </c>
      <c r="L51" s="94">
        <f t="shared" si="4"/>
        <v>418187.7</v>
      </c>
      <c r="M51" s="159">
        <f t="shared" si="5"/>
        <v>41</v>
      </c>
      <c r="N51" s="159"/>
      <c r="O51" s="159"/>
      <c r="P51" s="11"/>
    </row>
    <row r="52" spans="1:16" s="114" customFormat="1">
      <c r="A52" s="293" t="s">
        <v>1190</v>
      </c>
      <c r="B52" s="243">
        <v>47</v>
      </c>
      <c r="C52" s="123" t="s">
        <v>1124</v>
      </c>
      <c r="D52" s="123"/>
      <c r="E52" s="16">
        <v>500000</v>
      </c>
      <c r="F52" s="16">
        <v>66650</v>
      </c>
      <c r="G52" s="331">
        <f>SUM(E52:F52)</f>
        <v>566650</v>
      </c>
      <c r="H52" s="327">
        <v>11333</v>
      </c>
      <c r="I52" s="247">
        <v>50</v>
      </c>
      <c r="J52" s="159">
        <v>9</v>
      </c>
      <c r="K52" s="16">
        <f t="shared" si="3"/>
        <v>101997</v>
      </c>
      <c r="L52" s="94">
        <f t="shared" si="4"/>
        <v>464653</v>
      </c>
      <c r="M52" s="159">
        <f t="shared" si="5"/>
        <v>41</v>
      </c>
      <c r="N52" s="159"/>
      <c r="O52" s="159"/>
      <c r="P52" s="11"/>
    </row>
    <row r="53" spans="1:16" s="114" customFormat="1">
      <c r="A53" s="292" t="s">
        <v>724</v>
      </c>
      <c r="B53" s="243">
        <v>48</v>
      </c>
      <c r="C53" s="11" t="s">
        <v>326</v>
      </c>
      <c r="D53" s="11"/>
      <c r="E53" s="19">
        <v>500000</v>
      </c>
      <c r="F53" s="19">
        <v>66650</v>
      </c>
      <c r="G53" s="329">
        <v>566650</v>
      </c>
      <c r="H53" s="318">
        <v>11333</v>
      </c>
      <c r="I53" s="247">
        <v>50</v>
      </c>
      <c r="J53" s="97">
        <v>33</v>
      </c>
      <c r="K53" s="91">
        <f t="shared" si="3"/>
        <v>373989</v>
      </c>
      <c r="L53" s="91">
        <f t="shared" si="4"/>
        <v>192661</v>
      </c>
      <c r="M53" s="159">
        <f t="shared" si="5"/>
        <v>17</v>
      </c>
      <c r="N53" s="159"/>
      <c r="O53" s="97"/>
      <c r="P53" s="11"/>
    </row>
    <row r="54" spans="1:16" s="114" customFormat="1">
      <c r="A54" s="293" t="s">
        <v>887</v>
      </c>
      <c r="B54" s="243">
        <v>49</v>
      </c>
      <c r="C54" s="123" t="s">
        <v>863</v>
      </c>
      <c r="D54" s="123"/>
      <c r="E54" s="16">
        <v>500000</v>
      </c>
      <c r="F54" s="16">
        <v>66650</v>
      </c>
      <c r="G54" s="331">
        <f>SUM(E54:F54)</f>
        <v>566650</v>
      </c>
      <c r="H54" s="327">
        <v>11333</v>
      </c>
      <c r="I54" s="247">
        <v>50</v>
      </c>
      <c r="J54" s="159">
        <v>17</v>
      </c>
      <c r="K54" s="16">
        <f t="shared" si="3"/>
        <v>192661</v>
      </c>
      <c r="L54" s="94">
        <f t="shared" si="4"/>
        <v>373989</v>
      </c>
      <c r="M54" s="159">
        <f t="shared" si="5"/>
        <v>33</v>
      </c>
      <c r="N54" s="159"/>
      <c r="O54" s="159"/>
      <c r="P54" s="11"/>
    </row>
    <row r="55" spans="1:16" s="114" customFormat="1">
      <c r="A55" s="293" t="s">
        <v>894</v>
      </c>
      <c r="B55" s="243">
        <v>50</v>
      </c>
      <c r="C55" s="123" t="s">
        <v>856</v>
      </c>
      <c r="D55" s="123"/>
      <c r="E55" s="19">
        <v>450000</v>
      </c>
      <c r="F55" s="19">
        <v>59985</v>
      </c>
      <c r="G55" s="329">
        <v>509985</v>
      </c>
      <c r="H55" s="327">
        <v>10199.700000000001</v>
      </c>
      <c r="I55" s="247">
        <v>50</v>
      </c>
      <c r="J55" s="159">
        <v>17</v>
      </c>
      <c r="K55" s="16">
        <f t="shared" si="3"/>
        <v>173394.90000000002</v>
      </c>
      <c r="L55" s="94">
        <f t="shared" si="4"/>
        <v>336590.1</v>
      </c>
      <c r="M55" s="159">
        <f t="shared" si="5"/>
        <v>33</v>
      </c>
      <c r="N55" s="159"/>
      <c r="O55" s="159"/>
      <c r="P55" s="122"/>
    </row>
    <row r="56" spans="1:16" s="114" customFormat="1">
      <c r="A56" s="122" t="s">
        <v>1253</v>
      </c>
      <c r="B56" s="243">
        <v>51</v>
      </c>
      <c r="C56" s="11" t="s">
        <v>451</v>
      </c>
      <c r="D56" s="122"/>
      <c r="E56" s="16">
        <v>500000</v>
      </c>
      <c r="F56" s="16">
        <v>66650</v>
      </c>
      <c r="G56" s="331">
        <f>SUM(E56:F56)</f>
        <v>566650</v>
      </c>
      <c r="H56" s="16">
        <v>11333</v>
      </c>
      <c r="I56" s="247">
        <v>50</v>
      </c>
      <c r="J56" s="188">
        <v>7</v>
      </c>
      <c r="K56" s="16">
        <f t="shared" si="3"/>
        <v>79331</v>
      </c>
      <c r="L56" s="94">
        <f t="shared" si="4"/>
        <v>487319</v>
      </c>
      <c r="M56" s="159">
        <f t="shared" si="5"/>
        <v>43</v>
      </c>
      <c r="N56" s="159"/>
      <c r="O56" s="159"/>
      <c r="P56" s="11"/>
    </row>
    <row r="57" spans="1:16" s="114" customFormat="1">
      <c r="A57" s="292" t="s">
        <v>619</v>
      </c>
      <c r="B57" s="243">
        <v>52</v>
      </c>
      <c r="C57" s="11" t="s">
        <v>327</v>
      </c>
      <c r="D57" s="11"/>
      <c r="E57" s="16">
        <v>500000</v>
      </c>
      <c r="F57" s="16">
        <v>66650</v>
      </c>
      <c r="G57" s="330">
        <v>566650</v>
      </c>
      <c r="H57" s="318">
        <v>11333</v>
      </c>
      <c r="I57" s="247">
        <v>50</v>
      </c>
      <c r="J57" s="97">
        <v>48</v>
      </c>
      <c r="K57" s="91">
        <f t="shared" si="3"/>
        <v>543984</v>
      </c>
      <c r="L57" s="94">
        <f t="shared" si="4"/>
        <v>22666</v>
      </c>
      <c r="M57" s="159">
        <f t="shared" si="5"/>
        <v>2</v>
      </c>
      <c r="N57" s="159"/>
      <c r="O57" s="97"/>
      <c r="P57" s="11"/>
    </row>
    <row r="58" spans="1:16" s="114" customFormat="1">
      <c r="A58" s="11" t="s">
        <v>1186</v>
      </c>
      <c r="B58" s="243">
        <v>53</v>
      </c>
      <c r="C58" s="11" t="s">
        <v>1281</v>
      </c>
      <c r="D58" s="11"/>
      <c r="E58" s="16">
        <v>500000</v>
      </c>
      <c r="F58" s="16">
        <v>66650</v>
      </c>
      <c r="G58" s="331">
        <f>SUM(E58:F58)</f>
        <v>566650</v>
      </c>
      <c r="H58" s="254">
        <v>11333</v>
      </c>
      <c r="I58" s="247">
        <v>50</v>
      </c>
      <c r="J58" s="159">
        <v>2</v>
      </c>
      <c r="K58" s="16">
        <f t="shared" si="3"/>
        <v>22666</v>
      </c>
      <c r="L58" s="94">
        <f t="shared" si="4"/>
        <v>543984</v>
      </c>
      <c r="M58" s="159">
        <f t="shared" si="5"/>
        <v>48</v>
      </c>
      <c r="N58" s="11"/>
      <c r="O58" s="11"/>
      <c r="P58" s="11"/>
    </row>
    <row r="59" spans="1:16" s="114" customFormat="1">
      <c r="A59" s="294" t="s">
        <v>663</v>
      </c>
      <c r="B59" s="243">
        <v>54</v>
      </c>
      <c r="C59" s="11" t="s">
        <v>854</v>
      </c>
      <c r="D59" s="11"/>
      <c r="E59" s="19">
        <v>330000</v>
      </c>
      <c r="F59" s="19">
        <v>43989</v>
      </c>
      <c r="G59" s="329">
        <f>SUM(E59:F59)</f>
        <v>373989</v>
      </c>
      <c r="H59" s="327">
        <v>7479.78</v>
      </c>
      <c r="I59" s="247">
        <v>50</v>
      </c>
      <c r="J59" s="159">
        <v>15</v>
      </c>
      <c r="K59" s="91">
        <f t="shared" si="3"/>
        <v>112196.7</v>
      </c>
      <c r="L59" s="94">
        <f t="shared" si="4"/>
        <v>261792.3</v>
      </c>
      <c r="M59" s="159">
        <f t="shared" si="5"/>
        <v>35</v>
      </c>
      <c r="N59" s="159"/>
      <c r="O59" s="97"/>
      <c r="P59" s="122"/>
    </row>
    <row r="60" spans="1:16" s="114" customFormat="1">
      <c r="A60" s="292" t="s">
        <v>664</v>
      </c>
      <c r="B60" s="243">
        <v>55</v>
      </c>
      <c r="C60" s="11" t="s">
        <v>294</v>
      </c>
      <c r="D60" s="11"/>
      <c r="E60" s="19">
        <v>330000</v>
      </c>
      <c r="F60" s="19">
        <v>43989</v>
      </c>
      <c r="G60" s="329">
        <f>SUM(E60:F60)</f>
        <v>373989</v>
      </c>
      <c r="H60" s="252">
        <v>7479.78</v>
      </c>
      <c r="I60" s="247">
        <v>50</v>
      </c>
      <c r="J60" s="101">
        <v>22</v>
      </c>
      <c r="K60" s="91">
        <f t="shared" si="3"/>
        <v>164555.16</v>
      </c>
      <c r="L60" s="94">
        <f t="shared" si="4"/>
        <v>209433.84</v>
      </c>
      <c r="M60" s="159">
        <f t="shared" si="5"/>
        <v>28</v>
      </c>
      <c r="N60" s="159"/>
      <c r="O60" s="97"/>
      <c r="P60" s="11"/>
    </row>
    <row r="61" spans="1:16" s="114" customFormat="1">
      <c r="A61" s="122" t="s">
        <v>1174</v>
      </c>
      <c r="B61" s="243">
        <v>56</v>
      </c>
      <c r="C61" s="11" t="s">
        <v>433</v>
      </c>
      <c r="D61" s="122"/>
      <c r="E61" s="16">
        <v>500000</v>
      </c>
      <c r="F61" s="16">
        <v>66650</v>
      </c>
      <c r="G61" s="331">
        <f>SUM(E61:F61)</f>
        <v>566650</v>
      </c>
      <c r="H61" s="16">
        <v>11333</v>
      </c>
      <c r="I61" s="247">
        <v>50</v>
      </c>
      <c r="J61" s="188">
        <v>7</v>
      </c>
      <c r="K61" s="16">
        <f t="shared" si="3"/>
        <v>79331</v>
      </c>
      <c r="L61" s="94">
        <f t="shared" si="4"/>
        <v>487319</v>
      </c>
      <c r="M61" s="159">
        <f t="shared" si="5"/>
        <v>43</v>
      </c>
      <c r="N61" s="159"/>
      <c r="O61" s="159"/>
      <c r="P61" s="11"/>
    </row>
    <row r="62" spans="1:16" s="114" customFormat="1">
      <c r="A62" s="293" t="s">
        <v>896</v>
      </c>
      <c r="B62" s="243">
        <v>57</v>
      </c>
      <c r="C62" s="123" t="s">
        <v>873</v>
      </c>
      <c r="D62" s="123"/>
      <c r="E62" s="19">
        <v>450000</v>
      </c>
      <c r="F62" s="19">
        <v>59985</v>
      </c>
      <c r="G62" s="329">
        <v>509985</v>
      </c>
      <c r="H62" s="327">
        <v>10199.700000000001</v>
      </c>
      <c r="I62" s="247">
        <v>50</v>
      </c>
      <c r="J62" s="159">
        <v>17</v>
      </c>
      <c r="K62" s="16">
        <f t="shared" si="3"/>
        <v>173394.90000000002</v>
      </c>
      <c r="L62" s="94">
        <f t="shared" si="4"/>
        <v>336590.1</v>
      </c>
      <c r="M62" s="159">
        <f t="shared" si="5"/>
        <v>33</v>
      </c>
      <c r="N62" s="159"/>
      <c r="O62" s="159"/>
      <c r="P62" s="11"/>
    </row>
    <row r="63" spans="1:16" s="114" customFormat="1">
      <c r="A63" s="292" t="s">
        <v>516</v>
      </c>
      <c r="B63" s="243">
        <v>58</v>
      </c>
      <c r="C63" s="11" t="s">
        <v>328</v>
      </c>
      <c r="D63" s="11"/>
      <c r="E63" s="16">
        <v>500000</v>
      </c>
      <c r="F63" s="16">
        <v>66650</v>
      </c>
      <c r="G63" s="331">
        <f>SUM(E63:F63)</f>
        <v>566650</v>
      </c>
      <c r="H63" s="146">
        <v>11333</v>
      </c>
      <c r="I63" s="247">
        <v>50</v>
      </c>
      <c r="J63" s="97">
        <v>48</v>
      </c>
      <c r="K63" s="91">
        <f t="shared" si="3"/>
        <v>543984</v>
      </c>
      <c r="L63" s="94">
        <f t="shared" si="4"/>
        <v>22666</v>
      </c>
      <c r="M63" s="159">
        <f t="shared" si="5"/>
        <v>2</v>
      </c>
      <c r="N63" s="159"/>
      <c r="O63" s="97"/>
      <c r="P63" s="11"/>
    </row>
    <row r="64" spans="1:16" s="114" customFormat="1">
      <c r="A64" s="8" t="s">
        <v>1158</v>
      </c>
      <c r="B64" s="243">
        <v>59</v>
      </c>
      <c r="C64" s="8" t="s">
        <v>1287</v>
      </c>
      <c r="D64" s="8"/>
      <c r="E64" s="19">
        <v>450000</v>
      </c>
      <c r="F64" s="19">
        <v>59985</v>
      </c>
      <c r="G64" s="329">
        <v>509985</v>
      </c>
      <c r="H64" s="34">
        <v>10199.700000000001</v>
      </c>
      <c r="I64" s="247">
        <v>50</v>
      </c>
      <c r="J64" s="323">
        <v>2</v>
      </c>
      <c r="K64" s="16">
        <f t="shared" si="3"/>
        <v>20399.400000000001</v>
      </c>
      <c r="L64" s="94">
        <f t="shared" si="4"/>
        <v>489585.6</v>
      </c>
      <c r="M64" s="159">
        <f t="shared" si="5"/>
        <v>48</v>
      </c>
      <c r="N64" s="34"/>
      <c r="O64" s="34"/>
      <c r="P64" s="8"/>
    </row>
    <row r="65" spans="1:16" s="114" customFormat="1">
      <c r="A65" s="293" t="s">
        <v>1249</v>
      </c>
      <c r="B65" s="243">
        <v>60</v>
      </c>
      <c r="C65" s="11" t="s">
        <v>1289</v>
      </c>
      <c r="D65" s="11"/>
      <c r="E65" s="19">
        <v>330000</v>
      </c>
      <c r="F65" s="19">
        <v>43989</v>
      </c>
      <c r="G65" s="329">
        <f>SUM(E65:F65)</f>
        <v>373989</v>
      </c>
      <c r="H65" s="327">
        <v>7479.78</v>
      </c>
      <c r="I65" s="247">
        <v>50</v>
      </c>
      <c r="J65" s="96">
        <v>10</v>
      </c>
      <c r="K65" s="91">
        <f t="shared" si="3"/>
        <v>74797.8</v>
      </c>
      <c r="L65" s="94">
        <f t="shared" si="4"/>
        <v>299191.2</v>
      </c>
      <c r="M65" s="159">
        <f t="shared" si="5"/>
        <v>40</v>
      </c>
      <c r="N65" s="159"/>
      <c r="O65" s="97"/>
      <c r="P65" s="11"/>
    </row>
    <row r="66" spans="1:16" s="114" customFormat="1">
      <c r="A66" s="295" t="s">
        <v>937</v>
      </c>
      <c r="B66" s="243">
        <v>61</v>
      </c>
      <c r="C66" s="11" t="s">
        <v>453</v>
      </c>
      <c r="D66" s="8"/>
      <c r="E66" s="19">
        <v>150000</v>
      </c>
      <c r="F66" s="19">
        <v>19995</v>
      </c>
      <c r="G66" s="329">
        <f>SUM(E66:F66)</f>
        <v>169995</v>
      </c>
      <c r="H66" s="319">
        <v>3399.9</v>
      </c>
      <c r="I66" s="247">
        <v>50</v>
      </c>
      <c r="J66" s="159">
        <v>14</v>
      </c>
      <c r="K66" s="16">
        <f t="shared" si="3"/>
        <v>47598.6</v>
      </c>
      <c r="L66" s="94">
        <f t="shared" si="4"/>
        <v>122396.4</v>
      </c>
      <c r="M66" s="159">
        <f t="shared" si="5"/>
        <v>36</v>
      </c>
      <c r="N66" s="159"/>
      <c r="O66" s="159"/>
      <c r="P66" s="11"/>
    </row>
    <row r="67" spans="1:16" s="114" customFormat="1">
      <c r="A67" s="292" t="s">
        <v>717</v>
      </c>
      <c r="B67" s="243">
        <v>62</v>
      </c>
      <c r="C67" s="11" t="s">
        <v>286</v>
      </c>
      <c r="D67" s="11"/>
      <c r="E67" s="16">
        <v>450000</v>
      </c>
      <c r="F67" s="16">
        <v>59985</v>
      </c>
      <c r="G67" s="330">
        <v>509985</v>
      </c>
      <c r="H67" s="318">
        <v>10199.700000000001</v>
      </c>
      <c r="I67" s="247">
        <v>50</v>
      </c>
      <c r="J67" s="97">
        <v>36</v>
      </c>
      <c r="K67" s="91">
        <f t="shared" si="3"/>
        <v>367189.2</v>
      </c>
      <c r="L67" s="94">
        <f t="shared" si="4"/>
        <v>142795.79999999999</v>
      </c>
      <c r="M67" s="159">
        <f t="shared" si="5"/>
        <v>14</v>
      </c>
      <c r="N67" s="159"/>
      <c r="O67" s="97"/>
      <c r="P67" s="122"/>
    </row>
    <row r="68" spans="1:16" s="114" customFormat="1">
      <c r="A68" s="292" t="s">
        <v>698</v>
      </c>
      <c r="B68" s="243">
        <v>63</v>
      </c>
      <c r="C68" s="11" t="s">
        <v>332</v>
      </c>
      <c r="D68" s="11"/>
      <c r="E68" s="19">
        <v>500000</v>
      </c>
      <c r="F68" s="19">
        <v>66650</v>
      </c>
      <c r="G68" s="329">
        <v>566650</v>
      </c>
      <c r="H68" s="318">
        <v>11333</v>
      </c>
      <c r="I68" s="247">
        <v>50</v>
      </c>
      <c r="J68" s="97">
        <v>34</v>
      </c>
      <c r="K68" s="91">
        <f t="shared" si="3"/>
        <v>385322</v>
      </c>
      <c r="L68" s="91">
        <f t="shared" si="4"/>
        <v>181328</v>
      </c>
      <c r="M68" s="159">
        <f t="shared" si="5"/>
        <v>16</v>
      </c>
      <c r="N68" s="159"/>
      <c r="O68" s="97"/>
      <c r="P68" s="11"/>
    </row>
    <row r="69" spans="1:16" s="114" customFormat="1">
      <c r="A69" s="293" t="s">
        <v>1162</v>
      </c>
      <c r="B69" s="243">
        <v>64</v>
      </c>
      <c r="C69" s="123" t="s">
        <v>1117</v>
      </c>
      <c r="D69" s="123"/>
      <c r="E69" s="16">
        <v>500000</v>
      </c>
      <c r="F69" s="16">
        <v>66650</v>
      </c>
      <c r="G69" s="331">
        <f>SUM(E69:F69)</f>
        <v>566650</v>
      </c>
      <c r="H69" s="327">
        <v>11333</v>
      </c>
      <c r="I69" s="247">
        <v>50</v>
      </c>
      <c r="J69" s="159">
        <v>9</v>
      </c>
      <c r="K69" s="16">
        <f t="shared" si="3"/>
        <v>101997</v>
      </c>
      <c r="L69" s="94">
        <f t="shared" si="4"/>
        <v>464653</v>
      </c>
      <c r="M69" s="159">
        <f t="shared" si="5"/>
        <v>41</v>
      </c>
      <c r="N69" s="159"/>
      <c r="O69" s="159"/>
      <c r="P69" s="11"/>
    </row>
    <row r="70" spans="1:16" s="114" customFormat="1">
      <c r="A70" s="292" t="s">
        <v>702</v>
      </c>
      <c r="B70" s="243">
        <v>65</v>
      </c>
      <c r="C70" s="11" t="s">
        <v>364</v>
      </c>
      <c r="D70" s="11"/>
      <c r="E70" s="16">
        <v>450000</v>
      </c>
      <c r="F70" s="16">
        <v>59985</v>
      </c>
      <c r="G70" s="330">
        <v>509985</v>
      </c>
      <c r="H70" s="318">
        <v>10199.700000000001</v>
      </c>
      <c r="I70" s="247">
        <v>50</v>
      </c>
      <c r="J70" s="97">
        <v>33</v>
      </c>
      <c r="K70" s="91">
        <f t="shared" ref="K70:K101" si="7">J70*H70</f>
        <v>336590.10000000003</v>
      </c>
      <c r="L70" s="91">
        <f t="shared" ref="L70:L101" si="8">G70-K70</f>
        <v>173394.89999999997</v>
      </c>
      <c r="M70" s="159">
        <f t="shared" ref="M70:M101" si="9">I70-J70</f>
        <v>17</v>
      </c>
      <c r="N70" s="159"/>
      <c r="O70" s="97"/>
      <c r="P70" s="11"/>
    </row>
    <row r="71" spans="1:16" s="114" customFormat="1">
      <c r="A71" s="292" t="s">
        <v>676</v>
      </c>
      <c r="B71" s="243">
        <v>66</v>
      </c>
      <c r="C71" s="11" t="s">
        <v>425</v>
      </c>
      <c r="D71" s="11"/>
      <c r="E71" s="19">
        <v>150000</v>
      </c>
      <c r="F71" s="19">
        <v>19995</v>
      </c>
      <c r="G71" s="329">
        <f>SUM(E71:F71)</f>
        <v>169995</v>
      </c>
      <c r="H71" s="318">
        <v>3399.9</v>
      </c>
      <c r="I71" s="247">
        <v>50</v>
      </c>
      <c r="J71" s="97">
        <v>34</v>
      </c>
      <c r="K71" s="91">
        <f t="shared" si="7"/>
        <v>115596.6</v>
      </c>
      <c r="L71" s="91">
        <f t="shared" si="8"/>
        <v>54398.399999999994</v>
      </c>
      <c r="M71" s="159">
        <f t="shared" si="9"/>
        <v>16</v>
      </c>
      <c r="N71" s="159"/>
      <c r="O71" s="97"/>
      <c r="P71" s="11"/>
    </row>
    <row r="72" spans="1:16" s="114" customFormat="1">
      <c r="A72" s="8" t="s">
        <v>1196</v>
      </c>
      <c r="B72" s="243">
        <v>67</v>
      </c>
      <c r="C72" s="8" t="s">
        <v>1280</v>
      </c>
      <c r="D72" s="8"/>
      <c r="E72" s="16">
        <v>500000</v>
      </c>
      <c r="F72" s="16">
        <v>66650</v>
      </c>
      <c r="G72" s="331">
        <f>SUM(E72:F72)</f>
        <v>566650</v>
      </c>
      <c r="H72" s="34">
        <v>11333</v>
      </c>
      <c r="I72" s="247">
        <v>50</v>
      </c>
      <c r="J72" s="323">
        <v>2</v>
      </c>
      <c r="K72" s="16">
        <f t="shared" si="7"/>
        <v>22666</v>
      </c>
      <c r="L72" s="94">
        <f t="shared" si="8"/>
        <v>543984</v>
      </c>
      <c r="M72" s="159">
        <f t="shared" si="9"/>
        <v>48</v>
      </c>
      <c r="N72" s="34"/>
      <c r="O72" s="34"/>
      <c r="P72" s="8"/>
    </row>
    <row r="73" spans="1:16" s="114" customFormat="1">
      <c r="A73" s="293" t="s">
        <v>1241</v>
      </c>
      <c r="B73" s="243">
        <v>68</v>
      </c>
      <c r="C73" s="123" t="s">
        <v>450</v>
      </c>
      <c r="D73" s="123"/>
      <c r="E73" s="19">
        <v>450000</v>
      </c>
      <c r="F73" s="19">
        <v>59985</v>
      </c>
      <c r="G73" s="329">
        <v>509985</v>
      </c>
      <c r="H73" s="327">
        <v>10199.700000000001</v>
      </c>
      <c r="I73" s="247">
        <v>50</v>
      </c>
      <c r="J73" s="159">
        <v>9</v>
      </c>
      <c r="K73" s="16">
        <f t="shared" si="7"/>
        <v>91797.3</v>
      </c>
      <c r="L73" s="94">
        <f t="shared" si="8"/>
        <v>418187.7</v>
      </c>
      <c r="M73" s="159">
        <f t="shared" si="9"/>
        <v>41</v>
      </c>
      <c r="N73" s="159"/>
      <c r="O73" s="159"/>
      <c r="P73" s="11"/>
    </row>
    <row r="74" spans="1:16" s="114" customFormat="1">
      <c r="A74" s="1" t="s">
        <v>1168</v>
      </c>
      <c r="B74" s="243">
        <v>69</v>
      </c>
      <c r="C74" s="11" t="s">
        <v>1297</v>
      </c>
      <c r="D74" s="1"/>
      <c r="E74" s="19">
        <v>330000</v>
      </c>
      <c r="F74" s="19">
        <v>43989</v>
      </c>
      <c r="G74" s="329">
        <f>SUM(E74:F74)</f>
        <v>373989</v>
      </c>
      <c r="H74" s="34">
        <v>7479.78</v>
      </c>
      <c r="I74" s="247">
        <v>50</v>
      </c>
      <c r="J74" s="323">
        <v>7</v>
      </c>
      <c r="K74" s="16">
        <f t="shared" si="7"/>
        <v>52358.46</v>
      </c>
      <c r="L74" s="94">
        <f t="shared" si="8"/>
        <v>321630.53999999998</v>
      </c>
      <c r="M74" s="159">
        <f t="shared" si="9"/>
        <v>43</v>
      </c>
      <c r="N74" s="159"/>
      <c r="O74" s="159"/>
      <c r="P74" s="11"/>
    </row>
    <row r="75" spans="1:16" s="114" customFormat="1">
      <c r="A75" s="292" t="s">
        <v>522</v>
      </c>
      <c r="B75" s="243">
        <v>70</v>
      </c>
      <c r="C75" s="11" t="s">
        <v>334</v>
      </c>
      <c r="D75" s="11"/>
      <c r="E75" s="19">
        <v>500000</v>
      </c>
      <c r="F75" s="19">
        <v>66650</v>
      </c>
      <c r="G75" s="329">
        <v>566650</v>
      </c>
      <c r="H75" s="318">
        <v>11333</v>
      </c>
      <c r="I75" s="247">
        <v>50</v>
      </c>
      <c r="J75" s="97">
        <v>34</v>
      </c>
      <c r="K75" s="91">
        <f t="shared" si="7"/>
        <v>385322</v>
      </c>
      <c r="L75" s="91">
        <f t="shared" si="8"/>
        <v>181328</v>
      </c>
      <c r="M75" s="159">
        <f t="shared" si="9"/>
        <v>16</v>
      </c>
      <c r="N75" s="159"/>
      <c r="O75" s="97"/>
      <c r="P75" s="11"/>
    </row>
    <row r="76" spans="1:16" s="114" customFormat="1">
      <c r="A76" s="292" t="s">
        <v>666</v>
      </c>
      <c r="B76" s="243">
        <v>71</v>
      </c>
      <c r="C76" s="11" t="s">
        <v>494</v>
      </c>
      <c r="D76" s="11"/>
      <c r="E76" s="19">
        <v>150000</v>
      </c>
      <c r="F76" s="19">
        <v>19995</v>
      </c>
      <c r="G76" s="329">
        <f>SUM(E76:F76)</f>
        <v>169995</v>
      </c>
      <c r="H76" s="318">
        <v>3339.9</v>
      </c>
      <c r="I76" s="247">
        <v>50</v>
      </c>
      <c r="J76" s="159">
        <v>20</v>
      </c>
      <c r="K76" s="91">
        <f t="shared" si="7"/>
        <v>66798</v>
      </c>
      <c r="L76" s="94">
        <f t="shared" si="8"/>
        <v>103197</v>
      </c>
      <c r="M76" s="159">
        <f t="shared" si="9"/>
        <v>30</v>
      </c>
      <c r="N76" s="159"/>
      <c r="O76" s="97"/>
      <c r="P76" s="11"/>
    </row>
    <row r="77" spans="1:16" s="114" customFormat="1">
      <c r="A77" s="293" t="s">
        <v>902</v>
      </c>
      <c r="B77" s="243">
        <v>72</v>
      </c>
      <c r="C77" s="123" t="s">
        <v>732</v>
      </c>
      <c r="D77" s="123"/>
      <c r="E77" s="19">
        <v>150000</v>
      </c>
      <c r="F77" s="19">
        <v>19995</v>
      </c>
      <c r="G77" s="329">
        <f>SUM(E77:F77)</f>
        <v>169995</v>
      </c>
      <c r="H77" s="327">
        <v>3399.9</v>
      </c>
      <c r="I77" s="247">
        <v>50</v>
      </c>
      <c r="J77" s="159">
        <v>17</v>
      </c>
      <c r="K77" s="16">
        <f t="shared" si="7"/>
        <v>57798.3</v>
      </c>
      <c r="L77" s="94">
        <f t="shared" si="8"/>
        <v>112196.7</v>
      </c>
      <c r="M77" s="159">
        <f t="shared" si="9"/>
        <v>33</v>
      </c>
      <c r="N77" s="159"/>
      <c r="O77" s="159"/>
      <c r="P77" s="11"/>
    </row>
    <row r="78" spans="1:16" s="114" customFormat="1">
      <c r="A78" s="293" t="s">
        <v>1231</v>
      </c>
      <c r="B78" s="243">
        <v>73</v>
      </c>
      <c r="C78" s="123" t="s">
        <v>1138</v>
      </c>
      <c r="D78" s="123"/>
      <c r="E78" s="19">
        <v>450000</v>
      </c>
      <c r="F78" s="19">
        <v>59985</v>
      </c>
      <c r="G78" s="329">
        <v>509985</v>
      </c>
      <c r="H78" s="327">
        <v>10199.700000000001</v>
      </c>
      <c r="I78" s="247">
        <v>50</v>
      </c>
      <c r="J78" s="159">
        <v>9</v>
      </c>
      <c r="K78" s="16">
        <f t="shared" si="7"/>
        <v>91797.3</v>
      </c>
      <c r="L78" s="94">
        <f t="shared" si="8"/>
        <v>418187.7</v>
      </c>
      <c r="M78" s="159">
        <f t="shared" si="9"/>
        <v>41</v>
      </c>
      <c r="N78" s="159"/>
      <c r="O78" s="159"/>
      <c r="P78" s="11"/>
    </row>
    <row r="79" spans="1:16" s="114" customFormat="1">
      <c r="A79" s="292" t="s">
        <v>686</v>
      </c>
      <c r="B79" s="243">
        <v>74</v>
      </c>
      <c r="C79" s="11" t="s">
        <v>335</v>
      </c>
      <c r="D79" s="11"/>
      <c r="E79" s="16">
        <v>500000</v>
      </c>
      <c r="F79" s="16">
        <v>66650</v>
      </c>
      <c r="G79" s="331">
        <f>SUM(E79:F79)</f>
        <v>566650</v>
      </c>
      <c r="H79" s="318">
        <v>11333</v>
      </c>
      <c r="I79" s="247">
        <v>50</v>
      </c>
      <c r="J79" s="97">
        <v>47</v>
      </c>
      <c r="K79" s="91">
        <f t="shared" si="7"/>
        <v>532651</v>
      </c>
      <c r="L79" s="94">
        <f t="shared" si="8"/>
        <v>33999</v>
      </c>
      <c r="M79" s="159">
        <f t="shared" si="9"/>
        <v>3</v>
      </c>
      <c r="N79" s="159"/>
      <c r="O79" s="97"/>
      <c r="P79" s="8"/>
    </row>
    <row r="80" spans="1:16" s="114" customFormat="1">
      <c r="A80" s="293" t="s">
        <v>890</v>
      </c>
      <c r="B80" s="243">
        <v>75</v>
      </c>
      <c r="C80" s="123" t="s">
        <v>295</v>
      </c>
      <c r="D80" s="123"/>
      <c r="E80" s="16">
        <v>500000</v>
      </c>
      <c r="F80" s="16">
        <v>66650</v>
      </c>
      <c r="G80" s="331">
        <f>SUM(E80:F80)</f>
        <v>566650</v>
      </c>
      <c r="H80" s="327">
        <v>11333</v>
      </c>
      <c r="I80" s="247">
        <v>50</v>
      </c>
      <c r="J80" s="159">
        <v>17</v>
      </c>
      <c r="K80" s="16">
        <f t="shared" si="7"/>
        <v>192661</v>
      </c>
      <c r="L80" s="94">
        <f t="shared" si="8"/>
        <v>373989</v>
      </c>
      <c r="M80" s="159">
        <f t="shared" si="9"/>
        <v>33</v>
      </c>
      <c r="N80" s="159"/>
      <c r="O80" s="159"/>
      <c r="P80" s="11"/>
    </row>
    <row r="81" spans="1:16" s="114" customFormat="1">
      <c r="A81" s="292" t="s">
        <v>530</v>
      </c>
      <c r="B81" s="243">
        <v>76</v>
      </c>
      <c r="C81" s="11" t="s">
        <v>336</v>
      </c>
      <c r="D81" s="11"/>
      <c r="E81" s="16">
        <v>500000</v>
      </c>
      <c r="F81" s="16">
        <v>66650</v>
      </c>
      <c r="G81" s="330">
        <v>566650</v>
      </c>
      <c r="H81" s="318">
        <v>11333</v>
      </c>
      <c r="I81" s="247">
        <v>50</v>
      </c>
      <c r="J81" s="97">
        <v>47</v>
      </c>
      <c r="K81" s="91">
        <f t="shared" si="7"/>
        <v>532651</v>
      </c>
      <c r="L81" s="94">
        <f t="shared" si="8"/>
        <v>33999</v>
      </c>
      <c r="M81" s="159">
        <f t="shared" si="9"/>
        <v>3</v>
      </c>
      <c r="N81" s="159"/>
      <c r="O81" s="97"/>
      <c r="P81" s="11"/>
    </row>
    <row r="82" spans="1:16" s="114" customFormat="1">
      <c r="A82" s="292" t="s">
        <v>886</v>
      </c>
      <c r="B82" s="243">
        <v>77</v>
      </c>
      <c r="C82" s="11" t="s">
        <v>865</v>
      </c>
      <c r="D82" s="11"/>
      <c r="E82" s="16">
        <v>500000</v>
      </c>
      <c r="F82" s="16">
        <v>66650</v>
      </c>
      <c r="G82" s="331">
        <f>SUM(E82:F82)</f>
        <v>566650</v>
      </c>
      <c r="H82" s="318">
        <v>11333</v>
      </c>
      <c r="I82" s="247">
        <v>50</v>
      </c>
      <c r="J82" s="97">
        <v>48</v>
      </c>
      <c r="K82" s="91">
        <f t="shared" si="7"/>
        <v>543984</v>
      </c>
      <c r="L82" s="94">
        <f t="shared" si="8"/>
        <v>22666</v>
      </c>
      <c r="M82" s="159">
        <f t="shared" si="9"/>
        <v>2</v>
      </c>
      <c r="N82" s="159"/>
      <c r="O82" s="97"/>
      <c r="P82" s="11"/>
    </row>
    <row r="83" spans="1:16" s="114" customFormat="1">
      <c r="A83" s="292" t="s">
        <v>551</v>
      </c>
      <c r="B83" s="243">
        <v>78</v>
      </c>
      <c r="C83" s="11" t="s">
        <v>339</v>
      </c>
      <c r="D83" s="11"/>
      <c r="E83" s="19">
        <v>500000</v>
      </c>
      <c r="F83" s="19">
        <v>66650</v>
      </c>
      <c r="G83" s="329">
        <v>566650</v>
      </c>
      <c r="H83" s="318">
        <v>11333</v>
      </c>
      <c r="I83" s="247">
        <v>50</v>
      </c>
      <c r="J83" s="97">
        <v>34</v>
      </c>
      <c r="K83" s="91">
        <f t="shared" si="7"/>
        <v>385322</v>
      </c>
      <c r="L83" s="91">
        <f t="shared" si="8"/>
        <v>181328</v>
      </c>
      <c r="M83" s="159">
        <f t="shared" si="9"/>
        <v>16</v>
      </c>
      <c r="N83" s="159"/>
      <c r="O83" s="97"/>
      <c r="P83" s="11"/>
    </row>
    <row r="84" spans="1:16" s="114" customFormat="1">
      <c r="A84" s="292" t="s">
        <v>518</v>
      </c>
      <c r="B84" s="243">
        <v>79</v>
      </c>
      <c r="C84" s="11" t="s">
        <v>341</v>
      </c>
      <c r="D84" s="11"/>
      <c r="E84" s="19">
        <v>500000</v>
      </c>
      <c r="F84" s="19">
        <v>66650</v>
      </c>
      <c r="G84" s="329">
        <v>566650</v>
      </c>
      <c r="H84" s="318">
        <v>11333</v>
      </c>
      <c r="I84" s="247">
        <v>50</v>
      </c>
      <c r="J84" s="97">
        <v>34</v>
      </c>
      <c r="K84" s="91">
        <f t="shared" si="7"/>
        <v>385322</v>
      </c>
      <c r="L84" s="91">
        <f t="shared" si="8"/>
        <v>181328</v>
      </c>
      <c r="M84" s="159">
        <f t="shared" si="9"/>
        <v>16</v>
      </c>
      <c r="N84" s="159"/>
      <c r="O84" s="97"/>
      <c r="P84" s="11"/>
    </row>
    <row r="85" spans="1:16" s="114" customFormat="1">
      <c r="A85" s="122" t="s">
        <v>1194</v>
      </c>
      <c r="B85" s="243">
        <v>80</v>
      </c>
      <c r="C85" s="11" t="s">
        <v>448</v>
      </c>
      <c r="D85" s="122"/>
      <c r="E85" s="16">
        <v>500000</v>
      </c>
      <c r="F85" s="16">
        <v>66650</v>
      </c>
      <c r="G85" s="331">
        <f>SUM(E85:F85)</f>
        <v>566650</v>
      </c>
      <c r="H85" s="16">
        <v>11333</v>
      </c>
      <c r="I85" s="247">
        <v>50</v>
      </c>
      <c r="J85" s="188">
        <v>7</v>
      </c>
      <c r="K85" s="16">
        <f t="shared" si="7"/>
        <v>79331</v>
      </c>
      <c r="L85" s="94">
        <f t="shared" si="8"/>
        <v>487319</v>
      </c>
      <c r="M85" s="159">
        <f t="shared" si="9"/>
        <v>43</v>
      </c>
      <c r="N85" s="159"/>
      <c r="O85" s="159"/>
      <c r="P85" s="11"/>
    </row>
    <row r="86" spans="1:16" s="114" customFormat="1">
      <c r="A86" s="295" t="s">
        <v>943</v>
      </c>
      <c r="B86" s="243">
        <v>81</v>
      </c>
      <c r="C86" s="11" t="s">
        <v>986</v>
      </c>
      <c r="D86" s="8"/>
      <c r="E86" s="16">
        <v>450000</v>
      </c>
      <c r="F86" s="16">
        <v>59985</v>
      </c>
      <c r="G86" s="331">
        <f>SUM(E86:F86)</f>
        <v>509985</v>
      </c>
      <c r="H86" s="319">
        <v>10199.700000000001</v>
      </c>
      <c r="I86" s="247">
        <v>50</v>
      </c>
      <c r="J86" s="159">
        <v>47</v>
      </c>
      <c r="K86" s="16">
        <f t="shared" si="7"/>
        <v>479385.9</v>
      </c>
      <c r="L86" s="94">
        <f t="shared" si="8"/>
        <v>30599.099999999977</v>
      </c>
      <c r="M86" s="159">
        <f t="shared" si="9"/>
        <v>3</v>
      </c>
      <c r="N86" s="159"/>
      <c r="O86" s="159"/>
      <c r="P86" s="11"/>
    </row>
    <row r="87" spans="1:16" s="114" customFormat="1">
      <c r="A87" s="292" t="s">
        <v>655</v>
      </c>
      <c r="B87" s="243">
        <v>82</v>
      </c>
      <c r="C87" s="11" t="s">
        <v>367</v>
      </c>
      <c r="D87" s="11"/>
      <c r="E87" s="16">
        <v>450000</v>
      </c>
      <c r="F87" s="16">
        <v>59985</v>
      </c>
      <c r="G87" s="331">
        <f>SUM(E87:F87)</f>
        <v>509985</v>
      </c>
      <c r="H87" s="318">
        <v>10199.700000000001</v>
      </c>
      <c r="I87" s="247">
        <v>50</v>
      </c>
      <c r="J87" s="97">
        <v>48</v>
      </c>
      <c r="K87" s="91">
        <f t="shared" si="7"/>
        <v>489585.60000000003</v>
      </c>
      <c r="L87" s="94">
        <f t="shared" si="8"/>
        <v>20399.399999999965</v>
      </c>
      <c r="M87" s="159">
        <f t="shared" si="9"/>
        <v>2</v>
      </c>
      <c r="N87" s="159"/>
      <c r="O87" s="97"/>
      <c r="P87" s="11"/>
    </row>
    <row r="88" spans="1:16" s="114" customFormat="1">
      <c r="A88" s="292" t="s">
        <v>883</v>
      </c>
      <c r="B88" s="243">
        <v>83</v>
      </c>
      <c r="C88" s="11" t="s">
        <v>867</v>
      </c>
      <c r="D88" s="11"/>
      <c r="E88" s="16">
        <v>500000</v>
      </c>
      <c r="F88" s="16">
        <v>66650</v>
      </c>
      <c r="G88" s="331">
        <f>SUM(E88:F88)</f>
        <v>566650</v>
      </c>
      <c r="H88" s="318">
        <v>11333</v>
      </c>
      <c r="I88" s="247">
        <v>50</v>
      </c>
      <c r="J88" s="97">
        <v>56</v>
      </c>
      <c r="K88" s="91">
        <f t="shared" si="7"/>
        <v>634648</v>
      </c>
      <c r="L88" s="94">
        <f t="shared" si="8"/>
        <v>-67998</v>
      </c>
      <c r="M88" s="159">
        <f t="shared" si="9"/>
        <v>-6</v>
      </c>
      <c r="N88" s="159"/>
      <c r="O88" s="97"/>
      <c r="P88" s="123"/>
    </row>
    <row r="89" spans="1:16" s="114" customFormat="1">
      <c r="A89" s="292" t="s">
        <v>596</v>
      </c>
      <c r="B89" s="243">
        <v>84</v>
      </c>
      <c r="C89" s="11" t="s">
        <v>345</v>
      </c>
      <c r="D89" s="11"/>
      <c r="E89" s="19">
        <v>500000</v>
      </c>
      <c r="F89" s="19">
        <v>66650</v>
      </c>
      <c r="G89" s="329">
        <v>566650</v>
      </c>
      <c r="H89" s="318">
        <v>11333</v>
      </c>
      <c r="I89" s="247">
        <v>50</v>
      </c>
      <c r="J89" s="97">
        <v>34</v>
      </c>
      <c r="K89" s="91">
        <f t="shared" si="7"/>
        <v>385322</v>
      </c>
      <c r="L89" s="91">
        <f t="shared" si="8"/>
        <v>181328</v>
      </c>
      <c r="M89" s="159">
        <f t="shared" si="9"/>
        <v>16</v>
      </c>
      <c r="N89" s="159"/>
      <c r="O89" s="97"/>
      <c r="P89" s="8"/>
    </row>
    <row r="90" spans="1:16" s="114" customFormat="1">
      <c r="A90" s="293" t="s">
        <v>885</v>
      </c>
      <c r="B90" s="243">
        <v>85</v>
      </c>
      <c r="C90" s="123" t="s">
        <v>864</v>
      </c>
      <c r="D90" s="123"/>
      <c r="E90" s="16">
        <v>500000</v>
      </c>
      <c r="F90" s="16">
        <v>66650</v>
      </c>
      <c r="G90" s="331">
        <f>SUM(E90:F90)</f>
        <v>566650</v>
      </c>
      <c r="H90" s="327">
        <v>11333</v>
      </c>
      <c r="I90" s="334">
        <v>50</v>
      </c>
      <c r="J90" s="247">
        <v>17</v>
      </c>
      <c r="K90" s="16">
        <f t="shared" si="7"/>
        <v>192661</v>
      </c>
      <c r="L90" s="94">
        <f t="shared" si="8"/>
        <v>373989</v>
      </c>
      <c r="M90" s="159">
        <f t="shared" si="9"/>
        <v>33</v>
      </c>
      <c r="N90" s="159"/>
      <c r="O90" s="159"/>
      <c r="P90" s="11"/>
    </row>
    <row r="91" spans="1:16" s="114" customFormat="1">
      <c r="A91" s="8" t="s">
        <v>1184</v>
      </c>
      <c r="B91" s="243">
        <v>86</v>
      </c>
      <c r="C91" s="8" t="s">
        <v>1285</v>
      </c>
      <c r="D91" s="8"/>
      <c r="E91" s="16">
        <v>500000</v>
      </c>
      <c r="F91" s="16">
        <v>66650</v>
      </c>
      <c r="G91" s="331">
        <f>SUM(E91:F91)</f>
        <v>566650</v>
      </c>
      <c r="H91" s="34">
        <v>11333</v>
      </c>
      <c r="I91" s="247">
        <v>50</v>
      </c>
      <c r="J91" s="323">
        <v>2</v>
      </c>
      <c r="K91" s="16">
        <f t="shared" si="7"/>
        <v>22666</v>
      </c>
      <c r="L91" s="94">
        <f t="shared" si="8"/>
        <v>543984</v>
      </c>
      <c r="M91" s="159">
        <f t="shared" si="9"/>
        <v>48</v>
      </c>
      <c r="N91" s="34"/>
      <c r="O91" s="34"/>
      <c r="P91" s="8"/>
    </row>
    <row r="92" spans="1:16" s="114" customFormat="1">
      <c r="A92" s="293" t="s">
        <v>1237</v>
      </c>
      <c r="B92" s="243">
        <v>87</v>
      </c>
      <c r="C92" s="123" t="s">
        <v>1139</v>
      </c>
      <c r="D92" s="123"/>
      <c r="E92" s="16">
        <v>500000</v>
      </c>
      <c r="F92" s="16">
        <v>66650</v>
      </c>
      <c r="G92" s="331">
        <f>SUM(E92:F92)</f>
        <v>566650</v>
      </c>
      <c r="H92" s="327">
        <v>11333</v>
      </c>
      <c r="I92" s="247">
        <v>50</v>
      </c>
      <c r="J92" s="159">
        <v>9</v>
      </c>
      <c r="K92" s="16">
        <f t="shared" si="7"/>
        <v>101997</v>
      </c>
      <c r="L92" s="94">
        <f t="shared" si="8"/>
        <v>464653</v>
      </c>
      <c r="M92" s="159">
        <f t="shared" si="9"/>
        <v>41</v>
      </c>
      <c r="N92" s="159"/>
      <c r="O92" s="159"/>
      <c r="P92" s="8"/>
    </row>
    <row r="93" spans="1:16" s="114" customFormat="1">
      <c r="A93" s="8" t="s">
        <v>1223</v>
      </c>
      <c r="B93" s="243">
        <v>88</v>
      </c>
      <c r="C93" s="8" t="s">
        <v>443</v>
      </c>
      <c r="D93" s="8"/>
      <c r="E93" s="19">
        <v>330000</v>
      </c>
      <c r="F93" s="19">
        <v>43989</v>
      </c>
      <c r="G93" s="329">
        <f>SUM(E93:F93)</f>
        <v>373989</v>
      </c>
      <c r="H93" s="34">
        <v>7479.78</v>
      </c>
      <c r="I93" s="247">
        <v>50</v>
      </c>
      <c r="J93" s="323">
        <v>2</v>
      </c>
      <c r="K93" s="16">
        <f t="shared" si="7"/>
        <v>14959.56</v>
      </c>
      <c r="L93" s="94">
        <f t="shared" si="8"/>
        <v>359029.44</v>
      </c>
      <c r="M93" s="159">
        <f t="shared" si="9"/>
        <v>48</v>
      </c>
      <c r="N93" s="34"/>
      <c r="O93" s="34"/>
      <c r="P93" s="8"/>
    </row>
    <row r="94" spans="1:16" s="114" customFormat="1">
      <c r="A94" s="292" t="s">
        <v>642</v>
      </c>
      <c r="B94" s="243">
        <v>89</v>
      </c>
      <c r="C94" s="11" t="s">
        <v>444</v>
      </c>
      <c r="D94" s="11"/>
      <c r="E94" s="16">
        <v>500000</v>
      </c>
      <c r="F94" s="16">
        <v>66650</v>
      </c>
      <c r="G94" s="330">
        <v>566650</v>
      </c>
      <c r="H94" s="252">
        <v>11333</v>
      </c>
      <c r="I94" s="247">
        <v>50</v>
      </c>
      <c r="J94" s="101">
        <v>22</v>
      </c>
      <c r="K94" s="91">
        <f t="shared" si="7"/>
        <v>249326</v>
      </c>
      <c r="L94" s="94">
        <f t="shared" si="8"/>
        <v>317324</v>
      </c>
      <c r="M94" s="159">
        <f t="shared" si="9"/>
        <v>28</v>
      </c>
      <c r="N94" s="159"/>
      <c r="O94" s="97"/>
      <c r="P94" s="11"/>
    </row>
    <row r="95" spans="1:16" s="114" customFormat="1">
      <c r="A95" s="292" t="s">
        <v>661</v>
      </c>
      <c r="B95" s="243">
        <v>90</v>
      </c>
      <c r="C95" s="11" t="s">
        <v>346</v>
      </c>
      <c r="D95" s="11"/>
      <c r="E95" s="19">
        <v>500000</v>
      </c>
      <c r="F95" s="19">
        <v>66650</v>
      </c>
      <c r="G95" s="329">
        <v>566650</v>
      </c>
      <c r="H95" s="318">
        <v>11333</v>
      </c>
      <c r="I95" s="247">
        <v>50</v>
      </c>
      <c r="J95" s="97">
        <v>33</v>
      </c>
      <c r="K95" s="91">
        <f t="shared" si="7"/>
        <v>373989</v>
      </c>
      <c r="L95" s="91">
        <f t="shared" si="8"/>
        <v>192661</v>
      </c>
      <c r="M95" s="159">
        <f t="shared" si="9"/>
        <v>17</v>
      </c>
      <c r="N95" s="159"/>
      <c r="O95" s="97"/>
      <c r="P95" s="11"/>
    </row>
    <row r="96" spans="1:16" s="114" customFormat="1">
      <c r="A96" s="294" t="s">
        <v>723</v>
      </c>
      <c r="B96" s="243">
        <v>91</v>
      </c>
      <c r="C96" s="11" t="s">
        <v>861</v>
      </c>
      <c r="D96" s="11"/>
      <c r="E96" s="16">
        <v>500000</v>
      </c>
      <c r="F96" s="16">
        <v>66650</v>
      </c>
      <c r="G96" s="331">
        <f>SUM(E96:F96)</f>
        <v>566650</v>
      </c>
      <c r="H96" s="327">
        <v>11333</v>
      </c>
      <c r="I96" s="247">
        <v>50</v>
      </c>
      <c r="J96" s="159">
        <v>15</v>
      </c>
      <c r="K96" s="91">
        <f t="shared" si="7"/>
        <v>169995</v>
      </c>
      <c r="L96" s="94">
        <f t="shared" si="8"/>
        <v>396655</v>
      </c>
      <c r="M96" s="159">
        <f t="shared" si="9"/>
        <v>35</v>
      </c>
      <c r="N96" s="159"/>
      <c r="O96" s="97"/>
      <c r="P96" s="11"/>
    </row>
    <row r="97" spans="1:16" s="114" customFormat="1">
      <c r="A97" s="293" t="s">
        <v>1225</v>
      </c>
      <c r="B97" s="243">
        <v>92</v>
      </c>
      <c r="C97" s="11" t="s">
        <v>1135</v>
      </c>
      <c r="D97" s="11"/>
      <c r="E97" s="16">
        <v>500000</v>
      </c>
      <c r="F97" s="16">
        <v>66650</v>
      </c>
      <c r="G97" s="331">
        <f>SUM(E97:F97)</f>
        <v>566650</v>
      </c>
      <c r="H97" s="327">
        <v>11333</v>
      </c>
      <c r="I97" s="247">
        <v>50</v>
      </c>
      <c r="J97" s="96">
        <v>10</v>
      </c>
      <c r="K97" s="91">
        <f t="shared" si="7"/>
        <v>113330</v>
      </c>
      <c r="L97" s="94">
        <f t="shared" si="8"/>
        <v>453320</v>
      </c>
      <c r="M97" s="159">
        <f t="shared" si="9"/>
        <v>40</v>
      </c>
      <c r="N97" s="159"/>
      <c r="O97" s="97"/>
      <c r="P97" s="11"/>
    </row>
    <row r="98" spans="1:16" s="114" customFormat="1">
      <c r="A98" s="293" t="s">
        <v>1178</v>
      </c>
      <c r="B98" s="243">
        <v>93</v>
      </c>
      <c r="C98" s="11" t="s">
        <v>1121</v>
      </c>
      <c r="D98" s="11"/>
      <c r="E98" s="12">
        <v>150000</v>
      </c>
      <c r="F98" s="12">
        <v>19995</v>
      </c>
      <c r="G98" s="332">
        <f>SUM(E98:F98)</f>
        <v>169995</v>
      </c>
      <c r="H98" s="327">
        <v>3399.9</v>
      </c>
      <c r="I98" s="248">
        <v>50</v>
      </c>
      <c r="J98" s="96">
        <v>10</v>
      </c>
      <c r="K98" s="91">
        <f t="shared" si="7"/>
        <v>33999</v>
      </c>
      <c r="L98" s="94">
        <f t="shared" si="8"/>
        <v>135996</v>
      </c>
      <c r="M98" s="159">
        <f t="shared" si="9"/>
        <v>40</v>
      </c>
      <c r="N98" s="159"/>
      <c r="O98" s="97"/>
      <c r="P98" s="11"/>
    </row>
    <row r="99" spans="1:16" s="114" customFormat="1">
      <c r="A99" s="292" t="s">
        <v>719</v>
      </c>
      <c r="B99" s="243">
        <v>94</v>
      </c>
      <c r="C99" s="11" t="s">
        <v>487</v>
      </c>
      <c r="D99" s="11"/>
      <c r="E99" s="16">
        <v>500000</v>
      </c>
      <c r="F99" s="16">
        <v>66650</v>
      </c>
      <c r="G99" s="330">
        <v>566650</v>
      </c>
      <c r="H99" s="318">
        <v>11333</v>
      </c>
      <c r="I99" s="247">
        <v>50</v>
      </c>
      <c r="J99" s="101">
        <v>22</v>
      </c>
      <c r="K99" s="91">
        <f t="shared" si="7"/>
        <v>249326</v>
      </c>
      <c r="L99" s="94">
        <f t="shared" si="8"/>
        <v>317324</v>
      </c>
      <c r="M99" s="159">
        <f t="shared" si="9"/>
        <v>28</v>
      </c>
      <c r="N99" s="159"/>
      <c r="O99" s="97"/>
      <c r="P99" s="8"/>
    </row>
    <row r="100" spans="1:16" s="114" customFormat="1">
      <c r="A100" s="292" t="s">
        <v>668</v>
      </c>
      <c r="B100" s="243">
        <v>95</v>
      </c>
      <c r="C100" s="11" t="s">
        <v>368</v>
      </c>
      <c r="D100" s="11"/>
      <c r="E100" s="16">
        <v>450000</v>
      </c>
      <c r="F100" s="16">
        <v>59985</v>
      </c>
      <c r="G100" s="330">
        <v>509985</v>
      </c>
      <c r="H100" s="318">
        <v>10199.700000000001</v>
      </c>
      <c r="I100" s="247">
        <v>50</v>
      </c>
      <c r="J100" s="97">
        <v>33</v>
      </c>
      <c r="K100" s="91">
        <f t="shared" si="7"/>
        <v>336590.10000000003</v>
      </c>
      <c r="L100" s="91">
        <f t="shared" si="8"/>
        <v>173394.89999999997</v>
      </c>
      <c r="M100" s="159">
        <f t="shared" si="9"/>
        <v>17</v>
      </c>
      <c r="N100" s="159"/>
      <c r="O100" s="97"/>
      <c r="P100" s="11"/>
    </row>
    <row r="101" spans="1:16" s="114" customFormat="1">
      <c r="A101" s="292" t="s">
        <v>594</v>
      </c>
      <c r="B101" s="243">
        <v>96</v>
      </c>
      <c r="C101" s="11" t="s">
        <v>347</v>
      </c>
      <c r="D101" s="11"/>
      <c r="E101" s="16">
        <v>500000</v>
      </c>
      <c r="F101" s="16">
        <v>66650</v>
      </c>
      <c r="G101" s="331">
        <f>SUM(E101:F101)</f>
        <v>566650</v>
      </c>
      <c r="H101" s="318">
        <v>11333</v>
      </c>
      <c r="I101" s="247">
        <v>50</v>
      </c>
      <c r="J101" s="97">
        <v>48</v>
      </c>
      <c r="K101" s="91">
        <f t="shared" si="7"/>
        <v>543984</v>
      </c>
      <c r="L101" s="94">
        <f t="shared" si="8"/>
        <v>22666</v>
      </c>
      <c r="M101" s="159">
        <f t="shared" si="9"/>
        <v>2</v>
      </c>
      <c r="N101" s="159"/>
      <c r="O101" s="97"/>
      <c r="P101" s="11"/>
    </row>
    <row r="102" spans="1:16" s="114" customFormat="1">
      <c r="A102" s="295" t="s">
        <v>1188</v>
      </c>
      <c r="B102" s="243">
        <v>97</v>
      </c>
      <c r="C102" s="8" t="s">
        <v>1295</v>
      </c>
      <c r="D102" s="8"/>
      <c r="E102" s="19">
        <v>330000</v>
      </c>
      <c r="F102" s="19">
        <v>43989</v>
      </c>
      <c r="G102" s="329">
        <f>SUM(E102:F102)</f>
        <v>373989</v>
      </c>
      <c r="H102" s="13">
        <v>7479.78</v>
      </c>
      <c r="I102" s="247">
        <v>50</v>
      </c>
      <c r="J102" s="101">
        <v>2</v>
      </c>
      <c r="K102" s="16">
        <f>J102*H102</f>
        <v>14959.56</v>
      </c>
      <c r="L102" s="94">
        <f t="shared" ref="L102:L133" si="10">G102-K102</f>
        <v>359029.44</v>
      </c>
      <c r="M102" s="159">
        <f t="shared" ref="M102:M136" si="11">I102-J102</f>
        <v>48</v>
      </c>
      <c r="N102" s="101"/>
      <c r="O102" s="101"/>
      <c r="P102" s="8"/>
    </row>
    <row r="103" spans="1:16" s="114" customFormat="1">
      <c r="A103" s="293" t="s">
        <v>1207</v>
      </c>
      <c r="B103" s="243">
        <v>98</v>
      </c>
      <c r="C103" s="123" t="s">
        <v>1130</v>
      </c>
      <c r="D103" s="123"/>
      <c r="E103" s="19">
        <v>330000</v>
      </c>
      <c r="F103" s="19">
        <v>43989</v>
      </c>
      <c r="G103" s="329">
        <f>SUM(E103:F103)</f>
        <v>373989</v>
      </c>
      <c r="H103" s="327">
        <v>7479.78</v>
      </c>
      <c r="I103" s="247">
        <v>50</v>
      </c>
      <c r="J103" s="159">
        <v>9</v>
      </c>
      <c r="K103" s="16">
        <f>J103*H103</f>
        <v>67318.02</v>
      </c>
      <c r="L103" s="94">
        <f t="shared" si="10"/>
        <v>306670.98</v>
      </c>
      <c r="M103" s="159">
        <f t="shared" si="11"/>
        <v>41</v>
      </c>
      <c r="N103" s="159"/>
      <c r="O103" s="159"/>
      <c r="P103" s="11"/>
    </row>
    <row r="104" spans="1:16" s="114" customFormat="1">
      <c r="A104" s="292" t="s">
        <v>585</v>
      </c>
      <c r="B104" s="243">
        <v>99</v>
      </c>
      <c r="C104" s="11" t="s">
        <v>348</v>
      </c>
      <c r="D104" s="11"/>
      <c r="E104" s="161">
        <v>500000</v>
      </c>
      <c r="F104" s="161">
        <v>66650</v>
      </c>
      <c r="G104" s="333">
        <f>SUM(E104:F104)</f>
        <v>566650</v>
      </c>
      <c r="H104" s="318">
        <v>11333</v>
      </c>
      <c r="I104" s="243">
        <v>50</v>
      </c>
      <c r="J104" s="97">
        <v>48</v>
      </c>
      <c r="K104" s="146">
        <f>J104*H104</f>
        <v>543984</v>
      </c>
      <c r="L104" s="164">
        <f t="shared" si="10"/>
        <v>22666</v>
      </c>
      <c r="M104" s="159">
        <f t="shared" si="11"/>
        <v>2</v>
      </c>
      <c r="N104" s="159"/>
      <c r="O104" s="97"/>
      <c r="P104" s="11"/>
    </row>
    <row r="105" spans="1:16" s="114" customFormat="1">
      <c r="A105" s="293" t="s">
        <v>899</v>
      </c>
      <c r="B105" s="243">
        <v>100</v>
      </c>
      <c r="C105" s="123" t="s">
        <v>852</v>
      </c>
      <c r="D105" s="123"/>
      <c r="E105" s="19">
        <v>330000</v>
      </c>
      <c r="F105" s="19">
        <v>43989</v>
      </c>
      <c r="G105" s="329">
        <f>SUM(E105:F105)</f>
        <v>373989</v>
      </c>
      <c r="H105" s="327">
        <v>7479.78</v>
      </c>
      <c r="I105" s="247">
        <v>50</v>
      </c>
      <c r="J105" s="159">
        <v>17</v>
      </c>
      <c r="K105" s="16">
        <f>J105*H105</f>
        <v>127156.26</v>
      </c>
      <c r="L105" s="94">
        <f t="shared" si="10"/>
        <v>246832.74</v>
      </c>
      <c r="M105" s="159">
        <f t="shared" si="11"/>
        <v>33</v>
      </c>
      <c r="N105" s="159"/>
      <c r="O105" s="159"/>
      <c r="P105" s="11"/>
    </row>
    <row r="106" spans="1:16" s="114" customFormat="1">
      <c r="A106" s="295" t="s">
        <v>1199</v>
      </c>
      <c r="B106" s="243">
        <v>101</v>
      </c>
      <c r="C106" s="8" t="s">
        <v>449</v>
      </c>
      <c r="D106" s="8"/>
      <c r="E106" s="19">
        <v>450000</v>
      </c>
      <c r="F106" s="19">
        <v>59985</v>
      </c>
      <c r="G106" s="329">
        <v>509985</v>
      </c>
      <c r="H106" s="13">
        <v>10199.700000000001</v>
      </c>
      <c r="I106" s="247">
        <v>50</v>
      </c>
      <c r="J106" s="101">
        <v>2</v>
      </c>
      <c r="K106" s="16">
        <f>J106*H106</f>
        <v>20399.400000000001</v>
      </c>
      <c r="L106" s="94">
        <f t="shared" si="10"/>
        <v>489585.6</v>
      </c>
      <c r="M106" s="159">
        <f t="shared" si="11"/>
        <v>48</v>
      </c>
      <c r="N106" s="101"/>
      <c r="O106" s="101"/>
      <c r="P106" s="8"/>
    </row>
    <row r="107" spans="1:16" s="114" customFormat="1">
      <c r="A107" s="292" t="s">
        <v>647</v>
      </c>
      <c r="B107" s="243">
        <v>102</v>
      </c>
      <c r="C107" s="11" t="s">
        <v>349</v>
      </c>
      <c r="D107" s="11"/>
      <c r="E107" s="16">
        <v>500000</v>
      </c>
      <c r="F107" s="16">
        <v>66650</v>
      </c>
      <c r="G107" s="331">
        <f t="shared" ref="G107:G112" si="12">SUM(E107:F107)</f>
        <v>566650</v>
      </c>
      <c r="H107" s="318">
        <v>11333</v>
      </c>
      <c r="I107" s="247">
        <v>50</v>
      </c>
      <c r="J107" s="97">
        <v>26</v>
      </c>
      <c r="K107" s="91">
        <f>(1*11333)</f>
        <v>11333</v>
      </c>
      <c r="L107" s="91">
        <f t="shared" si="10"/>
        <v>555317</v>
      </c>
      <c r="M107" s="159">
        <f t="shared" si="11"/>
        <v>24</v>
      </c>
      <c r="N107" s="159"/>
      <c r="O107" s="97"/>
      <c r="P107" s="11"/>
    </row>
    <row r="108" spans="1:16" s="114" customFormat="1">
      <c r="A108" s="122" t="s">
        <v>1176</v>
      </c>
      <c r="B108" s="243">
        <v>103</v>
      </c>
      <c r="C108" s="11" t="s">
        <v>1293</v>
      </c>
      <c r="D108" s="122"/>
      <c r="E108" s="16">
        <v>500000</v>
      </c>
      <c r="F108" s="16">
        <v>66650</v>
      </c>
      <c r="G108" s="331">
        <f t="shared" si="12"/>
        <v>566650</v>
      </c>
      <c r="H108" s="16">
        <v>11333</v>
      </c>
      <c r="I108" s="247">
        <v>50</v>
      </c>
      <c r="J108" s="188">
        <v>7</v>
      </c>
      <c r="K108" s="16">
        <f t="shared" ref="K108:K113" si="13">J108*H108</f>
        <v>79331</v>
      </c>
      <c r="L108" s="94">
        <f t="shared" si="10"/>
        <v>487319</v>
      </c>
      <c r="M108" s="159">
        <f t="shared" si="11"/>
        <v>43</v>
      </c>
      <c r="N108" s="159"/>
      <c r="O108" s="159"/>
      <c r="P108" s="11"/>
    </row>
    <row r="109" spans="1:16" s="114" customFormat="1">
      <c r="A109" s="293" t="s">
        <v>929</v>
      </c>
      <c r="B109" s="243">
        <v>104</v>
      </c>
      <c r="C109" s="11" t="s">
        <v>979</v>
      </c>
      <c r="D109" s="11"/>
      <c r="E109" s="16">
        <v>500000</v>
      </c>
      <c r="F109" s="16">
        <v>66650</v>
      </c>
      <c r="G109" s="331">
        <f t="shared" si="12"/>
        <v>566650</v>
      </c>
      <c r="H109" s="327">
        <v>11333</v>
      </c>
      <c r="I109" s="247">
        <v>50</v>
      </c>
      <c r="J109" s="159">
        <v>47</v>
      </c>
      <c r="K109" s="16">
        <f t="shared" si="13"/>
        <v>532651</v>
      </c>
      <c r="L109" s="94">
        <f t="shared" si="10"/>
        <v>33999</v>
      </c>
      <c r="M109" s="159">
        <f t="shared" si="11"/>
        <v>3</v>
      </c>
      <c r="N109" s="159"/>
      <c r="O109" s="159"/>
      <c r="P109" s="122"/>
    </row>
    <row r="110" spans="1:16" s="114" customFormat="1">
      <c r="A110" s="295" t="s">
        <v>941</v>
      </c>
      <c r="B110" s="243">
        <v>105</v>
      </c>
      <c r="C110" s="11" t="s">
        <v>1066</v>
      </c>
      <c r="D110" s="8"/>
      <c r="E110" s="19">
        <v>330000</v>
      </c>
      <c r="F110" s="19">
        <v>43989</v>
      </c>
      <c r="G110" s="329">
        <f t="shared" si="12"/>
        <v>373989</v>
      </c>
      <c r="H110" s="319">
        <v>7479.78</v>
      </c>
      <c r="I110" s="247">
        <v>50</v>
      </c>
      <c r="J110" s="159">
        <v>14</v>
      </c>
      <c r="K110" s="16">
        <f t="shared" si="13"/>
        <v>104716.92</v>
      </c>
      <c r="L110" s="94">
        <f t="shared" si="10"/>
        <v>269272.08</v>
      </c>
      <c r="M110" s="159">
        <f t="shared" si="11"/>
        <v>36</v>
      </c>
      <c r="N110" s="159"/>
      <c r="O110" s="159"/>
      <c r="P110" s="11"/>
    </row>
    <row r="111" spans="1:16" s="114" customFormat="1">
      <c r="A111" s="292" t="s">
        <v>600</v>
      </c>
      <c r="B111" s="243">
        <v>106</v>
      </c>
      <c r="C111" s="11" t="s">
        <v>369</v>
      </c>
      <c r="D111" s="11"/>
      <c r="E111" s="16">
        <v>450000</v>
      </c>
      <c r="F111" s="16">
        <v>59985</v>
      </c>
      <c r="G111" s="331">
        <f t="shared" si="12"/>
        <v>509985</v>
      </c>
      <c r="H111" s="318">
        <v>10199.700000000001</v>
      </c>
      <c r="I111" s="247">
        <v>50</v>
      </c>
      <c r="J111" s="97">
        <v>47</v>
      </c>
      <c r="K111" s="91">
        <f t="shared" si="13"/>
        <v>479385.9</v>
      </c>
      <c r="L111" s="94">
        <f t="shared" si="10"/>
        <v>30599.099999999977</v>
      </c>
      <c r="M111" s="159">
        <f t="shared" si="11"/>
        <v>3</v>
      </c>
      <c r="N111" s="159"/>
      <c r="O111" s="97"/>
      <c r="P111" s="11"/>
    </row>
    <row r="112" spans="1:16" s="114" customFormat="1">
      <c r="A112" s="295" t="s">
        <v>930</v>
      </c>
      <c r="B112" s="243">
        <v>107</v>
      </c>
      <c r="C112" s="11" t="s">
        <v>992</v>
      </c>
      <c r="D112" s="8"/>
      <c r="E112" s="19">
        <v>330000</v>
      </c>
      <c r="F112" s="19">
        <v>31672.200000000012</v>
      </c>
      <c r="G112" s="329">
        <f t="shared" si="12"/>
        <v>361672.2</v>
      </c>
      <c r="H112" s="319">
        <v>10046.450000000001</v>
      </c>
      <c r="I112" s="247">
        <v>36</v>
      </c>
      <c r="J112" s="159">
        <v>21</v>
      </c>
      <c r="K112" s="16">
        <f t="shared" si="13"/>
        <v>210975.45</v>
      </c>
      <c r="L112" s="94">
        <f t="shared" si="10"/>
        <v>150696.75</v>
      </c>
      <c r="M112" s="159">
        <f t="shared" si="11"/>
        <v>15</v>
      </c>
      <c r="N112" s="159"/>
      <c r="O112" s="159"/>
      <c r="P112" s="11"/>
    </row>
    <row r="113" spans="1:16" s="114" customFormat="1">
      <c r="A113" s="293" t="s">
        <v>1291</v>
      </c>
      <c r="B113" s="243">
        <v>108</v>
      </c>
      <c r="C113" s="123" t="s">
        <v>484</v>
      </c>
      <c r="D113" s="123"/>
      <c r="E113" s="19">
        <v>450000</v>
      </c>
      <c r="F113" s="19">
        <v>59985</v>
      </c>
      <c r="G113" s="329">
        <v>509985</v>
      </c>
      <c r="H113" s="327">
        <v>10199.700000000001</v>
      </c>
      <c r="I113" s="247">
        <v>50</v>
      </c>
      <c r="J113" s="159">
        <v>9</v>
      </c>
      <c r="K113" s="16">
        <f t="shared" si="13"/>
        <v>91797.3</v>
      </c>
      <c r="L113" s="94">
        <f t="shared" si="10"/>
        <v>418187.7</v>
      </c>
      <c r="M113" s="159">
        <f t="shared" si="11"/>
        <v>41</v>
      </c>
      <c r="N113" s="159"/>
      <c r="O113" s="159"/>
      <c r="P113" s="8"/>
    </row>
    <row r="114" spans="1:16" s="114" customFormat="1">
      <c r="A114" s="292" t="s">
        <v>638</v>
      </c>
      <c r="B114" s="243">
        <v>109</v>
      </c>
      <c r="C114" s="11" t="s">
        <v>350</v>
      </c>
      <c r="D114" s="11"/>
      <c r="E114" s="16">
        <v>500000</v>
      </c>
      <c r="F114" s="16">
        <v>66650</v>
      </c>
      <c r="G114" s="331">
        <f>SUM(E114:F114)</f>
        <v>566650</v>
      </c>
      <c r="H114" s="318">
        <v>11333</v>
      </c>
      <c r="I114" s="247">
        <v>50</v>
      </c>
      <c r="J114" s="97">
        <v>26</v>
      </c>
      <c r="K114" s="91">
        <f>(1*11333)</f>
        <v>11333</v>
      </c>
      <c r="L114" s="91">
        <f t="shared" si="10"/>
        <v>555317</v>
      </c>
      <c r="M114" s="159">
        <f t="shared" si="11"/>
        <v>24</v>
      </c>
      <c r="N114" s="159"/>
      <c r="O114" s="97"/>
      <c r="P114" s="8"/>
    </row>
    <row r="115" spans="1:16" s="114" customFormat="1">
      <c r="A115" s="293" t="s">
        <v>1205</v>
      </c>
      <c r="B115" s="243">
        <v>110</v>
      </c>
      <c r="C115" s="11" t="s">
        <v>452</v>
      </c>
      <c r="D115" s="11"/>
      <c r="E115" s="16">
        <v>500000</v>
      </c>
      <c r="F115" s="16">
        <v>66650</v>
      </c>
      <c r="G115" s="331">
        <f>SUM(E115:F115)</f>
        <v>566650</v>
      </c>
      <c r="H115" s="327">
        <v>11333</v>
      </c>
      <c r="I115" s="247">
        <v>50</v>
      </c>
      <c r="J115" s="96">
        <v>10</v>
      </c>
      <c r="K115" s="91">
        <f t="shared" ref="K115:K136" si="14">J115*H115</f>
        <v>113330</v>
      </c>
      <c r="L115" s="94">
        <f t="shared" si="10"/>
        <v>453320</v>
      </c>
      <c r="M115" s="159">
        <f t="shared" si="11"/>
        <v>40</v>
      </c>
      <c r="N115" s="159"/>
      <c r="O115" s="97"/>
      <c r="P115" s="11"/>
    </row>
    <row r="116" spans="1:16" s="114" customFormat="1">
      <c r="A116" s="292" t="s">
        <v>645</v>
      </c>
      <c r="B116" s="243">
        <v>111</v>
      </c>
      <c r="C116" s="11" t="s">
        <v>351</v>
      </c>
      <c r="D116" s="11"/>
      <c r="E116" s="16">
        <v>500000</v>
      </c>
      <c r="F116" s="16">
        <v>66650</v>
      </c>
      <c r="G116" s="331">
        <f>SUM(E116:F116)</f>
        <v>566650</v>
      </c>
      <c r="H116" s="318">
        <v>11333</v>
      </c>
      <c r="I116" s="247">
        <v>50</v>
      </c>
      <c r="J116" s="97">
        <v>47</v>
      </c>
      <c r="K116" s="91">
        <f t="shared" si="14"/>
        <v>532651</v>
      </c>
      <c r="L116" s="94">
        <f t="shared" si="10"/>
        <v>33999</v>
      </c>
      <c r="M116" s="159">
        <f t="shared" si="11"/>
        <v>3</v>
      </c>
      <c r="N116" s="159"/>
      <c r="O116" s="97"/>
      <c r="P116" s="11"/>
    </row>
    <row r="117" spans="1:16" s="114" customFormat="1">
      <c r="A117" s="293" t="s">
        <v>628</v>
      </c>
      <c r="B117" s="243">
        <v>112</v>
      </c>
      <c r="C117" s="123" t="s">
        <v>858</v>
      </c>
      <c r="D117" s="123"/>
      <c r="E117" s="19">
        <v>450000</v>
      </c>
      <c r="F117" s="19">
        <v>59985</v>
      </c>
      <c r="G117" s="329">
        <v>509985</v>
      </c>
      <c r="H117" s="327">
        <v>10199.700000000001</v>
      </c>
      <c r="I117" s="247">
        <v>50</v>
      </c>
      <c r="J117" s="159">
        <v>9</v>
      </c>
      <c r="K117" s="16">
        <f t="shared" si="14"/>
        <v>91797.3</v>
      </c>
      <c r="L117" s="94">
        <f t="shared" si="10"/>
        <v>418187.7</v>
      </c>
      <c r="M117" s="159">
        <f t="shared" si="11"/>
        <v>41</v>
      </c>
      <c r="N117" s="159"/>
      <c r="O117" s="159"/>
      <c r="P117" s="11"/>
    </row>
    <row r="118" spans="1:16" s="114" customFormat="1">
      <c r="A118" s="292" t="s">
        <v>501</v>
      </c>
      <c r="B118" s="243">
        <v>113</v>
      </c>
      <c r="C118" s="11" t="s">
        <v>488</v>
      </c>
      <c r="D118" s="11"/>
      <c r="E118" s="16">
        <v>500000</v>
      </c>
      <c r="F118" s="16">
        <v>66650</v>
      </c>
      <c r="G118" s="330">
        <v>566650</v>
      </c>
      <c r="H118" s="146">
        <v>11333</v>
      </c>
      <c r="I118" s="247">
        <v>50</v>
      </c>
      <c r="J118" s="159">
        <v>22</v>
      </c>
      <c r="K118" s="91">
        <f t="shared" si="14"/>
        <v>249326</v>
      </c>
      <c r="L118" s="94">
        <f t="shared" si="10"/>
        <v>317324</v>
      </c>
      <c r="M118" s="159">
        <f t="shared" si="11"/>
        <v>28</v>
      </c>
      <c r="N118" s="159"/>
      <c r="O118" s="97"/>
      <c r="P118" s="11"/>
    </row>
    <row r="119" spans="1:16" s="114" customFormat="1">
      <c r="A119" s="293" t="s">
        <v>1170</v>
      </c>
      <c r="B119" s="243">
        <v>114</v>
      </c>
      <c r="C119" s="123" t="s">
        <v>1122</v>
      </c>
      <c r="D119" s="123"/>
      <c r="E119" s="16">
        <v>500000</v>
      </c>
      <c r="F119" s="16">
        <v>66650</v>
      </c>
      <c r="G119" s="41">
        <f>SUM(E119:F119)</f>
        <v>566650</v>
      </c>
      <c r="H119" s="327">
        <v>11333</v>
      </c>
      <c r="I119" s="159">
        <v>50</v>
      </c>
      <c r="J119" s="159">
        <v>9</v>
      </c>
      <c r="K119" s="16">
        <f t="shared" si="14"/>
        <v>101997</v>
      </c>
      <c r="L119" s="94">
        <f t="shared" si="10"/>
        <v>464653</v>
      </c>
      <c r="M119" s="159">
        <f t="shared" si="11"/>
        <v>41</v>
      </c>
      <c r="N119" s="159"/>
      <c r="O119" s="159"/>
      <c r="P119" s="11"/>
    </row>
    <row r="120" spans="1:16" s="114" customFormat="1">
      <c r="A120" s="292" t="s">
        <v>583</v>
      </c>
      <c r="B120" s="243">
        <v>115</v>
      </c>
      <c r="C120" s="11" t="s">
        <v>352</v>
      </c>
      <c r="D120" s="11"/>
      <c r="E120" s="16">
        <v>500000</v>
      </c>
      <c r="F120" s="16">
        <v>66650</v>
      </c>
      <c r="G120" s="331">
        <f>SUM(E120:F120)</f>
        <v>566650</v>
      </c>
      <c r="H120" s="318">
        <v>11333</v>
      </c>
      <c r="I120" s="159">
        <v>50</v>
      </c>
      <c r="J120" s="97">
        <v>48</v>
      </c>
      <c r="K120" s="91">
        <f t="shared" si="14"/>
        <v>543984</v>
      </c>
      <c r="L120" s="94">
        <f t="shared" si="10"/>
        <v>22666</v>
      </c>
      <c r="M120" s="159">
        <f t="shared" si="11"/>
        <v>2</v>
      </c>
      <c r="N120" s="159"/>
      <c r="O120" s="97"/>
      <c r="P120" s="8"/>
    </row>
    <row r="121" spans="1:16" s="114" customFormat="1">
      <c r="A121" s="292" t="s">
        <v>561</v>
      </c>
      <c r="B121" s="243">
        <v>116</v>
      </c>
      <c r="C121" s="11" t="s">
        <v>371</v>
      </c>
      <c r="D121" s="11"/>
      <c r="E121" s="16">
        <v>450000</v>
      </c>
      <c r="F121" s="16">
        <v>59985</v>
      </c>
      <c r="G121" s="41">
        <f>SUM(E121:F121)</f>
        <v>509985</v>
      </c>
      <c r="H121" s="318">
        <v>10199.700000000001</v>
      </c>
      <c r="I121" s="159">
        <v>50</v>
      </c>
      <c r="J121" s="97">
        <v>48</v>
      </c>
      <c r="K121" s="91">
        <f t="shared" si="14"/>
        <v>489585.60000000003</v>
      </c>
      <c r="L121" s="94">
        <f t="shared" si="10"/>
        <v>20399.399999999965</v>
      </c>
      <c r="M121" s="159">
        <f t="shared" si="11"/>
        <v>2</v>
      </c>
      <c r="N121" s="159"/>
      <c r="O121" s="97"/>
      <c r="P121" s="11"/>
    </row>
    <row r="122" spans="1:16" s="114" customFormat="1">
      <c r="A122" s="292" t="s">
        <v>684</v>
      </c>
      <c r="B122" s="243">
        <v>117</v>
      </c>
      <c r="C122" s="11" t="s">
        <v>353</v>
      </c>
      <c r="D122" s="11"/>
      <c r="E122" s="19">
        <v>500000</v>
      </c>
      <c r="F122" s="19">
        <v>66650</v>
      </c>
      <c r="G122" s="19">
        <v>566650</v>
      </c>
      <c r="H122" s="318">
        <v>11333</v>
      </c>
      <c r="I122" s="159">
        <v>50</v>
      </c>
      <c r="J122" s="97">
        <v>34</v>
      </c>
      <c r="K122" s="91">
        <f t="shared" si="14"/>
        <v>385322</v>
      </c>
      <c r="L122" s="91">
        <f t="shared" si="10"/>
        <v>181328</v>
      </c>
      <c r="M122" s="159">
        <f t="shared" si="11"/>
        <v>16</v>
      </c>
      <c r="N122" s="159"/>
      <c r="O122" s="97"/>
      <c r="P122" s="11"/>
    </row>
    <row r="123" spans="1:16" s="114" customFormat="1">
      <c r="A123" s="295" t="s">
        <v>1148</v>
      </c>
      <c r="B123" s="243">
        <v>118</v>
      </c>
      <c r="C123" s="126" t="s">
        <v>1283</v>
      </c>
      <c r="D123" s="8"/>
      <c r="E123" s="16">
        <v>500000</v>
      </c>
      <c r="F123" s="16">
        <v>66650</v>
      </c>
      <c r="G123" s="331">
        <f>SUM(E123:F123)</f>
        <v>566650</v>
      </c>
      <c r="H123" s="13">
        <v>11333</v>
      </c>
      <c r="I123" s="159">
        <v>50</v>
      </c>
      <c r="J123" s="101">
        <v>2</v>
      </c>
      <c r="K123" s="16">
        <f t="shared" si="14"/>
        <v>22666</v>
      </c>
      <c r="L123" s="94">
        <f t="shared" si="10"/>
        <v>543984</v>
      </c>
      <c r="M123" s="159">
        <f t="shared" si="11"/>
        <v>48</v>
      </c>
      <c r="N123" s="101"/>
      <c r="O123" s="101"/>
      <c r="P123" s="8"/>
    </row>
    <row r="124" spans="1:16" s="114" customFormat="1">
      <c r="A124" s="293" t="s">
        <v>901</v>
      </c>
      <c r="B124" s="243">
        <v>119</v>
      </c>
      <c r="C124" s="123" t="s">
        <v>877</v>
      </c>
      <c r="D124" s="123"/>
      <c r="E124" s="19">
        <v>330000</v>
      </c>
      <c r="F124" s="19">
        <v>43989</v>
      </c>
      <c r="G124" s="329">
        <f>SUM(E124:F124)</f>
        <v>373989</v>
      </c>
      <c r="H124" s="327">
        <v>7479.78</v>
      </c>
      <c r="I124" s="159">
        <v>50</v>
      </c>
      <c r="J124" s="159">
        <v>17</v>
      </c>
      <c r="K124" s="16">
        <f t="shared" si="14"/>
        <v>127156.26</v>
      </c>
      <c r="L124" s="94">
        <f t="shared" si="10"/>
        <v>246832.74</v>
      </c>
      <c r="M124" s="159">
        <f t="shared" si="11"/>
        <v>33</v>
      </c>
      <c r="N124" s="159"/>
      <c r="O124" s="159"/>
      <c r="P124" s="11"/>
    </row>
    <row r="125" spans="1:16" s="114" customFormat="1">
      <c r="A125" s="292" t="s">
        <v>509</v>
      </c>
      <c r="B125" s="243">
        <v>120</v>
      </c>
      <c r="C125" s="11" t="s">
        <v>29</v>
      </c>
      <c r="D125" s="11"/>
      <c r="E125" s="19">
        <v>450000</v>
      </c>
      <c r="F125" s="19">
        <v>59985</v>
      </c>
      <c r="G125" s="19">
        <v>509985</v>
      </c>
      <c r="H125" s="318">
        <v>10199.700000000001</v>
      </c>
      <c r="I125" s="159">
        <v>50</v>
      </c>
      <c r="J125" s="97">
        <v>34</v>
      </c>
      <c r="K125" s="91">
        <f t="shared" si="14"/>
        <v>346789.80000000005</v>
      </c>
      <c r="L125" s="91">
        <f t="shared" si="10"/>
        <v>163195.19999999995</v>
      </c>
      <c r="M125" s="159">
        <f t="shared" si="11"/>
        <v>16</v>
      </c>
      <c r="N125" s="159"/>
      <c r="O125" s="97"/>
      <c r="P125" s="11"/>
    </row>
    <row r="126" spans="1:16" s="114" customFormat="1">
      <c r="A126" s="292" t="s">
        <v>711</v>
      </c>
      <c r="B126" s="243">
        <v>121</v>
      </c>
      <c r="C126" s="11" t="s">
        <v>356</v>
      </c>
      <c r="D126" s="11"/>
      <c r="E126" s="16">
        <v>500000</v>
      </c>
      <c r="F126" s="16">
        <v>66650</v>
      </c>
      <c r="G126" s="331">
        <f>SUM(E126:F126)</f>
        <v>566650</v>
      </c>
      <c r="H126" s="318">
        <v>11333</v>
      </c>
      <c r="I126" s="159">
        <v>50</v>
      </c>
      <c r="J126" s="97">
        <v>47</v>
      </c>
      <c r="K126" s="91">
        <f t="shared" si="14"/>
        <v>532651</v>
      </c>
      <c r="L126" s="94">
        <f t="shared" si="10"/>
        <v>33999</v>
      </c>
      <c r="M126" s="159">
        <f t="shared" si="11"/>
        <v>3</v>
      </c>
      <c r="N126" s="159"/>
      <c r="O126" s="97"/>
      <c r="P126" s="11"/>
    </row>
    <row r="127" spans="1:16" s="114" customFormat="1">
      <c r="A127" s="292" t="s">
        <v>507</v>
      </c>
      <c r="B127" s="243">
        <v>122</v>
      </c>
      <c r="C127" s="11" t="s">
        <v>358</v>
      </c>
      <c r="D127" s="11"/>
      <c r="E127" s="16">
        <v>500000</v>
      </c>
      <c r="F127" s="16">
        <v>66650</v>
      </c>
      <c r="G127" s="16">
        <v>566650</v>
      </c>
      <c r="H127" s="318">
        <v>11333</v>
      </c>
      <c r="I127" s="159">
        <v>50</v>
      </c>
      <c r="J127" s="97">
        <v>34</v>
      </c>
      <c r="K127" s="91">
        <f t="shared" si="14"/>
        <v>385322</v>
      </c>
      <c r="L127" s="91">
        <f t="shared" si="10"/>
        <v>181328</v>
      </c>
      <c r="M127" s="159">
        <f t="shared" si="11"/>
        <v>16</v>
      </c>
      <c r="N127" s="159"/>
      <c r="O127" s="97"/>
      <c r="P127" s="11"/>
    </row>
    <row r="128" spans="1:16" s="114" customFormat="1">
      <c r="A128" s="292" t="s">
        <v>590</v>
      </c>
      <c r="B128" s="243">
        <v>123</v>
      </c>
      <c r="C128" s="11" t="s">
        <v>290</v>
      </c>
      <c r="D128" s="11"/>
      <c r="E128" s="19">
        <v>150000</v>
      </c>
      <c r="F128" s="19">
        <v>19995</v>
      </c>
      <c r="G128" s="329">
        <f>SUM(E128:F128)</f>
        <v>169995</v>
      </c>
      <c r="H128" s="146">
        <v>3399.9</v>
      </c>
      <c r="I128" s="159">
        <v>50</v>
      </c>
      <c r="J128" s="97">
        <v>47</v>
      </c>
      <c r="K128" s="91">
        <f t="shared" si="14"/>
        <v>159795.30000000002</v>
      </c>
      <c r="L128" s="94">
        <f t="shared" si="10"/>
        <v>10199.699999999983</v>
      </c>
      <c r="M128" s="159">
        <f t="shared" si="11"/>
        <v>3</v>
      </c>
      <c r="N128" s="159"/>
      <c r="O128" s="97"/>
      <c r="P128" s="8"/>
    </row>
    <row r="129" spans="1:16" s="114" customFormat="1">
      <c r="A129" s="293" t="s">
        <v>1213</v>
      </c>
      <c r="B129" s="243">
        <v>124</v>
      </c>
      <c r="C129" s="123" t="s">
        <v>1292</v>
      </c>
      <c r="D129" s="123"/>
      <c r="E129" s="19">
        <v>330000</v>
      </c>
      <c r="F129" s="19">
        <v>43989</v>
      </c>
      <c r="G129" s="329">
        <f>SUM(E129:F129)</f>
        <v>373989</v>
      </c>
      <c r="H129" s="327">
        <v>7479.78</v>
      </c>
      <c r="I129" s="159">
        <v>50</v>
      </c>
      <c r="J129" s="159">
        <v>9</v>
      </c>
      <c r="K129" s="16">
        <f t="shared" si="14"/>
        <v>67318.02</v>
      </c>
      <c r="L129" s="94">
        <f t="shared" si="10"/>
        <v>306670.98</v>
      </c>
      <c r="M129" s="159">
        <f t="shared" si="11"/>
        <v>41</v>
      </c>
      <c r="N129" s="159"/>
      <c r="O129" s="159"/>
      <c r="P129" s="11"/>
    </row>
    <row r="130" spans="1:16" s="114" customFormat="1">
      <c r="A130" s="293" t="s">
        <v>888</v>
      </c>
      <c r="B130" s="243">
        <v>125</v>
      </c>
      <c r="C130" s="123" t="s">
        <v>412</v>
      </c>
      <c r="D130" s="123"/>
      <c r="E130" s="16">
        <v>500000</v>
      </c>
      <c r="F130" s="16">
        <v>66650</v>
      </c>
      <c r="G130" s="331">
        <f>SUM(E130:F130)</f>
        <v>566650</v>
      </c>
      <c r="H130" s="327">
        <v>11333</v>
      </c>
      <c r="I130" s="159">
        <v>50</v>
      </c>
      <c r="J130" s="159">
        <v>17</v>
      </c>
      <c r="K130" s="16">
        <f t="shared" si="14"/>
        <v>192661</v>
      </c>
      <c r="L130" s="94">
        <f t="shared" si="10"/>
        <v>373989</v>
      </c>
      <c r="M130" s="159">
        <f t="shared" si="11"/>
        <v>33</v>
      </c>
      <c r="N130" s="159"/>
      <c r="O130" s="159"/>
      <c r="P130" s="11"/>
    </row>
    <row r="131" spans="1:16" s="114" customFormat="1">
      <c r="A131" s="11" t="s">
        <v>1209</v>
      </c>
      <c r="B131" s="243">
        <v>126</v>
      </c>
      <c r="C131" s="11" t="s">
        <v>1288</v>
      </c>
      <c r="D131" s="11"/>
      <c r="E131" s="19">
        <v>150000</v>
      </c>
      <c r="F131" s="19">
        <v>19995</v>
      </c>
      <c r="G131" s="19">
        <f>SUM(E131:F131)</f>
        <v>169995</v>
      </c>
      <c r="H131" s="254">
        <v>3399.9</v>
      </c>
      <c r="I131" s="159">
        <v>50</v>
      </c>
      <c r="J131" s="159">
        <v>2</v>
      </c>
      <c r="K131" s="16">
        <f t="shared" si="14"/>
        <v>6799.8</v>
      </c>
      <c r="L131" s="94">
        <f t="shared" si="10"/>
        <v>163195.20000000001</v>
      </c>
      <c r="M131" s="159">
        <f t="shared" si="11"/>
        <v>48</v>
      </c>
      <c r="N131" s="11"/>
      <c r="O131" s="11"/>
      <c r="P131" s="11"/>
    </row>
    <row r="132" spans="1:16" s="114" customFormat="1">
      <c r="A132" s="293"/>
      <c r="B132" s="243">
        <v>127</v>
      </c>
      <c r="C132" s="123" t="s">
        <v>1270</v>
      </c>
      <c r="D132" s="123"/>
      <c r="E132" s="19">
        <v>150000</v>
      </c>
      <c r="F132" s="19">
        <v>19995</v>
      </c>
      <c r="G132" s="19">
        <f>SUM(E132:F132)</f>
        <v>169995</v>
      </c>
      <c r="H132" s="317">
        <v>3399.9</v>
      </c>
      <c r="I132" s="159">
        <v>50</v>
      </c>
      <c r="J132" s="159">
        <v>33</v>
      </c>
      <c r="K132" s="16">
        <f t="shared" si="14"/>
        <v>112196.7</v>
      </c>
      <c r="L132" s="94">
        <f t="shared" si="10"/>
        <v>57798.3</v>
      </c>
      <c r="M132" s="159">
        <f t="shared" si="11"/>
        <v>17</v>
      </c>
      <c r="N132" s="159"/>
      <c r="O132" s="159"/>
      <c r="P132" s="11"/>
    </row>
    <row r="133" spans="1:16" s="114" customFormat="1">
      <c r="A133" s="293"/>
      <c r="B133" s="243">
        <v>128</v>
      </c>
      <c r="C133" s="123" t="s">
        <v>1272</v>
      </c>
      <c r="D133" s="123"/>
      <c r="E133" s="19">
        <v>450000</v>
      </c>
      <c r="F133" s="19">
        <v>59985</v>
      </c>
      <c r="G133" s="19">
        <v>509985</v>
      </c>
      <c r="H133" s="317">
        <v>10199.700000000001</v>
      </c>
      <c r="I133" s="159">
        <v>50</v>
      </c>
      <c r="J133" s="159">
        <v>7</v>
      </c>
      <c r="K133" s="16">
        <f t="shared" si="14"/>
        <v>71397.900000000009</v>
      </c>
      <c r="L133" s="94">
        <f t="shared" si="10"/>
        <v>438587.1</v>
      </c>
      <c r="M133" s="159">
        <f t="shared" si="11"/>
        <v>43</v>
      </c>
      <c r="N133" s="159"/>
      <c r="O133" s="159"/>
      <c r="P133" s="11"/>
    </row>
    <row r="134" spans="1:16" s="114" customFormat="1">
      <c r="A134" s="293"/>
      <c r="B134" s="243">
        <v>129</v>
      </c>
      <c r="C134" s="123" t="s">
        <v>1271</v>
      </c>
      <c r="D134" s="123"/>
      <c r="E134" s="19">
        <v>330000</v>
      </c>
      <c r="F134" s="19">
        <v>43989</v>
      </c>
      <c r="G134" s="19">
        <f>SUM(E134:F134)</f>
        <v>373989</v>
      </c>
      <c r="H134" s="317">
        <v>7479.78</v>
      </c>
      <c r="I134" s="159">
        <v>50</v>
      </c>
      <c r="J134" s="159">
        <v>7</v>
      </c>
      <c r="K134" s="16">
        <f t="shared" si="14"/>
        <v>52358.46</v>
      </c>
      <c r="L134" s="94">
        <f>G134-K134</f>
        <v>321630.53999999998</v>
      </c>
      <c r="M134" s="159">
        <f t="shared" si="11"/>
        <v>43</v>
      </c>
      <c r="N134" s="159"/>
      <c r="O134" s="159"/>
      <c r="P134" s="11"/>
    </row>
    <row r="135" spans="1:16" s="114" customFormat="1">
      <c r="A135" s="293"/>
      <c r="B135" s="243">
        <v>130</v>
      </c>
      <c r="C135" s="123" t="s">
        <v>1268</v>
      </c>
      <c r="D135" s="123"/>
      <c r="E135" s="16">
        <v>500000</v>
      </c>
      <c r="F135" s="16">
        <v>66650</v>
      </c>
      <c r="G135" s="41">
        <f>SUM(E135:F135)</f>
        <v>566650</v>
      </c>
      <c r="H135" s="317">
        <v>11749.67</v>
      </c>
      <c r="I135" s="159">
        <v>50</v>
      </c>
      <c r="J135" s="159">
        <v>22</v>
      </c>
      <c r="K135" s="16">
        <f t="shared" si="14"/>
        <v>258492.74</v>
      </c>
      <c r="L135" s="94">
        <f>G135-K135</f>
        <v>308157.26</v>
      </c>
      <c r="M135" s="159">
        <f t="shared" si="11"/>
        <v>28</v>
      </c>
      <c r="N135" s="159"/>
      <c r="O135" s="159"/>
      <c r="P135" s="11"/>
    </row>
    <row r="136" spans="1:16" s="114" customFormat="1">
      <c r="A136" s="293"/>
      <c r="B136" s="243">
        <v>131</v>
      </c>
      <c r="C136" s="123" t="s">
        <v>1269</v>
      </c>
      <c r="D136" s="123"/>
      <c r="E136" s="19">
        <v>450000</v>
      </c>
      <c r="F136" s="19">
        <v>59985</v>
      </c>
      <c r="G136" s="19">
        <v>509985</v>
      </c>
      <c r="H136" s="317">
        <v>10199.700000000001</v>
      </c>
      <c r="I136" s="159">
        <v>50</v>
      </c>
      <c r="J136" s="159">
        <v>29</v>
      </c>
      <c r="K136" s="16">
        <f t="shared" si="14"/>
        <v>295791.30000000005</v>
      </c>
      <c r="L136" s="94">
        <f>G136-K136</f>
        <v>214193.69999999995</v>
      </c>
      <c r="M136" s="159">
        <f t="shared" si="11"/>
        <v>21</v>
      </c>
      <c r="N136" s="159"/>
      <c r="O136" s="159"/>
      <c r="P136" s="11"/>
    </row>
    <row r="137" spans="1:16" s="114" customFormat="1">
      <c r="A137" s="295"/>
      <c r="B137" s="126"/>
      <c r="C137" s="8"/>
      <c r="D137" s="8"/>
      <c r="E137" s="34">
        <f>SUM(E6:E136)</f>
        <v>55220000</v>
      </c>
      <c r="F137" s="34">
        <f>SUM(F6:F136)</f>
        <v>7348509.2000000002</v>
      </c>
      <c r="G137" s="34">
        <f>SUM(G6:G136)</f>
        <v>62768509.200000003</v>
      </c>
      <c r="H137" s="34">
        <f>SUM(H6:H136)</f>
        <v>1271479.6999999995</v>
      </c>
      <c r="I137" s="34"/>
      <c r="J137" s="34"/>
      <c r="K137" s="34">
        <f>SUM(K6:K136)</f>
        <v>28126975.660000008</v>
      </c>
      <c r="L137" s="34">
        <f>SUM(L6:L136)</f>
        <v>34641533.539999992</v>
      </c>
      <c r="M137" s="34"/>
      <c r="N137" s="34"/>
      <c r="O137" s="34"/>
      <c r="P137" s="8"/>
    </row>
    <row r="138" spans="1:16" s="114" customFormat="1">
      <c r="A138" s="298"/>
      <c r="B138" s="44"/>
      <c r="C138" s="44"/>
      <c r="D138" s="184"/>
      <c r="E138"/>
      <c r="F138"/>
      <c r="G138"/>
      <c r="H138"/>
      <c r="I138" s="43"/>
      <c r="J138" s="99"/>
      <c r="K138"/>
      <c r="L138"/>
      <c r="M138" s="99"/>
      <c r="N138" s="99"/>
      <c r="O138" s="99"/>
      <c r="P138"/>
    </row>
    <row r="139" spans="1:16" s="114" customFormat="1">
      <c r="A139" s="298"/>
      <c r="B139" s="44"/>
      <c r="C139" s="44"/>
      <c r="D139" s="184"/>
      <c r="E139"/>
      <c r="F139"/>
      <c r="G139"/>
      <c r="H139"/>
      <c r="I139" s="43"/>
      <c r="J139" s="99"/>
      <c r="K139"/>
      <c r="L139"/>
      <c r="M139" s="99"/>
      <c r="N139" s="99"/>
      <c r="O139" s="99"/>
      <c r="P139"/>
    </row>
    <row r="140" spans="1:16" s="114" customFormat="1">
      <c r="A140" s="298"/>
      <c r="B140" s="44"/>
      <c r="C140" s="44"/>
      <c r="D140" s="184"/>
      <c r="E140"/>
      <c r="F140"/>
      <c r="G140"/>
      <c r="H140"/>
      <c r="I140" s="43"/>
      <c r="J140" s="99"/>
      <c r="K140"/>
      <c r="L140"/>
      <c r="M140" s="99"/>
      <c r="N140" s="99"/>
      <c r="O140" s="99"/>
      <c r="P140"/>
    </row>
    <row r="141" spans="1:16">
      <c r="C141" s="44"/>
    </row>
    <row r="142" spans="1:16" s="184" customFormat="1">
      <c r="A142" s="298"/>
      <c r="B142" s="44"/>
      <c r="C142" s="44"/>
      <c r="E142"/>
      <c r="F142"/>
      <c r="G142"/>
      <c r="H142"/>
      <c r="I142" s="43"/>
      <c r="J142" s="99"/>
      <c r="K142"/>
      <c r="L142"/>
      <c r="M142" s="99"/>
      <c r="N142" s="99"/>
      <c r="O142" s="99"/>
      <c r="P142"/>
    </row>
    <row r="143" spans="1:16" s="184" customFormat="1">
      <c r="A143" s="298"/>
      <c r="B143" s="44"/>
      <c r="C143" s="44"/>
      <c r="E143"/>
      <c r="F143"/>
      <c r="G143"/>
      <c r="H143"/>
      <c r="I143" s="43"/>
      <c r="J143" s="99"/>
      <c r="K143"/>
      <c r="L143"/>
      <c r="M143" s="99"/>
      <c r="N143" s="99"/>
      <c r="O143" s="99"/>
      <c r="P143"/>
    </row>
    <row r="144" spans="1:16" s="184" customFormat="1">
      <c r="A144" s="298"/>
      <c r="B144" s="44"/>
      <c r="C144" s="44"/>
      <c r="E144"/>
      <c r="F144"/>
      <c r="G144"/>
      <c r="H144"/>
      <c r="I144" s="43"/>
      <c r="J144" s="99"/>
      <c r="K144"/>
      <c r="L144"/>
      <c r="M144" s="99"/>
      <c r="N144" s="99"/>
      <c r="O144" s="99"/>
      <c r="P144"/>
    </row>
    <row r="145" spans="1:16" s="184" customFormat="1">
      <c r="A145" s="298"/>
      <c r="B145" s="44"/>
      <c r="C145" s="44"/>
      <c r="E145"/>
      <c r="F145"/>
      <c r="G145"/>
      <c r="H145"/>
      <c r="I145" s="43"/>
      <c r="J145" s="99"/>
      <c r="K145"/>
      <c r="L145"/>
      <c r="M145" s="99"/>
      <c r="N145" s="99"/>
      <c r="O145" s="99"/>
      <c r="P145"/>
    </row>
    <row r="146" spans="1:16" s="184" customFormat="1">
      <c r="A146" s="298"/>
      <c r="B146" s="44"/>
      <c r="C146" s="44"/>
      <c r="E146"/>
      <c r="F146"/>
      <c r="G146"/>
      <c r="H146"/>
      <c r="I146" s="43"/>
      <c r="J146" s="99"/>
      <c r="K146"/>
      <c r="L146"/>
      <c r="M146" s="99"/>
      <c r="N146" s="99"/>
      <c r="O146" s="99"/>
      <c r="P146"/>
    </row>
    <row r="147" spans="1:16" s="184" customFormat="1">
      <c r="A147" s="298"/>
      <c r="B147" s="44"/>
      <c r="C147" s="44"/>
      <c r="E147"/>
      <c r="F147"/>
      <c r="G147"/>
      <c r="H147"/>
      <c r="I147" s="43"/>
      <c r="J147" s="99"/>
      <c r="K147"/>
      <c r="L147"/>
      <c r="M147" s="99"/>
      <c r="N147" s="99"/>
      <c r="O147" s="99"/>
      <c r="P147"/>
    </row>
    <row r="148" spans="1:16" s="184" customFormat="1">
      <c r="A148" s="298"/>
      <c r="B148" s="44"/>
      <c r="C148" s="44"/>
      <c r="E148"/>
      <c r="F148"/>
      <c r="G148"/>
      <c r="H148"/>
      <c r="I148" s="43"/>
      <c r="J148" s="99"/>
      <c r="K148"/>
      <c r="L148"/>
      <c r="M148" s="99"/>
      <c r="N148" s="99"/>
      <c r="O148" s="99"/>
      <c r="P148"/>
    </row>
    <row r="149" spans="1:16" s="184" customFormat="1">
      <c r="A149" s="298"/>
      <c r="B149" s="44"/>
      <c r="C149" s="44"/>
      <c r="E149"/>
      <c r="F149"/>
      <c r="G149"/>
      <c r="H149"/>
      <c r="I149" s="43"/>
      <c r="J149" s="99"/>
      <c r="K149"/>
      <c r="L149"/>
      <c r="M149" s="99"/>
      <c r="N149" s="99"/>
      <c r="O149" s="99"/>
      <c r="P149"/>
    </row>
    <row r="150" spans="1:16" s="184" customFormat="1">
      <c r="A150" s="298"/>
      <c r="B150" s="44"/>
      <c r="C150" s="44"/>
      <c r="E150"/>
      <c r="F150"/>
      <c r="G150"/>
      <c r="H150"/>
      <c r="I150" s="43"/>
      <c r="J150" s="99"/>
      <c r="K150"/>
      <c r="L150"/>
      <c r="M150" s="99"/>
      <c r="N150" s="99"/>
      <c r="O150" s="99"/>
      <c r="P150"/>
    </row>
    <row r="151" spans="1:16" s="184" customFormat="1">
      <c r="A151" s="298"/>
      <c r="B151" s="44"/>
      <c r="C151" s="44"/>
      <c r="E151"/>
      <c r="F151"/>
      <c r="G151"/>
      <c r="H151"/>
      <c r="I151" s="43"/>
      <c r="J151" s="99"/>
      <c r="K151"/>
      <c r="L151"/>
      <c r="M151" s="99"/>
      <c r="N151" s="99"/>
      <c r="O151" s="99"/>
      <c r="P151"/>
    </row>
    <row r="152" spans="1:16" s="184" customFormat="1">
      <c r="A152" s="298"/>
      <c r="B152" s="44"/>
      <c r="C152" s="44"/>
      <c r="E152"/>
      <c r="F152"/>
      <c r="G152"/>
      <c r="H152"/>
      <c r="I152" s="43"/>
      <c r="J152" s="99"/>
      <c r="K152"/>
      <c r="L152"/>
      <c r="M152" s="99"/>
      <c r="N152" s="99"/>
      <c r="O152" s="99"/>
      <c r="P152"/>
    </row>
    <row r="153" spans="1:16" s="184" customFormat="1">
      <c r="A153" s="298"/>
      <c r="B153" s="44"/>
      <c r="C153" s="44"/>
      <c r="E153"/>
      <c r="F153"/>
      <c r="G153"/>
      <c r="H153"/>
      <c r="I153" s="43"/>
      <c r="J153" s="99"/>
      <c r="K153"/>
      <c r="L153"/>
      <c r="M153" s="99"/>
      <c r="N153" s="99"/>
      <c r="O153" s="99"/>
      <c r="P153"/>
    </row>
    <row r="154" spans="1:16" s="184" customFormat="1">
      <c r="A154" s="298"/>
      <c r="B154" s="44"/>
      <c r="C154" s="44"/>
      <c r="E154"/>
      <c r="F154"/>
      <c r="G154"/>
      <c r="H154"/>
      <c r="I154" s="43"/>
      <c r="J154" s="99"/>
      <c r="K154"/>
      <c r="L154"/>
      <c r="M154" s="99"/>
      <c r="N154" s="99"/>
      <c r="O154" s="99"/>
      <c r="P154"/>
    </row>
    <row r="155" spans="1:16" s="184" customFormat="1">
      <c r="A155" s="298"/>
      <c r="B155" s="44"/>
      <c r="C155" s="44"/>
      <c r="E155"/>
      <c r="F155"/>
      <c r="G155"/>
      <c r="H155"/>
      <c r="I155" s="43"/>
      <c r="J155" s="99"/>
      <c r="K155"/>
      <c r="L155"/>
      <c r="M155" s="99"/>
      <c r="N155" s="99"/>
      <c r="O155" s="99"/>
      <c r="P155"/>
    </row>
    <row r="156" spans="1:16" s="184" customFormat="1">
      <c r="A156" s="298"/>
      <c r="B156" s="44"/>
      <c r="C156" s="44"/>
      <c r="E156"/>
      <c r="F156"/>
      <c r="G156"/>
      <c r="H156"/>
      <c r="I156" s="43"/>
      <c r="J156" s="99"/>
      <c r="K156"/>
      <c r="L156"/>
      <c r="M156" s="99"/>
      <c r="N156" s="99"/>
      <c r="O156" s="99"/>
      <c r="P156"/>
    </row>
    <row r="157" spans="1:16" s="184" customFormat="1">
      <c r="A157" s="298"/>
      <c r="B157" s="44"/>
      <c r="C157" s="44"/>
      <c r="E157"/>
      <c r="F157"/>
      <c r="G157"/>
      <c r="H157"/>
      <c r="I157" s="43"/>
      <c r="J157" s="99"/>
      <c r="K157"/>
      <c r="L157"/>
      <c r="M157" s="99"/>
      <c r="N157" s="99"/>
      <c r="O157" s="99"/>
      <c r="P157"/>
    </row>
    <row r="158" spans="1:16" s="184" customFormat="1">
      <c r="A158" s="298"/>
      <c r="B158" s="44"/>
      <c r="C158" s="44"/>
      <c r="E158"/>
      <c r="F158"/>
      <c r="G158"/>
      <c r="H158"/>
      <c r="I158" s="43"/>
      <c r="J158" s="99"/>
      <c r="K158"/>
      <c r="L158"/>
      <c r="M158" s="99"/>
      <c r="N158" s="99"/>
      <c r="O158" s="99"/>
      <c r="P158"/>
    </row>
    <row r="159" spans="1:16" s="184" customFormat="1">
      <c r="A159" s="298"/>
      <c r="B159" s="44"/>
      <c r="C159" s="44"/>
      <c r="E159"/>
      <c r="F159"/>
      <c r="G159"/>
      <c r="H159"/>
      <c r="I159" s="43"/>
      <c r="J159" s="99"/>
      <c r="K159"/>
      <c r="L159"/>
      <c r="M159" s="99"/>
      <c r="N159" s="99"/>
      <c r="O159" s="99"/>
      <c r="P159"/>
    </row>
    <row r="160" spans="1:16" s="184" customFormat="1">
      <c r="A160" s="298"/>
      <c r="B160" s="44"/>
      <c r="C160" s="44"/>
      <c r="E160"/>
      <c r="F160"/>
      <c r="G160"/>
      <c r="H160"/>
      <c r="I160" s="43"/>
      <c r="J160" s="99"/>
      <c r="K160"/>
      <c r="L160"/>
      <c r="M160" s="99"/>
      <c r="N160" s="99"/>
      <c r="O160" s="99"/>
      <c r="P160"/>
    </row>
    <row r="161" spans="1:16" s="184" customFormat="1">
      <c r="A161" s="298"/>
      <c r="B161" s="44"/>
      <c r="C161" s="44"/>
      <c r="E161"/>
      <c r="F161"/>
      <c r="G161"/>
      <c r="H161"/>
      <c r="I161" s="43"/>
      <c r="J161" s="99"/>
      <c r="K161"/>
      <c r="L161"/>
      <c r="M161" s="99"/>
      <c r="N161" s="99"/>
      <c r="O161" s="99"/>
      <c r="P161"/>
    </row>
    <row r="162" spans="1:16" s="184" customFormat="1">
      <c r="A162" s="298"/>
      <c r="B162" s="44"/>
      <c r="C162" s="44"/>
      <c r="E162"/>
      <c r="F162"/>
      <c r="G162"/>
      <c r="H162"/>
      <c r="I162" s="43"/>
      <c r="J162" s="99"/>
      <c r="K162"/>
      <c r="L162"/>
      <c r="M162" s="99"/>
      <c r="N162" s="99"/>
      <c r="O162" s="99"/>
      <c r="P162"/>
    </row>
    <row r="163" spans="1:16" s="184" customFormat="1">
      <c r="A163" s="298"/>
      <c r="B163" s="44"/>
      <c r="C163" s="44"/>
      <c r="E163"/>
      <c r="F163"/>
      <c r="G163"/>
      <c r="H163"/>
      <c r="I163" s="43"/>
      <c r="J163" s="99"/>
      <c r="K163"/>
      <c r="L163"/>
      <c r="M163" s="99"/>
      <c r="N163" s="99"/>
      <c r="O163" s="99"/>
      <c r="P163"/>
    </row>
    <row r="164" spans="1:16" s="184" customFormat="1">
      <c r="A164" s="298"/>
      <c r="B164" s="44"/>
      <c r="C164" s="44"/>
      <c r="E164"/>
      <c r="F164"/>
      <c r="G164"/>
      <c r="H164"/>
      <c r="I164" s="43"/>
      <c r="J164" s="99"/>
      <c r="K164"/>
      <c r="L164"/>
      <c r="M164" s="99"/>
      <c r="N164" s="99"/>
      <c r="O164" s="99"/>
      <c r="P164"/>
    </row>
    <row r="165" spans="1:16" s="184" customFormat="1">
      <c r="A165" s="298"/>
      <c r="B165" s="44"/>
      <c r="C165" s="44"/>
      <c r="E165"/>
      <c r="F165"/>
      <c r="G165"/>
      <c r="H165"/>
      <c r="I165" s="43"/>
      <c r="J165" s="99"/>
      <c r="K165"/>
      <c r="L165"/>
      <c r="M165" s="99"/>
      <c r="N165" s="99"/>
      <c r="O165" s="99"/>
      <c r="P165"/>
    </row>
    <row r="166" spans="1:16" s="184" customFormat="1">
      <c r="A166" s="298"/>
      <c r="B166" s="44"/>
      <c r="C166" s="44"/>
      <c r="E166"/>
      <c r="F166"/>
      <c r="G166"/>
      <c r="H166"/>
      <c r="I166" s="43"/>
      <c r="J166" s="99"/>
      <c r="K166"/>
      <c r="L166"/>
      <c r="M166" s="99"/>
      <c r="N166" s="99"/>
      <c r="O166" s="99"/>
      <c r="P166"/>
    </row>
    <row r="167" spans="1:16" s="184" customFormat="1">
      <c r="A167" s="298"/>
      <c r="B167" s="44"/>
      <c r="C167" s="44"/>
      <c r="E167"/>
      <c r="F167"/>
      <c r="G167"/>
      <c r="H167"/>
      <c r="I167" s="43"/>
      <c r="J167" s="99"/>
      <c r="K167"/>
      <c r="L167"/>
      <c r="M167" s="99"/>
      <c r="N167" s="99"/>
      <c r="O167" s="99"/>
      <c r="P167"/>
    </row>
    <row r="168" spans="1:16" s="184" customFormat="1">
      <c r="A168" s="298"/>
      <c r="B168" s="44"/>
      <c r="C168" s="44"/>
      <c r="E168"/>
      <c r="F168"/>
      <c r="G168"/>
      <c r="H168"/>
      <c r="I168" s="43"/>
      <c r="J168" s="99"/>
      <c r="K168"/>
      <c r="L168"/>
      <c r="M168" s="99"/>
      <c r="N168" s="99"/>
      <c r="O168" s="99"/>
      <c r="P168"/>
    </row>
    <row r="169" spans="1:16" s="184" customFormat="1">
      <c r="A169" s="298"/>
      <c r="B169" s="44"/>
      <c r="C169" s="44"/>
      <c r="E169"/>
      <c r="F169"/>
      <c r="G169"/>
      <c r="H169"/>
      <c r="I169" s="43"/>
      <c r="J169" s="99"/>
      <c r="K169"/>
      <c r="L169"/>
      <c r="M169" s="99"/>
      <c r="N169" s="99"/>
      <c r="O169" s="99"/>
      <c r="P169"/>
    </row>
    <row r="170" spans="1:16" s="184" customFormat="1">
      <c r="A170" s="298"/>
      <c r="B170" s="44"/>
      <c r="C170" s="44"/>
      <c r="E170"/>
      <c r="F170"/>
      <c r="G170"/>
      <c r="H170"/>
      <c r="I170" s="43"/>
      <c r="J170" s="99"/>
      <c r="K170"/>
      <c r="L170"/>
      <c r="M170" s="99"/>
      <c r="N170" s="99"/>
      <c r="O170" s="99"/>
      <c r="P170"/>
    </row>
    <row r="171" spans="1:16" s="184" customFormat="1">
      <c r="A171" s="298"/>
      <c r="B171" s="44"/>
      <c r="C171" s="44"/>
      <c r="E171"/>
      <c r="F171"/>
      <c r="G171"/>
      <c r="H171"/>
      <c r="I171" s="43"/>
      <c r="J171" s="99"/>
      <c r="K171"/>
      <c r="L171"/>
      <c r="M171" s="99"/>
      <c r="N171" s="99"/>
      <c r="O171" s="99"/>
      <c r="P171"/>
    </row>
    <row r="172" spans="1:16" s="184" customFormat="1">
      <c r="A172" s="298"/>
      <c r="B172" s="44"/>
      <c r="C172" s="44"/>
      <c r="E172"/>
      <c r="F172"/>
      <c r="G172"/>
      <c r="H172"/>
      <c r="I172" s="43"/>
      <c r="J172" s="99"/>
      <c r="K172"/>
      <c r="L172"/>
      <c r="M172" s="99"/>
      <c r="N172" s="99"/>
      <c r="O172" s="99"/>
      <c r="P172"/>
    </row>
    <row r="173" spans="1:16" s="184" customFormat="1">
      <c r="A173" s="298"/>
      <c r="B173" s="44"/>
      <c r="C173" s="44"/>
      <c r="E173"/>
      <c r="F173"/>
      <c r="G173"/>
      <c r="H173"/>
      <c r="I173" s="43"/>
      <c r="J173" s="99"/>
      <c r="K173"/>
      <c r="L173"/>
      <c r="M173" s="99"/>
      <c r="N173" s="99"/>
      <c r="O173" s="99"/>
      <c r="P173"/>
    </row>
    <row r="174" spans="1:16" s="184" customFormat="1">
      <c r="A174" s="298"/>
      <c r="B174" s="44"/>
      <c r="C174" s="44"/>
      <c r="E174"/>
      <c r="F174"/>
      <c r="G174"/>
      <c r="H174"/>
      <c r="I174" s="43"/>
      <c r="J174" s="99"/>
      <c r="K174"/>
      <c r="L174"/>
      <c r="M174" s="99"/>
      <c r="N174" s="99"/>
      <c r="O174" s="99"/>
      <c r="P174"/>
    </row>
    <row r="175" spans="1:16" s="184" customFormat="1">
      <c r="A175" s="298"/>
      <c r="B175" s="44"/>
      <c r="C175" s="44"/>
      <c r="E175"/>
      <c r="F175"/>
      <c r="G175"/>
      <c r="H175"/>
      <c r="I175" s="43"/>
      <c r="J175" s="99"/>
      <c r="K175"/>
      <c r="L175"/>
      <c r="M175" s="99"/>
      <c r="N175" s="99"/>
      <c r="O175" s="99"/>
      <c r="P175"/>
    </row>
    <row r="176" spans="1:16" s="184" customFormat="1">
      <c r="A176" s="298"/>
      <c r="B176" s="44"/>
      <c r="C176" s="44"/>
      <c r="E176"/>
      <c r="F176"/>
      <c r="G176"/>
      <c r="H176"/>
      <c r="I176" s="43"/>
      <c r="J176" s="99"/>
      <c r="K176"/>
      <c r="L176"/>
      <c r="M176" s="99"/>
      <c r="N176" s="99"/>
      <c r="O176" s="99"/>
      <c r="P176"/>
    </row>
    <row r="177" spans="1:16" s="184" customFormat="1">
      <c r="A177" s="298"/>
      <c r="B177" s="44"/>
      <c r="C177" s="44"/>
      <c r="E177"/>
      <c r="F177"/>
      <c r="G177"/>
      <c r="H177"/>
      <c r="I177" s="43"/>
      <c r="J177" s="99"/>
      <c r="K177"/>
      <c r="L177"/>
      <c r="M177" s="99"/>
      <c r="N177" s="99"/>
      <c r="O177" s="99"/>
      <c r="P177"/>
    </row>
    <row r="178" spans="1:16" s="184" customFormat="1">
      <c r="A178" s="298"/>
      <c r="B178" s="44"/>
      <c r="C178" s="44"/>
      <c r="E178"/>
      <c r="F178"/>
      <c r="G178"/>
      <c r="H178"/>
      <c r="I178" s="43"/>
      <c r="J178" s="99"/>
      <c r="K178"/>
      <c r="L178"/>
      <c r="M178" s="99"/>
      <c r="N178" s="99"/>
      <c r="O178" s="99"/>
      <c r="P178"/>
    </row>
    <row r="179" spans="1:16" s="184" customFormat="1">
      <c r="A179" s="298"/>
      <c r="B179" s="44"/>
      <c r="C179" s="44"/>
      <c r="E179"/>
      <c r="F179"/>
      <c r="G179"/>
      <c r="H179"/>
      <c r="I179" s="43"/>
      <c r="J179" s="99"/>
      <c r="K179"/>
      <c r="L179"/>
      <c r="M179" s="99"/>
      <c r="N179" s="99"/>
      <c r="O179" s="99"/>
      <c r="P179"/>
    </row>
    <row r="180" spans="1:16" s="184" customFormat="1">
      <c r="A180" s="298"/>
      <c r="B180" s="44"/>
      <c r="C180" s="44"/>
      <c r="E180"/>
      <c r="F180"/>
      <c r="G180"/>
      <c r="H180"/>
      <c r="I180" s="43"/>
      <c r="J180" s="99"/>
      <c r="K180"/>
      <c r="L180"/>
      <c r="M180" s="99"/>
      <c r="N180" s="99"/>
      <c r="O180" s="99"/>
      <c r="P180"/>
    </row>
    <row r="181" spans="1:16" s="184" customFormat="1">
      <c r="A181" s="298"/>
      <c r="B181" s="44"/>
      <c r="C181" s="44"/>
      <c r="E181"/>
      <c r="F181"/>
      <c r="G181"/>
      <c r="H181"/>
      <c r="I181" s="43"/>
      <c r="J181" s="99"/>
      <c r="K181"/>
      <c r="L181"/>
      <c r="M181" s="99"/>
      <c r="N181" s="99"/>
      <c r="O181" s="99"/>
      <c r="P181"/>
    </row>
    <row r="182" spans="1:16" s="184" customFormat="1">
      <c r="A182" s="298"/>
      <c r="B182" s="44"/>
      <c r="C182" s="44"/>
      <c r="E182"/>
      <c r="F182"/>
      <c r="G182"/>
      <c r="H182"/>
      <c r="I182" s="43"/>
      <c r="J182" s="99"/>
      <c r="K182"/>
      <c r="L182"/>
      <c r="M182" s="99"/>
      <c r="N182" s="99"/>
      <c r="O182" s="99"/>
      <c r="P182"/>
    </row>
    <row r="183" spans="1:16" s="184" customFormat="1">
      <c r="A183" s="298"/>
      <c r="B183" s="44"/>
      <c r="C183" s="44"/>
      <c r="E183"/>
      <c r="F183"/>
      <c r="G183"/>
      <c r="H183"/>
      <c r="I183" s="43"/>
      <c r="J183" s="99"/>
      <c r="K183"/>
      <c r="L183"/>
      <c r="M183" s="99"/>
      <c r="N183" s="99"/>
      <c r="O183" s="99"/>
      <c r="P183"/>
    </row>
    <row r="184" spans="1:16" s="184" customFormat="1">
      <c r="A184" s="298"/>
      <c r="B184" s="44"/>
      <c r="C184" s="44"/>
      <c r="E184"/>
      <c r="F184"/>
      <c r="G184"/>
      <c r="H184"/>
      <c r="I184" s="43"/>
      <c r="J184" s="99"/>
      <c r="K184"/>
      <c r="L184"/>
      <c r="M184" s="99"/>
      <c r="N184" s="99"/>
      <c r="O184" s="99"/>
      <c r="P184"/>
    </row>
    <row r="185" spans="1:16" s="184" customFormat="1">
      <c r="A185" s="298"/>
      <c r="B185" s="44"/>
      <c r="C185" s="44"/>
      <c r="E185"/>
      <c r="F185"/>
      <c r="G185"/>
      <c r="H185"/>
      <c r="I185" s="43"/>
      <c r="J185" s="99"/>
      <c r="K185"/>
      <c r="L185"/>
      <c r="M185" s="99"/>
      <c r="N185" s="99"/>
      <c r="O185" s="99"/>
      <c r="P185"/>
    </row>
    <row r="186" spans="1:16" s="184" customFormat="1">
      <c r="A186" s="298"/>
      <c r="B186" s="44"/>
      <c r="C186" s="44"/>
      <c r="E186"/>
      <c r="F186"/>
      <c r="G186"/>
      <c r="H186"/>
      <c r="I186" s="43"/>
      <c r="J186" s="99"/>
      <c r="K186"/>
      <c r="L186"/>
      <c r="M186" s="99"/>
      <c r="N186" s="99"/>
      <c r="O186" s="99"/>
      <c r="P186"/>
    </row>
    <row r="187" spans="1:16" s="184" customFormat="1">
      <c r="A187" s="298"/>
      <c r="B187" s="44"/>
      <c r="C187" s="44"/>
      <c r="E187"/>
      <c r="F187"/>
      <c r="G187"/>
      <c r="H187"/>
      <c r="I187" s="43"/>
      <c r="J187" s="99"/>
      <c r="K187"/>
      <c r="L187"/>
      <c r="M187" s="99"/>
      <c r="N187" s="99"/>
      <c r="O187" s="99"/>
      <c r="P187"/>
    </row>
    <row r="188" spans="1:16" s="184" customFormat="1">
      <c r="A188" s="298"/>
      <c r="B188" s="44"/>
      <c r="C188" s="44"/>
      <c r="E188"/>
      <c r="F188"/>
      <c r="G188"/>
      <c r="H188"/>
      <c r="I188" s="43"/>
      <c r="J188" s="99"/>
      <c r="K188"/>
      <c r="L188"/>
      <c r="M188" s="99"/>
      <c r="N188" s="99"/>
      <c r="O188" s="99"/>
      <c r="P188"/>
    </row>
    <row r="189" spans="1:16" s="184" customFormat="1">
      <c r="A189" s="298"/>
      <c r="B189" s="44"/>
      <c r="C189" s="44"/>
      <c r="E189"/>
      <c r="F189"/>
      <c r="G189"/>
      <c r="H189"/>
      <c r="I189" s="43"/>
      <c r="J189" s="99"/>
      <c r="K189"/>
      <c r="L189"/>
      <c r="M189" s="99"/>
      <c r="N189" s="99"/>
      <c r="O189" s="99"/>
      <c r="P189"/>
    </row>
    <row r="190" spans="1:16" s="184" customFormat="1">
      <c r="A190" s="298"/>
      <c r="B190" s="44"/>
      <c r="C190" s="44"/>
      <c r="E190"/>
      <c r="F190"/>
      <c r="G190"/>
      <c r="H190"/>
      <c r="I190" s="43"/>
      <c r="J190" s="99"/>
      <c r="K190"/>
      <c r="L190"/>
      <c r="M190" s="99"/>
      <c r="N190" s="99"/>
      <c r="O190" s="99"/>
      <c r="P190"/>
    </row>
    <row r="191" spans="1:16" s="184" customFormat="1">
      <c r="A191" s="298"/>
      <c r="B191" s="44"/>
      <c r="C191" s="44"/>
      <c r="E191"/>
      <c r="F191"/>
      <c r="G191"/>
      <c r="H191"/>
      <c r="I191" s="43"/>
      <c r="J191" s="99"/>
      <c r="K191"/>
      <c r="L191"/>
      <c r="M191" s="99"/>
      <c r="N191" s="99"/>
      <c r="O191" s="99"/>
      <c r="P191"/>
    </row>
    <row r="192" spans="1:16" s="184" customFormat="1">
      <c r="A192" s="298"/>
      <c r="B192" s="44"/>
      <c r="C192" s="44"/>
      <c r="E192"/>
      <c r="F192"/>
      <c r="G192"/>
      <c r="H192"/>
      <c r="I192" s="43"/>
      <c r="J192" s="99"/>
      <c r="K192"/>
      <c r="L192"/>
      <c r="M192" s="99"/>
      <c r="N192" s="99"/>
      <c r="O192" s="99"/>
      <c r="P192"/>
    </row>
    <row r="193" spans="1:16" s="184" customFormat="1">
      <c r="A193" s="298"/>
      <c r="B193" s="44"/>
      <c r="C193" s="44"/>
      <c r="E193"/>
      <c r="F193"/>
      <c r="G193"/>
      <c r="H193"/>
      <c r="I193" s="43"/>
      <c r="J193" s="99"/>
      <c r="K193"/>
      <c r="L193"/>
      <c r="M193" s="99"/>
      <c r="N193" s="99"/>
      <c r="O193" s="99"/>
      <c r="P193"/>
    </row>
    <row r="194" spans="1:16" s="184" customFormat="1">
      <c r="A194" s="298"/>
      <c r="B194" s="44"/>
      <c r="C194" s="44"/>
      <c r="E194"/>
      <c r="F194"/>
      <c r="G194"/>
      <c r="H194"/>
      <c r="I194" s="43"/>
      <c r="J194" s="99"/>
      <c r="K194"/>
      <c r="L194"/>
      <c r="M194" s="99"/>
      <c r="N194" s="99"/>
      <c r="O194" s="99"/>
      <c r="P194"/>
    </row>
    <row r="195" spans="1:16" s="184" customFormat="1">
      <c r="A195" s="298"/>
      <c r="B195" s="44"/>
      <c r="C195" s="44"/>
      <c r="E195"/>
      <c r="F195"/>
      <c r="G195"/>
      <c r="H195"/>
      <c r="I195" s="43"/>
      <c r="J195" s="99"/>
      <c r="K195"/>
      <c r="L195"/>
      <c r="M195" s="99"/>
      <c r="N195" s="99"/>
      <c r="O195" s="99"/>
      <c r="P195"/>
    </row>
    <row r="196" spans="1:16" s="184" customFormat="1">
      <c r="A196" s="298"/>
      <c r="B196" s="44"/>
      <c r="C196" s="44"/>
      <c r="E196"/>
      <c r="F196"/>
      <c r="G196"/>
      <c r="H196"/>
      <c r="I196" s="43"/>
      <c r="J196" s="99"/>
      <c r="K196"/>
      <c r="L196"/>
      <c r="M196" s="99"/>
      <c r="N196" s="99"/>
      <c r="O196" s="99"/>
      <c r="P196"/>
    </row>
    <row r="197" spans="1:16" s="184" customFormat="1">
      <c r="A197" s="298"/>
      <c r="B197" s="44"/>
      <c r="C197" s="44"/>
      <c r="E197"/>
      <c r="F197"/>
      <c r="G197"/>
      <c r="H197"/>
      <c r="I197" s="43"/>
      <c r="J197" s="99"/>
      <c r="K197"/>
      <c r="L197"/>
      <c r="M197" s="99"/>
      <c r="N197" s="99"/>
      <c r="O197" s="99"/>
      <c r="P197"/>
    </row>
    <row r="198" spans="1:16" s="184" customFormat="1">
      <c r="A198" s="298"/>
      <c r="B198" s="44"/>
      <c r="C198" s="44"/>
      <c r="E198"/>
      <c r="F198"/>
      <c r="G198"/>
      <c r="H198"/>
      <c r="I198" s="43"/>
      <c r="J198" s="99"/>
      <c r="K198"/>
      <c r="L198"/>
      <c r="M198" s="99"/>
      <c r="N198" s="99"/>
      <c r="O198" s="99"/>
      <c r="P198"/>
    </row>
    <row r="199" spans="1:16" s="184" customFormat="1">
      <c r="A199" s="298"/>
      <c r="B199" s="44"/>
      <c r="C199" s="44"/>
      <c r="E199"/>
      <c r="F199"/>
      <c r="G199"/>
      <c r="H199"/>
      <c r="I199" s="43"/>
      <c r="J199" s="99"/>
      <c r="K199"/>
      <c r="L199"/>
      <c r="M199" s="99"/>
      <c r="N199" s="99"/>
      <c r="O199" s="99"/>
      <c r="P199"/>
    </row>
    <row r="200" spans="1:16" s="184" customFormat="1">
      <c r="A200" s="298"/>
      <c r="B200" s="44"/>
      <c r="C200" s="44"/>
      <c r="E200"/>
      <c r="F200"/>
      <c r="G200"/>
      <c r="H200"/>
      <c r="I200" s="43"/>
      <c r="J200" s="99"/>
      <c r="K200"/>
      <c r="L200"/>
      <c r="M200" s="99"/>
      <c r="N200" s="99"/>
      <c r="O200" s="99"/>
      <c r="P200"/>
    </row>
    <row r="201" spans="1:16" s="184" customFormat="1">
      <c r="A201" s="298"/>
      <c r="B201" s="44"/>
      <c r="C201" s="44"/>
      <c r="E201"/>
      <c r="F201"/>
      <c r="G201"/>
      <c r="H201"/>
      <c r="I201" s="43"/>
      <c r="J201" s="99"/>
      <c r="K201"/>
      <c r="L201"/>
      <c r="M201" s="99"/>
      <c r="N201" s="99"/>
      <c r="O201" s="99"/>
      <c r="P201"/>
    </row>
    <row r="202" spans="1:16" s="184" customFormat="1">
      <c r="A202" s="298"/>
      <c r="B202" s="44"/>
      <c r="C202" s="44"/>
      <c r="E202"/>
      <c r="F202"/>
      <c r="G202"/>
      <c r="H202"/>
      <c r="I202" s="43"/>
      <c r="J202" s="99"/>
      <c r="K202"/>
      <c r="L202"/>
      <c r="M202" s="99"/>
      <c r="N202" s="99"/>
      <c r="O202" s="99"/>
      <c r="P202"/>
    </row>
    <row r="203" spans="1:16" s="184" customFormat="1">
      <c r="A203" s="298"/>
      <c r="B203" s="44"/>
      <c r="C203" s="44"/>
      <c r="E203"/>
      <c r="F203"/>
      <c r="G203"/>
      <c r="H203"/>
      <c r="I203" s="43"/>
      <c r="J203" s="99"/>
      <c r="K203"/>
      <c r="L203"/>
      <c r="M203" s="99"/>
      <c r="N203" s="99"/>
      <c r="O203" s="99"/>
      <c r="P203"/>
    </row>
    <row r="204" spans="1:16" s="184" customFormat="1">
      <c r="A204" s="298"/>
      <c r="B204" s="44"/>
      <c r="C204" s="44"/>
      <c r="E204"/>
      <c r="F204"/>
      <c r="G204"/>
      <c r="H204"/>
      <c r="I204" s="43"/>
      <c r="J204" s="99"/>
      <c r="K204"/>
      <c r="L204"/>
      <c r="M204" s="99"/>
      <c r="N204" s="99"/>
      <c r="O204" s="99"/>
      <c r="P204"/>
    </row>
    <row r="205" spans="1:16" s="184" customFormat="1">
      <c r="A205" s="298"/>
      <c r="B205" s="44"/>
      <c r="C205" s="44"/>
      <c r="E205"/>
      <c r="F205"/>
      <c r="G205"/>
      <c r="H205"/>
      <c r="I205" s="43"/>
      <c r="J205" s="99"/>
      <c r="K205"/>
      <c r="L205"/>
      <c r="M205" s="99"/>
      <c r="N205" s="99"/>
      <c r="O205" s="99"/>
      <c r="P205"/>
    </row>
    <row r="206" spans="1:16" s="184" customFormat="1">
      <c r="A206" s="298"/>
      <c r="B206" s="44"/>
      <c r="C206" s="44"/>
      <c r="E206"/>
      <c r="F206"/>
      <c r="G206"/>
      <c r="H206"/>
      <c r="I206" s="43"/>
      <c r="J206" s="99"/>
      <c r="K206"/>
      <c r="L206"/>
      <c r="M206" s="99"/>
      <c r="N206" s="99"/>
      <c r="O206" s="99"/>
      <c r="P206"/>
    </row>
    <row r="207" spans="1:16" s="184" customFormat="1">
      <c r="A207" s="298"/>
      <c r="B207" s="44"/>
      <c r="C207" s="44"/>
      <c r="E207"/>
      <c r="F207"/>
      <c r="G207"/>
      <c r="H207"/>
      <c r="I207" s="43"/>
      <c r="J207" s="99"/>
      <c r="K207"/>
      <c r="L207"/>
      <c r="M207" s="99"/>
      <c r="N207" s="99"/>
      <c r="O207" s="99"/>
      <c r="P207"/>
    </row>
    <row r="208" spans="1:16" s="184" customFormat="1">
      <c r="A208" s="298"/>
      <c r="B208" s="44"/>
      <c r="C208" s="44"/>
      <c r="E208"/>
      <c r="F208"/>
      <c r="G208"/>
      <c r="H208"/>
      <c r="I208" s="43"/>
      <c r="J208" s="99"/>
      <c r="K208"/>
      <c r="L208"/>
      <c r="M208" s="99"/>
      <c r="N208" s="99"/>
      <c r="O208" s="99"/>
      <c r="P208"/>
    </row>
    <row r="209" spans="1:16" s="184" customFormat="1">
      <c r="A209" s="298"/>
      <c r="B209" s="44"/>
      <c r="C209" s="44"/>
      <c r="E209"/>
      <c r="F209"/>
      <c r="G209"/>
      <c r="H209"/>
      <c r="I209" s="43"/>
      <c r="J209" s="99"/>
      <c r="K209"/>
      <c r="L209"/>
      <c r="M209" s="99"/>
      <c r="N209" s="99"/>
      <c r="O209" s="99"/>
      <c r="P209"/>
    </row>
    <row r="210" spans="1:16" s="184" customFormat="1">
      <c r="A210" s="298"/>
      <c r="B210" s="44"/>
      <c r="C210" s="44"/>
      <c r="E210"/>
      <c r="F210"/>
      <c r="G210"/>
      <c r="H210"/>
      <c r="I210" s="43"/>
      <c r="J210" s="99"/>
      <c r="K210"/>
      <c r="L210"/>
      <c r="M210" s="99"/>
      <c r="N210" s="99"/>
      <c r="O210" s="99"/>
      <c r="P210"/>
    </row>
    <row r="211" spans="1:16" s="184" customFormat="1">
      <c r="A211" s="298"/>
      <c r="B211" s="44"/>
      <c r="C211" s="44"/>
      <c r="E211"/>
      <c r="F211"/>
      <c r="G211"/>
      <c r="H211"/>
      <c r="I211" s="43"/>
      <c r="J211" s="99"/>
      <c r="K211"/>
      <c r="L211"/>
      <c r="M211" s="99"/>
      <c r="N211" s="99"/>
      <c r="O211" s="99"/>
      <c r="P211"/>
    </row>
    <row r="212" spans="1:16" s="184" customFormat="1">
      <c r="A212" s="298"/>
      <c r="B212" s="44"/>
      <c r="C212" s="44"/>
      <c r="E212"/>
      <c r="F212"/>
      <c r="G212"/>
      <c r="H212"/>
      <c r="I212" s="43"/>
      <c r="J212" s="99"/>
      <c r="K212"/>
      <c r="L212"/>
      <c r="M212" s="99"/>
      <c r="N212" s="99"/>
      <c r="O212" s="99"/>
      <c r="P212"/>
    </row>
    <row r="213" spans="1:16" s="184" customFormat="1">
      <c r="A213" s="298"/>
      <c r="B213" s="44"/>
      <c r="C213" s="44"/>
      <c r="E213"/>
      <c r="F213"/>
      <c r="G213"/>
      <c r="H213"/>
      <c r="I213" s="43"/>
      <c r="J213" s="99"/>
      <c r="K213"/>
      <c r="L213"/>
      <c r="M213" s="99"/>
      <c r="N213" s="99"/>
      <c r="O213" s="99"/>
      <c r="P213"/>
    </row>
    <row r="214" spans="1:16" s="184" customFormat="1">
      <c r="A214" s="298"/>
      <c r="B214" s="44"/>
      <c r="C214" s="44"/>
      <c r="E214"/>
      <c r="F214"/>
      <c r="G214"/>
      <c r="H214"/>
      <c r="I214" s="43"/>
      <c r="J214" s="99"/>
      <c r="K214"/>
      <c r="L214"/>
      <c r="M214" s="99"/>
      <c r="N214" s="99"/>
      <c r="O214" s="99"/>
      <c r="P214"/>
    </row>
    <row r="215" spans="1:16" s="184" customFormat="1">
      <c r="A215" s="298"/>
      <c r="B215" s="44"/>
      <c r="C215" s="44"/>
      <c r="E215"/>
      <c r="F215"/>
      <c r="G215"/>
      <c r="H215"/>
      <c r="I215" s="43"/>
      <c r="J215" s="99"/>
      <c r="K215"/>
      <c r="L215"/>
      <c r="M215" s="99"/>
      <c r="N215" s="99"/>
      <c r="O215" s="99"/>
      <c r="P215"/>
    </row>
    <row r="216" spans="1:16" s="184" customFormat="1">
      <c r="A216" s="298"/>
      <c r="B216" s="44"/>
      <c r="C216" s="44"/>
      <c r="E216"/>
      <c r="F216"/>
      <c r="G216"/>
      <c r="H216"/>
      <c r="I216" s="43"/>
      <c r="J216" s="99"/>
      <c r="K216"/>
      <c r="L216"/>
      <c r="M216" s="99"/>
      <c r="N216" s="99"/>
      <c r="O216" s="99"/>
      <c r="P216"/>
    </row>
    <row r="217" spans="1:16" s="184" customFormat="1">
      <c r="A217" s="298"/>
      <c r="B217" s="44"/>
      <c r="C217" s="44"/>
      <c r="E217"/>
      <c r="F217"/>
      <c r="G217"/>
      <c r="H217"/>
      <c r="I217" s="43"/>
      <c r="J217" s="99"/>
      <c r="K217"/>
      <c r="L217"/>
      <c r="M217" s="99"/>
      <c r="N217" s="99"/>
      <c r="O217" s="99"/>
      <c r="P217"/>
    </row>
    <row r="218" spans="1:16" s="184" customFormat="1">
      <c r="A218" s="298"/>
      <c r="B218" s="44"/>
      <c r="C218" s="44"/>
      <c r="E218"/>
      <c r="F218"/>
      <c r="G218"/>
      <c r="H218"/>
      <c r="I218" s="43"/>
      <c r="J218" s="99"/>
      <c r="K218"/>
      <c r="L218"/>
      <c r="M218" s="99"/>
      <c r="N218" s="99"/>
      <c r="O218" s="99"/>
      <c r="P218"/>
    </row>
    <row r="219" spans="1:16" s="184" customFormat="1">
      <c r="A219" s="298"/>
      <c r="B219" s="44"/>
      <c r="C219" s="44"/>
      <c r="E219"/>
      <c r="F219"/>
      <c r="G219"/>
      <c r="H219"/>
      <c r="I219" s="43"/>
      <c r="J219" s="99"/>
      <c r="K219"/>
      <c r="L219"/>
      <c r="M219" s="99"/>
      <c r="N219" s="99"/>
      <c r="O219" s="99"/>
      <c r="P219"/>
    </row>
    <row r="220" spans="1:16" s="184" customFormat="1">
      <c r="A220" s="298"/>
      <c r="B220" s="44"/>
      <c r="C220" s="44"/>
      <c r="E220"/>
      <c r="F220"/>
      <c r="G220"/>
      <c r="H220"/>
      <c r="I220" s="43"/>
      <c r="J220" s="99"/>
      <c r="K220"/>
      <c r="L220"/>
      <c r="M220" s="99"/>
      <c r="N220" s="99"/>
      <c r="O220" s="99"/>
      <c r="P220"/>
    </row>
    <row r="221" spans="1:16" s="184" customFormat="1">
      <c r="A221" s="298"/>
      <c r="B221" s="44"/>
      <c r="C221" s="44"/>
      <c r="E221"/>
      <c r="F221"/>
      <c r="G221"/>
      <c r="H221"/>
      <c r="I221" s="43"/>
      <c r="J221" s="99"/>
      <c r="K221"/>
      <c r="L221"/>
      <c r="M221" s="99"/>
      <c r="N221" s="99"/>
      <c r="O221" s="99"/>
      <c r="P221"/>
    </row>
    <row r="222" spans="1:16" s="184" customFormat="1">
      <c r="A222" s="298"/>
      <c r="B222" s="44"/>
      <c r="C222" s="44"/>
      <c r="E222"/>
      <c r="F222"/>
      <c r="G222"/>
      <c r="H222"/>
      <c r="I222" s="43"/>
      <c r="J222" s="99"/>
      <c r="K222"/>
      <c r="L222"/>
      <c r="M222" s="99"/>
      <c r="N222" s="99"/>
      <c r="O222" s="99"/>
      <c r="P222"/>
    </row>
    <row r="223" spans="1:16" s="184" customFormat="1">
      <c r="A223" s="298"/>
      <c r="B223" s="44"/>
      <c r="C223" s="44"/>
      <c r="E223"/>
      <c r="F223"/>
      <c r="G223"/>
      <c r="H223"/>
      <c r="I223" s="43"/>
      <c r="J223" s="99"/>
      <c r="K223"/>
      <c r="L223"/>
      <c r="M223" s="99"/>
      <c r="N223" s="99"/>
      <c r="O223" s="99"/>
      <c r="P223"/>
    </row>
    <row r="224" spans="1:16" s="184" customFormat="1">
      <c r="A224" s="298"/>
      <c r="B224" s="44"/>
      <c r="C224" s="44"/>
      <c r="E224"/>
      <c r="F224"/>
      <c r="G224"/>
      <c r="H224"/>
      <c r="I224" s="43"/>
      <c r="J224" s="99"/>
      <c r="K224"/>
      <c r="L224"/>
      <c r="M224" s="99"/>
      <c r="N224" s="99"/>
      <c r="O224" s="99"/>
      <c r="P224"/>
    </row>
    <row r="225" spans="1:16" s="184" customFormat="1">
      <c r="A225" s="298"/>
      <c r="B225" s="44"/>
      <c r="C225" s="44"/>
      <c r="E225"/>
      <c r="F225"/>
      <c r="G225"/>
      <c r="H225"/>
      <c r="I225" s="43"/>
      <c r="J225" s="99"/>
      <c r="K225"/>
      <c r="L225"/>
      <c r="M225" s="99"/>
      <c r="N225" s="99"/>
      <c r="O225" s="99"/>
      <c r="P225"/>
    </row>
    <row r="226" spans="1:16" s="184" customFormat="1">
      <c r="A226" s="298"/>
      <c r="B226" s="44"/>
      <c r="C226" s="44"/>
      <c r="E226"/>
      <c r="F226"/>
      <c r="G226"/>
      <c r="H226"/>
      <c r="I226" s="43"/>
      <c r="J226" s="99"/>
      <c r="K226"/>
      <c r="L226"/>
      <c r="M226" s="99"/>
      <c r="N226" s="99"/>
      <c r="O226" s="99"/>
      <c r="P226"/>
    </row>
    <row r="227" spans="1:16" s="184" customFormat="1">
      <c r="A227" s="298"/>
      <c r="B227" s="44"/>
      <c r="C227" s="44"/>
      <c r="E227"/>
      <c r="F227"/>
      <c r="G227"/>
      <c r="H227"/>
      <c r="I227" s="43"/>
      <c r="J227" s="99"/>
      <c r="K227"/>
      <c r="L227"/>
      <c r="M227" s="99"/>
      <c r="N227" s="99"/>
      <c r="O227" s="99"/>
      <c r="P227"/>
    </row>
    <row r="228" spans="1:16" s="184" customFormat="1">
      <c r="A228" s="298"/>
      <c r="B228" s="44"/>
      <c r="C228" s="44"/>
      <c r="E228"/>
      <c r="F228"/>
      <c r="G228"/>
      <c r="H228"/>
      <c r="I228" s="43"/>
      <c r="J228" s="99"/>
      <c r="K228"/>
      <c r="L228"/>
      <c r="M228" s="99"/>
      <c r="N228" s="99"/>
      <c r="O228" s="99"/>
      <c r="P228"/>
    </row>
    <row r="229" spans="1:16" s="184" customFormat="1">
      <c r="A229" s="298"/>
      <c r="B229" s="44"/>
      <c r="C229" s="44"/>
      <c r="E229"/>
      <c r="F229"/>
      <c r="G229"/>
      <c r="H229"/>
      <c r="I229" s="43"/>
      <c r="J229" s="99"/>
      <c r="K229"/>
      <c r="L229"/>
      <c r="M229" s="99"/>
      <c r="N229" s="99"/>
      <c r="O229" s="99"/>
      <c r="P229"/>
    </row>
    <row r="230" spans="1:16" s="184" customFormat="1">
      <c r="A230" s="298"/>
      <c r="B230" s="44"/>
      <c r="C230" s="44"/>
      <c r="E230"/>
      <c r="F230"/>
      <c r="G230"/>
      <c r="H230"/>
      <c r="I230" s="43"/>
      <c r="J230" s="99"/>
      <c r="K230"/>
      <c r="L230"/>
      <c r="M230" s="99"/>
      <c r="N230" s="99"/>
      <c r="O230" s="99"/>
      <c r="P230"/>
    </row>
    <row r="231" spans="1:16" s="184" customFormat="1">
      <c r="A231" s="298"/>
      <c r="B231" s="44"/>
      <c r="C231" s="44"/>
      <c r="E231"/>
      <c r="F231"/>
      <c r="G231"/>
      <c r="H231"/>
      <c r="I231" s="43"/>
      <c r="J231" s="99"/>
      <c r="K231"/>
      <c r="L231"/>
      <c r="M231" s="99"/>
      <c r="N231" s="99"/>
      <c r="O231" s="99"/>
      <c r="P231"/>
    </row>
    <row r="232" spans="1:16" s="184" customFormat="1">
      <c r="A232" s="298"/>
      <c r="B232" s="44"/>
      <c r="C232" s="44"/>
      <c r="E232"/>
      <c r="F232"/>
      <c r="G232"/>
      <c r="H232"/>
      <c r="I232" s="43"/>
      <c r="J232" s="99"/>
      <c r="K232"/>
      <c r="L232"/>
      <c r="M232" s="99"/>
      <c r="N232" s="99"/>
      <c r="O232" s="99"/>
      <c r="P232"/>
    </row>
    <row r="233" spans="1:16" s="184" customFormat="1">
      <c r="A233" s="298"/>
      <c r="B233" s="44"/>
      <c r="C233" s="44"/>
      <c r="E233"/>
      <c r="F233"/>
      <c r="G233"/>
      <c r="H233"/>
      <c r="I233" s="43"/>
      <c r="J233" s="99"/>
      <c r="K233"/>
      <c r="L233"/>
      <c r="M233" s="99"/>
      <c r="N233" s="99"/>
      <c r="O233" s="99"/>
      <c r="P233"/>
    </row>
    <row r="234" spans="1:16" s="184" customFormat="1">
      <c r="A234" s="298"/>
      <c r="B234" s="44"/>
      <c r="C234" s="44"/>
      <c r="E234"/>
      <c r="F234"/>
      <c r="G234"/>
      <c r="H234"/>
      <c r="I234" s="43"/>
      <c r="J234" s="99"/>
      <c r="K234"/>
      <c r="L234"/>
      <c r="M234" s="99"/>
      <c r="N234" s="99"/>
      <c r="O234" s="99"/>
      <c r="P234"/>
    </row>
    <row r="235" spans="1:16" s="184" customFormat="1">
      <c r="A235" s="298"/>
      <c r="B235" s="44"/>
      <c r="C235" s="44"/>
      <c r="E235"/>
      <c r="F235"/>
      <c r="G235"/>
      <c r="H235"/>
      <c r="I235" s="43"/>
      <c r="J235" s="99"/>
      <c r="K235"/>
      <c r="L235"/>
      <c r="M235" s="99"/>
      <c r="N235" s="99"/>
      <c r="O235" s="99"/>
      <c r="P235"/>
    </row>
    <row r="236" spans="1:16" s="184" customFormat="1">
      <c r="A236" s="298"/>
      <c r="B236" s="44"/>
      <c r="C236" s="44"/>
      <c r="E236"/>
      <c r="F236"/>
      <c r="G236"/>
      <c r="H236"/>
      <c r="I236" s="43"/>
      <c r="J236" s="99"/>
      <c r="K236"/>
      <c r="L236"/>
      <c r="M236" s="99"/>
      <c r="N236" s="99"/>
      <c r="O236" s="99"/>
      <c r="P236"/>
    </row>
    <row r="237" spans="1:16" s="184" customFormat="1">
      <c r="A237" s="298"/>
      <c r="B237" s="44"/>
      <c r="C237" s="44"/>
      <c r="E237"/>
      <c r="F237"/>
      <c r="G237"/>
      <c r="H237"/>
      <c r="I237" s="43"/>
      <c r="J237" s="99"/>
      <c r="K237"/>
      <c r="L237"/>
      <c r="M237" s="99"/>
      <c r="N237" s="99"/>
      <c r="O237" s="99"/>
      <c r="P237"/>
    </row>
    <row r="238" spans="1:16" s="184" customFormat="1">
      <c r="A238" s="298"/>
      <c r="B238" s="44"/>
      <c r="C238" s="44"/>
      <c r="E238"/>
      <c r="F238"/>
      <c r="G238"/>
      <c r="H238"/>
      <c r="I238" s="43"/>
      <c r="J238" s="99"/>
      <c r="K238"/>
      <c r="L238"/>
      <c r="M238" s="99"/>
      <c r="N238" s="99"/>
      <c r="O238" s="99"/>
      <c r="P238"/>
    </row>
  </sheetData>
  <mergeCells count="2">
    <mergeCell ref="B3:P3"/>
    <mergeCell ref="B4:P4"/>
  </mergeCells>
  <conditionalFormatting sqref="C3:D3">
    <cfRule type="duplicateValues" dxfId="133" priority="17"/>
  </conditionalFormatting>
  <conditionalFormatting sqref="C132:D136">
    <cfRule type="duplicateValues" dxfId="132" priority="15"/>
    <cfRule type="duplicateValues" dxfId="131" priority="16"/>
  </conditionalFormatting>
  <conditionalFormatting sqref="C132:D136">
    <cfRule type="duplicateValues" dxfId="130" priority="14"/>
  </conditionalFormatting>
  <conditionalFormatting sqref="A132:A136">
    <cfRule type="duplicateValues" dxfId="129" priority="13"/>
  </conditionalFormatting>
  <conditionalFormatting sqref="A1:A110 A116:A119 A126:A1048576">
    <cfRule type="duplicateValues" dxfId="128" priority="12"/>
  </conditionalFormatting>
  <conditionalFormatting sqref="C118:D119">
    <cfRule type="duplicateValues" dxfId="127" priority="11"/>
  </conditionalFormatting>
  <conditionalFormatting sqref="A118:A119">
    <cfRule type="duplicateValues" dxfId="126" priority="10"/>
  </conditionalFormatting>
  <conditionalFormatting sqref="C118:D119">
    <cfRule type="duplicateValues" dxfId="125" priority="8"/>
    <cfRule type="duplicateValues" dxfId="124" priority="9"/>
  </conditionalFormatting>
  <conditionalFormatting sqref="C239:C1048576 C129:C130 C1:D5 D129:D131 D138:D1048576">
    <cfRule type="duplicateValues" dxfId="123" priority="7"/>
  </conditionalFormatting>
  <conditionalFormatting sqref="C239:C1048576 C129:C130 C4:D5 C1:D2 D129:D131 D138:D1048576">
    <cfRule type="duplicateValues" dxfId="122" priority="6"/>
  </conditionalFormatting>
  <conditionalFormatting sqref="C239:C1048576 C129:C130 D129:D131 D138:D1048576">
    <cfRule type="duplicateValues" dxfId="121" priority="5"/>
  </conditionalFormatting>
  <conditionalFormatting sqref="C1:C119 C126:C1048576">
    <cfRule type="duplicateValues" dxfId="120" priority="4"/>
  </conditionalFormatting>
  <conditionalFormatting sqref="C239:C1048576 C128:C130 C116:D119 C126:D127 C132:D137 C1:D110 D128:D131 D138:D1048576">
    <cfRule type="duplicateValues" dxfId="119" priority="54"/>
  </conditionalFormatting>
  <conditionalFormatting sqref="C239:C1048576 C128:C130 C116:D119 C126:D127 C132:D137 C1:D110 D128:D131 D138:D1048576">
    <cfRule type="duplicateValues" dxfId="118" priority="65"/>
    <cfRule type="duplicateValues" dxfId="117" priority="66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B3:Q228"/>
  <sheetViews>
    <sheetView topLeftCell="A2" workbookViewId="0">
      <selection activeCell="D8" sqref="D8"/>
    </sheetView>
  </sheetViews>
  <sheetFormatPr defaultRowHeight="15"/>
  <cols>
    <col min="2" max="2" width="13.140625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2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7" ht="18">
      <c r="B4" s="324"/>
      <c r="C4" s="424" t="s">
        <v>1301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2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2:17" s="114" customFormat="1">
      <c r="B6" s="293" t="s">
        <v>1239</v>
      </c>
      <c r="C6" s="243">
        <v>1</v>
      </c>
      <c r="D6" s="123" t="s">
        <v>1263</v>
      </c>
      <c r="E6" s="123"/>
      <c r="F6" s="19">
        <v>150000</v>
      </c>
      <c r="G6" s="19">
        <v>19995</v>
      </c>
      <c r="H6" s="329">
        <f>SUM(F6:G6)</f>
        <v>169995</v>
      </c>
      <c r="I6" s="327">
        <v>4149.8999999999996</v>
      </c>
      <c r="J6" s="247">
        <v>40</v>
      </c>
      <c r="K6" s="159">
        <v>9</v>
      </c>
      <c r="L6" s="16">
        <f t="shared" ref="L6:L36" si="0">K6*I6</f>
        <v>37349.1</v>
      </c>
      <c r="M6" s="94">
        <f t="shared" ref="M6:M37" si="1">H6-L6</f>
        <v>132645.9</v>
      </c>
      <c r="N6" s="159">
        <f t="shared" ref="N6:N37" si="2">J6-K6</f>
        <v>31</v>
      </c>
      <c r="O6" s="159"/>
      <c r="P6" s="159"/>
      <c r="Q6" s="11"/>
    </row>
    <row r="7" spans="2:17" s="114" customFormat="1">
      <c r="B7" s="293" t="s">
        <v>1243</v>
      </c>
      <c r="C7" s="243">
        <v>2</v>
      </c>
      <c r="D7" s="123" t="s">
        <v>1262</v>
      </c>
      <c r="E7" s="123"/>
      <c r="F7" s="19">
        <v>330000</v>
      </c>
      <c r="G7" s="19">
        <v>43989</v>
      </c>
      <c r="H7" s="329">
        <f>SUM(F7:G7)</f>
        <v>373989</v>
      </c>
      <c r="I7" s="327">
        <v>7479.78</v>
      </c>
      <c r="J7" s="247">
        <v>50</v>
      </c>
      <c r="K7" s="159">
        <v>9</v>
      </c>
      <c r="L7" s="16">
        <f t="shared" si="0"/>
        <v>67318.02</v>
      </c>
      <c r="M7" s="94">
        <f t="shared" si="1"/>
        <v>306670.98</v>
      </c>
      <c r="N7" s="159">
        <f t="shared" si="2"/>
        <v>41</v>
      </c>
      <c r="O7" s="159"/>
      <c r="P7" s="159"/>
      <c r="Q7" s="11"/>
    </row>
    <row r="8" spans="2:17" s="114" customFormat="1">
      <c r="B8" s="292" t="s">
        <v>524</v>
      </c>
      <c r="C8" s="243">
        <v>3</v>
      </c>
      <c r="D8" s="11" t="s">
        <v>490</v>
      </c>
      <c r="E8" s="11"/>
      <c r="F8" s="19">
        <v>330000</v>
      </c>
      <c r="G8" s="19">
        <v>43989</v>
      </c>
      <c r="H8" s="329">
        <f>SUM(F8:G8)</f>
        <v>373989</v>
      </c>
      <c r="I8" s="146">
        <v>7479.78</v>
      </c>
      <c r="J8" s="247">
        <v>50</v>
      </c>
      <c r="K8" s="159">
        <v>22</v>
      </c>
      <c r="L8" s="91">
        <f t="shared" si="0"/>
        <v>164555.16</v>
      </c>
      <c r="M8" s="94">
        <f t="shared" si="1"/>
        <v>209433.84</v>
      </c>
      <c r="N8" s="159">
        <f t="shared" si="2"/>
        <v>28</v>
      </c>
      <c r="O8" s="159"/>
      <c r="P8" s="97"/>
      <c r="Q8" s="11"/>
    </row>
    <row r="9" spans="2:17" s="114" customFormat="1">
      <c r="B9" s="293" t="s">
        <v>895</v>
      </c>
      <c r="C9" s="243">
        <v>4</v>
      </c>
      <c r="D9" s="123" t="s">
        <v>875</v>
      </c>
      <c r="E9" s="123"/>
      <c r="F9" s="19">
        <v>450000</v>
      </c>
      <c r="G9" s="19">
        <v>59985</v>
      </c>
      <c r="H9" s="329">
        <v>509985</v>
      </c>
      <c r="I9" s="327">
        <v>10199.700000000001</v>
      </c>
      <c r="J9" s="247">
        <v>50</v>
      </c>
      <c r="K9" s="159">
        <v>17</v>
      </c>
      <c r="L9" s="16">
        <f t="shared" si="0"/>
        <v>173394.90000000002</v>
      </c>
      <c r="M9" s="94">
        <f t="shared" si="1"/>
        <v>336590.1</v>
      </c>
      <c r="N9" s="159">
        <f t="shared" si="2"/>
        <v>33</v>
      </c>
      <c r="O9" s="159"/>
      <c r="P9" s="159"/>
      <c r="Q9" s="11"/>
    </row>
    <row r="10" spans="2:17" s="114" customFormat="1">
      <c r="B10" s="294" t="s">
        <v>606</v>
      </c>
      <c r="C10" s="243">
        <v>5</v>
      </c>
      <c r="D10" s="123" t="s">
        <v>853</v>
      </c>
      <c r="E10" s="123"/>
      <c r="F10" s="19">
        <v>150000</v>
      </c>
      <c r="G10" s="19">
        <v>19995</v>
      </c>
      <c r="H10" s="329">
        <f>SUM(F10:G10)</f>
        <v>169995</v>
      </c>
      <c r="I10" s="327">
        <v>3399.9</v>
      </c>
      <c r="J10" s="247">
        <v>50</v>
      </c>
      <c r="K10" s="159">
        <v>15</v>
      </c>
      <c r="L10" s="91">
        <f t="shared" si="0"/>
        <v>50998.5</v>
      </c>
      <c r="M10" s="94">
        <f t="shared" si="1"/>
        <v>118996.5</v>
      </c>
      <c r="N10" s="159">
        <f t="shared" si="2"/>
        <v>35</v>
      </c>
      <c r="O10" s="159"/>
      <c r="P10" s="97"/>
      <c r="Q10" s="11"/>
    </row>
    <row r="11" spans="2:17" s="114" customFormat="1">
      <c r="B11" s="293" t="s">
        <v>1215</v>
      </c>
      <c r="C11" s="243">
        <v>6</v>
      </c>
      <c r="D11" s="11" t="s">
        <v>462</v>
      </c>
      <c r="E11" s="11"/>
      <c r="F11" s="16">
        <v>450000</v>
      </c>
      <c r="G11" s="16">
        <v>59985</v>
      </c>
      <c r="H11" s="330">
        <v>509985</v>
      </c>
      <c r="I11" s="327">
        <v>10199.700000000001</v>
      </c>
      <c r="J11" s="247">
        <v>50</v>
      </c>
      <c r="K11" s="96">
        <v>10</v>
      </c>
      <c r="L11" s="91">
        <f t="shared" si="0"/>
        <v>101997</v>
      </c>
      <c r="M11" s="94">
        <f t="shared" si="1"/>
        <v>407988</v>
      </c>
      <c r="N11" s="159">
        <f t="shared" si="2"/>
        <v>40</v>
      </c>
      <c r="O11" s="159"/>
      <c r="P11" s="97"/>
      <c r="Q11" s="11"/>
    </row>
    <row r="12" spans="2:17" s="114" customFormat="1">
      <c r="B12" s="293" t="s">
        <v>602</v>
      </c>
      <c r="C12" s="243">
        <v>7</v>
      </c>
      <c r="D12" s="11" t="s">
        <v>372</v>
      </c>
      <c r="E12" s="11"/>
      <c r="F12" s="19">
        <v>330000</v>
      </c>
      <c r="G12" s="19">
        <v>43989</v>
      </c>
      <c r="H12" s="329">
        <f>SUM(F12:G12)</f>
        <v>373989</v>
      </c>
      <c r="I12" s="327">
        <v>7479.78</v>
      </c>
      <c r="J12" s="247">
        <v>50</v>
      </c>
      <c r="K12" s="96">
        <v>10</v>
      </c>
      <c r="L12" s="91">
        <f t="shared" si="0"/>
        <v>74797.8</v>
      </c>
      <c r="M12" s="94">
        <f t="shared" si="1"/>
        <v>299191.2</v>
      </c>
      <c r="N12" s="159">
        <f t="shared" si="2"/>
        <v>40</v>
      </c>
      <c r="O12" s="159"/>
      <c r="P12" s="97"/>
      <c r="Q12" s="11"/>
    </row>
    <row r="13" spans="2:17" s="114" customFormat="1">
      <c r="B13" s="122" t="s">
        <v>1227</v>
      </c>
      <c r="C13" s="243">
        <v>8</v>
      </c>
      <c r="D13" s="11" t="s">
        <v>1290</v>
      </c>
      <c r="E13" s="122"/>
      <c r="F13" s="16">
        <v>500000</v>
      </c>
      <c r="G13" s="16">
        <v>66650</v>
      </c>
      <c r="H13" s="331">
        <f>SUM(F13:G13)</f>
        <v>566650</v>
      </c>
      <c r="I13" s="16">
        <v>11333</v>
      </c>
      <c r="J13" s="247">
        <v>50</v>
      </c>
      <c r="K13" s="188">
        <v>7</v>
      </c>
      <c r="L13" s="16">
        <f t="shared" si="0"/>
        <v>79331</v>
      </c>
      <c r="M13" s="94">
        <f t="shared" si="1"/>
        <v>487319</v>
      </c>
      <c r="N13" s="159">
        <f t="shared" si="2"/>
        <v>43</v>
      </c>
      <c r="O13" s="159"/>
      <c r="P13" s="159"/>
      <c r="Q13" s="122"/>
    </row>
    <row r="14" spans="2:17" s="114" customFormat="1">
      <c r="B14" s="292" t="s">
        <v>709</v>
      </c>
      <c r="C14" s="243">
        <v>9</v>
      </c>
      <c r="D14" s="11" t="s">
        <v>310</v>
      </c>
      <c r="E14" s="11"/>
      <c r="F14" s="19">
        <v>500000</v>
      </c>
      <c r="G14" s="19">
        <v>66650</v>
      </c>
      <c r="H14" s="329">
        <v>566650</v>
      </c>
      <c r="I14" s="318">
        <v>11333</v>
      </c>
      <c r="J14" s="247">
        <v>50</v>
      </c>
      <c r="K14" s="96">
        <v>34</v>
      </c>
      <c r="L14" s="16">
        <f t="shared" si="0"/>
        <v>385322</v>
      </c>
      <c r="M14" s="16">
        <f t="shared" si="1"/>
        <v>181328</v>
      </c>
      <c r="N14" s="159">
        <f t="shared" si="2"/>
        <v>16</v>
      </c>
      <c r="O14" s="159"/>
      <c r="P14" s="96"/>
      <c r="Q14" s="11"/>
    </row>
    <row r="15" spans="2:17" s="114" customFormat="1">
      <c r="B15" s="293" t="s">
        <v>1180</v>
      </c>
      <c r="C15" s="243">
        <v>10</v>
      </c>
      <c r="D15" s="123" t="s">
        <v>1284</v>
      </c>
      <c r="E15" s="123"/>
      <c r="F15" s="16">
        <v>500000</v>
      </c>
      <c r="G15" s="16">
        <v>66650</v>
      </c>
      <c r="H15" s="331">
        <f>SUM(F15:G15)</f>
        <v>566650</v>
      </c>
      <c r="I15" s="327">
        <v>11333</v>
      </c>
      <c r="J15" s="247">
        <v>50</v>
      </c>
      <c r="K15" s="159">
        <v>17</v>
      </c>
      <c r="L15" s="16">
        <f t="shared" si="0"/>
        <v>192661</v>
      </c>
      <c r="M15" s="94">
        <f t="shared" si="1"/>
        <v>373989</v>
      </c>
      <c r="N15" s="159">
        <f t="shared" si="2"/>
        <v>33</v>
      </c>
      <c r="O15" s="159"/>
      <c r="P15" s="159"/>
      <c r="Q15" s="11"/>
    </row>
    <row r="16" spans="2:17" s="114" customFormat="1">
      <c r="B16" s="295" t="s">
        <v>945</v>
      </c>
      <c r="C16" s="243">
        <v>11</v>
      </c>
      <c r="D16" s="11" t="s">
        <v>1035</v>
      </c>
      <c r="E16" s="8"/>
      <c r="F16" s="16">
        <v>500000</v>
      </c>
      <c r="G16" s="16">
        <v>66650</v>
      </c>
      <c r="H16" s="331">
        <f>SUM(F16:G16)</f>
        <v>566650</v>
      </c>
      <c r="I16" s="319">
        <v>11333</v>
      </c>
      <c r="J16" s="247">
        <v>50</v>
      </c>
      <c r="K16" s="159">
        <v>17</v>
      </c>
      <c r="L16" s="16">
        <f t="shared" si="0"/>
        <v>192661</v>
      </c>
      <c r="M16" s="94">
        <f t="shared" si="1"/>
        <v>373989</v>
      </c>
      <c r="N16" s="159">
        <f t="shared" si="2"/>
        <v>33</v>
      </c>
      <c r="O16" s="159"/>
      <c r="P16" s="97"/>
      <c r="Q16" s="8"/>
    </row>
    <row r="17" spans="2:17" s="114" customFormat="1">
      <c r="B17" s="11" t="s">
        <v>884</v>
      </c>
      <c r="C17" s="243">
        <v>12</v>
      </c>
      <c r="D17" s="11" t="s">
        <v>866</v>
      </c>
      <c r="E17" s="11"/>
      <c r="F17" s="16">
        <v>500000</v>
      </c>
      <c r="G17" s="16">
        <v>66650</v>
      </c>
      <c r="H17" s="331">
        <f>SUM(F17:G17)</f>
        <v>566650</v>
      </c>
      <c r="I17" s="254">
        <v>11333</v>
      </c>
      <c r="J17" s="247">
        <v>50</v>
      </c>
      <c r="K17" s="159">
        <v>2</v>
      </c>
      <c r="L17" s="16">
        <f t="shared" si="0"/>
        <v>22666</v>
      </c>
      <c r="M17" s="94">
        <f t="shared" si="1"/>
        <v>543984</v>
      </c>
      <c r="N17" s="159">
        <f t="shared" si="2"/>
        <v>48</v>
      </c>
      <c r="O17" s="11"/>
      <c r="P17" s="11"/>
      <c r="Q17" s="11"/>
    </row>
    <row r="18" spans="2:17" s="114" customFormat="1">
      <c r="B18" s="292" t="s">
        <v>649</v>
      </c>
      <c r="C18" s="243">
        <v>13</v>
      </c>
      <c r="D18" s="11" t="s">
        <v>360</v>
      </c>
      <c r="E18" s="11"/>
      <c r="F18" s="16">
        <v>450000</v>
      </c>
      <c r="G18" s="16">
        <v>59985</v>
      </c>
      <c r="H18" s="330">
        <v>509985</v>
      </c>
      <c r="I18" s="318">
        <v>10199.700000000001</v>
      </c>
      <c r="J18" s="247">
        <v>50</v>
      </c>
      <c r="K18" s="97">
        <v>33</v>
      </c>
      <c r="L18" s="91">
        <f t="shared" si="0"/>
        <v>336590.10000000003</v>
      </c>
      <c r="M18" s="91">
        <f t="shared" si="1"/>
        <v>173394.89999999997</v>
      </c>
      <c r="N18" s="159">
        <f t="shared" si="2"/>
        <v>17</v>
      </c>
      <c r="O18" s="159"/>
      <c r="P18" s="97"/>
      <c r="Q18" s="11"/>
    </row>
    <row r="19" spans="2:17" s="114" customFormat="1">
      <c r="B19" s="292" t="s">
        <v>617</v>
      </c>
      <c r="C19" s="243">
        <v>14</v>
      </c>
      <c r="D19" s="11" t="s">
        <v>361</v>
      </c>
      <c r="E19" s="11"/>
      <c r="F19" s="16">
        <v>450000</v>
      </c>
      <c r="G19" s="16">
        <v>59985</v>
      </c>
      <c r="H19" s="330">
        <v>509985</v>
      </c>
      <c r="I19" s="318">
        <v>10199.700000000001</v>
      </c>
      <c r="J19" s="247">
        <v>50</v>
      </c>
      <c r="K19" s="97">
        <v>48</v>
      </c>
      <c r="L19" s="91">
        <f t="shared" si="0"/>
        <v>489585.60000000003</v>
      </c>
      <c r="M19" s="94">
        <f t="shared" si="1"/>
        <v>20399.399999999965</v>
      </c>
      <c r="N19" s="159">
        <f t="shared" si="2"/>
        <v>2</v>
      </c>
      <c r="O19" s="159"/>
      <c r="P19" s="97"/>
      <c r="Q19" s="11"/>
    </row>
    <row r="20" spans="2:17" s="114" customFormat="1">
      <c r="B20" s="292" t="s">
        <v>505</v>
      </c>
      <c r="C20" s="243">
        <v>15</v>
      </c>
      <c r="D20" s="11" t="s">
        <v>313</v>
      </c>
      <c r="E20" s="11"/>
      <c r="F20" s="16">
        <v>500000</v>
      </c>
      <c r="G20" s="16">
        <v>66650</v>
      </c>
      <c r="H20" s="331">
        <f>SUM(F20:G20)</f>
        <v>566650</v>
      </c>
      <c r="I20" s="318">
        <v>11333</v>
      </c>
      <c r="J20" s="247">
        <v>50</v>
      </c>
      <c r="K20" s="97">
        <v>48</v>
      </c>
      <c r="L20" s="91">
        <f t="shared" si="0"/>
        <v>543984</v>
      </c>
      <c r="M20" s="94">
        <f t="shared" si="1"/>
        <v>22666</v>
      </c>
      <c r="N20" s="159">
        <f t="shared" si="2"/>
        <v>2</v>
      </c>
      <c r="O20" s="159"/>
      <c r="P20" s="97"/>
      <c r="Q20" s="11"/>
    </row>
    <row r="21" spans="2:17" s="114" customFormat="1">
      <c r="B21" s="292" t="s">
        <v>559</v>
      </c>
      <c r="C21" s="243">
        <v>16</v>
      </c>
      <c r="D21" s="11" t="s">
        <v>441</v>
      </c>
      <c r="E21" s="11"/>
      <c r="F21" s="16">
        <v>500000</v>
      </c>
      <c r="G21" s="16">
        <v>66650</v>
      </c>
      <c r="H21" s="330">
        <v>566650</v>
      </c>
      <c r="I21" s="146">
        <v>11333</v>
      </c>
      <c r="J21" s="247">
        <v>50</v>
      </c>
      <c r="K21" s="96">
        <v>22</v>
      </c>
      <c r="L21" s="91">
        <f t="shared" si="0"/>
        <v>249326</v>
      </c>
      <c r="M21" s="94">
        <f t="shared" si="1"/>
        <v>317324</v>
      </c>
      <c r="N21" s="159">
        <f t="shared" si="2"/>
        <v>28</v>
      </c>
      <c r="O21" s="159"/>
      <c r="P21" s="97"/>
      <c r="Q21" s="123"/>
    </row>
    <row r="22" spans="2:17" s="114" customFormat="1">
      <c r="B22" s="293" t="s">
        <v>1172</v>
      </c>
      <c r="C22" s="243">
        <v>17</v>
      </c>
      <c r="D22" s="11" t="s">
        <v>439</v>
      </c>
      <c r="E22" s="11"/>
      <c r="F22" s="19">
        <v>330000</v>
      </c>
      <c r="G22" s="19">
        <v>43989</v>
      </c>
      <c r="H22" s="329">
        <f>SUM(F22:G22)</f>
        <v>373989</v>
      </c>
      <c r="I22" s="327">
        <v>7479.78</v>
      </c>
      <c r="J22" s="247">
        <v>50</v>
      </c>
      <c r="K22" s="96">
        <v>10</v>
      </c>
      <c r="L22" s="91">
        <f t="shared" si="0"/>
        <v>74797.8</v>
      </c>
      <c r="M22" s="94">
        <f t="shared" si="1"/>
        <v>299191.2</v>
      </c>
      <c r="N22" s="159">
        <f t="shared" si="2"/>
        <v>40</v>
      </c>
      <c r="O22" s="159"/>
      <c r="P22" s="97"/>
      <c r="Q22" s="11"/>
    </row>
    <row r="23" spans="2:17" s="114" customFormat="1">
      <c r="B23" s="292" t="s">
        <v>690</v>
      </c>
      <c r="C23" s="243">
        <v>18</v>
      </c>
      <c r="D23" s="11" t="s">
        <v>496</v>
      </c>
      <c r="E23" s="11"/>
      <c r="F23" s="16">
        <v>500000</v>
      </c>
      <c r="G23" s="16">
        <v>66650</v>
      </c>
      <c r="H23" s="331">
        <f>SUM(F23:G23)</f>
        <v>566650</v>
      </c>
      <c r="I23" s="318">
        <v>11333</v>
      </c>
      <c r="J23" s="247">
        <v>50</v>
      </c>
      <c r="K23" s="159">
        <v>20</v>
      </c>
      <c r="L23" s="91">
        <f t="shared" si="0"/>
        <v>226660</v>
      </c>
      <c r="M23" s="94">
        <f t="shared" si="1"/>
        <v>339990</v>
      </c>
      <c r="N23" s="159">
        <f t="shared" si="2"/>
        <v>30</v>
      </c>
      <c r="O23" s="159"/>
      <c r="P23" s="97"/>
      <c r="Q23" s="11"/>
    </row>
    <row r="24" spans="2:17" s="114" customFormat="1">
      <c r="B24" s="295" t="s">
        <v>939</v>
      </c>
      <c r="C24" s="243">
        <v>19</v>
      </c>
      <c r="D24" s="11" t="s">
        <v>1022</v>
      </c>
      <c r="E24" s="8"/>
      <c r="F24" s="19">
        <v>330000</v>
      </c>
      <c r="G24" s="19">
        <v>43989</v>
      </c>
      <c r="H24" s="329">
        <f>SUM(F24:G24)</f>
        <v>373989</v>
      </c>
      <c r="I24" s="319">
        <v>7479.78</v>
      </c>
      <c r="J24" s="247">
        <v>50</v>
      </c>
      <c r="K24" s="159">
        <v>14</v>
      </c>
      <c r="L24" s="16">
        <f t="shared" si="0"/>
        <v>104716.92</v>
      </c>
      <c r="M24" s="94">
        <f t="shared" si="1"/>
        <v>269272.08</v>
      </c>
      <c r="N24" s="159">
        <f t="shared" si="2"/>
        <v>36</v>
      </c>
      <c r="O24" s="159"/>
      <c r="P24" s="159"/>
      <c r="Q24" s="8"/>
    </row>
    <row r="25" spans="2:17" s="114" customFormat="1">
      <c r="B25" s="292" t="s">
        <v>726</v>
      </c>
      <c r="C25" s="243">
        <v>20</v>
      </c>
      <c r="D25" s="11" t="s">
        <v>314</v>
      </c>
      <c r="E25" s="11"/>
      <c r="F25" s="19">
        <v>500000</v>
      </c>
      <c r="G25" s="19">
        <v>66650</v>
      </c>
      <c r="H25" s="329">
        <v>566650</v>
      </c>
      <c r="I25" s="318">
        <v>11333</v>
      </c>
      <c r="J25" s="247">
        <v>50</v>
      </c>
      <c r="K25" s="97">
        <v>34</v>
      </c>
      <c r="L25" s="91">
        <f t="shared" si="0"/>
        <v>385322</v>
      </c>
      <c r="M25" s="91">
        <f t="shared" si="1"/>
        <v>181328</v>
      </c>
      <c r="N25" s="159">
        <f t="shared" si="2"/>
        <v>16</v>
      </c>
      <c r="O25" s="159"/>
      <c r="P25" s="97"/>
      <c r="Q25" s="11"/>
    </row>
    <row r="26" spans="2:17" s="114" customFormat="1">
      <c r="B26" s="292" t="s">
        <v>680</v>
      </c>
      <c r="C26" s="243">
        <v>21</v>
      </c>
      <c r="D26" s="11" t="s">
        <v>315</v>
      </c>
      <c r="E26" s="11"/>
      <c r="F26" s="19">
        <v>500000</v>
      </c>
      <c r="G26" s="19">
        <v>66650</v>
      </c>
      <c r="H26" s="329">
        <v>566650</v>
      </c>
      <c r="I26" s="318">
        <v>11333</v>
      </c>
      <c r="J26" s="247">
        <v>50</v>
      </c>
      <c r="K26" s="97">
        <v>34</v>
      </c>
      <c r="L26" s="91">
        <f t="shared" si="0"/>
        <v>385322</v>
      </c>
      <c r="M26" s="91">
        <f t="shared" si="1"/>
        <v>181328</v>
      </c>
      <c r="N26" s="159">
        <f t="shared" si="2"/>
        <v>16</v>
      </c>
      <c r="O26" s="159"/>
      <c r="P26" s="97"/>
      <c r="Q26" s="11"/>
    </row>
    <row r="27" spans="2:17" s="114" customFormat="1">
      <c r="B27" s="292" t="s">
        <v>576</v>
      </c>
      <c r="C27" s="243">
        <v>22</v>
      </c>
      <c r="D27" s="11" t="s">
        <v>216</v>
      </c>
      <c r="E27" s="11"/>
      <c r="F27" s="16">
        <v>60000</v>
      </c>
      <c r="G27" s="16">
        <v>7998</v>
      </c>
      <c r="H27" s="331">
        <f>SUM(F27:G27)</f>
        <v>67998</v>
      </c>
      <c r="I27" s="318">
        <v>1699.95</v>
      </c>
      <c r="J27" s="247">
        <v>40</v>
      </c>
      <c r="K27" s="97">
        <v>23</v>
      </c>
      <c r="L27" s="91">
        <f t="shared" si="0"/>
        <v>39098.85</v>
      </c>
      <c r="M27" s="94">
        <f t="shared" si="1"/>
        <v>28899.15</v>
      </c>
      <c r="N27" s="159">
        <f t="shared" si="2"/>
        <v>17</v>
      </c>
      <c r="O27" s="159"/>
      <c r="P27" s="97"/>
      <c r="Q27" s="11"/>
    </row>
    <row r="28" spans="2:17" s="114" customFormat="1">
      <c r="B28" s="292" t="s">
        <v>949</v>
      </c>
      <c r="C28" s="243">
        <v>23</v>
      </c>
      <c r="D28" s="11" t="s">
        <v>1092</v>
      </c>
      <c r="E28" s="11"/>
      <c r="F28" s="16">
        <v>500000</v>
      </c>
      <c r="G28" s="16">
        <v>66650</v>
      </c>
      <c r="H28" s="331">
        <f>SUM(F28:G28)</f>
        <v>566650</v>
      </c>
      <c r="I28" s="318">
        <v>11333</v>
      </c>
      <c r="J28" s="247">
        <v>50</v>
      </c>
      <c r="K28" s="97">
        <v>47</v>
      </c>
      <c r="L28" s="91">
        <f t="shared" si="0"/>
        <v>532651</v>
      </c>
      <c r="M28" s="94">
        <f t="shared" si="1"/>
        <v>33999</v>
      </c>
      <c r="N28" s="159">
        <f t="shared" si="2"/>
        <v>3</v>
      </c>
      <c r="O28" s="159"/>
      <c r="P28" s="97"/>
      <c r="Q28" s="11"/>
    </row>
    <row r="29" spans="2:17" s="114" customFormat="1">
      <c r="B29" s="11" t="s">
        <v>1247</v>
      </c>
      <c r="C29" s="243">
        <v>24</v>
      </c>
      <c r="D29" s="11" t="s">
        <v>436</v>
      </c>
      <c r="E29" s="11"/>
      <c r="F29" s="16">
        <v>500000</v>
      </c>
      <c r="G29" s="16">
        <v>66650</v>
      </c>
      <c r="H29" s="331">
        <f>SUM(F29:G29)</f>
        <v>566650</v>
      </c>
      <c r="I29" s="254">
        <v>21333</v>
      </c>
      <c r="J29" s="247">
        <v>25</v>
      </c>
      <c r="K29" s="159">
        <v>2</v>
      </c>
      <c r="L29" s="16">
        <f t="shared" si="0"/>
        <v>42666</v>
      </c>
      <c r="M29" s="94">
        <f t="shared" si="1"/>
        <v>523984</v>
      </c>
      <c r="N29" s="159">
        <f t="shared" si="2"/>
        <v>23</v>
      </c>
      <c r="O29" s="11"/>
      <c r="P29" s="11"/>
      <c r="Q29" s="11"/>
    </row>
    <row r="30" spans="2:17" s="114" customFormat="1">
      <c r="B30" s="11" t="s">
        <v>1144</v>
      </c>
      <c r="C30" s="243">
        <v>25</v>
      </c>
      <c r="D30" s="11" t="s">
        <v>1282</v>
      </c>
      <c r="E30" s="11"/>
      <c r="F30" s="19">
        <v>330000</v>
      </c>
      <c r="G30" s="19">
        <v>43989</v>
      </c>
      <c r="H30" s="329">
        <f>SUM(F30:G30)</f>
        <v>373989</v>
      </c>
      <c r="I30" s="254">
        <v>7479.78</v>
      </c>
      <c r="J30" s="247">
        <v>50</v>
      </c>
      <c r="K30" s="159">
        <v>2</v>
      </c>
      <c r="L30" s="16">
        <f t="shared" si="0"/>
        <v>14959.56</v>
      </c>
      <c r="M30" s="94">
        <f t="shared" si="1"/>
        <v>359029.44</v>
      </c>
      <c r="N30" s="159">
        <f t="shared" si="2"/>
        <v>48</v>
      </c>
      <c r="O30" s="11"/>
      <c r="P30" s="11"/>
      <c r="Q30" s="11"/>
    </row>
    <row r="31" spans="2:17" s="114" customFormat="1">
      <c r="B31" s="293" t="s">
        <v>1219</v>
      </c>
      <c r="C31" s="243">
        <v>26</v>
      </c>
      <c r="D31" s="11" t="s">
        <v>1137</v>
      </c>
      <c r="E31" s="11"/>
      <c r="F31" s="19">
        <v>330000</v>
      </c>
      <c r="G31" s="19">
        <v>43989</v>
      </c>
      <c r="H31" s="329">
        <f>SUM(F31:G31)</f>
        <v>373989</v>
      </c>
      <c r="I31" s="327">
        <v>7479.78</v>
      </c>
      <c r="J31" s="247">
        <v>50</v>
      </c>
      <c r="K31" s="96">
        <v>10</v>
      </c>
      <c r="L31" s="91">
        <f t="shared" si="0"/>
        <v>74797.8</v>
      </c>
      <c r="M31" s="94">
        <f t="shared" si="1"/>
        <v>299191.2</v>
      </c>
      <c r="N31" s="159">
        <f t="shared" si="2"/>
        <v>40</v>
      </c>
      <c r="O31" s="159"/>
      <c r="P31" s="97"/>
      <c r="Q31" s="11"/>
    </row>
    <row r="32" spans="2:17" s="114" customFormat="1">
      <c r="B32" s="293" t="s">
        <v>1255</v>
      </c>
      <c r="C32" s="243">
        <v>27</v>
      </c>
      <c r="D32" s="123" t="s">
        <v>293</v>
      </c>
      <c r="E32" s="123"/>
      <c r="F32" s="19">
        <v>450000</v>
      </c>
      <c r="G32" s="19">
        <v>59985</v>
      </c>
      <c r="H32" s="329">
        <v>509985</v>
      </c>
      <c r="I32" s="327">
        <v>10199.700000000001</v>
      </c>
      <c r="J32" s="247">
        <v>50</v>
      </c>
      <c r="K32" s="159">
        <v>9</v>
      </c>
      <c r="L32" s="16">
        <f t="shared" si="0"/>
        <v>91797.3</v>
      </c>
      <c r="M32" s="94">
        <f t="shared" si="1"/>
        <v>418187.7</v>
      </c>
      <c r="N32" s="159">
        <f t="shared" si="2"/>
        <v>41</v>
      </c>
      <c r="O32" s="159"/>
      <c r="P32" s="159"/>
      <c r="Q32" s="11"/>
    </row>
    <row r="33" spans="2:17" s="114" customFormat="1">
      <c r="B33" s="11" t="s">
        <v>1251</v>
      </c>
      <c r="C33" s="243">
        <v>28</v>
      </c>
      <c r="D33" s="11" t="s">
        <v>1286</v>
      </c>
      <c r="E33" s="11"/>
      <c r="F33" s="19">
        <v>450000</v>
      </c>
      <c r="G33" s="19">
        <v>59985</v>
      </c>
      <c r="H33" s="329">
        <v>509985</v>
      </c>
      <c r="I33" s="254">
        <v>10199.700000000001</v>
      </c>
      <c r="J33" s="247">
        <v>50</v>
      </c>
      <c r="K33" s="159">
        <v>2</v>
      </c>
      <c r="L33" s="16">
        <f t="shared" si="0"/>
        <v>20399.400000000001</v>
      </c>
      <c r="M33" s="94">
        <f t="shared" si="1"/>
        <v>489585.6</v>
      </c>
      <c r="N33" s="159">
        <f t="shared" si="2"/>
        <v>48</v>
      </c>
      <c r="O33" s="11"/>
      <c r="P33" s="11"/>
      <c r="Q33" s="11"/>
    </row>
    <row r="34" spans="2:17" s="114" customFormat="1">
      <c r="B34" s="292" t="s">
        <v>633</v>
      </c>
      <c r="C34" s="243">
        <v>29</v>
      </c>
      <c r="D34" s="11" t="s">
        <v>457</v>
      </c>
      <c r="E34" s="11"/>
      <c r="F34" s="19">
        <v>150000</v>
      </c>
      <c r="G34" s="19">
        <v>19995</v>
      </c>
      <c r="H34" s="329">
        <f>SUM(F34:G34)</f>
        <v>169995</v>
      </c>
      <c r="I34" s="252">
        <v>3399.9</v>
      </c>
      <c r="J34" s="247">
        <v>50</v>
      </c>
      <c r="K34" s="101">
        <v>22</v>
      </c>
      <c r="L34" s="91">
        <f t="shared" si="0"/>
        <v>74797.8</v>
      </c>
      <c r="M34" s="94">
        <f t="shared" si="1"/>
        <v>95197.2</v>
      </c>
      <c r="N34" s="159">
        <f t="shared" si="2"/>
        <v>28</v>
      </c>
      <c r="O34" s="159"/>
      <c r="P34" s="97"/>
      <c r="Q34" s="8"/>
    </row>
    <row r="35" spans="2:17" s="114" customFormat="1">
      <c r="B35" s="293" t="s">
        <v>1259</v>
      </c>
      <c r="C35" s="243">
        <v>30</v>
      </c>
      <c r="D35" s="123" t="s">
        <v>1265</v>
      </c>
      <c r="E35" s="123"/>
      <c r="F35" s="16">
        <v>500000</v>
      </c>
      <c r="G35" s="16">
        <v>66650</v>
      </c>
      <c r="H35" s="331">
        <f>SUM(F35:G35)</f>
        <v>566650</v>
      </c>
      <c r="I35" s="327">
        <v>11333</v>
      </c>
      <c r="J35" s="247">
        <v>50</v>
      </c>
      <c r="K35" s="159">
        <v>9</v>
      </c>
      <c r="L35" s="16">
        <f t="shared" si="0"/>
        <v>101997</v>
      </c>
      <c r="M35" s="94">
        <f t="shared" si="1"/>
        <v>464653</v>
      </c>
      <c r="N35" s="159">
        <f t="shared" si="2"/>
        <v>41</v>
      </c>
      <c r="O35" s="159"/>
      <c r="P35" s="159"/>
      <c r="Q35" s="11"/>
    </row>
    <row r="36" spans="2:17" s="114" customFormat="1">
      <c r="B36" s="295" t="s">
        <v>947</v>
      </c>
      <c r="C36" s="243">
        <v>31</v>
      </c>
      <c r="D36" s="11" t="s">
        <v>1095</v>
      </c>
      <c r="E36" s="8"/>
      <c r="F36" s="16">
        <v>500000</v>
      </c>
      <c r="G36" s="16">
        <v>66650</v>
      </c>
      <c r="H36" s="331">
        <f>SUM(F36:G36)</f>
        <v>566650</v>
      </c>
      <c r="I36" s="319">
        <v>11333</v>
      </c>
      <c r="J36" s="247">
        <v>50</v>
      </c>
      <c r="K36" s="159">
        <v>14</v>
      </c>
      <c r="L36" s="16">
        <f t="shared" si="0"/>
        <v>158662</v>
      </c>
      <c r="M36" s="94">
        <f t="shared" si="1"/>
        <v>407988</v>
      </c>
      <c r="N36" s="159">
        <f t="shared" si="2"/>
        <v>36</v>
      </c>
      <c r="O36" s="159"/>
      <c r="P36" s="159"/>
      <c r="Q36" s="8"/>
    </row>
    <row r="37" spans="2:17" s="114" customFormat="1">
      <c r="B37" s="292" t="s">
        <v>534</v>
      </c>
      <c r="C37" s="243">
        <v>32</v>
      </c>
      <c r="D37" s="11" t="s">
        <v>363</v>
      </c>
      <c r="E37" s="11"/>
      <c r="F37" s="16">
        <v>450000</v>
      </c>
      <c r="G37" s="16">
        <v>59985</v>
      </c>
      <c r="H37" s="330">
        <v>509985</v>
      </c>
      <c r="I37" s="318">
        <v>10199.700000000001</v>
      </c>
      <c r="J37" s="247">
        <v>50</v>
      </c>
      <c r="K37" s="97">
        <v>26</v>
      </c>
      <c r="L37" s="91">
        <f>(1*10199.7)</f>
        <v>10199.700000000001</v>
      </c>
      <c r="M37" s="94">
        <f t="shared" si="1"/>
        <v>499785.3</v>
      </c>
      <c r="N37" s="159">
        <f t="shared" si="2"/>
        <v>24</v>
      </c>
      <c r="O37" s="159"/>
      <c r="P37" s="97"/>
      <c r="Q37" s="11"/>
    </row>
    <row r="38" spans="2:17" s="114" customFormat="1">
      <c r="B38" s="292" t="s">
        <v>626</v>
      </c>
      <c r="C38" s="243">
        <v>33</v>
      </c>
      <c r="D38" s="11" t="s">
        <v>375</v>
      </c>
      <c r="E38" s="11"/>
      <c r="F38" s="16">
        <v>330000</v>
      </c>
      <c r="G38" s="16">
        <v>43989</v>
      </c>
      <c r="H38" s="331">
        <f>SUM(F38:G38)</f>
        <v>373989</v>
      </c>
      <c r="I38" s="318">
        <v>7479.78</v>
      </c>
      <c r="J38" s="247">
        <v>50</v>
      </c>
      <c r="K38" s="97">
        <v>48</v>
      </c>
      <c r="L38" s="91">
        <f t="shared" ref="L38:L69" si="3">K38*I38</f>
        <v>359029.44</v>
      </c>
      <c r="M38" s="94">
        <f t="shared" ref="M38:M69" si="4">H38-L38</f>
        <v>14959.559999999998</v>
      </c>
      <c r="N38" s="159">
        <f t="shared" ref="N38:N69" si="5">J38-K38</f>
        <v>2</v>
      </c>
      <c r="O38" s="159"/>
      <c r="P38" s="97"/>
      <c r="Q38" s="11"/>
    </row>
    <row r="39" spans="2:17" s="114" customFormat="1">
      <c r="B39" s="292" t="s">
        <v>730</v>
      </c>
      <c r="C39" s="243">
        <v>34</v>
      </c>
      <c r="D39" s="11" t="s">
        <v>320</v>
      </c>
      <c r="E39" s="11"/>
      <c r="F39" s="16">
        <v>500000</v>
      </c>
      <c r="G39" s="16">
        <v>66650</v>
      </c>
      <c r="H39" s="331">
        <f>SUM(F39:G39)</f>
        <v>566650</v>
      </c>
      <c r="I39" s="318">
        <v>11333</v>
      </c>
      <c r="J39" s="247">
        <v>50</v>
      </c>
      <c r="K39" s="159">
        <v>24</v>
      </c>
      <c r="L39" s="91">
        <f t="shared" si="3"/>
        <v>271992</v>
      </c>
      <c r="M39" s="94">
        <f t="shared" si="4"/>
        <v>294658</v>
      </c>
      <c r="N39" s="159">
        <f t="shared" si="5"/>
        <v>26</v>
      </c>
      <c r="O39" s="159"/>
      <c r="P39" s="159"/>
      <c r="Q39" s="11"/>
    </row>
    <row r="40" spans="2:17" s="114" customFormat="1">
      <c r="B40" s="293" t="s">
        <v>1156</v>
      </c>
      <c r="C40" s="243">
        <v>35</v>
      </c>
      <c r="D40" s="11" t="s">
        <v>1296</v>
      </c>
      <c r="E40" s="11"/>
      <c r="F40" s="19"/>
      <c r="G40" s="19"/>
      <c r="H40" s="329">
        <v>200000</v>
      </c>
      <c r="I40" s="327">
        <v>5099.8500000000004</v>
      </c>
      <c r="J40" s="247">
        <v>50</v>
      </c>
      <c r="K40" s="96">
        <v>10</v>
      </c>
      <c r="L40" s="91">
        <f t="shared" si="3"/>
        <v>50998.5</v>
      </c>
      <c r="M40" s="94">
        <f t="shared" si="4"/>
        <v>149001.5</v>
      </c>
      <c r="N40" s="159">
        <f t="shared" si="5"/>
        <v>40</v>
      </c>
      <c r="O40" s="159"/>
      <c r="P40" s="97"/>
      <c r="Q40" s="11"/>
    </row>
    <row r="41" spans="2:17" s="114" customFormat="1">
      <c r="B41" s="293" t="s">
        <v>1229</v>
      </c>
      <c r="C41" s="243">
        <v>36</v>
      </c>
      <c r="D41" s="123" t="s">
        <v>1264</v>
      </c>
      <c r="E41" s="123"/>
      <c r="F41" s="19">
        <v>150000</v>
      </c>
      <c r="G41" s="19">
        <v>19995</v>
      </c>
      <c r="H41" s="329">
        <f>SUM(F41:G41)</f>
        <v>169995</v>
      </c>
      <c r="I41" s="327">
        <v>4149.8999999999996</v>
      </c>
      <c r="J41" s="247">
        <v>40</v>
      </c>
      <c r="K41" s="159">
        <v>9</v>
      </c>
      <c r="L41" s="16">
        <f t="shared" si="3"/>
        <v>37349.1</v>
      </c>
      <c r="M41" s="94">
        <f t="shared" si="4"/>
        <v>132645.9</v>
      </c>
      <c r="N41" s="159">
        <f t="shared" si="5"/>
        <v>31</v>
      </c>
      <c r="O41" s="159"/>
      <c r="P41" s="159"/>
      <c r="Q41" s="11"/>
    </row>
    <row r="42" spans="2:17" s="114" customFormat="1">
      <c r="B42" s="292" t="s">
        <v>623</v>
      </c>
      <c r="C42" s="243">
        <v>37</v>
      </c>
      <c r="D42" s="123" t="s">
        <v>1030</v>
      </c>
      <c r="E42" s="123"/>
      <c r="F42" s="19">
        <v>450000</v>
      </c>
      <c r="G42" s="19">
        <v>59985</v>
      </c>
      <c r="H42" s="329">
        <v>509985</v>
      </c>
      <c r="I42" s="327">
        <v>10199.700000000001</v>
      </c>
      <c r="J42" s="247">
        <v>50</v>
      </c>
      <c r="K42" s="159">
        <v>14</v>
      </c>
      <c r="L42" s="91">
        <f t="shared" si="3"/>
        <v>142795.80000000002</v>
      </c>
      <c r="M42" s="94">
        <f t="shared" si="4"/>
        <v>367189.19999999995</v>
      </c>
      <c r="N42" s="159">
        <f t="shared" si="5"/>
        <v>36</v>
      </c>
      <c r="O42" s="159"/>
      <c r="P42" s="97"/>
      <c r="Q42" s="11"/>
    </row>
    <row r="43" spans="2:17" s="114" customFormat="1">
      <c r="B43" s="295" t="s">
        <v>1233</v>
      </c>
      <c r="C43" s="243">
        <v>38</v>
      </c>
      <c r="D43" s="11" t="s">
        <v>463</v>
      </c>
      <c r="E43" s="8"/>
      <c r="F43" s="16">
        <v>500000</v>
      </c>
      <c r="G43" s="16">
        <v>66650</v>
      </c>
      <c r="H43" s="331">
        <f t="shared" ref="H43:H49" si="6">SUM(F43:G43)</f>
        <v>566650</v>
      </c>
      <c r="I43" s="34">
        <v>11333</v>
      </c>
      <c r="J43" s="247">
        <v>50</v>
      </c>
      <c r="K43" s="323">
        <v>7</v>
      </c>
      <c r="L43" s="16">
        <f t="shared" si="3"/>
        <v>79331</v>
      </c>
      <c r="M43" s="94">
        <f t="shared" si="4"/>
        <v>487319</v>
      </c>
      <c r="N43" s="159">
        <f t="shared" si="5"/>
        <v>43</v>
      </c>
      <c r="O43" s="159"/>
      <c r="P43" s="159"/>
      <c r="Q43" s="8"/>
    </row>
    <row r="44" spans="2:17" s="114" customFormat="1">
      <c r="B44" s="292" t="s">
        <v>526</v>
      </c>
      <c r="C44" s="243">
        <v>39</v>
      </c>
      <c r="D44" s="11" t="s">
        <v>112</v>
      </c>
      <c r="E44" s="11"/>
      <c r="F44" s="16">
        <v>330000</v>
      </c>
      <c r="G44" s="16">
        <v>43989</v>
      </c>
      <c r="H44" s="331">
        <f t="shared" si="6"/>
        <v>373989</v>
      </c>
      <c r="I44" s="146">
        <v>7479.78</v>
      </c>
      <c r="J44" s="247">
        <v>50</v>
      </c>
      <c r="K44" s="97">
        <v>48</v>
      </c>
      <c r="L44" s="91">
        <f t="shared" si="3"/>
        <v>359029.44</v>
      </c>
      <c r="M44" s="94">
        <f t="shared" si="4"/>
        <v>14959.559999999998</v>
      </c>
      <c r="N44" s="159">
        <f t="shared" si="5"/>
        <v>2</v>
      </c>
      <c r="O44" s="159"/>
      <c r="P44" s="97"/>
      <c r="Q44" s="11"/>
    </row>
    <row r="45" spans="2:17" s="114" customFormat="1">
      <c r="B45" s="292" t="s">
        <v>609</v>
      </c>
      <c r="C45" s="243">
        <v>40</v>
      </c>
      <c r="D45" s="11" t="s">
        <v>321</v>
      </c>
      <c r="E45" s="11"/>
      <c r="F45" s="16">
        <v>500000</v>
      </c>
      <c r="G45" s="16">
        <v>66650</v>
      </c>
      <c r="H45" s="331">
        <f t="shared" si="6"/>
        <v>566650</v>
      </c>
      <c r="I45" s="318">
        <v>11333</v>
      </c>
      <c r="J45" s="247">
        <v>50</v>
      </c>
      <c r="K45" s="97">
        <v>47</v>
      </c>
      <c r="L45" s="91">
        <f t="shared" si="3"/>
        <v>532651</v>
      </c>
      <c r="M45" s="94">
        <f t="shared" si="4"/>
        <v>33999</v>
      </c>
      <c r="N45" s="159">
        <f t="shared" si="5"/>
        <v>3</v>
      </c>
      <c r="O45" s="159"/>
      <c r="P45" s="97"/>
      <c r="Q45" s="11"/>
    </row>
    <row r="46" spans="2:17" s="114" customFormat="1">
      <c r="B46" s="292" t="s">
        <v>682</v>
      </c>
      <c r="C46" s="243">
        <v>41</v>
      </c>
      <c r="D46" s="11" t="s">
        <v>322</v>
      </c>
      <c r="E46" s="11"/>
      <c r="F46" s="16">
        <v>500000</v>
      </c>
      <c r="G46" s="16">
        <v>66650</v>
      </c>
      <c r="H46" s="331">
        <f t="shared" si="6"/>
        <v>566650</v>
      </c>
      <c r="I46" s="318">
        <v>11333</v>
      </c>
      <c r="J46" s="247">
        <v>50</v>
      </c>
      <c r="K46" s="97">
        <v>48</v>
      </c>
      <c r="L46" s="91">
        <f t="shared" si="3"/>
        <v>543984</v>
      </c>
      <c r="M46" s="94">
        <f t="shared" si="4"/>
        <v>22666</v>
      </c>
      <c r="N46" s="159">
        <f t="shared" si="5"/>
        <v>2</v>
      </c>
      <c r="O46" s="159"/>
      <c r="P46" s="97"/>
      <c r="Q46" s="11"/>
    </row>
    <row r="47" spans="2:17" s="114" customFormat="1">
      <c r="B47" s="292" t="s">
        <v>542</v>
      </c>
      <c r="C47" s="243">
        <v>42</v>
      </c>
      <c r="D47" s="11" t="s">
        <v>323</v>
      </c>
      <c r="E47" s="11"/>
      <c r="F47" s="16">
        <v>500000</v>
      </c>
      <c r="G47" s="16">
        <v>66650</v>
      </c>
      <c r="H47" s="331">
        <f t="shared" si="6"/>
        <v>566650</v>
      </c>
      <c r="I47" s="318">
        <v>11333</v>
      </c>
      <c r="J47" s="247">
        <v>50</v>
      </c>
      <c r="K47" s="97">
        <v>47</v>
      </c>
      <c r="L47" s="91">
        <f t="shared" si="3"/>
        <v>532651</v>
      </c>
      <c r="M47" s="94">
        <f t="shared" si="4"/>
        <v>33999</v>
      </c>
      <c r="N47" s="159">
        <f t="shared" si="5"/>
        <v>3</v>
      </c>
      <c r="O47" s="159"/>
      <c r="P47" s="97"/>
      <c r="Q47" s="11"/>
    </row>
    <row r="48" spans="2:17" s="114" customFormat="1">
      <c r="B48" s="293" t="s">
        <v>1166</v>
      </c>
      <c r="C48" s="243">
        <v>43</v>
      </c>
      <c r="D48" s="11" t="s">
        <v>1119</v>
      </c>
      <c r="E48" s="11"/>
      <c r="F48" s="16">
        <v>500000</v>
      </c>
      <c r="G48" s="16">
        <v>66650</v>
      </c>
      <c r="H48" s="331">
        <f t="shared" si="6"/>
        <v>566650</v>
      </c>
      <c r="I48" s="327">
        <v>11333</v>
      </c>
      <c r="J48" s="247">
        <v>50</v>
      </c>
      <c r="K48" s="96">
        <v>10</v>
      </c>
      <c r="L48" s="91">
        <f t="shared" si="3"/>
        <v>113330</v>
      </c>
      <c r="M48" s="94">
        <f t="shared" si="4"/>
        <v>453320</v>
      </c>
      <c r="N48" s="159">
        <f t="shared" si="5"/>
        <v>40</v>
      </c>
      <c r="O48" s="159"/>
      <c r="P48" s="97"/>
      <c r="Q48" s="11"/>
    </row>
    <row r="49" spans="2:17" s="114" customFormat="1">
      <c r="B49" s="1" t="s">
        <v>1152</v>
      </c>
      <c r="C49" s="243">
        <v>44</v>
      </c>
      <c r="D49" s="11" t="s">
        <v>1294</v>
      </c>
      <c r="E49" s="1"/>
      <c r="F49" s="16">
        <v>500000</v>
      </c>
      <c r="G49" s="16">
        <v>66650</v>
      </c>
      <c r="H49" s="331">
        <f t="shared" si="6"/>
        <v>566650</v>
      </c>
      <c r="I49" s="34">
        <v>11333</v>
      </c>
      <c r="J49" s="247">
        <v>50</v>
      </c>
      <c r="K49" s="323">
        <v>7</v>
      </c>
      <c r="L49" s="16">
        <f t="shared" si="3"/>
        <v>79331</v>
      </c>
      <c r="M49" s="94">
        <f t="shared" si="4"/>
        <v>487319</v>
      </c>
      <c r="N49" s="159">
        <f t="shared" si="5"/>
        <v>43</v>
      </c>
      <c r="O49" s="159"/>
      <c r="P49" s="159"/>
      <c r="Q49" s="8"/>
    </row>
    <row r="50" spans="2:17" s="114" customFormat="1">
      <c r="B50" s="293" t="s">
        <v>893</v>
      </c>
      <c r="C50" s="243">
        <v>45</v>
      </c>
      <c r="D50" s="123" t="s">
        <v>859</v>
      </c>
      <c r="E50" s="123"/>
      <c r="F50" s="19">
        <v>450000</v>
      </c>
      <c r="G50" s="19">
        <v>59985</v>
      </c>
      <c r="H50" s="329">
        <v>509985</v>
      </c>
      <c r="I50" s="327">
        <v>10199.700000000001</v>
      </c>
      <c r="J50" s="247">
        <v>50</v>
      </c>
      <c r="K50" s="159">
        <v>17</v>
      </c>
      <c r="L50" s="16">
        <f t="shared" si="3"/>
        <v>173394.90000000002</v>
      </c>
      <c r="M50" s="94">
        <f t="shared" si="4"/>
        <v>336590.1</v>
      </c>
      <c r="N50" s="159">
        <f t="shared" si="5"/>
        <v>33</v>
      </c>
      <c r="O50" s="159"/>
      <c r="P50" s="159"/>
      <c r="Q50" s="11"/>
    </row>
    <row r="51" spans="2:17" s="114" customFormat="1">
      <c r="B51" s="292" t="s">
        <v>724</v>
      </c>
      <c r="C51" s="243">
        <v>46</v>
      </c>
      <c r="D51" s="11" t="s">
        <v>326</v>
      </c>
      <c r="E51" s="11"/>
      <c r="F51" s="19">
        <v>500000</v>
      </c>
      <c r="G51" s="19">
        <v>66650</v>
      </c>
      <c r="H51" s="329">
        <v>566650</v>
      </c>
      <c r="I51" s="318">
        <v>11333</v>
      </c>
      <c r="J51" s="247">
        <v>50</v>
      </c>
      <c r="K51" s="97">
        <v>33</v>
      </c>
      <c r="L51" s="91">
        <f t="shared" si="3"/>
        <v>373989</v>
      </c>
      <c r="M51" s="91">
        <f t="shared" si="4"/>
        <v>192661</v>
      </c>
      <c r="N51" s="159">
        <f t="shared" si="5"/>
        <v>17</v>
      </c>
      <c r="O51" s="159"/>
      <c r="P51" s="97"/>
      <c r="Q51" s="11"/>
    </row>
    <row r="52" spans="2:17" s="114" customFormat="1">
      <c r="B52" s="293" t="s">
        <v>887</v>
      </c>
      <c r="C52" s="243">
        <v>47</v>
      </c>
      <c r="D52" s="123" t="s">
        <v>863</v>
      </c>
      <c r="E52" s="123"/>
      <c r="F52" s="16">
        <v>500000</v>
      </c>
      <c r="G52" s="16">
        <v>66650</v>
      </c>
      <c r="H52" s="331">
        <f>SUM(F52:G52)</f>
        <v>566650</v>
      </c>
      <c r="I52" s="327">
        <v>11333</v>
      </c>
      <c r="J52" s="247">
        <v>50</v>
      </c>
      <c r="K52" s="159">
        <v>17</v>
      </c>
      <c r="L52" s="16">
        <f t="shared" si="3"/>
        <v>192661</v>
      </c>
      <c r="M52" s="94">
        <f t="shared" si="4"/>
        <v>373989</v>
      </c>
      <c r="N52" s="159">
        <f t="shared" si="5"/>
        <v>33</v>
      </c>
      <c r="O52" s="159"/>
      <c r="P52" s="159"/>
      <c r="Q52" s="11"/>
    </row>
    <row r="53" spans="2:17" s="114" customFormat="1">
      <c r="B53" s="293" t="s">
        <v>894</v>
      </c>
      <c r="C53" s="243">
        <v>48</v>
      </c>
      <c r="D53" s="123" t="s">
        <v>856</v>
      </c>
      <c r="E53" s="123"/>
      <c r="F53" s="19">
        <v>450000</v>
      </c>
      <c r="G53" s="19">
        <v>59985</v>
      </c>
      <c r="H53" s="329">
        <v>509985</v>
      </c>
      <c r="I53" s="327">
        <v>10199.700000000001</v>
      </c>
      <c r="J53" s="247">
        <v>50</v>
      </c>
      <c r="K53" s="159">
        <v>17</v>
      </c>
      <c r="L53" s="16">
        <f t="shared" si="3"/>
        <v>173394.90000000002</v>
      </c>
      <c r="M53" s="94">
        <f t="shared" si="4"/>
        <v>336590.1</v>
      </c>
      <c r="N53" s="159">
        <f t="shared" si="5"/>
        <v>33</v>
      </c>
      <c r="O53" s="159"/>
      <c r="P53" s="159"/>
      <c r="Q53" s="122"/>
    </row>
    <row r="54" spans="2:17" s="114" customFormat="1">
      <c r="B54" s="122" t="s">
        <v>1253</v>
      </c>
      <c r="C54" s="243">
        <v>49</v>
      </c>
      <c r="D54" s="11" t="s">
        <v>451</v>
      </c>
      <c r="E54" s="122"/>
      <c r="F54" s="16">
        <v>500000</v>
      </c>
      <c r="G54" s="16">
        <v>66650</v>
      </c>
      <c r="H54" s="331">
        <f>SUM(F54:G54)</f>
        <v>566650</v>
      </c>
      <c r="I54" s="16">
        <v>11333</v>
      </c>
      <c r="J54" s="247">
        <v>50</v>
      </c>
      <c r="K54" s="188">
        <v>7</v>
      </c>
      <c r="L54" s="16">
        <f t="shared" si="3"/>
        <v>79331</v>
      </c>
      <c r="M54" s="94">
        <f t="shared" si="4"/>
        <v>487319</v>
      </c>
      <c r="N54" s="159">
        <f t="shared" si="5"/>
        <v>43</v>
      </c>
      <c r="O54" s="159"/>
      <c r="P54" s="159"/>
      <c r="Q54" s="11"/>
    </row>
    <row r="55" spans="2:17" s="114" customFormat="1">
      <c r="B55" s="292" t="s">
        <v>619</v>
      </c>
      <c r="C55" s="243">
        <v>50</v>
      </c>
      <c r="D55" s="11" t="s">
        <v>327</v>
      </c>
      <c r="E55" s="11"/>
      <c r="F55" s="16">
        <v>500000</v>
      </c>
      <c r="G55" s="16">
        <v>66650</v>
      </c>
      <c r="H55" s="330">
        <v>566650</v>
      </c>
      <c r="I55" s="318">
        <v>11333</v>
      </c>
      <c r="J55" s="247">
        <v>50</v>
      </c>
      <c r="K55" s="97">
        <v>48</v>
      </c>
      <c r="L55" s="91">
        <f t="shared" si="3"/>
        <v>543984</v>
      </c>
      <c r="M55" s="94">
        <f t="shared" si="4"/>
        <v>22666</v>
      </c>
      <c r="N55" s="159">
        <f t="shared" si="5"/>
        <v>2</v>
      </c>
      <c r="O55" s="159"/>
      <c r="P55" s="97"/>
      <c r="Q55" s="11"/>
    </row>
    <row r="56" spans="2:17" s="114" customFormat="1">
      <c r="B56" s="11" t="s">
        <v>1186</v>
      </c>
      <c r="C56" s="243">
        <v>51</v>
      </c>
      <c r="D56" s="11" t="s">
        <v>1281</v>
      </c>
      <c r="E56" s="11"/>
      <c r="F56" s="16">
        <v>500000</v>
      </c>
      <c r="G56" s="16">
        <v>66650</v>
      </c>
      <c r="H56" s="331">
        <f>SUM(F56:G56)</f>
        <v>566650</v>
      </c>
      <c r="I56" s="254">
        <v>11333</v>
      </c>
      <c r="J56" s="247">
        <v>50</v>
      </c>
      <c r="K56" s="159">
        <v>2</v>
      </c>
      <c r="L56" s="16">
        <f t="shared" si="3"/>
        <v>22666</v>
      </c>
      <c r="M56" s="94">
        <f t="shared" si="4"/>
        <v>543984</v>
      </c>
      <c r="N56" s="159">
        <f t="shared" si="5"/>
        <v>48</v>
      </c>
      <c r="O56" s="11"/>
      <c r="P56" s="11"/>
      <c r="Q56" s="11"/>
    </row>
    <row r="57" spans="2:17" s="114" customFormat="1">
      <c r="B57" s="294" t="s">
        <v>663</v>
      </c>
      <c r="C57" s="243">
        <v>52</v>
      </c>
      <c r="D57" s="11" t="s">
        <v>854</v>
      </c>
      <c r="E57" s="11"/>
      <c r="F57" s="19">
        <v>330000</v>
      </c>
      <c r="G57" s="19">
        <v>43989</v>
      </c>
      <c r="H57" s="329">
        <f>SUM(F57:G57)</f>
        <v>373989</v>
      </c>
      <c r="I57" s="327">
        <v>7479.78</v>
      </c>
      <c r="J57" s="247">
        <v>50</v>
      </c>
      <c r="K57" s="159">
        <v>15</v>
      </c>
      <c r="L57" s="91">
        <f t="shared" si="3"/>
        <v>112196.7</v>
      </c>
      <c r="M57" s="94">
        <f t="shared" si="4"/>
        <v>261792.3</v>
      </c>
      <c r="N57" s="159">
        <f t="shared" si="5"/>
        <v>35</v>
      </c>
      <c r="O57" s="159"/>
      <c r="P57" s="97"/>
      <c r="Q57" s="122"/>
    </row>
    <row r="58" spans="2:17" s="114" customFormat="1">
      <c r="B58" s="292" t="s">
        <v>664</v>
      </c>
      <c r="C58" s="243">
        <v>53</v>
      </c>
      <c r="D58" s="11" t="s">
        <v>294</v>
      </c>
      <c r="E58" s="11"/>
      <c r="F58" s="19">
        <v>330000</v>
      </c>
      <c r="G58" s="19">
        <v>43989</v>
      </c>
      <c r="H58" s="329">
        <f>SUM(F58:G58)</f>
        <v>373989</v>
      </c>
      <c r="I58" s="252">
        <v>7479.78</v>
      </c>
      <c r="J58" s="247">
        <v>50</v>
      </c>
      <c r="K58" s="101">
        <v>22</v>
      </c>
      <c r="L58" s="91">
        <f t="shared" si="3"/>
        <v>164555.16</v>
      </c>
      <c r="M58" s="94">
        <f t="shared" si="4"/>
        <v>209433.84</v>
      </c>
      <c r="N58" s="159">
        <f t="shared" si="5"/>
        <v>28</v>
      </c>
      <c r="O58" s="159"/>
      <c r="P58" s="97"/>
      <c r="Q58" s="11"/>
    </row>
    <row r="59" spans="2:17" s="114" customFormat="1">
      <c r="B59" s="122" t="s">
        <v>1174</v>
      </c>
      <c r="C59" s="243">
        <v>54</v>
      </c>
      <c r="D59" s="11" t="s">
        <v>433</v>
      </c>
      <c r="E59" s="122"/>
      <c r="F59" s="16">
        <v>500000</v>
      </c>
      <c r="G59" s="16">
        <v>66650</v>
      </c>
      <c r="H59" s="331">
        <f>SUM(F59:G59)</f>
        <v>566650</v>
      </c>
      <c r="I59" s="16">
        <v>11333</v>
      </c>
      <c r="J59" s="247">
        <v>50</v>
      </c>
      <c r="K59" s="188">
        <v>7</v>
      </c>
      <c r="L59" s="16">
        <f t="shared" si="3"/>
        <v>79331</v>
      </c>
      <c r="M59" s="94">
        <f t="shared" si="4"/>
        <v>487319</v>
      </c>
      <c r="N59" s="159">
        <f t="shared" si="5"/>
        <v>43</v>
      </c>
      <c r="O59" s="159"/>
      <c r="P59" s="159"/>
      <c r="Q59" s="11"/>
    </row>
    <row r="60" spans="2:17" s="114" customFormat="1">
      <c r="B60" s="293" t="s">
        <v>896</v>
      </c>
      <c r="C60" s="243">
        <v>55</v>
      </c>
      <c r="D60" s="123" t="s">
        <v>873</v>
      </c>
      <c r="E60" s="123"/>
      <c r="F60" s="19">
        <v>450000</v>
      </c>
      <c r="G60" s="19">
        <v>59985</v>
      </c>
      <c r="H60" s="329">
        <v>509985</v>
      </c>
      <c r="I60" s="327">
        <v>10199.700000000001</v>
      </c>
      <c r="J60" s="247">
        <v>50</v>
      </c>
      <c r="K60" s="159">
        <v>17</v>
      </c>
      <c r="L60" s="16">
        <f t="shared" si="3"/>
        <v>173394.90000000002</v>
      </c>
      <c r="M60" s="94">
        <f t="shared" si="4"/>
        <v>336590.1</v>
      </c>
      <c r="N60" s="159">
        <f t="shared" si="5"/>
        <v>33</v>
      </c>
      <c r="O60" s="159"/>
      <c r="P60" s="159"/>
      <c r="Q60" s="11"/>
    </row>
    <row r="61" spans="2:17" s="114" customFormat="1">
      <c r="B61" s="292" t="s">
        <v>516</v>
      </c>
      <c r="C61" s="243">
        <v>56</v>
      </c>
      <c r="D61" s="11" t="s">
        <v>328</v>
      </c>
      <c r="E61" s="11"/>
      <c r="F61" s="16">
        <v>500000</v>
      </c>
      <c r="G61" s="16">
        <v>66650</v>
      </c>
      <c r="H61" s="331">
        <f>SUM(F61:G61)</f>
        <v>566650</v>
      </c>
      <c r="I61" s="146">
        <v>11333</v>
      </c>
      <c r="J61" s="247">
        <v>50</v>
      </c>
      <c r="K61" s="97">
        <v>48</v>
      </c>
      <c r="L61" s="91">
        <f t="shared" si="3"/>
        <v>543984</v>
      </c>
      <c r="M61" s="94">
        <f t="shared" si="4"/>
        <v>22666</v>
      </c>
      <c r="N61" s="159">
        <f t="shared" si="5"/>
        <v>2</v>
      </c>
      <c r="O61" s="159"/>
      <c r="P61" s="97"/>
      <c r="Q61" s="11"/>
    </row>
    <row r="62" spans="2:17" s="114" customFormat="1">
      <c r="B62" s="8" t="s">
        <v>1158</v>
      </c>
      <c r="C62" s="243">
        <v>57</v>
      </c>
      <c r="D62" s="8" t="s">
        <v>1287</v>
      </c>
      <c r="E62" s="8"/>
      <c r="F62" s="19">
        <v>450000</v>
      </c>
      <c r="G62" s="19">
        <v>59985</v>
      </c>
      <c r="H62" s="329">
        <v>509985</v>
      </c>
      <c r="I62" s="34">
        <v>10199.700000000001</v>
      </c>
      <c r="J62" s="247">
        <v>50</v>
      </c>
      <c r="K62" s="323">
        <v>2</v>
      </c>
      <c r="L62" s="16">
        <f t="shared" si="3"/>
        <v>20399.400000000001</v>
      </c>
      <c r="M62" s="94">
        <f t="shared" si="4"/>
        <v>489585.6</v>
      </c>
      <c r="N62" s="159">
        <f t="shared" si="5"/>
        <v>48</v>
      </c>
      <c r="O62" s="34"/>
      <c r="P62" s="34"/>
      <c r="Q62" s="8"/>
    </row>
    <row r="63" spans="2:17" s="114" customFormat="1">
      <c r="B63" s="293" t="s">
        <v>1249</v>
      </c>
      <c r="C63" s="243">
        <v>58</v>
      </c>
      <c r="D63" s="11" t="s">
        <v>1289</v>
      </c>
      <c r="E63" s="11"/>
      <c r="F63" s="19">
        <v>330000</v>
      </c>
      <c r="G63" s="19">
        <v>43989</v>
      </c>
      <c r="H63" s="329">
        <f>SUM(F63:G63)</f>
        <v>373989</v>
      </c>
      <c r="I63" s="327">
        <v>7479.78</v>
      </c>
      <c r="J63" s="247">
        <v>50</v>
      </c>
      <c r="K63" s="96">
        <v>10</v>
      </c>
      <c r="L63" s="91">
        <f t="shared" si="3"/>
        <v>74797.8</v>
      </c>
      <c r="M63" s="94">
        <f t="shared" si="4"/>
        <v>299191.2</v>
      </c>
      <c r="N63" s="159">
        <f t="shared" si="5"/>
        <v>40</v>
      </c>
      <c r="O63" s="159"/>
      <c r="P63" s="97"/>
      <c r="Q63" s="11"/>
    </row>
    <row r="64" spans="2:17" s="114" customFormat="1">
      <c r="B64" s="295" t="s">
        <v>937</v>
      </c>
      <c r="C64" s="243">
        <v>59</v>
      </c>
      <c r="D64" s="11" t="s">
        <v>453</v>
      </c>
      <c r="E64" s="8"/>
      <c r="F64" s="19">
        <v>150000</v>
      </c>
      <c r="G64" s="19">
        <v>19995</v>
      </c>
      <c r="H64" s="329">
        <f>SUM(F64:G64)</f>
        <v>169995</v>
      </c>
      <c r="I64" s="319">
        <v>3399.9</v>
      </c>
      <c r="J64" s="247">
        <v>50</v>
      </c>
      <c r="K64" s="159">
        <v>14</v>
      </c>
      <c r="L64" s="16">
        <f t="shared" si="3"/>
        <v>47598.6</v>
      </c>
      <c r="M64" s="94">
        <f t="shared" si="4"/>
        <v>122396.4</v>
      </c>
      <c r="N64" s="159">
        <f t="shared" si="5"/>
        <v>36</v>
      </c>
      <c r="O64" s="159"/>
      <c r="P64" s="159"/>
      <c r="Q64" s="11"/>
    </row>
    <row r="65" spans="2:17" s="114" customFormat="1">
      <c r="B65" s="292" t="s">
        <v>717</v>
      </c>
      <c r="C65" s="243">
        <v>60</v>
      </c>
      <c r="D65" s="11" t="s">
        <v>286</v>
      </c>
      <c r="E65" s="11"/>
      <c r="F65" s="16">
        <v>450000</v>
      </c>
      <c r="G65" s="16">
        <v>59985</v>
      </c>
      <c r="H65" s="330">
        <v>509985</v>
      </c>
      <c r="I65" s="318">
        <v>10199.700000000001</v>
      </c>
      <c r="J65" s="247">
        <v>50</v>
      </c>
      <c r="K65" s="97">
        <v>36</v>
      </c>
      <c r="L65" s="91">
        <f t="shared" si="3"/>
        <v>367189.2</v>
      </c>
      <c r="M65" s="94">
        <f t="shared" si="4"/>
        <v>142795.79999999999</v>
      </c>
      <c r="N65" s="159">
        <f t="shared" si="5"/>
        <v>14</v>
      </c>
      <c r="O65" s="159"/>
      <c r="P65" s="97"/>
      <c r="Q65" s="122"/>
    </row>
    <row r="66" spans="2:17" s="114" customFormat="1">
      <c r="B66" s="292" t="s">
        <v>698</v>
      </c>
      <c r="C66" s="243">
        <v>61</v>
      </c>
      <c r="D66" s="11" t="s">
        <v>332</v>
      </c>
      <c r="E66" s="11"/>
      <c r="F66" s="19">
        <v>500000</v>
      </c>
      <c r="G66" s="19">
        <v>66650</v>
      </c>
      <c r="H66" s="329">
        <v>566650</v>
      </c>
      <c r="I66" s="318">
        <v>11333</v>
      </c>
      <c r="J66" s="247">
        <v>50</v>
      </c>
      <c r="K66" s="97">
        <v>34</v>
      </c>
      <c r="L66" s="91">
        <f t="shared" si="3"/>
        <v>385322</v>
      </c>
      <c r="M66" s="91">
        <f t="shared" si="4"/>
        <v>181328</v>
      </c>
      <c r="N66" s="159">
        <f t="shared" si="5"/>
        <v>16</v>
      </c>
      <c r="O66" s="159"/>
      <c r="P66" s="97"/>
      <c r="Q66" s="11"/>
    </row>
    <row r="67" spans="2:17" s="114" customFormat="1">
      <c r="B67" s="293" t="s">
        <v>1162</v>
      </c>
      <c r="C67" s="243">
        <v>62</v>
      </c>
      <c r="D67" s="123" t="s">
        <v>1117</v>
      </c>
      <c r="E67" s="123"/>
      <c r="F67" s="16">
        <v>500000</v>
      </c>
      <c r="G67" s="16">
        <v>66650</v>
      </c>
      <c r="H67" s="331">
        <f>SUM(F67:G67)</f>
        <v>566650</v>
      </c>
      <c r="I67" s="327">
        <v>11333</v>
      </c>
      <c r="J67" s="247">
        <v>50</v>
      </c>
      <c r="K67" s="159">
        <v>9</v>
      </c>
      <c r="L67" s="16">
        <f t="shared" si="3"/>
        <v>101997</v>
      </c>
      <c r="M67" s="94">
        <f t="shared" si="4"/>
        <v>464653</v>
      </c>
      <c r="N67" s="159">
        <f t="shared" si="5"/>
        <v>41</v>
      </c>
      <c r="O67" s="159"/>
      <c r="P67" s="159"/>
      <c r="Q67" s="11"/>
    </row>
    <row r="68" spans="2:17" s="114" customFormat="1">
      <c r="B68" s="292" t="s">
        <v>702</v>
      </c>
      <c r="C68" s="243">
        <v>63</v>
      </c>
      <c r="D68" s="11" t="s">
        <v>364</v>
      </c>
      <c r="E68" s="11"/>
      <c r="F68" s="16">
        <v>450000</v>
      </c>
      <c r="G68" s="16">
        <v>59985</v>
      </c>
      <c r="H68" s="330">
        <v>509985</v>
      </c>
      <c r="I68" s="318">
        <v>10199.700000000001</v>
      </c>
      <c r="J68" s="247">
        <v>50</v>
      </c>
      <c r="K68" s="97">
        <v>33</v>
      </c>
      <c r="L68" s="91">
        <f t="shared" si="3"/>
        <v>336590.10000000003</v>
      </c>
      <c r="M68" s="91">
        <f t="shared" si="4"/>
        <v>173394.89999999997</v>
      </c>
      <c r="N68" s="159">
        <f t="shared" si="5"/>
        <v>17</v>
      </c>
      <c r="O68" s="159"/>
      <c r="P68" s="97"/>
      <c r="Q68" s="11"/>
    </row>
    <row r="69" spans="2:17" s="114" customFormat="1">
      <c r="B69" s="292" t="s">
        <v>676</v>
      </c>
      <c r="C69" s="243">
        <v>64</v>
      </c>
      <c r="D69" s="11" t="s">
        <v>425</v>
      </c>
      <c r="E69" s="11"/>
      <c r="F69" s="19">
        <v>150000</v>
      </c>
      <c r="G69" s="19">
        <v>19995</v>
      </c>
      <c r="H69" s="329">
        <f>SUM(F69:G69)</f>
        <v>169995</v>
      </c>
      <c r="I69" s="318">
        <v>3399.9</v>
      </c>
      <c r="J69" s="247">
        <v>50</v>
      </c>
      <c r="K69" s="97">
        <v>34</v>
      </c>
      <c r="L69" s="91">
        <f t="shared" si="3"/>
        <v>115596.6</v>
      </c>
      <c r="M69" s="91">
        <f t="shared" si="4"/>
        <v>54398.399999999994</v>
      </c>
      <c r="N69" s="159">
        <f t="shared" si="5"/>
        <v>16</v>
      </c>
      <c r="O69" s="159"/>
      <c r="P69" s="97"/>
      <c r="Q69" s="11"/>
    </row>
    <row r="70" spans="2:17" s="114" customFormat="1">
      <c r="B70" s="8" t="s">
        <v>1196</v>
      </c>
      <c r="C70" s="243">
        <v>65</v>
      </c>
      <c r="D70" s="8" t="s">
        <v>1280</v>
      </c>
      <c r="E70" s="8"/>
      <c r="F70" s="16">
        <v>500000</v>
      </c>
      <c r="G70" s="16">
        <v>66650</v>
      </c>
      <c r="H70" s="331">
        <f>SUM(F70:G70)</f>
        <v>566650</v>
      </c>
      <c r="I70" s="34">
        <v>11333</v>
      </c>
      <c r="J70" s="247">
        <v>50</v>
      </c>
      <c r="K70" s="323">
        <v>2</v>
      </c>
      <c r="L70" s="16">
        <f t="shared" ref="L70:L101" si="7">K70*I70</f>
        <v>22666</v>
      </c>
      <c r="M70" s="94">
        <f t="shared" ref="M70:M101" si="8">H70-L70</f>
        <v>543984</v>
      </c>
      <c r="N70" s="159">
        <f t="shared" ref="N70:N101" si="9">J70-K70</f>
        <v>48</v>
      </c>
      <c r="O70" s="34"/>
      <c r="P70" s="34"/>
      <c r="Q70" s="8"/>
    </row>
    <row r="71" spans="2:17" s="114" customFormat="1">
      <c r="B71" s="293" t="s">
        <v>1241</v>
      </c>
      <c r="C71" s="243">
        <v>66</v>
      </c>
      <c r="D71" s="123" t="s">
        <v>450</v>
      </c>
      <c r="E71" s="123"/>
      <c r="F71" s="19">
        <v>450000</v>
      </c>
      <c r="G71" s="19">
        <v>59985</v>
      </c>
      <c r="H71" s="329">
        <v>509985</v>
      </c>
      <c r="I71" s="327">
        <v>10199.700000000001</v>
      </c>
      <c r="J71" s="247">
        <v>50</v>
      </c>
      <c r="K71" s="159">
        <v>9</v>
      </c>
      <c r="L71" s="16">
        <f t="shared" si="7"/>
        <v>91797.3</v>
      </c>
      <c r="M71" s="94">
        <f t="shared" si="8"/>
        <v>418187.7</v>
      </c>
      <c r="N71" s="159">
        <f t="shared" si="9"/>
        <v>41</v>
      </c>
      <c r="O71" s="159"/>
      <c r="P71" s="159"/>
      <c r="Q71" s="11"/>
    </row>
    <row r="72" spans="2:17" s="114" customFormat="1">
      <c r="B72" s="1" t="s">
        <v>1168</v>
      </c>
      <c r="C72" s="243">
        <v>67</v>
      </c>
      <c r="D72" s="11" t="s">
        <v>1297</v>
      </c>
      <c r="E72" s="1"/>
      <c r="F72" s="19">
        <v>330000</v>
      </c>
      <c r="G72" s="19">
        <v>43989</v>
      </c>
      <c r="H72" s="329">
        <f>SUM(F72:G72)</f>
        <v>373989</v>
      </c>
      <c r="I72" s="34">
        <v>7479.78</v>
      </c>
      <c r="J72" s="247">
        <v>50</v>
      </c>
      <c r="K72" s="323">
        <v>7</v>
      </c>
      <c r="L72" s="16">
        <f t="shared" si="7"/>
        <v>52358.46</v>
      </c>
      <c r="M72" s="94">
        <f t="shared" si="8"/>
        <v>321630.53999999998</v>
      </c>
      <c r="N72" s="159">
        <f t="shared" si="9"/>
        <v>43</v>
      </c>
      <c r="O72" s="159"/>
      <c r="P72" s="159"/>
      <c r="Q72" s="11"/>
    </row>
    <row r="73" spans="2:17" s="114" customFormat="1">
      <c r="B73" s="292" t="s">
        <v>522</v>
      </c>
      <c r="C73" s="243">
        <v>68</v>
      </c>
      <c r="D73" s="11" t="s">
        <v>334</v>
      </c>
      <c r="E73" s="11"/>
      <c r="F73" s="19">
        <v>500000</v>
      </c>
      <c r="G73" s="19">
        <v>66650</v>
      </c>
      <c r="H73" s="329">
        <v>566650</v>
      </c>
      <c r="I73" s="318">
        <v>11333</v>
      </c>
      <c r="J73" s="247">
        <v>50</v>
      </c>
      <c r="K73" s="97">
        <v>34</v>
      </c>
      <c r="L73" s="91">
        <f t="shared" si="7"/>
        <v>385322</v>
      </c>
      <c r="M73" s="91">
        <f t="shared" si="8"/>
        <v>181328</v>
      </c>
      <c r="N73" s="159">
        <f t="shared" si="9"/>
        <v>16</v>
      </c>
      <c r="O73" s="159"/>
      <c r="P73" s="97"/>
      <c r="Q73" s="11"/>
    </row>
    <row r="74" spans="2:17" s="114" customFormat="1">
      <c r="B74" s="292" t="s">
        <v>666</v>
      </c>
      <c r="C74" s="243">
        <v>69</v>
      </c>
      <c r="D74" s="11" t="s">
        <v>494</v>
      </c>
      <c r="E74" s="11"/>
      <c r="F74" s="19">
        <v>150000</v>
      </c>
      <c r="G74" s="19">
        <v>19995</v>
      </c>
      <c r="H74" s="329">
        <f>SUM(F74:G74)</f>
        <v>169995</v>
      </c>
      <c r="I74" s="318">
        <v>3339.9</v>
      </c>
      <c r="J74" s="247">
        <v>50</v>
      </c>
      <c r="K74" s="159">
        <v>20</v>
      </c>
      <c r="L74" s="91">
        <f t="shared" si="7"/>
        <v>66798</v>
      </c>
      <c r="M74" s="94">
        <f t="shared" si="8"/>
        <v>103197</v>
      </c>
      <c r="N74" s="159">
        <f t="shared" si="9"/>
        <v>30</v>
      </c>
      <c r="O74" s="159"/>
      <c r="P74" s="97"/>
      <c r="Q74" s="11"/>
    </row>
    <row r="75" spans="2:17" s="114" customFormat="1">
      <c r="B75" s="293" t="s">
        <v>902</v>
      </c>
      <c r="C75" s="243">
        <v>70</v>
      </c>
      <c r="D75" s="123" t="s">
        <v>732</v>
      </c>
      <c r="E75" s="123"/>
      <c r="F75" s="19">
        <v>150000</v>
      </c>
      <c r="G75" s="19">
        <v>19995</v>
      </c>
      <c r="H75" s="329">
        <f>SUM(F75:G75)</f>
        <v>169995</v>
      </c>
      <c r="I75" s="327">
        <v>3399.9</v>
      </c>
      <c r="J75" s="247">
        <v>50</v>
      </c>
      <c r="K75" s="159">
        <v>17</v>
      </c>
      <c r="L75" s="16">
        <f t="shared" si="7"/>
        <v>57798.3</v>
      </c>
      <c r="M75" s="94">
        <f t="shared" si="8"/>
        <v>112196.7</v>
      </c>
      <c r="N75" s="159">
        <f t="shared" si="9"/>
        <v>33</v>
      </c>
      <c r="O75" s="159"/>
      <c r="P75" s="159"/>
      <c r="Q75" s="11"/>
    </row>
    <row r="76" spans="2:17" s="114" customFormat="1">
      <c r="B76" s="293" t="s">
        <v>1231</v>
      </c>
      <c r="C76" s="243">
        <v>71</v>
      </c>
      <c r="D76" s="123" t="s">
        <v>1138</v>
      </c>
      <c r="E76" s="123"/>
      <c r="F76" s="19">
        <v>450000</v>
      </c>
      <c r="G76" s="19">
        <v>59985</v>
      </c>
      <c r="H76" s="329">
        <v>509985</v>
      </c>
      <c r="I76" s="327">
        <v>10199.700000000001</v>
      </c>
      <c r="J76" s="247">
        <v>50</v>
      </c>
      <c r="K76" s="159">
        <v>9</v>
      </c>
      <c r="L76" s="16">
        <f t="shared" si="7"/>
        <v>91797.3</v>
      </c>
      <c r="M76" s="94">
        <f t="shared" si="8"/>
        <v>418187.7</v>
      </c>
      <c r="N76" s="159">
        <f t="shared" si="9"/>
        <v>41</v>
      </c>
      <c r="O76" s="159"/>
      <c r="P76" s="159"/>
      <c r="Q76" s="11"/>
    </row>
    <row r="77" spans="2:17" s="114" customFormat="1">
      <c r="B77" s="292" t="s">
        <v>686</v>
      </c>
      <c r="C77" s="243">
        <v>72</v>
      </c>
      <c r="D77" s="11" t="s">
        <v>335</v>
      </c>
      <c r="E77" s="11"/>
      <c r="F77" s="16">
        <v>500000</v>
      </c>
      <c r="G77" s="16">
        <v>66650</v>
      </c>
      <c r="H77" s="331">
        <f>SUM(F77:G77)</f>
        <v>566650</v>
      </c>
      <c r="I77" s="318">
        <v>11333</v>
      </c>
      <c r="J77" s="247">
        <v>50</v>
      </c>
      <c r="K77" s="97">
        <v>47</v>
      </c>
      <c r="L77" s="91">
        <f t="shared" si="7"/>
        <v>532651</v>
      </c>
      <c r="M77" s="94">
        <f t="shared" si="8"/>
        <v>33999</v>
      </c>
      <c r="N77" s="159">
        <f t="shared" si="9"/>
        <v>3</v>
      </c>
      <c r="O77" s="159"/>
      <c r="P77" s="97"/>
      <c r="Q77" s="8"/>
    </row>
    <row r="78" spans="2:17" s="114" customFormat="1">
      <c r="B78" s="293" t="s">
        <v>890</v>
      </c>
      <c r="C78" s="243">
        <v>73</v>
      </c>
      <c r="D78" s="123" t="s">
        <v>295</v>
      </c>
      <c r="E78" s="123"/>
      <c r="F78" s="16">
        <v>500000</v>
      </c>
      <c r="G78" s="16">
        <v>66650</v>
      </c>
      <c r="H78" s="331">
        <f>SUM(F78:G78)</f>
        <v>566650</v>
      </c>
      <c r="I78" s="327">
        <v>11333</v>
      </c>
      <c r="J78" s="247">
        <v>50</v>
      </c>
      <c r="K78" s="159">
        <v>17</v>
      </c>
      <c r="L78" s="16">
        <f t="shared" si="7"/>
        <v>192661</v>
      </c>
      <c r="M78" s="94">
        <f t="shared" si="8"/>
        <v>373989</v>
      </c>
      <c r="N78" s="159">
        <f t="shared" si="9"/>
        <v>33</v>
      </c>
      <c r="O78" s="159"/>
      <c r="P78" s="159"/>
      <c r="Q78" s="11"/>
    </row>
    <row r="79" spans="2:17" s="114" customFormat="1">
      <c r="B79" s="292" t="s">
        <v>530</v>
      </c>
      <c r="C79" s="243">
        <v>74</v>
      </c>
      <c r="D79" s="11" t="s">
        <v>336</v>
      </c>
      <c r="E79" s="11"/>
      <c r="F79" s="16">
        <v>500000</v>
      </c>
      <c r="G79" s="16">
        <v>66650</v>
      </c>
      <c r="H79" s="330">
        <v>566650</v>
      </c>
      <c r="I79" s="318">
        <v>11333</v>
      </c>
      <c r="J79" s="247">
        <v>50</v>
      </c>
      <c r="K79" s="97">
        <v>47</v>
      </c>
      <c r="L79" s="91">
        <f t="shared" si="7"/>
        <v>532651</v>
      </c>
      <c r="M79" s="94">
        <f t="shared" si="8"/>
        <v>33999</v>
      </c>
      <c r="N79" s="159">
        <f t="shared" si="9"/>
        <v>3</v>
      </c>
      <c r="O79" s="159"/>
      <c r="P79" s="97"/>
      <c r="Q79" s="11"/>
    </row>
    <row r="80" spans="2:17" s="114" customFormat="1">
      <c r="B80" s="292" t="s">
        <v>886</v>
      </c>
      <c r="C80" s="243">
        <v>75</v>
      </c>
      <c r="D80" s="11" t="s">
        <v>865</v>
      </c>
      <c r="E80" s="11"/>
      <c r="F80" s="16">
        <v>500000</v>
      </c>
      <c r="G80" s="16">
        <v>66650</v>
      </c>
      <c r="H80" s="331">
        <f>SUM(F80:G80)</f>
        <v>566650</v>
      </c>
      <c r="I80" s="318">
        <v>11333</v>
      </c>
      <c r="J80" s="247">
        <v>50</v>
      </c>
      <c r="K80" s="97">
        <v>48</v>
      </c>
      <c r="L80" s="91">
        <f t="shared" si="7"/>
        <v>543984</v>
      </c>
      <c r="M80" s="94">
        <f t="shared" si="8"/>
        <v>22666</v>
      </c>
      <c r="N80" s="159">
        <f t="shared" si="9"/>
        <v>2</v>
      </c>
      <c r="O80" s="159"/>
      <c r="P80" s="97"/>
      <c r="Q80" s="11"/>
    </row>
    <row r="81" spans="2:17" s="114" customFormat="1">
      <c r="B81" s="292" t="s">
        <v>551</v>
      </c>
      <c r="C81" s="243">
        <v>76</v>
      </c>
      <c r="D81" s="11" t="s">
        <v>339</v>
      </c>
      <c r="E81" s="11"/>
      <c r="F81" s="19">
        <v>500000</v>
      </c>
      <c r="G81" s="19">
        <v>66650</v>
      </c>
      <c r="H81" s="329">
        <v>566650</v>
      </c>
      <c r="I81" s="318">
        <v>11333</v>
      </c>
      <c r="J81" s="247">
        <v>50</v>
      </c>
      <c r="K81" s="97">
        <v>34</v>
      </c>
      <c r="L81" s="91">
        <f t="shared" si="7"/>
        <v>385322</v>
      </c>
      <c r="M81" s="91">
        <f t="shared" si="8"/>
        <v>181328</v>
      </c>
      <c r="N81" s="159">
        <f t="shared" si="9"/>
        <v>16</v>
      </c>
      <c r="O81" s="159"/>
      <c r="P81" s="97"/>
      <c r="Q81" s="11"/>
    </row>
    <row r="82" spans="2:17" s="114" customFormat="1">
      <c r="B82" s="292" t="s">
        <v>518</v>
      </c>
      <c r="C82" s="243">
        <v>77</v>
      </c>
      <c r="D82" s="11" t="s">
        <v>341</v>
      </c>
      <c r="E82" s="11"/>
      <c r="F82" s="19">
        <v>500000</v>
      </c>
      <c r="G82" s="19">
        <v>66650</v>
      </c>
      <c r="H82" s="329">
        <v>566650</v>
      </c>
      <c r="I82" s="318">
        <v>11333</v>
      </c>
      <c r="J82" s="247">
        <v>50</v>
      </c>
      <c r="K82" s="97">
        <v>34</v>
      </c>
      <c r="L82" s="91">
        <f t="shared" si="7"/>
        <v>385322</v>
      </c>
      <c r="M82" s="91">
        <f t="shared" si="8"/>
        <v>181328</v>
      </c>
      <c r="N82" s="159">
        <f t="shared" si="9"/>
        <v>16</v>
      </c>
      <c r="O82" s="159"/>
      <c r="P82" s="97"/>
      <c r="Q82" s="11"/>
    </row>
    <row r="83" spans="2:17" s="114" customFormat="1">
      <c r="B83" s="122" t="s">
        <v>1194</v>
      </c>
      <c r="C83" s="243">
        <v>78</v>
      </c>
      <c r="D83" s="11" t="s">
        <v>448</v>
      </c>
      <c r="E83" s="122"/>
      <c r="F83" s="16">
        <v>500000</v>
      </c>
      <c r="G83" s="16">
        <v>66650</v>
      </c>
      <c r="H83" s="331">
        <f>SUM(F83:G83)</f>
        <v>566650</v>
      </c>
      <c r="I83" s="16">
        <v>11333</v>
      </c>
      <c r="J83" s="247">
        <v>50</v>
      </c>
      <c r="K83" s="188">
        <v>7</v>
      </c>
      <c r="L83" s="16">
        <f t="shared" si="7"/>
        <v>79331</v>
      </c>
      <c r="M83" s="94">
        <f t="shared" si="8"/>
        <v>487319</v>
      </c>
      <c r="N83" s="159">
        <f t="shared" si="9"/>
        <v>43</v>
      </c>
      <c r="O83" s="159"/>
      <c r="P83" s="159"/>
      <c r="Q83" s="11"/>
    </row>
    <row r="84" spans="2:17" s="114" customFormat="1">
      <c r="B84" s="295" t="s">
        <v>943</v>
      </c>
      <c r="C84" s="243">
        <v>79</v>
      </c>
      <c r="D84" s="11" t="s">
        <v>986</v>
      </c>
      <c r="E84" s="8"/>
      <c r="F84" s="16">
        <v>450000</v>
      </c>
      <c r="G84" s="16">
        <v>59985</v>
      </c>
      <c r="H84" s="331">
        <f>SUM(F84:G84)</f>
        <v>509985</v>
      </c>
      <c r="I84" s="319">
        <v>10199.700000000001</v>
      </c>
      <c r="J84" s="247">
        <v>50</v>
      </c>
      <c r="K84" s="159">
        <v>47</v>
      </c>
      <c r="L84" s="16">
        <f t="shared" si="7"/>
        <v>479385.9</v>
      </c>
      <c r="M84" s="94">
        <f t="shared" si="8"/>
        <v>30599.099999999977</v>
      </c>
      <c r="N84" s="159">
        <f t="shared" si="9"/>
        <v>3</v>
      </c>
      <c r="O84" s="159"/>
      <c r="P84" s="159"/>
      <c r="Q84" s="11"/>
    </row>
    <row r="85" spans="2:17" s="114" customFormat="1">
      <c r="B85" s="292" t="s">
        <v>655</v>
      </c>
      <c r="C85" s="243">
        <v>80</v>
      </c>
      <c r="D85" s="11" t="s">
        <v>367</v>
      </c>
      <c r="E85" s="11"/>
      <c r="F85" s="16">
        <v>450000</v>
      </c>
      <c r="G85" s="16">
        <v>59985</v>
      </c>
      <c r="H85" s="331">
        <f>SUM(F85:G85)</f>
        <v>509985</v>
      </c>
      <c r="I85" s="318">
        <v>10199.700000000001</v>
      </c>
      <c r="J85" s="247">
        <v>50</v>
      </c>
      <c r="K85" s="97">
        <v>48</v>
      </c>
      <c r="L85" s="91">
        <f t="shared" si="7"/>
        <v>489585.60000000003</v>
      </c>
      <c r="M85" s="94">
        <f t="shared" si="8"/>
        <v>20399.399999999965</v>
      </c>
      <c r="N85" s="159">
        <f t="shared" si="9"/>
        <v>2</v>
      </c>
      <c r="O85" s="159"/>
      <c r="P85" s="97"/>
      <c r="Q85" s="11"/>
    </row>
    <row r="86" spans="2:17" s="114" customFormat="1">
      <c r="B86" s="292" t="s">
        <v>883</v>
      </c>
      <c r="C86" s="243">
        <v>81</v>
      </c>
      <c r="D86" s="11" t="s">
        <v>867</v>
      </c>
      <c r="E86" s="11"/>
      <c r="F86" s="16">
        <v>500000</v>
      </c>
      <c r="G86" s="16">
        <v>66650</v>
      </c>
      <c r="H86" s="331">
        <f>SUM(F86:G86)</f>
        <v>566650</v>
      </c>
      <c r="I86" s="318">
        <v>11333</v>
      </c>
      <c r="J86" s="247">
        <v>50</v>
      </c>
      <c r="K86" s="97">
        <v>56</v>
      </c>
      <c r="L86" s="91">
        <f t="shared" si="7"/>
        <v>634648</v>
      </c>
      <c r="M86" s="94">
        <f t="shared" si="8"/>
        <v>-67998</v>
      </c>
      <c r="N86" s="159">
        <f t="shared" si="9"/>
        <v>-6</v>
      </c>
      <c r="O86" s="159"/>
      <c r="P86" s="97"/>
      <c r="Q86" s="123"/>
    </row>
    <row r="87" spans="2:17" s="114" customFormat="1">
      <c r="B87" s="292" t="s">
        <v>596</v>
      </c>
      <c r="C87" s="243">
        <v>82</v>
      </c>
      <c r="D87" s="11" t="s">
        <v>345</v>
      </c>
      <c r="E87" s="11"/>
      <c r="F87" s="19">
        <v>500000</v>
      </c>
      <c r="G87" s="19">
        <v>66650</v>
      </c>
      <c r="H87" s="329">
        <v>566650</v>
      </c>
      <c r="I87" s="318">
        <v>11333</v>
      </c>
      <c r="J87" s="247">
        <v>50</v>
      </c>
      <c r="K87" s="97">
        <v>34</v>
      </c>
      <c r="L87" s="91">
        <f t="shared" si="7"/>
        <v>385322</v>
      </c>
      <c r="M87" s="91">
        <f t="shared" si="8"/>
        <v>181328</v>
      </c>
      <c r="N87" s="159">
        <f t="shared" si="9"/>
        <v>16</v>
      </c>
      <c r="O87" s="159"/>
      <c r="P87" s="97"/>
      <c r="Q87" s="8"/>
    </row>
    <row r="88" spans="2:17" s="114" customFormat="1">
      <c r="B88" s="293" t="s">
        <v>885</v>
      </c>
      <c r="C88" s="243">
        <v>83</v>
      </c>
      <c r="D88" s="123" t="s">
        <v>864</v>
      </c>
      <c r="E88" s="123"/>
      <c r="F88" s="16">
        <v>500000</v>
      </c>
      <c r="G88" s="16">
        <v>66650</v>
      </c>
      <c r="H88" s="331">
        <f>SUM(F88:G88)</f>
        <v>566650</v>
      </c>
      <c r="I88" s="327">
        <v>11333</v>
      </c>
      <c r="J88" s="334">
        <v>50</v>
      </c>
      <c r="K88" s="247">
        <v>17</v>
      </c>
      <c r="L88" s="16">
        <f t="shared" si="7"/>
        <v>192661</v>
      </c>
      <c r="M88" s="94">
        <f t="shared" si="8"/>
        <v>373989</v>
      </c>
      <c r="N88" s="159">
        <f t="shared" si="9"/>
        <v>33</v>
      </c>
      <c r="O88" s="159"/>
      <c r="P88" s="159"/>
      <c r="Q88" s="11"/>
    </row>
    <row r="89" spans="2:17" s="114" customFormat="1">
      <c r="B89" s="8" t="s">
        <v>1184</v>
      </c>
      <c r="C89" s="243">
        <v>84</v>
      </c>
      <c r="D89" s="8" t="s">
        <v>1285</v>
      </c>
      <c r="E89" s="8"/>
      <c r="F89" s="16">
        <v>500000</v>
      </c>
      <c r="G89" s="16">
        <v>66650</v>
      </c>
      <c r="H89" s="331">
        <f>SUM(F89:G89)</f>
        <v>566650</v>
      </c>
      <c r="I89" s="34">
        <v>11333</v>
      </c>
      <c r="J89" s="247">
        <v>50</v>
      </c>
      <c r="K89" s="323">
        <v>2</v>
      </c>
      <c r="L89" s="16">
        <f t="shared" si="7"/>
        <v>22666</v>
      </c>
      <c r="M89" s="94">
        <f t="shared" si="8"/>
        <v>543984</v>
      </c>
      <c r="N89" s="159">
        <f t="shared" si="9"/>
        <v>48</v>
      </c>
      <c r="O89" s="34"/>
      <c r="P89" s="34"/>
      <c r="Q89" s="8"/>
    </row>
    <row r="90" spans="2:17" s="114" customFormat="1">
      <c r="B90" s="293" t="s">
        <v>1237</v>
      </c>
      <c r="C90" s="243">
        <v>85</v>
      </c>
      <c r="D90" s="123" t="s">
        <v>1139</v>
      </c>
      <c r="E90" s="123"/>
      <c r="F90" s="16">
        <v>500000</v>
      </c>
      <c r="G90" s="16">
        <v>66650</v>
      </c>
      <c r="H90" s="331">
        <f>SUM(F90:G90)</f>
        <v>566650</v>
      </c>
      <c r="I90" s="327">
        <v>11333</v>
      </c>
      <c r="J90" s="247">
        <v>50</v>
      </c>
      <c r="K90" s="159">
        <v>9</v>
      </c>
      <c r="L90" s="16">
        <f t="shared" si="7"/>
        <v>101997</v>
      </c>
      <c r="M90" s="94">
        <f t="shared" si="8"/>
        <v>464653</v>
      </c>
      <c r="N90" s="159">
        <f t="shared" si="9"/>
        <v>41</v>
      </c>
      <c r="O90" s="159"/>
      <c r="P90" s="159"/>
      <c r="Q90" s="8"/>
    </row>
    <row r="91" spans="2:17" s="114" customFormat="1">
      <c r="B91" s="8" t="s">
        <v>1223</v>
      </c>
      <c r="C91" s="243">
        <v>86</v>
      </c>
      <c r="D91" s="8" t="s">
        <v>443</v>
      </c>
      <c r="E91" s="8"/>
      <c r="F91" s="19">
        <v>330000</v>
      </c>
      <c r="G91" s="19">
        <v>43989</v>
      </c>
      <c r="H91" s="329">
        <f>SUM(F91:G91)</f>
        <v>373989</v>
      </c>
      <c r="I91" s="34">
        <v>7479.78</v>
      </c>
      <c r="J91" s="247">
        <v>50</v>
      </c>
      <c r="K91" s="323">
        <v>2</v>
      </c>
      <c r="L91" s="16">
        <f t="shared" si="7"/>
        <v>14959.56</v>
      </c>
      <c r="M91" s="94">
        <f t="shared" si="8"/>
        <v>359029.44</v>
      </c>
      <c r="N91" s="159">
        <f t="shared" si="9"/>
        <v>48</v>
      </c>
      <c r="O91" s="34"/>
      <c r="P91" s="34"/>
      <c r="Q91" s="8"/>
    </row>
    <row r="92" spans="2:17" s="114" customFormat="1">
      <c r="B92" s="292" t="s">
        <v>642</v>
      </c>
      <c r="C92" s="243">
        <v>87</v>
      </c>
      <c r="D92" s="11" t="s">
        <v>444</v>
      </c>
      <c r="E92" s="11"/>
      <c r="F92" s="16">
        <v>500000</v>
      </c>
      <c r="G92" s="16">
        <v>66650</v>
      </c>
      <c r="H92" s="330">
        <v>566650</v>
      </c>
      <c r="I92" s="252">
        <v>11333</v>
      </c>
      <c r="J92" s="247">
        <v>50</v>
      </c>
      <c r="K92" s="101">
        <v>22</v>
      </c>
      <c r="L92" s="91">
        <f t="shared" si="7"/>
        <v>249326</v>
      </c>
      <c r="M92" s="94">
        <f t="shared" si="8"/>
        <v>317324</v>
      </c>
      <c r="N92" s="159">
        <f t="shared" si="9"/>
        <v>28</v>
      </c>
      <c r="O92" s="159"/>
      <c r="P92" s="97"/>
      <c r="Q92" s="11"/>
    </row>
    <row r="93" spans="2:17" s="114" customFormat="1">
      <c r="B93" s="292" t="s">
        <v>661</v>
      </c>
      <c r="C93" s="243">
        <v>88</v>
      </c>
      <c r="D93" s="11" t="s">
        <v>346</v>
      </c>
      <c r="E93" s="11"/>
      <c r="F93" s="19">
        <v>500000</v>
      </c>
      <c r="G93" s="19">
        <v>66650</v>
      </c>
      <c r="H93" s="329">
        <v>566650</v>
      </c>
      <c r="I93" s="318">
        <v>11333</v>
      </c>
      <c r="J93" s="247">
        <v>50</v>
      </c>
      <c r="K93" s="97">
        <v>33</v>
      </c>
      <c r="L93" s="91">
        <f t="shared" si="7"/>
        <v>373989</v>
      </c>
      <c r="M93" s="91">
        <f t="shared" si="8"/>
        <v>192661</v>
      </c>
      <c r="N93" s="159">
        <f t="shared" si="9"/>
        <v>17</v>
      </c>
      <c r="O93" s="159"/>
      <c r="P93" s="97"/>
      <c r="Q93" s="11"/>
    </row>
    <row r="94" spans="2:17" s="114" customFormat="1">
      <c r="B94" s="294" t="s">
        <v>723</v>
      </c>
      <c r="C94" s="243">
        <v>89</v>
      </c>
      <c r="D94" s="11" t="s">
        <v>861</v>
      </c>
      <c r="E94" s="11"/>
      <c r="F94" s="16">
        <v>500000</v>
      </c>
      <c r="G94" s="16">
        <v>66650</v>
      </c>
      <c r="H94" s="331">
        <f>SUM(F94:G94)</f>
        <v>566650</v>
      </c>
      <c r="I94" s="327">
        <v>11333</v>
      </c>
      <c r="J94" s="247">
        <v>50</v>
      </c>
      <c r="K94" s="159">
        <v>15</v>
      </c>
      <c r="L94" s="91">
        <f t="shared" si="7"/>
        <v>169995</v>
      </c>
      <c r="M94" s="94">
        <f t="shared" si="8"/>
        <v>396655</v>
      </c>
      <c r="N94" s="159">
        <f t="shared" si="9"/>
        <v>35</v>
      </c>
      <c r="O94" s="159"/>
      <c r="P94" s="97"/>
      <c r="Q94" s="11"/>
    </row>
    <row r="95" spans="2:17" s="114" customFormat="1">
      <c r="B95" s="293" t="s">
        <v>1225</v>
      </c>
      <c r="C95" s="243">
        <v>90</v>
      </c>
      <c r="D95" s="11" t="s">
        <v>1135</v>
      </c>
      <c r="E95" s="11"/>
      <c r="F95" s="16">
        <v>500000</v>
      </c>
      <c r="G95" s="16">
        <v>66650</v>
      </c>
      <c r="H95" s="331">
        <f>SUM(F95:G95)</f>
        <v>566650</v>
      </c>
      <c r="I95" s="327">
        <v>11333</v>
      </c>
      <c r="J95" s="247">
        <v>50</v>
      </c>
      <c r="K95" s="96">
        <v>10</v>
      </c>
      <c r="L95" s="91">
        <f t="shared" si="7"/>
        <v>113330</v>
      </c>
      <c r="M95" s="94">
        <f t="shared" si="8"/>
        <v>453320</v>
      </c>
      <c r="N95" s="159">
        <f t="shared" si="9"/>
        <v>40</v>
      </c>
      <c r="O95" s="159"/>
      <c r="P95" s="97"/>
      <c r="Q95" s="11"/>
    </row>
    <row r="96" spans="2:17" s="114" customFormat="1">
      <c r="B96" s="293" t="s">
        <v>1178</v>
      </c>
      <c r="C96" s="243">
        <v>91</v>
      </c>
      <c r="D96" s="11" t="s">
        <v>1121</v>
      </c>
      <c r="E96" s="11"/>
      <c r="F96" s="12">
        <v>150000</v>
      </c>
      <c r="G96" s="12">
        <v>19995</v>
      </c>
      <c r="H96" s="332">
        <f>SUM(F96:G96)</f>
        <v>169995</v>
      </c>
      <c r="I96" s="327">
        <v>3399.9</v>
      </c>
      <c r="J96" s="248">
        <v>50</v>
      </c>
      <c r="K96" s="96">
        <v>10</v>
      </c>
      <c r="L96" s="91">
        <f t="shared" si="7"/>
        <v>33999</v>
      </c>
      <c r="M96" s="94">
        <f t="shared" si="8"/>
        <v>135996</v>
      </c>
      <c r="N96" s="159">
        <f t="shared" si="9"/>
        <v>40</v>
      </c>
      <c r="O96" s="159"/>
      <c r="P96" s="97"/>
      <c r="Q96" s="11"/>
    </row>
    <row r="97" spans="2:17" s="114" customFormat="1">
      <c r="B97" s="292" t="s">
        <v>719</v>
      </c>
      <c r="C97" s="243">
        <v>92</v>
      </c>
      <c r="D97" s="11" t="s">
        <v>487</v>
      </c>
      <c r="E97" s="11"/>
      <c r="F97" s="16">
        <v>500000</v>
      </c>
      <c r="G97" s="16">
        <v>66650</v>
      </c>
      <c r="H97" s="330">
        <v>566650</v>
      </c>
      <c r="I97" s="318">
        <v>11333</v>
      </c>
      <c r="J97" s="247">
        <v>50</v>
      </c>
      <c r="K97" s="101">
        <v>22</v>
      </c>
      <c r="L97" s="91">
        <f t="shared" si="7"/>
        <v>249326</v>
      </c>
      <c r="M97" s="94">
        <f t="shared" si="8"/>
        <v>317324</v>
      </c>
      <c r="N97" s="159">
        <f t="shared" si="9"/>
        <v>28</v>
      </c>
      <c r="O97" s="159"/>
      <c r="P97" s="97"/>
      <c r="Q97" s="8"/>
    </row>
    <row r="98" spans="2:17" s="114" customFormat="1">
      <c r="B98" s="292" t="s">
        <v>668</v>
      </c>
      <c r="C98" s="243">
        <v>93</v>
      </c>
      <c r="D98" s="11" t="s">
        <v>368</v>
      </c>
      <c r="E98" s="11"/>
      <c r="F98" s="16">
        <v>450000</v>
      </c>
      <c r="G98" s="16">
        <v>59985</v>
      </c>
      <c r="H98" s="330">
        <v>509985</v>
      </c>
      <c r="I98" s="318">
        <v>10199.700000000001</v>
      </c>
      <c r="J98" s="247">
        <v>50</v>
      </c>
      <c r="K98" s="97">
        <v>33</v>
      </c>
      <c r="L98" s="91">
        <f t="shared" si="7"/>
        <v>336590.10000000003</v>
      </c>
      <c r="M98" s="91">
        <f t="shared" si="8"/>
        <v>173394.89999999997</v>
      </c>
      <c r="N98" s="159">
        <f t="shared" si="9"/>
        <v>17</v>
      </c>
      <c r="O98" s="159"/>
      <c r="P98" s="97"/>
      <c r="Q98" s="11"/>
    </row>
    <row r="99" spans="2:17" s="114" customFormat="1">
      <c r="B99" s="292" t="s">
        <v>594</v>
      </c>
      <c r="C99" s="243">
        <v>94</v>
      </c>
      <c r="D99" s="11" t="s">
        <v>347</v>
      </c>
      <c r="E99" s="11"/>
      <c r="F99" s="16">
        <v>500000</v>
      </c>
      <c r="G99" s="16">
        <v>66650</v>
      </c>
      <c r="H99" s="331">
        <f>SUM(F99:G99)</f>
        <v>566650</v>
      </c>
      <c r="I99" s="318">
        <v>11333</v>
      </c>
      <c r="J99" s="247">
        <v>50</v>
      </c>
      <c r="K99" s="97">
        <v>48</v>
      </c>
      <c r="L99" s="91">
        <f t="shared" si="7"/>
        <v>543984</v>
      </c>
      <c r="M99" s="94">
        <f t="shared" si="8"/>
        <v>22666</v>
      </c>
      <c r="N99" s="159">
        <f t="shared" si="9"/>
        <v>2</v>
      </c>
      <c r="O99" s="159"/>
      <c r="P99" s="97"/>
      <c r="Q99" s="11"/>
    </row>
    <row r="100" spans="2:17" s="114" customFormat="1">
      <c r="B100" s="295" t="s">
        <v>1188</v>
      </c>
      <c r="C100" s="243">
        <v>95</v>
      </c>
      <c r="D100" s="8" t="s">
        <v>1295</v>
      </c>
      <c r="E100" s="8"/>
      <c r="F100" s="19">
        <v>330000</v>
      </c>
      <c r="G100" s="19">
        <v>43989</v>
      </c>
      <c r="H100" s="329">
        <f>SUM(F100:G100)</f>
        <v>373989</v>
      </c>
      <c r="I100" s="13">
        <v>7479.78</v>
      </c>
      <c r="J100" s="247">
        <v>50</v>
      </c>
      <c r="K100" s="101">
        <v>2</v>
      </c>
      <c r="L100" s="16">
        <f t="shared" si="7"/>
        <v>14959.56</v>
      </c>
      <c r="M100" s="94">
        <f t="shared" si="8"/>
        <v>359029.44</v>
      </c>
      <c r="N100" s="159">
        <f t="shared" si="9"/>
        <v>48</v>
      </c>
      <c r="O100" s="101"/>
      <c r="P100" s="101"/>
      <c r="Q100" s="8"/>
    </row>
    <row r="101" spans="2:17" s="114" customFormat="1">
      <c r="B101" s="293" t="s">
        <v>1207</v>
      </c>
      <c r="C101" s="243">
        <v>96</v>
      </c>
      <c r="D101" s="123" t="s">
        <v>1130</v>
      </c>
      <c r="E101" s="123"/>
      <c r="F101" s="19">
        <v>330000</v>
      </c>
      <c r="G101" s="19">
        <v>43989</v>
      </c>
      <c r="H101" s="329">
        <f>SUM(F101:G101)</f>
        <v>373989</v>
      </c>
      <c r="I101" s="327">
        <v>7479.78</v>
      </c>
      <c r="J101" s="247">
        <v>50</v>
      </c>
      <c r="K101" s="159">
        <v>9</v>
      </c>
      <c r="L101" s="16">
        <f t="shared" si="7"/>
        <v>67318.02</v>
      </c>
      <c r="M101" s="94">
        <f t="shared" si="8"/>
        <v>306670.98</v>
      </c>
      <c r="N101" s="159">
        <f t="shared" si="9"/>
        <v>41</v>
      </c>
      <c r="O101" s="159"/>
      <c r="P101" s="159"/>
      <c r="Q101" s="11"/>
    </row>
    <row r="102" spans="2:17" s="114" customFormat="1">
      <c r="B102" s="292" t="s">
        <v>585</v>
      </c>
      <c r="C102" s="243">
        <v>97</v>
      </c>
      <c r="D102" s="11" t="s">
        <v>348</v>
      </c>
      <c r="E102" s="11"/>
      <c r="F102" s="161">
        <v>500000</v>
      </c>
      <c r="G102" s="161">
        <v>66650</v>
      </c>
      <c r="H102" s="333">
        <f>SUM(F102:G102)</f>
        <v>566650</v>
      </c>
      <c r="I102" s="318">
        <v>11333</v>
      </c>
      <c r="J102" s="243">
        <v>50</v>
      </c>
      <c r="K102" s="97">
        <v>48</v>
      </c>
      <c r="L102" s="146">
        <f>K102*I102</f>
        <v>543984</v>
      </c>
      <c r="M102" s="164">
        <f t="shared" ref="M102:M133" si="10">H102-L102</f>
        <v>22666</v>
      </c>
      <c r="N102" s="159">
        <f t="shared" ref="N102:N134" si="11">J102-K102</f>
        <v>2</v>
      </c>
      <c r="O102" s="159"/>
      <c r="P102" s="97"/>
      <c r="Q102" s="11"/>
    </row>
    <row r="103" spans="2:17" s="114" customFormat="1">
      <c r="B103" s="293" t="s">
        <v>899</v>
      </c>
      <c r="C103" s="243">
        <v>98</v>
      </c>
      <c r="D103" s="123" t="s">
        <v>852</v>
      </c>
      <c r="E103" s="123"/>
      <c r="F103" s="19">
        <v>330000</v>
      </c>
      <c r="G103" s="19">
        <v>43989</v>
      </c>
      <c r="H103" s="329">
        <f>SUM(F103:G103)</f>
        <v>373989</v>
      </c>
      <c r="I103" s="327">
        <v>7479.78</v>
      </c>
      <c r="J103" s="247">
        <v>50</v>
      </c>
      <c r="K103" s="159">
        <v>17</v>
      </c>
      <c r="L103" s="16">
        <f>K103*I103</f>
        <v>127156.26</v>
      </c>
      <c r="M103" s="94">
        <f t="shared" si="10"/>
        <v>246832.74</v>
      </c>
      <c r="N103" s="159">
        <f t="shared" si="11"/>
        <v>33</v>
      </c>
      <c r="O103" s="159"/>
      <c r="P103" s="159"/>
      <c r="Q103" s="11"/>
    </row>
    <row r="104" spans="2:17" s="114" customFormat="1">
      <c r="B104" s="295" t="s">
        <v>1199</v>
      </c>
      <c r="C104" s="243">
        <v>99</v>
      </c>
      <c r="D104" s="8" t="s">
        <v>449</v>
      </c>
      <c r="E104" s="8"/>
      <c r="F104" s="19">
        <v>450000</v>
      </c>
      <c r="G104" s="19">
        <v>59985</v>
      </c>
      <c r="H104" s="329">
        <v>509985</v>
      </c>
      <c r="I104" s="13">
        <v>10199.700000000001</v>
      </c>
      <c r="J104" s="247">
        <v>50</v>
      </c>
      <c r="K104" s="101">
        <v>2</v>
      </c>
      <c r="L104" s="16">
        <f>K104*I104</f>
        <v>20399.400000000001</v>
      </c>
      <c r="M104" s="94">
        <f t="shared" si="10"/>
        <v>489585.6</v>
      </c>
      <c r="N104" s="159">
        <f t="shared" si="11"/>
        <v>48</v>
      </c>
      <c r="O104" s="101"/>
      <c r="P104" s="101"/>
      <c r="Q104" s="8"/>
    </row>
    <row r="105" spans="2:17" s="114" customFormat="1">
      <c r="B105" s="292" t="s">
        <v>647</v>
      </c>
      <c r="C105" s="243">
        <v>100</v>
      </c>
      <c r="D105" s="11" t="s">
        <v>349</v>
      </c>
      <c r="E105" s="11"/>
      <c r="F105" s="16">
        <v>500000</v>
      </c>
      <c r="G105" s="16">
        <v>66650</v>
      </c>
      <c r="H105" s="331">
        <f t="shared" ref="H105:H110" si="12">SUM(F105:G105)</f>
        <v>566650</v>
      </c>
      <c r="I105" s="318">
        <v>11333</v>
      </c>
      <c r="J105" s="247">
        <v>50</v>
      </c>
      <c r="K105" s="97">
        <v>26</v>
      </c>
      <c r="L105" s="91">
        <f>(1*11333)</f>
        <v>11333</v>
      </c>
      <c r="M105" s="91">
        <f t="shared" si="10"/>
        <v>555317</v>
      </c>
      <c r="N105" s="159">
        <f t="shared" si="11"/>
        <v>24</v>
      </c>
      <c r="O105" s="159"/>
      <c r="P105" s="97"/>
      <c r="Q105" s="11"/>
    </row>
    <row r="106" spans="2:17" s="114" customFormat="1">
      <c r="B106" s="122" t="s">
        <v>1176</v>
      </c>
      <c r="C106" s="243">
        <v>101</v>
      </c>
      <c r="D106" s="11" t="s">
        <v>1293</v>
      </c>
      <c r="E106" s="122"/>
      <c r="F106" s="16">
        <v>500000</v>
      </c>
      <c r="G106" s="16">
        <v>66650</v>
      </c>
      <c r="H106" s="331">
        <f t="shared" si="12"/>
        <v>566650</v>
      </c>
      <c r="I106" s="16">
        <v>11333</v>
      </c>
      <c r="J106" s="247">
        <v>50</v>
      </c>
      <c r="K106" s="188">
        <v>7</v>
      </c>
      <c r="L106" s="16">
        <f t="shared" ref="L106:L111" si="13">K106*I106</f>
        <v>79331</v>
      </c>
      <c r="M106" s="94">
        <f t="shared" si="10"/>
        <v>487319</v>
      </c>
      <c r="N106" s="159">
        <f t="shared" si="11"/>
        <v>43</v>
      </c>
      <c r="O106" s="159"/>
      <c r="P106" s="159"/>
      <c r="Q106" s="11"/>
    </row>
    <row r="107" spans="2:17" s="114" customFormat="1">
      <c r="B107" s="293" t="s">
        <v>929</v>
      </c>
      <c r="C107" s="243">
        <v>102</v>
      </c>
      <c r="D107" s="11" t="s">
        <v>979</v>
      </c>
      <c r="E107" s="11"/>
      <c r="F107" s="16">
        <v>500000</v>
      </c>
      <c r="G107" s="16">
        <v>66650</v>
      </c>
      <c r="H107" s="331">
        <f t="shared" si="12"/>
        <v>566650</v>
      </c>
      <c r="I107" s="327">
        <v>11333</v>
      </c>
      <c r="J107" s="247">
        <v>50</v>
      </c>
      <c r="K107" s="159">
        <v>47</v>
      </c>
      <c r="L107" s="16">
        <f t="shared" si="13"/>
        <v>532651</v>
      </c>
      <c r="M107" s="94">
        <f t="shared" si="10"/>
        <v>33999</v>
      </c>
      <c r="N107" s="159">
        <f t="shared" si="11"/>
        <v>3</v>
      </c>
      <c r="O107" s="159"/>
      <c r="P107" s="159"/>
      <c r="Q107" s="122"/>
    </row>
    <row r="108" spans="2:17" s="114" customFormat="1">
      <c r="B108" s="295" t="s">
        <v>941</v>
      </c>
      <c r="C108" s="243">
        <v>103</v>
      </c>
      <c r="D108" s="11" t="s">
        <v>1066</v>
      </c>
      <c r="E108" s="8"/>
      <c r="F108" s="19">
        <v>330000</v>
      </c>
      <c r="G108" s="19">
        <v>43989</v>
      </c>
      <c r="H108" s="329">
        <f t="shared" si="12"/>
        <v>373989</v>
      </c>
      <c r="I108" s="319">
        <v>7479.78</v>
      </c>
      <c r="J108" s="247">
        <v>50</v>
      </c>
      <c r="K108" s="159">
        <v>14</v>
      </c>
      <c r="L108" s="16">
        <f t="shared" si="13"/>
        <v>104716.92</v>
      </c>
      <c r="M108" s="94">
        <f t="shared" si="10"/>
        <v>269272.08</v>
      </c>
      <c r="N108" s="159">
        <f t="shared" si="11"/>
        <v>36</v>
      </c>
      <c r="O108" s="159"/>
      <c r="P108" s="159"/>
      <c r="Q108" s="11"/>
    </row>
    <row r="109" spans="2:17" s="114" customFormat="1">
      <c r="B109" s="292" t="s">
        <v>600</v>
      </c>
      <c r="C109" s="243">
        <v>104</v>
      </c>
      <c r="D109" s="11" t="s">
        <v>369</v>
      </c>
      <c r="E109" s="11"/>
      <c r="F109" s="16">
        <v>450000</v>
      </c>
      <c r="G109" s="16">
        <v>59985</v>
      </c>
      <c r="H109" s="331">
        <f t="shared" si="12"/>
        <v>509985</v>
      </c>
      <c r="I109" s="318">
        <v>10199.700000000001</v>
      </c>
      <c r="J109" s="247">
        <v>50</v>
      </c>
      <c r="K109" s="97">
        <v>47</v>
      </c>
      <c r="L109" s="91">
        <f t="shared" si="13"/>
        <v>479385.9</v>
      </c>
      <c r="M109" s="94">
        <f t="shared" si="10"/>
        <v>30599.099999999977</v>
      </c>
      <c r="N109" s="159">
        <f t="shared" si="11"/>
        <v>3</v>
      </c>
      <c r="O109" s="159"/>
      <c r="P109" s="97"/>
      <c r="Q109" s="11"/>
    </row>
    <row r="110" spans="2:17" s="114" customFormat="1">
      <c r="B110" s="295" t="s">
        <v>930</v>
      </c>
      <c r="C110" s="243">
        <v>105</v>
      </c>
      <c r="D110" s="11" t="s">
        <v>992</v>
      </c>
      <c r="E110" s="8"/>
      <c r="F110" s="19">
        <v>330000</v>
      </c>
      <c r="G110" s="19">
        <v>31672.200000000012</v>
      </c>
      <c r="H110" s="329">
        <f t="shared" si="12"/>
        <v>361672.2</v>
      </c>
      <c r="I110" s="319">
        <v>10046.450000000001</v>
      </c>
      <c r="J110" s="247">
        <v>36</v>
      </c>
      <c r="K110" s="159">
        <v>21</v>
      </c>
      <c r="L110" s="16">
        <f t="shared" si="13"/>
        <v>210975.45</v>
      </c>
      <c r="M110" s="94">
        <f t="shared" si="10"/>
        <v>150696.75</v>
      </c>
      <c r="N110" s="159">
        <f t="shared" si="11"/>
        <v>15</v>
      </c>
      <c r="O110" s="159"/>
      <c r="P110" s="159"/>
      <c r="Q110" s="11"/>
    </row>
    <row r="111" spans="2:17" s="114" customFormat="1">
      <c r="B111" s="293" t="s">
        <v>1291</v>
      </c>
      <c r="C111" s="243">
        <v>106</v>
      </c>
      <c r="D111" s="123" t="s">
        <v>484</v>
      </c>
      <c r="E111" s="123"/>
      <c r="F111" s="19">
        <v>450000</v>
      </c>
      <c r="G111" s="19">
        <v>59985</v>
      </c>
      <c r="H111" s="329">
        <v>509985</v>
      </c>
      <c r="I111" s="327">
        <v>10199.700000000001</v>
      </c>
      <c r="J111" s="247">
        <v>50</v>
      </c>
      <c r="K111" s="159">
        <v>9</v>
      </c>
      <c r="L111" s="16">
        <f t="shared" si="13"/>
        <v>91797.3</v>
      </c>
      <c r="M111" s="94">
        <f t="shared" si="10"/>
        <v>418187.7</v>
      </c>
      <c r="N111" s="159">
        <f t="shared" si="11"/>
        <v>41</v>
      </c>
      <c r="O111" s="159"/>
      <c r="P111" s="159"/>
      <c r="Q111" s="8"/>
    </row>
    <row r="112" spans="2:17" s="114" customFormat="1">
      <c r="B112" s="292" t="s">
        <v>638</v>
      </c>
      <c r="C112" s="243">
        <v>107</v>
      </c>
      <c r="D112" s="11" t="s">
        <v>350</v>
      </c>
      <c r="E112" s="11"/>
      <c r="F112" s="16">
        <v>500000</v>
      </c>
      <c r="G112" s="16">
        <v>66650</v>
      </c>
      <c r="H112" s="331">
        <f>SUM(F112:G112)</f>
        <v>566650</v>
      </c>
      <c r="I112" s="318">
        <v>11333</v>
      </c>
      <c r="J112" s="247">
        <v>50</v>
      </c>
      <c r="K112" s="97">
        <v>26</v>
      </c>
      <c r="L112" s="91">
        <f>(1*11333)</f>
        <v>11333</v>
      </c>
      <c r="M112" s="91">
        <f t="shared" si="10"/>
        <v>555317</v>
      </c>
      <c r="N112" s="159">
        <f t="shared" si="11"/>
        <v>24</v>
      </c>
      <c r="O112" s="159"/>
      <c r="P112" s="97"/>
      <c r="Q112" s="8"/>
    </row>
    <row r="113" spans="2:17" s="114" customFormat="1">
      <c r="B113" s="293" t="s">
        <v>1205</v>
      </c>
      <c r="C113" s="243">
        <v>108</v>
      </c>
      <c r="D113" s="11" t="s">
        <v>452</v>
      </c>
      <c r="E113" s="11"/>
      <c r="F113" s="16">
        <v>500000</v>
      </c>
      <c r="G113" s="16">
        <v>66650</v>
      </c>
      <c r="H113" s="331">
        <f>SUM(F113:G113)</f>
        <v>566650</v>
      </c>
      <c r="I113" s="327">
        <v>11333</v>
      </c>
      <c r="J113" s="247">
        <v>50</v>
      </c>
      <c r="K113" s="96">
        <v>10</v>
      </c>
      <c r="L113" s="91">
        <f t="shared" ref="L113:L134" si="14">K113*I113</f>
        <v>113330</v>
      </c>
      <c r="M113" s="94">
        <f t="shared" si="10"/>
        <v>453320</v>
      </c>
      <c r="N113" s="159">
        <f t="shared" si="11"/>
        <v>40</v>
      </c>
      <c r="O113" s="159"/>
      <c r="P113" s="97"/>
      <c r="Q113" s="11"/>
    </row>
    <row r="114" spans="2:17" s="114" customFormat="1">
      <c r="B114" s="292" t="s">
        <v>645</v>
      </c>
      <c r="C114" s="243">
        <v>109</v>
      </c>
      <c r="D114" s="11" t="s">
        <v>351</v>
      </c>
      <c r="E114" s="11"/>
      <c r="F114" s="16">
        <v>500000</v>
      </c>
      <c r="G114" s="16">
        <v>66650</v>
      </c>
      <c r="H114" s="331">
        <f>SUM(F114:G114)</f>
        <v>566650</v>
      </c>
      <c r="I114" s="318">
        <v>11333</v>
      </c>
      <c r="J114" s="247">
        <v>50</v>
      </c>
      <c r="K114" s="97">
        <v>47</v>
      </c>
      <c r="L114" s="91">
        <f t="shared" si="14"/>
        <v>532651</v>
      </c>
      <c r="M114" s="94">
        <f t="shared" si="10"/>
        <v>33999</v>
      </c>
      <c r="N114" s="159">
        <f t="shared" si="11"/>
        <v>3</v>
      </c>
      <c r="O114" s="159"/>
      <c r="P114" s="97"/>
      <c r="Q114" s="11"/>
    </row>
    <row r="115" spans="2:17" s="114" customFormat="1">
      <c r="B115" s="293" t="s">
        <v>628</v>
      </c>
      <c r="C115" s="243">
        <v>110</v>
      </c>
      <c r="D115" s="123" t="s">
        <v>858</v>
      </c>
      <c r="E115" s="123"/>
      <c r="F115" s="19">
        <v>450000</v>
      </c>
      <c r="G115" s="19">
        <v>59985</v>
      </c>
      <c r="H115" s="329">
        <v>509985</v>
      </c>
      <c r="I115" s="327">
        <v>10199.700000000001</v>
      </c>
      <c r="J115" s="247">
        <v>50</v>
      </c>
      <c r="K115" s="159">
        <v>9</v>
      </c>
      <c r="L115" s="16">
        <f t="shared" si="14"/>
        <v>91797.3</v>
      </c>
      <c r="M115" s="94">
        <f t="shared" si="10"/>
        <v>418187.7</v>
      </c>
      <c r="N115" s="159">
        <f t="shared" si="11"/>
        <v>41</v>
      </c>
      <c r="O115" s="159"/>
      <c r="P115" s="159"/>
      <c r="Q115" s="11"/>
    </row>
    <row r="116" spans="2:17" s="114" customFormat="1">
      <c r="B116" s="292" t="s">
        <v>501</v>
      </c>
      <c r="C116" s="243">
        <v>111</v>
      </c>
      <c r="D116" s="11" t="s">
        <v>488</v>
      </c>
      <c r="E116" s="11"/>
      <c r="F116" s="16">
        <v>500000</v>
      </c>
      <c r="G116" s="16">
        <v>66650</v>
      </c>
      <c r="H116" s="330">
        <v>566650</v>
      </c>
      <c r="I116" s="146">
        <v>11333</v>
      </c>
      <c r="J116" s="247">
        <v>50</v>
      </c>
      <c r="K116" s="159">
        <v>22</v>
      </c>
      <c r="L116" s="91">
        <f t="shared" si="14"/>
        <v>249326</v>
      </c>
      <c r="M116" s="94">
        <f t="shared" si="10"/>
        <v>317324</v>
      </c>
      <c r="N116" s="159">
        <f t="shared" si="11"/>
        <v>28</v>
      </c>
      <c r="O116" s="159"/>
      <c r="P116" s="97"/>
      <c r="Q116" s="11"/>
    </row>
    <row r="117" spans="2:17" s="114" customFormat="1">
      <c r="B117" s="293" t="s">
        <v>1170</v>
      </c>
      <c r="C117" s="243">
        <v>112</v>
      </c>
      <c r="D117" s="123" t="s">
        <v>1122</v>
      </c>
      <c r="E117" s="123"/>
      <c r="F117" s="16">
        <v>500000</v>
      </c>
      <c r="G117" s="16">
        <v>66650</v>
      </c>
      <c r="H117" s="41">
        <f>SUM(F117:G117)</f>
        <v>566650</v>
      </c>
      <c r="I117" s="327">
        <v>11333</v>
      </c>
      <c r="J117" s="159">
        <v>50</v>
      </c>
      <c r="K117" s="159">
        <v>9</v>
      </c>
      <c r="L117" s="16">
        <f t="shared" si="14"/>
        <v>101997</v>
      </c>
      <c r="M117" s="94">
        <f t="shared" si="10"/>
        <v>464653</v>
      </c>
      <c r="N117" s="159">
        <f t="shared" si="11"/>
        <v>41</v>
      </c>
      <c r="O117" s="159"/>
      <c r="P117" s="159"/>
      <c r="Q117" s="11"/>
    </row>
    <row r="118" spans="2:17" s="114" customFormat="1">
      <c r="B118" s="292" t="s">
        <v>583</v>
      </c>
      <c r="C118" s="243">
        <v>113</v>
      </c>
      <c r="D118" s="11" t="s">
        <v>352</v>
      </c>
      <c r="E118" s="11"/>
      <c r="F118" s="16">
        <v>500000</v>
      </c>
      <c r="G118" s="16">
        <v>66650</v>
      </c>
      <c r="H118" s="331">
        <f>SUM(F118:G118)</f>
        <v>566650</v>
      </c>
      <c r="I118" s="318">
        <v>11333</v>
      </c>
      <c r="J118" s="159">
        <v>50</v>
      </c>
      <c r="K118" s="97">
        <v>48</v>
      </c>
      <c r="L118" s="91">
        <f t="shared" si="14"/>
        <v>543984</v>
      </c>
      <c r="M118" s="94">
        <f t="shared" si="10"/>
        <v>22666</v>
      </c>
      <c r="N118" s="159">
        <f t="shared" si="11"/>
        <v>2</v>
      </c>
      <c r="O118" s="159"/>
      <c r="P118" s="97"/>
      <c r="Q118" s="8"/>
    </row>
    <row r="119" spans="2:17" s="114" customFormat="1">
      <c r="B119" s="292" t="s">
        <v>561</v>
      </c>
      <c r="C119" s="243">
        <v>114</v>
      </c>
      <c r="D119" s="11" t="s">
        <v>371</v>
      </c>
      <c r="E119" s="11"/>
      <c r="F119" s="16">
        <v>450000</v>
      </c>
      <c r="G119" s="16">
        <v>59985</v>
      </c>
      <c r="H119" s="41">
        <f>SUM(F119:G119)</f>
        <v>509985</v>
      </c>
      <c r="I119" s="318">
        <v>10199.700000000001</v>
      </c>
      <c r="J119" s="159">
        <v>50</v>
      </c>
      <c r="K119" s="97">
        <v>48</v>
      </c>
      <c r="L119" s="91">
        <f t="shared" si="14"/>
        <v>489585.60000000003</v>
      </c>
      <c r="M119" s="94">
        <f t="shared" si="10"/>
        <v>20399.399999999965</v>
      </c>
      <c r="N119" s="159">
        <f t="shared" si="11"/>
        <v>2</v>
      </c>
      <c r="O119" s="159"/>
      <c r="P119" s="97"/>
      <c r="Q119" s="11"/>
    </row>
    <row r="120" spans="2:17" s="114" customFormat="1">
      <c r="B120" s="292" t="s">
        <v>684</v>
      </c>
      <c r="C120" s="243">
        <v>115</v>
      </c>
      <c r="D120" s="11" t="s">
        <v>353</v>
      </c>
      <c r="E120" s="11"/>
      <c r="F120" s="19">
        <v>500000</v>
      </c>
      <c r="G120" s="19">
        <v>66650</v>
      </c>
      <c r="H120" s="19">
        <v>566650</v>
      </c>
      <c r="I120" s="318">
        <v>11333</v>
      </c>
      <c r="J120" s="159">
        <v>50</v>
      </c>
      <c r="K120" s="97">
        <v>34</v>
      </c>
      <c r="L120" s="91">
        <f t="shared" si="14"/>
        <v>385322</v>
      </c>
      <c r="M120" s="91">
        <f t="shared" si="10"/>
        <v>181328</v>
      </c>
      <c r="N120" s="159">
        <f t="shared" si="11"/>
        <v>16</v>
      </c>
      <c r="O120" s="159"/>
      <c r="P120" s="97"/>
      <c r="Q120" s="11"/>
    </row>
    <row r="121" spans="2:17" s="114" customFormat="1">
      <c r="B121" s="295" t="s">
        <v>1148</v>
      </c>
      <c r="C121" s="243">
        <v>116</v>
      </c>
      <c r="D121" s="126" t="s">
        <v>1283</v>
      </c>
      <c r="E121" s="8"/>
      <c r="F121" s="16">
        <v>500000</v>
      </c>
      <c r="G121" s="16">
        <v>66650</v>
      </c>
      <c r="H121" s="331">
        <f>SUM(F121:G121)</f>
        <v>566650</v>
      </c>
      <c r="I121" s="13">
        <v>11333</v>
      </c>
      <c r="J121" s="159">
        <v>50</v>
      </c>
      <c r="K121" s="101">
        <v>2</v>
      </c>
      <c r="L121" s="16">
        <f t="shared" si="14"/>
        <v>22666</v>
      </c>
      <c r="M121" s="94">
        <f t="shared" si="10"/>
        <v>543984</v>
      </c>
      <c r="N121" s="159">
        <f t="shared" si="11"/>
        <v>48</v>
      </c>
      <c r="O121" s="101"/>
      <c r="P121" s="101"/>
      <c r="Q121" s="8"/>
    </row>
    <row r="122" spans="2:17" s="114" customFormat="1">
      <c r="B122" s="293" t="s">
        <v>901</v>
      </c>
      <c r="C122" s="243">
        <v>117</v>
      </c>
      <c r="D122" s="123" t="s">
        <v>877</v>
      </c>
      <c r="E122" s="123"/>
      <c r="F122" s="19">
        <v>330000</v>
      </c>
      <c r="G122" s="19">
        <v>43989</v>
      </c>
      <c r="H122" s="329">
        <f>SUM(F122:G122)</f>
        <v>373989</v>
      </c>
      <c r="I122" s="327">
        <v>7479.78</v>
      </c>
      <c r="J122" s="159">
        <v>50</v>
      </c>
      <c r="K122" s="159">
        <v>17</v>
      </c>
      <c r="L122" s="16">
        <f t="shared" si="14"/>
        <v>127156.26</v>
      </c>
      <c r="M122" s="94">
        <f t="shared" si="10"/>
        <v>246832.74</v>
      </c>
      <c r="N122" s="159">
        <f t="shared" si="11"/>
        <v>33</v>
      </c>
      <c r="O122" s="159"/>
      <c r="P122" s="159"/>
      <c r="Q122" s="11"/>
    </row>
    <row r="123" spans="2:17" s="114" customFormat="1">
      <c r="B123" s="292" t="s">
        <v>509</v>
      </c>
      <c r="C123" s="243">
        <v>118</v>
      </c>
      <c r="D123" s="11" t="s">
        <v>29</v>
      </c>
      <c r="E123" s="11"/>
      <c r="F123" s="19">
        <v>450000</v>
      </c>
      <c r="G123" s="19">
        <v>59985</v>
      </c>
      <c r="H123" s="19">
        <v>509985</v>
      </c>
      <c r="I123" s="318">
        <v>10199.700000000001</v>
      </c>
      <c r="J123" s="159">
        <v>50</v>
      </c>
      <c r="K123" s="97">
        <v>34</v>
      </c>
      <c r="L123" s="91">
        <f t="shared" si="14"/>
        <v>346789.80000000005</v>
      </c>
      <c r="M123" s="91">
        <f t="shared" si="10"/>
        <v>163195.19999999995</v>
      </c>
      <c r="N123" s="159">
        <f t="shared" si="11"/>
        <v>16</v>
      </c>
      <c r="O123" s="159"/>
      <c r="P123" s="97"/>
      <c r="Q123" s="11"/>
    </row>
    <row r="124" spans="2:17" s="114" customFormat="1">
      <c r="B124" s="292" t="s">
        <v>711</v>
      </c>
      <c r="C124" s="243">
        <v>119</v>
      </c>
      <c r="D124" s="11" t="s">
        <v>356</v>
      </c>
      <c r="E124" s="11"/>
      <c r="F124" s="16">
        <v>500000</v>
      </c>
      <c r="G124" s="16">
        <v>66650</v>
      </c>
      <c r="H124" s="331">
        <f>SUM(F124:G124)</f>
        <v>566650</v>
      </c>
      <c r="I124" s="318">
        <v>11333</v>
      </c>
      <c r="J124" s="159">
        <v>50</v>
      </c>
      <c r="K124" s="97">
        <v>47</v>
      </c>
      <c r="L124" s="91">
        <f t="shared" si="14"/>
        <v>532651</v>
      </c>
      <c r="M124" s="94">
        <f t="shared" si="10"/>
        <v>33999</v>
      </c>
      <c r="N124" s="159">
        <f t="shared" si="11"/>
        <v>3</v>
      </c>
      <c r="O124" s="159"/>
      <c r="P124" s="97"/>
      <c r="Q124" s="11"/>
    </row>
    <row r="125" spans="2:17" s="114" customFormat="1">
      <c r="B125" s="292" t="s">
        <v>507</v>
      </c>
      <c r="C125" s="243">
        <v>120</v>
      </c>
      <c r="D125" s="11" t="s">
        <v>358</v>
      </c>
      <c r="E125" s="11"/>
      <c r="F125" s="16">
        <v>500000</v>
      </c>
      <c r="G125" s="16">
        <v>66650</v>
      </c>
      <c r="H125" s="16">
        <v>566650</v>
      </c>
      <c r="I125" s="318">
        <v>11333</v>
      </c>
      <c r="J125" s="159">
        <v>50</v>
      </c>
      <c r="K125" s="97">
        <v>34</v>
      </c>
      <c r="L125" s="91">
        <f t="shared" si="14"/>
        <v>385322</v>
      </c>
      <c r="M125" s="91">
        <f t="shared" si="10"/>
        <v>181328</v>
      </c>
      <c r="N125" s="159">
        <f t="shared" si="11"/>
        <v>16</v>
      </c>
      <c r="O125" s="159"/>
      <c r="P125" s="97"/>
      <c r="Q125" s="11"/>
    </row>
    <row r="126" spans="2:17" s="114" customFormat="1">
      <c r="B126" s="292" t="s">
        <v>590</v>
      </c>
      <c r="C126" s="243">
        <v>121</v>
      </c>
      <c r="D126" s="11" t="s">
        <v>290</v>
      </c>
      <c r="E126" s="11"/>
      <c r="F126" s="19">
        <v>150000</v>
      </c>
      <c r="G126" s="19">
        <v>19995</v>
      </c>
      <c r="H126" s="329">
        <f>SUM(F126:G126)</f>
        <v>169995</v>
      </c>
      <c r="I126" s="146">
        <v>3399.9</v>
      </c>
      <c r="J126" s="159">
        <v>50</v>
      </c>
      <c r="K126" s="97">
        <v>47</v>
      </c>
      <c r="L126" s="91">
        <f t="shared" si="14"/>
        <v>159795.30000000002</v>
      </c>
      <c r="M126" s="94">
        <f t="shared" si="10"/>
        <v>10199.699999999983</v>
      </c>
      <c r="N126" s="159">
        <f t="shared" si="11"/>
        <v>3</v>
      </c>
      <c r="O126" s="159"/>
      <c r="P126" s="97"/>
      <c r="Q126" s="8"/>
    </row>
    <row r="127" spans="2:17" s="114" customFormat="1">
      <c r="B127" s="293" t="s">
        <v>1213</v>
      </c>
      <c r="C127" s="243">
        <v>122</v>
      </c>
      <c r="D127" s="123" t="s">
        <v>1292</v>
      </c>
      <c r="E127" s="123"/>
      <c r="F127" s="19">
        <v>330000</v>
      </c>
      <c r="G127" s="19">
        <v>43989</v>
      </c>
      <c r="H127" s="329">
        <f>SUM(F127:G127)</f>
        <v>373989</v>
      </c>
      <c r="I127" s="327">
        <v>7479.78</v>
      </c>
      <c r="J127" s="159">
        <v>50</v>
      </c>
      <c r="K127" s="159">
        <v>9</v>
      </c>
      <c r="L127" s="16">
        <f t="shared" si="14"/>
        <v>67318.02</v>
      </c>
      <c r="M127" s="94">
        <f t="shared" si="10"/>
        <v>306670.98</v>
      </c>
      <c r="N127" s="159">
        <f t="shared" si="11"/>
        <v>41</v>
      </c>
      <c r="O127" s="159"/>
      <c r="P127" s="159"/>
      <c r="Q127" s="11"/>
    </row>
    <row r="128" spans="2:17" s="114" customFormat="1">
      <c r="B128" s="293" t="s">
        <v>888</v>
      </c>
      <c r="C128" s="243">
        <v>123</v>
      </c>
      <c r="D128" s="123" t="s">
        <v>412</v>
      </c>
      <c r="E128" s="123"/>
      <c r="F128" s="16">
        <v>500000</v>
      </c>
      <c r="G128" s="16">
        <v>66650</v>
      </c>
      <c r="H128" s="331">
        <f>SUM(F128:G128)</f>
        <v>566650</v>
      </c>
      <c r="I128" s="327">
        <v>11333</v>
      </c>
      <c r="J128" s="159">
        <v>50</v>
      </c>
      <c r="K128" s="159">
        <v>17</v>
      </c>
      <c r="L128" s="16">
        <f t="shared" si="14"/>
        <v>192661</v>
      </c>
      <c r="M128" s="94">
        <f t="shared" si="10"/>
        <v>373989</v>
      </c>
      <c r="N128" s="159">
        <f t="shared" si="11"/>
        <v>33</v>
      </c>
      <c r="O128" s="159"/>
      <c r="P128" s="159"/>
      <c r="Q128" s="11"/>
    </row>
    <row r="129" spans="2:17" s="114" customFormat="1">
      <c r="B129" s="11" t="s">
        <v>1209</v>
      </c>
      <c r="C129" s="243">
        <v>124</v>
      </c>
      <c r="D129" s="11" t="s">
        <v>1288</v>
      </c>
      <c r="E129" s="11"/>
      <c r="F129" s="19">
        <v>150000</v>
      </c>
      <c r="G129" s="19">
        <v>19995</v>
      </c>
      <c r="H129" s="19">
        <f>SUM(F129:G129)</f>
        <v>169995</v>
      </c>
      <c r="I129" s="254">
        <v>3399.9</v>
      </c>
      <c r="J129" s="159">
        <v>50</v>
      </c>
      <c r="K129" s="159">
        <v>2</v>
      </c>
      <c r="L129" s="16">
        <f t="shared" si="14"/>
        <v>6799.8</v>
      </c>
      <c r="M129" s="94">
        <f t="shared" si="10"/>
        <v>163195.20000000001</v>
      </c>
      <c r="N129" s="159">
        <f t="shared" si="11"/>
        <v>48</v>
      </c>
      <c r="O129" s="11"/>
      <c r="P129" s="11"/>
      <c r="Q129" s="11"/>
    </row>
    <row r="130" spans="2:17" s="114" customFormat="1">
      <c r="B130" s="293"/>
      <c r="C130" s="243">
        <v>125</v>
      </c>
      <c r="D130" s="123" t="s">
        <v>1270</v>
      </c>
      <c r="E130" s="123"/>
      <c r="F130" s="19">
        <v>150000</v>
      </c>
      <c r="G130" s="19">
        <v>19995</v>
      </c>
      <c r="H130" s="19">
        <f>SUM(F130:G130)</f>
        <v>169995</v>
      </c>
      <c r="I130" s="317">
        <v>3399.9</v>
      </c>
      <c r="J130" s="159">
        <v>50</v>
      </c>
      <c r="K130" s="159">
        <v>33</v>
      </c>
      <c r="L130" s="16">
        <f t="shared" si="14"/>
        <v>112196.7</v>
      </c>
      <c r="M130" s="94">
        <f t="shared" si="10"/>
        <v>57798.3</v>
      </c>
      <c r="N130" s="159">
        <f t="shared" si="11"/>
        <v>17</v>
      </c>
      <c r="O130" s="159"/>
      <c r="P130" s="159"/>
      <c r="Q130" s="11"/>
    </row>
    <row r="131" spans="2:17" s="114" customFormat="1">
      <c r="B131" s="293"/>
      <c r="C131" s="243">
        <v>126</v>
      </c>
      <c r="D131" s="123" t="s">
        <v>1272</v>
      </c>
      <c r="E131" s="123"/>
      <c r="F131" s="19">
        <v>450000</v>
      </c>
      <c r="G131" s="19">
        <v>59985</v>
      </c>
      <c r="H131" s="19">
        <v>509985</v>
      </c>
      <c r="I131" s="317">
        <v>10199.700000000001</v>
      </c>
      <c r="J131" s="159">
        <v>50</v>
      </c>
      <c r="K131" s="159">
        <v>7</v>
      </c>
      <c r="L131" s="16">
        <f t="shared" si="14"/>
        <v>71397.900000000009</v>
      </c>
      <c r="M131" s="94">
        <f t="shared" si="10"/>
        <v>438587.1</v>
      </c>
      <c r="N131" s="159">
        <f t="shared" si="11"/>
        <v>43</v>
      </c>
      <c r="O131" s="159"/>
      <c r="P131" s="159"/>
      <c r="Q131" s="11"/>
    </row>
    <row r="132" spans="2:17" s="114" customFormat="1">
      <c r="B132" s="293"/>
      <c r="C132" s="243">
        <v>127</v>
      </c>
      <c r="D132" s="123" t="s">
        <v>1271</v>
      </c>
      <c r="E132" s="123"/>
      <c r="F132" s="19">
        <v>330000</v>
      </c>
      <c r="G132" s="19">
        <v>43989</v>
      </c>
      <c r="H132" s="19">
        <f>SUM(F132:G132)</f>
        <v>373989</v>
      </c>
      <c r="I132" s="317">
        <v>7479.78</v>
      </c>
      <c r="J132" s="159">
        <v>50</v>
      </c>
      <c r="K132" s="159">
        <v>7</v>
      </c>
      <c r="L132" s="16">
        <f t="shared" si="14"/>
        <v>52358.46</v>
      </c>
      <c r="M132" s="94">
        <f t="shared" si="10"/>
        <v>321630.53999999998</v>
      </c>
      <c r="N132" s="159">
        <f t="shared" si="11"/>
        <v>43</v>
      </c>
      <c r="O132" s="159"/>
      <c r="P132" s="159"/>
      <c r="Q132" s="11"/>
    </row>
    <row r="133" spans="2:17" s="114" customFormat="1">
      <c r="B133" s="293"/>
      <c r="C133" s="243">
        <v>128</v>
      </c>
      <c r="D133" s="123" t="s">
        <v>1268</v>
      </c>
      <c r="E133" s="123"/>
      <c r="F133" s="16">
        <v>500000</v>
      </c>
      <c r="G133" s="16">
        <v>66650</v>
      </c>
      <c r="H133" s="41">
        <f>SUM(F133:G133)</f>
        <v>566650</v>
      </c>
      <c r="I133" s="317">
        <v>11749.67</v>
      </c>
      <c r="J133" s="159">
        <v>50</v>
      </c>
      <c r="K133" s="159">
        <v>22</v>
      </c>
      <c r="L133" s="16">
        <f t="shared" si="14"/>
        <v>258492.74</v>
      </c>
      <c r="M133" s="94">
        <f t="shared" si="10"/>
        <v>308157.26</v>
      </c>
      <c r="N133" s="159">
        <f t="shared" si="11"/>
        <v>28</v>
      </c>
      <c r="O133" s="159"/>
      <c r="P133" s="159"/>
      <c r="Q133" s="11"/>
    </row>
    <row r="134" spans="2:17" s="114" customFormat="1">
      <c r="B134" s="293"/>
      <c r="C134" s="243">
        <v>129</v>
      </c>
      <c r="D134" s="123" t="s">
        <v>1269</v>
      </c>
      <c r="E134" s="123"/>
      <c r="F134" s="19">
        <v>450000</v>
      </c>
      <c r="G134" s="19">
        <v>59985</v>
      </c>
      <c r="H134" s="19">
        <v>509985</v>
      </c>
      <c r="I134" s="317">
        <v>10199.700000000001</v>
      </c>
      <c r="J134" s="159">
        <v>50</v>
      </c>
      <c r="K134" s="159">
        <v>29</v>
      </c>
      <c r="L134" s="16">
        <f t="shared" si="14"/>
        <v>295791.30000000005</v>
      </c>
      <c r="M134" s="94">
        <f>H134-L134</f>
        <v>214193.69999999995</v>
      </c>
      <c r="N134" s="159">
        <f t="shared" si="11"/>
        <v>21</v>
      </c>
      <c r="O134" s="159"/>
      <c r="P134" s="159"/>
      <c r="Q134" s="11"/>
    </row>
    <row r="135" spans="2:17" s="114" customFormat="1">
      <c r="B135" s="295"/>
      <c r="C135" s="126"/>
      <c r="D135" s="8"/>
      <c r="E135" s="8"/>
      <c r="F135" s="34">
        <f>SUM(F6:F134)</f>
        <v>54270000</v>
      </c>
      <c r="G135" s="34">
        <f>SUM(G6:G134)</f>
        <v>7221874.2000000002</v>
      </c>
      <c r="H135" s="34">
        <f>SUM(H6:H134)</f>
        <v>61691874.200000003</v>
      </c>
      <c r="I135" s="34">
        <f>SUM(I6:I134)</f>
        <v>1249946.9999999995</v>
      </c>
      <c r="J135" s="34"/>
      <c r="K135" s="34"/>
      <c r="L135" s="34">
        <f>SUM(L6:L134)</f>
        <v>27933181.360000007</v>
      </c>
      <c r="M135" s="34">
        <f>SUM(M6:M134)</f>
        <v>33758692.839999996</v>
      </c>
      <c r="N135" s="34"/>
      <c r="O135" s="34"/>
      <c r="P135" s="34"/>
      <c r="Q135" s="8"/>
    </row>
    <row r="136" spans="2:17" s="114" customFormat="1">
      <c r="B136" s="298"/>
      <c r="C136" s="44"/>
      <c r="D136" s="44"/>
      <c r="E136" s="184"/>
      <c r="F136"/>
      <c r="G136"/>
      <c r="H136"/>
      <c r="I136"/>
      <c r="J136" s="43"/>
      <c r="K136" s="99"/>
      <c r="L136"/>
      <c r="M136"/>
      <c r="N136" s="99"/>
      <c r="O136" s="99"/>
      <c r="P136" s="99"/>
      <c r="Q136"/>
    </row>
    <row r="137" spans="2:17" s="114" customFormat="1">
      <c r="B137" s="298"/>
      <c r="C137" s="44"/>
      <c r="D137" s="44"/>
      <c r="E137" s="184"/>
      <c r="F137"/>
      <c r="G137"/>
      <c r="H137"/>
      <c r="I137"/>
      <c r="J137" s="43"/>
      <c r="K137" s="99"/>
      <c r="L137"/>
      <c r="M137"/>
      <c r="N137" s="99"/>
      <c r="O137" s="99"/>
      <c r="P137" s="99"/>
      <c r="Q137"/>
    </row>
    <row r="138" spans="2:17" s="114" customFormat="1">
      <c r="B138" s="298"/>
      <c r="C138" s="44"/>
      <c r="D138" s="44"/>
      <c r="E138" s="184"/>
      <c r="F138"/>
      <c r="G138"/>
      <c r="H138"/>
      <c r="I138"/>
      <c r="J138" s="43"/>
      <c r="K138" s="99"/>
      <c r="L138"/>
      <c r="M138"/>
      <c r="N138" s="99"/>
      <c r="O138" s="99"/>
      <c r="P138" s="99"/>
      <c r="Q138"/>
    </row>
    <row r="139" spans="2:17" s="114" customFormat="1">
      <c r="B139" s="298"/>
      <c r="C139" s="44"/>
      <c r="D139" s="44"/>
      <c r="E139" s="184"/>
      <c r="F139"/>
      <c r="G139"/>
      <c r="H139"/>
      <c r="I139"/>
      <c r="J139" s="43"/>
      <c r="K139" s="99"/>
      <c r="L139"/>
      <c r="M139"/>
      <c r="N139" s="99"/>
      <c r="O139" s="99"/>
      <c r="P139" s="99"/>
      <c r="Q139"/>
    </row>
    <row r="140" spans="2:17" s="114" customFormat="1">
      <c r="B140" s="298"/>
      <c r="C140" s="44"/>
      <c r="D140" s="44"/>
      <c r="E140" s="184"/>
      <c r="F140"/>
      <c r="G140"/>
      <c r="H140"/>
      <c r="I140"/>
      <c r="J140" s="43"/>
      <c r="K140" s="99"/>
      <c r="L140"/>
      <c r="M140"/>
      <c r="N140" s="99"/>
      <c r="O140" s="99"/>
      <c r="P140" s="99"/>
      <c r="Q140"/>
    </row>
    <row r="141" spans="2:17">
      <c r="D141" s="44"/>
    </row>
    <row r="142" spans="2:17" s="184" customFormat="1">
      <c r="B142" s="298"/>
      <c r="C142" s="44"/>
      <c r="D142" s="44"/>
      <c r="F142"/>
      <c r="G142"/>
      <c r="H142"/>
      <c r="I142"/>
      <c r="J142" s="43"/>
      <c r="K142" s="99"/>
      <c r="L142"/>
      <c r="M142"/>
      <c r="N142" s="99"/>
      <c r="O142" s="99"/>
      <c r="P142" s="99"/>
      <c r="Q142"/>
    </row>
    <row r="143" spans="2:17" s="184" customFormat="1">
      <c r="B143" s="298"/>
      <c r="C143" s="44"/>
      <c r="D143" s="44"/>
      <c r="F143"/>
      <c r="G143"/>
      <c r="H143"/>
      <c r="I143"/>
      <c r="J143" s="43"/>
      <c r="K143" s="99"/>
      <c r="L143"/>
      <c r="M143"/>
      <c r="N143" s="99"/>
      <c r="O143" s="99"/>
      <c r="P143" s="99"/>
      <c r="Q143"/>
    </row>
    <row r="144" spans="2:17" s="184" customFormat="1">
      <c r="B144" s="298"/>
      <c r="C144" s="44"/>
      <c r="D144" s="44"/>
      <c r="F144"/>
      <c r="G144"/>
      <c r="H144"/>
      <c r="I144"/>
      <c r="J144" s="43"/>
      <c r="K144" s="99"/>
      <c r="L144"/>
      <c r="M144"/>
      <c r="N144" s="99"/>
      <c r="O144" s="99"/>
      <c r="P144" s="99"/>
      <c r="Q144"/>
    </row>
    <row r="145" spans="2:17" s="184" customFormat="1">
      <c r="B145" s="298"/>
      <c r="C145" s="44"/>
      <c r="D145" s="44"/>
      <c r="F145"/>
      <c r="G145"/>
      <c r="H145"/>
      <c r="I145"/>
      <c r="J145" s="43"/>
      <c r="K145" s="99"/>
      <c r="L145"/>
      <c r="M145"/>
      <c r="N145" s="99"/>
      <c r="O145" s="99"/>
      <c r="P145" s="99"/>
      <c r="Q145"/>
    </row>
    <row r="146" spans="2:17" s="184" customFormat="1">
      <c r="B146" s="298"/>
      <c r="C146" s="44"/>
      <c r="D146" s="44"/>
      <c r="F146"/>
      <c r="G146"/>
      <c r="H146"/>
      <c r="I146"/>
      <c r="J146" s="43"/>
      <c r="K146" s="99"/>
      <c r="L146"/>
      <c r="M146"/>
      <c r="N146" s="99"/>
      <c r="O146" s="99"/>
      <c r="P146" s="99"/>
      <c r="Q146"/>
    </row>
    <row r="147" spans="2:17" s="184" customFormat="1">
      <c r="B147" s="298"/>
      <c r="C147" s="44"/>
      <c r="D147" s="44"/>
      <c r="F147"/>
      <c r="G147"/>
      <c r="H147"/>
      <c r="I147"/>
      <c r="J147" s="43"/>
      <c r="K147" s="99"/>
      <c r="L147"/>
      <c r="M147"/>
      <c r="N147" s="99"/>
      <c r="O147" s="99"/>
      <c r="P147" s="99"/>
      <c r="Q147"/>
    </row>
    <row r="148" spans="2:17" s="184" customFormat="1">
      <c r="B148" s="298"/>
      <c r="C148" s="44"/>
      <c r="D148" s="44"/>
      <c r="F148"/>
      <c r="G148"/>
      <c r="H148"/>
      <c r="I148"/>
      <c r="J148" s="43"/>
      <c r="K148" s="99"/>
      <c r="L148"/>
      <c r="M148"/>
      <c r="N148" s="99"/>
      <c r="O148" s="99"/>
      <c r="P148" s="99"/>
      <c r="Q148"/>
    </row>
    <row r="149" spans="2:17" s="184" customFormat="1">
      <c r="B149" s="298"/>
      <c r="C149" s="44"/>
      <c r="D149" s="44"/>
      <c r="F149"/>
      <c r="G149"/>
      <c r="H149"/>
      <c r="I149"/>
      <c r="J149" s="43"/>
      <c r="K149" s="99"/>
      <c r="L149"/>
      <c r="M149"/>
      <c r="N149" s="99"/>
      <c r="O149" s="99"/>
      <c r="P149" s="99"/>
      <c r="Q149"/>
    </row>
    <row r="150" spans="2:17" s="184" customFormat="1">
      <c r="B150" s="298"/>
      <c r="C150" s="44"/>
      <c r="D150" s="44"/>
      <c r="F150"/>
      <c r="G150"/>
      <c r="H150"/>
      <c r="I150"/>
      <c r="J150" s="43"/>
      <c r="K150" s="99"/>
      <c r="L150"/>
      <c r="M150"/>
      <c r="N150" s="99"/>
      <c r="O150" s="99"/>
      <c r="P150" s="99"/>
      <c r="Q150"/>
    </row>
    <row r="151" spans="2:17" s="184" customFormat="1">
      <c r="B151" s="298"/>
      <c r="C151" s="44"/>
      <c r="D151" s="44"/>
      <c r="F151"/>
      <c r="G151"/>
      <c r="H151"/>
      <c r="I151"/>
      <c r="J151" s="43"/>
      <c r="K151" s="99"/>
      <c r="L151"/>
      <c r="M151"/>
      <c r="N151" s="99"/>
      <c r="O151" s="99"/>
      <c r="P151" s="99"/>
      <c r="Q151"/>
    </row>
    <row r="152" spans="2:17" s="184" customFormat="1">
      <c r="B152" s="298"/>
      <c r="C152" s="44"/>
      <c r="D152" s="44"/>
      <c r="F152"/>
      <c r="G152"/>
      <c r="H152"/>
      <c r="I152"/>
      <c r="J152" s="43"/>
      <c r="K152" s="99"/>
      <c r="L152"/>
      <c r="M152"/>
      <c r="N152" s="99"/>
      <c r="O152" s="99"/>
      <c r="P152" s="99"/>
      <c r="Q152"/>
    </row>
    <row r="153" spans="2:17" s="184" customFormat="1">
      <c r="B153" s="298"/>
      <c r="C153" s="44"/>
      <c r="D153" s="44"/>
      <c r="F153"/>
      <c r="G153"/>
      <c r="H153"/>
      <c r="I153"/>
      <c r="J153" s="43"/>
      <c r="K153" s="99"/>
      <c r="L153"/>
      <c r="M153"/>
      <c r="N153" s="99"/>
      <c r="O153" s="99"/>
      <c r="P153" s="99"/>
      <c r="Q153"/>
    </row>
    <row r="154" spans="2:17" s="184" customFormat="1">
      <c r="B154" s="298"/>
      <c r="C154" s="44"/>
      <c r="D154" s="44"/>
      <c r="F154"/>
      <c r="G154"/>
      <c r="H154"/>
      <c r="I154"/>
      <c r="J154" s="43"/>
      <c r="K154" s="99"/>
      <c r="L154"/>
      <c r="M154"/>
      <c r="N154" s="99"/>
      <c r="O154" s="99"/>
      <c r="P154" s="99"/>
      <c r="Q154"/>
    </row>
    <row r="155" spans="2:17" s="184" customFormat="1">
      <c r="B155" s="298"/>
      <c r="C155" s="44"/>
      <c r="D155" s="44"/>
      <c r="F155"/>
      <c r="G155"/>
      <c r="H155"/>
      <c r="I155"/>
      <c r="J155" s="43"/>
      <c r="K155" s="99"/>
      <c r="L155"/>
      <c r="M155"/>
      <c r="N155" s="99"/>
      <c r="O155" s="99"/>
      <c r="P155" s="99"/>
      <c r="Q155"/>
    </row>
    <row r="156" spans="2:17" s="184" customFormat="1">
      <c r="B156" s="298"/>
      <c r="C156" s="44"/>
      <c r="D156" s="44"/>
      <c r="F156"/>
      <c r="G156"/>
      <c r="H156"/>
      <c r="I156"/>
      <c r="J156" s="43"/>
      <c r="K156" s="99"/>
      <c r="L156"/>
      <c r="M156"/>
      <c r="N156" s="99"/>
      <c r="O156" s="99"/>
      <c r="P156" s="99"/>
      <c r="Q156"/>
    </row>
    <row r="157" spans="2:17" s="184" customFormat="1">
      <c r="B157" s="298"/>
      <c r="C157" s="44"/>
      <c r="D157" s="44"/>
      <c r="F157"/>
      <c r="G157"/>
      <c r="H157"/>
      <c r="I157"/>
      <c r="J157" s="43"/>
      <c r="K157" s="99"/>
      <c r="L157"/>
      <c r="M157"/>
      <c r="N157" s="99"/>
      <c r="O157" s="99"/>
      <c r="P157" s="99"/>
      <c r="Q157"/>
    </row>
    <row r="158" spans="2:17" s="184" customFormat="1">
      <c r="B158" s="298"/>
      <c r="C158" s="44"/>
      <c r="D158" s="44"/>
      <c r="F158"/>
      <c r="G158"/>
      <c r="H158"/>
      <c r="I158"/>
      <c r="J158" s="43"/>
      <c r="K158" s="99"/>
      <c r="L158"/>
      <c r="M158"/>
      <c r="N158" s="99"/>
      <c r="O158" s="99"/>
      <c r="P158" s="99"/>
      <c r="Q158"/>
    </row>
    <row r="159" spans="2:17" s="184" customFormat="1">
      <c r="B159" s="298"/>
      <c r="C159" s="44"/>
      <c r="D159" s="44"/>
      <c r="F159"/>
      <c r="G159"/>
      <c r="H159"/>
      <c r="I159"/>
      <c r="J159" s="43"/>
      <c r="K159" s="99"/>
      <c r="L159"/>
      <c r="M159"/>
      <c r="N159" s="99"/>
      <c r="O159" s="99"/>
      <c r="P159" s="99"/>
      <c r="Q159"/>
    </row>
    <row r="160" spans="2:17" s="184" customFormat="1">
      <c r="B160" s="298"/>
      <c r="C160" s="44"/>
      <c r="D160" s="44"/>
      <c r="F160"/>
      <c r="G160"/>
      <c r="H160"/>
      <c r="I160"/>
      <c r="J160" s="43"/>
      <c r="K160" s="99"/>
      <c r="L160"/>
      <c r="M160"/>
      <c r="N160" s="99"/>
      <c r="O160" s="99"/>
      <c r="P160" s="99"/>
      <c r="Q160"/>
    </row>
    <row r="161" spans="2:17" s="184" customFormat="1">
      <c r="B161" s="298"/>
      <c r="C161" s="44"/>
      <c r="D161" s="44"/>
      <c r="F161"/>
      <c r="G161"/>
      <c r="H161"/>
      <c r="I161"/>
      <c r="J161" s="43"/>
      <c r="K161" s="99"/>
      <c r="L161"/>
      <c r="M161"/>
      <c r="N161" s="99"/>
      <c r="O161" s="99"/>
      <c r="P161" s="99"/>
      <c r="Q161"/>
    </row>
    <row r="162" spans="2:17" s="184" customFormat="1">
      <c r="B162" s="298"/>
      <c r="C162" s="44"/>
      <c r="D162" s="44"/>
      <c r="F162"/>
      <c r="G162"/>
      <c r="H162"/>
      <c r="I162"/>
      <c r="J162" s="43"/>
      <c r="K162" s="99"/>
      <c r="L162"/>
      <c r="M162"/>
      <c r="N162" s="99"/>
      <c r="O162" s="99"/>
      <c r="P162" s="99"/>
      <c r="Q162"/>
    </row>
    <row r="163" spans="2:17" s="184" customFormat="1">
      <c r="B163" s="298"/>
      <c r="C163" s="44"/>
      <c r="D163" s="44"/>
      <c r="F163"/>
      <c r="G163"/>
      <c r="H163"/>
      <c r="I163"/>
      <c r="J163" s="43"/>
      <c r="K163" s="99"/>
      <c r="L163"/>
      <c r="M163"/>
      <c r="N163" s="99"/>
      <c r="O163" s="99"/>
      <c r="P163" s="99"/>
      <c r="Q163"/>
    </row>
    <row r="164" spans="2:17" s="184" customFormat="1">
      <c r="B164" s="298"/>
      <c r="C164" s="44"/>
      <c r="D164" s="44"/>
      <c r="F164"/>
      <c r="G164"/>
      <c r="H164"/>
      <c r="I164"/>
      <c r="J164" s="43"/>
      <c r="K164" s="99"/>
      <c r="L164"/>
      <c r="M164"/>
      <c r="N164" s="99"/>
      <c r="O164" s="99"/>
      <c r="P164" s="99"/>
      <c r="Q164"/>
    </row>
    <row r="165" spans="2:17" s="184" customFormat="1">
      <c r="B165" s="298"/>
      <c r="C165" s="44"/>
      <c r="D165" s="44"/>
      <c r="F165"/>
      <c r="G165"/>
      <c r="H165"/>
      <c r="I165"/>
      <c r="J165" s="43"/>
      <c r="K165" s="99"/>
      <c r="L165"/>
      <c r="M165"/>
      <c r="N165" s="99"/>
      <c r="O165" s="99"/>
      <c r="P165" s="99"/>
      <c r="Q165"/>
    </row>
    <row r="166" spans="2:17" s="184" customFormat="1">
      <c r="B166" s="298"/>
      <c r="C166" s="44"/>
      <c r="D166" s="44"/>
      <c r="F166"/>
      <c r="G166"/>
      <c r="H166"/>
      <c r="I166"/>
      <c r="J166" s="43"/>
      <c r="K166" s="99"/>
      <c r="L166"/>
      <c r="M166"/>
      <c r="N166" s="99"/>
      <c r="O166" s="99"/>
      <c r="P166" s="99"/>
      <c r="Q166"/>
    </row>
    <row r="167" spans="2:17" s="184" customFormat="1">
      <c r="B167" s="298"/>
      <c r="C167" s="44"/>
      <c r="D167" s="44"/>
      <c r="F167"/>
      <c r="G167"/>
      <c r="H167"/>
      <c r="I167"/>
      <c r="J167" s="43"/>
      <c r="K167" s="99"/>
      <c r="L167"/>
      <c r="M167"/>
      <c r="N167" s="99"/>
      <c r="O167" s="99"/>
      <c r="P167" s="99"/>
      <c r="Q167"/>
    </row>
    <row r="168" spans="2:17" s="184" customFormat="1">
      <c r="B168" s="298"/>
      <c r="C168" s="44"/>
      <c r="D168" s="44"/>
      <c r="F168"/>
      <c r="G168"/>
      <c r="H168"/>
      <c r="I168"/>
      <c r="J168" s="43"/>
      <c r="K168" s="99"/>
      <c r="L168"/>
      <c r="M168"/>
      <c r="N168" s="99"/>
      <c r="O168" s="99"/>
      <c r="P168" s="99"/>
      <c r="Q168"/>
    </row>
    <row r="169" spans="2:17" s="184" customFormat="1">
      <c r="B169" s="298"/>
      <c r="C169" s="44"/>
      <c r="D169" s="44"/>
      <c r="F169"/>
      <c r="G169"/>
      <c r="H169"/>
      <c r="I169"/>
      <c r="J169" s="43"/>
      <c r="K169" s="99"/>
      <c r="L169"/>
      <c r="M169"/>
      <c r="N169" s="99"/>
      <c r="O169" s="99"/>
      <c r="P169" s="99"/>
      <c r="Q169"/>
    </row>
    <row r="170" spans="2:17" s="184" customFormat="1">
      <c r="B170" s="298"/>
      <c r="C170" s="44"/>
      <c r="D170" s="44"/>
      <c r="F170"/>
      <c r="G170"/>
      <c r="H170"/>
      <c r="I170"/>
      <c r="J170" s="43"/>
      <c r="K170" s="99"/>
      <c r="L170"/>
      <c r="M170"/>
      <c r="N170" s="99"/>
      <c r="O170" s="99"/>
      <c r="P170" s="99"/>
      <c r="Q170"/>
    </row>
    <row r="171" spans="2:17" s="184" customFormat="1">
      <c r="B171" s="298"/>
      <c r="C171" s="44"/>
      <c r="D171" s="44"/>
      <c r="F171"/>
      <c r="G171"/>
      <c r="H171"/>
      <c r="I171"/>
      <c r="J171" s="43"/>
      <c r="K171" s="99"/>
      <c r="L171"/>
      <c r="M171"/>
      <c r="N171" s="99"/>
      <c r="O171" s="99"/>
      <c r="P171" s="99"/>
      <c r="Q171"/>
    </row>
    <row r="172" spans="2:17" s="184" customFormat="1">
      <c r="B172" s="298"/>
      <c r="C172" s="44"/>
      <c r="D172" s="44"/>
      <c r="F172"/>
      <c r="G172"/>
      <c r="H172"/>
      <c r="I172"/>
      <c r="J172" s="43"/>
      <c r="K172" s="99"/>
      <c r="L172"/>
      <c r="M172"/>
      <c r="N172" s="99"/>
      <c r="O172" s="99"/>
      <c r="P172" s="99"/>
      <c r="Q172"/>
    </row>
    <row r="173" spans="2:17" s="184" customFormat="1">
      <c r="B173" s="298"/>
      <c r="C173" s="44"/>
      <c r="D173" s="44"/>
      <c r="F173"/>
      <c r="G173"/>
      <c r="H173"/>
      <c r="I173"/>
      <c r="J173" s="43"/>
      <c r="K173" s="99"/>
      <c r="L173"/>
      <c r="M173"/>
      <c r="N173" s="99"/>
      <c r="O173" s="99"/>
      <c r="P173" s="99"/>
      <c r="Q173"/>
    </row>
    <row r="174" spans="2:17" s="184" customFormat="1">
      <c r="B174" s="298"/>
      <c r="C174" s="44"/>
      <c r="D174" s="44"/>
      <c r="F174"/>
      <c r="G174"/>
      <c r="H174"/>
      <c r="I174"/>
      <c r="J174" s="43"/>
      <c r="K174" s="99"/>
      <c r="L174"/>
      <c r="M174"/>
      <c r="N174" s="99"/>
      <c r="O174" s="99"/>
      <c r="P174" s="99"/>
      <c r="Q174"/>
    </row>
    <row r="175" spans="2:17" s="184" customFormat="1">
      <c r="B175" s="298"/>
      <c r="C175" s="44"/>
      <c r="D175" s="44"/>
      <c r="F175"/>
      <c r="G175"/>
      <c r="H175"/>
      <c r="I175"/>
      <c r="J175" s="43"/>
      <c r="K175" s="99"/>
      <c r="L175"/>
      <c r="M175"/>
      <c r="N175" s="99"/>
      <c r="O175" s="99"/>
      <c r="P175" s="99"/>
      <c r="Q175"/>
    </row>
    <row r="176" spans="2:17" s="184" customFormat="1">
      <c r="B176" s="298"/>
      <c r="C176" s="44"/>
      <c r="D176" s="44"/>
      <c r="F176"/>
      <c r="G176"/>
      <c r="H176"/>
      <c r="I176"/>
      <c r="J176" s="43"/>
      <c r="K176" s="99"/>
      <c r="L176"/>
      <c r="M176"/>
      <c r="N176" s="99"/>
      <c r="O176" s="99"/>
      <c r="P176" s="99"/>
      <c r="Q176"/>
    </row>
    <row r="177" spans="2:17" s="184" customFormat="1">
      <c r="B177" s="298"/>
      <c r="C177" s="44"/>
      <c r="D177" s="44"/>
      <c r="F177"/>
      <c r="G177"/>
      <c r="H177"/>
      <c r="I177"/>
      <c r="J177" s="43"/>
      <c r="K177" s="99"/>
      <c r="L177"/>
      <c r="M177"/>
      <c r="N177" s="99"/>
      <c r="O177" s="99"/>
      <c r="P177" s="99"/>
      <c r="Q177"/>
    </row>
    <row r="178" spans="2:17" s="184" customFormat="1">
      <c r="B178" s="298"/>
      <c r="C178" s="44"/>
      <c r="D178" s="44"/>
      <c r="F178"/>
      <c r="G178"/>
      <c r="H178"/>
      <c r="I178"/>
      <c r="J178" s="43"/>
      <c r="K178" s="99"/>
      <c r="L178"/>
      <c r="M178"/>
      <c r="N178" s="99"/>
      <c r="O178" s="99"/>
      <c r="P178" s="99"/>
      <c r="Q178"/>
    </row>
    <row r="179" spans="2:17" s="184" customFormat="1">
      <c r="B179" s="298"/>
      <c r="C179" s="44"/>
      <c r="D179" s="44"/>
      <c r="F179"/>
      <c r="G179"/>
      <c r="H179"/>
      <c r="I179"/>
      <c r="J179" s="43"/>
      <c r="K179" s="99"/>
      <c r="L179"/>
      <c r="M179"/>
      <c r="N179" s="99"/>
      <c r="O179" s="99"/>
      <c r="P179" s="99"/>
      <c r="Q179"/>
    </row>
    <row r="180" spans="2:17" s="184" customFormat="1">
      <c r="B180" s="298"/>
      <c r="C180" s="44"/>
      <c r="D180" s="44"/>
      <c r="F180"/>
      <c r="G180"/>
      <c r="H180"/>
      <c r="I180"/>
      <c r="J180" s="43"/>
      <c r="K180" s="99"/>
      <c r="L180"/>
      <c r="M180"/>
      <c r="N180" s="99"/>
      <c r="O180" s="99"/>
      <c r="P180" s="99"/>
      <c r="Q180"/>
    </row>
    <row r="181" spans="2:17" s="184" customFormat="1">
      <c r="B181" s="298"/>
      <c r="C181" s="44"/>
      <c r="D181" s="44"/>
      <c r="F181"/>
      <c r="G181"/>
      <c r="H181"/>
      <c r="I181"/>
      <c r="J181" s="43"/>
      <c r="K181" s="99"/>
      <c r="L181"/>
      <c r="M181"/>
      <c r="N181" s="99"/>
      <c r="O181" s="99"/>
      <c r="P181" s="99"/>
      <c r="Q181"/>
    </row>
    <row r="182" spans="2:17" s="184" customFormat="1">
      <c r="B182" s="298"/>
      <c r="C182" s="44"/>
      <c r="D182" s="44"/>
      <c r="F182"/>
      <c r="G182"/>
      <c r="H182"/>
      <c r="I182"/>
      <c r="J182" s="43"/>
      <c r="K182" s="99"/>
      <c r="L182"/>
      <c r="M182"/>
      <c r="N182" s="99"/>
      <c r="O182" s="99"/>
      <c r="P182" s="99"/>
      <c r="Q182"/>
    </row>
    <row r="183" spans="2:17" s="184" customFormat="1">
      <c r="B183" s="298"/>
      <c r="C183" s="44"/>
      <c r="D183" s="44"/>
      <c r="F183"/>
      <c r="G183"/>
      <c r="H183"/>
      <c r="I183"/>
      <c r="J183" s="43"/>
      <c r="K183" s="99"/>
      <c r="L183"/>
      <c r="M183"/>
      <c r="N183" s="99"/>
      <c r="O183" s="99"/>
      <c r="P183" s="99"/>
      <c r="Q183"/>
    </row>
    <row r="184" spans="2:17" s="184" customFormat="1">
      <c r="B184" s="298"/>
      <c r="C184" s="44"/>
      <c r="D184" s="44"/>
      <c r="F184"/>
      <c r="G184"/>
      <c r="H184"/>
      <c r="I184"/>
      <c r="J184" s="43"/>
      <c r="K184" s="99"/>
      <c r="L184"/>
      <c r="M184"/>
      <c r="N184" s="99"/>
      <c r="O184" s="99"/>
      <c r="P184" s="99"/>
      <c r="Q184"/>
    </row>
    <row r="185" spans="2:17" s="184" customFormat="1">
      <c r="B185" s="298"/>
      <c r="C185" s="44"/>
      <c r="D185" s="44"/>
      <c r="F185"/>
      <c r="G185"/>
      <c r="H185"/>
      <c r="I185"/>
      <c r="J185" s="43"/>
      <c r="K185" s="99"/>
      <c r="L185"/>
      <c r="M185"/>
      <c r="N185" s="99"/>
      <c r="O185" s="99"/>
      <c r="P185" s="99"/>
      <c r="Q185"/>
    </row>
    <row r="186" spans="2:17" s="184" customFormat="1">
      <c r="B186" s="298"/>
      <c r="C186" s="44"/>
      <c r="D186" s="44"/>
      <c r="F186"/>
      <c r="G186"/>
      <c r="H186"/>
      <c r="I186"/>
      <c r="J186" s="43"/>
      <c r="K186" s="99"/>
      <c r="L186"/>
      <c r="M186"/>
      <c r="N186" s="99"/>
      <c r="O186" s="99"/>
      <c r="P186" s="99"/>
      <c r="Q186"/>
    </row>
    <row r="187" spans="2:17" s="184" customFormat="1">
      <c r="B187" s="298"/>
      <c r="C187" s="44"/>
      <c r="D187" s="44"/>
      <c r="F187"/>
      <c r="G187"/>
      <c r="H187"/>
      <c r="I187"/>
      <c r="J187" s="43"/>
      <c r="K187" s="99"/>
      <c r="L187"/>
      <c r="M187"/>
      <c r="N187" s="99"/>
      <c r="O187" s="99"/>
      <c r="P187" s="99"/>
      <c r="Q187"/>
    </row>
    <row r="188" spans="2:17" s="184" customFormat="1">
      <c r="B188" s="298"/>
      <c r="C188" s="44"/>
      <c r="D188" s="44"/>
      <c r="F188"/>
      <c r="G188"/>
      <c r="H188"/>
      <c r="I188"/>
      <c r="J188" s="43"/>
      <c r="K188" s="99"/>
      <c r="L188"/>
      <c r="M188"/>
      <c r="N188" s="99"/>
      <c r="O188" s="99"/>
      <c r="P188" s="99"/>
      <c r="Q188"/>
    </row>
    <row r="189" spans="2:17" s="184" customFormat="1">
      <c r="B189" s="298"/>
      <c r="C189" s="44"/>
      <c r="D189" s="44"/>
      <c r="F189"/>
      <c r="G189"/>
      <c r="H189"/>
      <c r="I189"/>
      <c r="J189" s="43"/>
      <c r="K189" s="99"/>
      <c r="L189"/>
      <c r="M189"/>
      <c r="N189" s="99"/>
      <c r="O189" s="99"/>
      <c r="P189" s="99"/>
      <c r="Q189"/>
    </row>
    <row r="190" spans="2:17" s="184" customFormat="1">
      <c r="B190" s="298"/>
      <c r="C190" s="44"/>
      <c r="D190" s="44"/>
      <c r="F190"/>
      <c r="G190"/>
      <c r="H190"/>
      <c r="I190"/>
      <c r="J190" s="43"/>
      <c r="K190" s="99"/>
      <c r="L190"/>
      <c r="M190"/>
      <c r="N190" s="99"/>
      <c r="O190" s="99"/>
      <c r="P190" s="99"/>
      <c r="Q190"/>
    </row>
    <row r="191" spans="2:17" s="184" customFormat="1">
      <c r="B191" s="298"/>
      <c r="C191" s="44"/>
      <c r="D191" s="44"/>
      <c r="F191"/>
      <c r="G191"/>
      <c r="H191"/>
      <c r="I191"/>
      <c r="J191" s="43"/>
      <c r="K191" s="99"/>
      <c r="L191"/>
      <c r="M191"/>
      <c r="N191" s="99"/>
      <c r="O191" s="99"/>
      <c r="P191" s="99"/>
      <c r="Q191"/>
    </row>
    <row r="192" spans="2:17" s="184" customFormat="1">
      <c r="B192" s="298"/>
      <c r="C192" s="44"/>
      <c r="D192" s="44"/>
      <c r="F192"/>
      <c r="G192"/>
      <c r="H192"/>
      <c r="I192"/>
      <c r="J192" s="43"/>
      <c r="K192" s="99"/>
      <c r="L192"/>
      <c r="M192"/>
      <c r="N192" s="99"/>
      <c r="O192" s="99"/>
      <c r="P192" s="99"/>
      <c r="Q192"/>
    </row>
    <row r="193" spans="2:17" s="184" customFormat="1">
      <c r="B193" s="298"/>
      <c r="C193" s="44"/>
      <c r="D193" s="44"/>
      <c r="F193"/>
      <c r="G193"/>
      <c r="H193"/>
      <c r="I193"/>
      <c r="J193" s="43"/>
      <c r="K193" s="99"/>
      <c r="L193"/>
      <c r="M193"/>
      <c r="N193" s="99"/>
      <c r="O193" s="99"/>
      <c r="P193" s="99"/>
      <c r="Q193"/>
    </row>
    <row r="194" spans="2:17" s="184" customFormat="1">
      <c r="B194" s="298"/>
      <c r="C194" s="44"/>
      <c r="D194" s="44"/>
      <c r="F194"/>
      <c r="G194"/>
      <c r="H194"/>
      <c r="I194"/>
      <c r="J194" s="43"/>
      <c r="K194" s="99"/>
      <c r="L194"/>
      <c r="M194"/>
      <c r="N194" s="99"/>
      <c r="O194" s="99"/>
      <c r="P194" s="99"/>
      <c r="Q194"/>
    </row>
    <row r="195" spans="2:17" s="184" customFormat="1">
      <c r="B195" s="298"/>
      <c r="C195" s="44"/>
      <c r="D195" s="44"/>
      <c r="F195"/>
      <c r="G195"/>
      <c r="H195"/>
      <c r="I195"/>
      <c r="J195" s="43"/>
      <c r="K195" s="99"/>
      <c r="L195"/>
      <c r="M195"/>
      <c r="N195" s="99"/>
      <c r="O195" s="99"/>
      <c r="P195" s="99"/>
      <c r="Q195"/>
    </row>
    <row r="196" spans="2:17" s="184" customFormat="1">
      <c r="B196" s="298"/>
      <c r="C196" s="44"/>
      <c r="D196" s="44"/>
      <c r="F196"/>
      <c r="G196"/>
      <c r="H196"/>
      <c r="I196"/>
      <c r="J196" s="43"/>
      <c r="K196" s="99"/>
      <c r="L196"/>
      <c r="M196"/>
      <c r="N196" s="99"/>
      <c r="O196" s="99"/>
      <c r="P196" s="99"/>
      <c r="Q196"/>
    </row>
    <row r="197" spans="2:17" s="184" customFormat="1">
      <c r="B197" s="298"/>
      <c r="C197" s="44"/>
      <c r="D197" s="44"/>
      <c r="F197"/>
      <c r="G197"/>
      <c r="H197"/>
      <c r="I197"/>
      <c r="J197" s="43"/>
      <c r="K197" s="99"/>
      <c r="L197"/>
      <c r="M197"/>
      <c r="N197" s="99"/>
      <c r="O197" s="99"/>
      <c r="P197" s="99"/>
      <c r="Q197"/>
    </row>
    <row r="198" spans="2:17" s="184" customFormat="1">
      <c r="B198" s="298"/>
      <c r="C198" s="44"/>
      <c r="D198" s="44"/>
      <c r="F198"/>
      <c r="G198"/>
      <c r="H198"/>
      <c r="I198"/>
      <c r="J198" s="43"/>
      <c r="K198" s="99"/>
      <c r="L198"/>
      <c r="M198"/>
      <c r="N198" s="99"/>
      <c r="O198" s="99"/>
      <c r="P198" s="99"/>
      <c r="Q198"/>
    </row>
    <row r="199" spans="2:17" s="184" customFormat="1">
      <c r="B199" s="298"/>
      <c r="C199" s="44"/>
      <c r="D199" s="44"/>
      <c r="F199"/>
      <c r="G199"/>
      <c r="H199"/>
      <c r="I199"/>
      <c r="J199" s="43"/>
      <c r="K199" s="99"/>
      <c r="L199"/>
      <c r="M199"/>
      <c r="N199" s="99"/>
      <c r="O199" s="99"/>
      <c r="P199" s="99"/>
      <c r="Q199"/>
    </row>
    <row r="200" spans="2:17" s="184" customFormat="1">
      <c r="B200" s="298"/>
      <c r="C200" s="44"/>
      <c r="D200" s="44"/>
      <c r="F200"/>
      <c r="G200"/>
      <c r="H200"/>
      <c r="I200"/>
      <c r="J200" s="43"/>
      <c r="K200" s="99"/>
      <c r="L200"/>
      <c r="M200"/>
      <c r="N200" s="99"/>
      <c r="O200" s="99"/>
      <c r="P200" s="99"/>
      <c r="Q200"/>
    </row>
    <row r="201" spans="2:17" s="184" customFormat="1">
      <c r="B201" s="298"/>
      <c r="C201" s="44"/>
      <c r="D201" s="44"/>
      <c r="F201"/>
      <c r="G201"/>
      <c r="H201"/>
      <c r="I201"/>
      <c r="J201" s="43"/>
      <c r="K201" s="99"/>
      <c r="L201"/>
      <c r="M201"/>
      <c r="N201" s="99"/>
      <c r="O201" s="99"/>
      <c r="P201" s="99"/>
      <c r="Q201"/>
    </row>
    <row r="202" spans="2:17" s="184" customFormat="1">
      <c r="B202" s="298"/>
      <c r="C202" s="44"/>
      <c r="D202" s="44"/>
      <c r="F202"/>
      <c r="G202"/>
      <c r="H202"/>
      <c r="I202"/>
      <c r="J202" s="43"/>
      <c r="K202" s="99"/>
      <c r="L202"/>
      <c r="M202"/>
      <c r="N202" s="99"/>
      <c r="O202" s="99"/>
      <c r="P202" s="99"/>
      <c r="Q202"/>
    </row>
    <row r="203" spans="2:17" s="184" customFormat="1">
      <c r="B203" s="298"/>
      <c r="C203" s="44"/>
      <c r="D203" s="44"/>
      <c r="F203"/>
      <c r="G203"/>
      <c r="H203"/>
      <c r="I203"/>
      <c r="J203" s="43"/>
      <c r="K203" s="99"/>
      <c r="L203"/>
      <c r="M203"/>
      <c r="N203" s="99"/>
      <c r="O203" s="99"/>
      <c r="P203" s="99"/>
      <c r="Q203"/>
    </row>
    <row r="204" spans="2:17" s="184" customFormat="1">
      <c r="B204" s="298"/>
      <c r="C204" s="44"/>
      <c r="D204" s="44"/>
      <c r="F204"/>
      <c r="G204"/>
      <c r="H204"/>
      <c r="I204"/>
      <c r="J204" s="43"/>
      <c r="K204" s="99"/>
      <c r="L204"/>
      <c r="M204"/>
      <c r="N204" s="99"/>
      <c r="O204" s="99"/>
      <c r="P204" s="99"/>
      <c r="Q204"/>
    </row>
    <row r="205" spans="2:17" s="184" customFormat="1">
      <c r="B205" s="298"/>
      <c r="C205" s="44"/>
      <c r="D205" s="44"/>
      <c r="F205"/>
      <c r="G205"/>
      <c r="H205"/>
      <c r="I205"/>
      <c r="J205" s="43"/>
      <c r="K205" s="99"/>
      <c r="L205"/>
      <c r="M205"/>
      <c r="N205" s="99"/>
      <c r="O205" s="99"/>
      <c r="P205" s="99"/>
      <c r="Q205"/>
    </row>
    <row r="206" spans="2:17" s="184" customFormat="1">
      <c r="B206" s="298"/>
      <c r="C206" s="44"/>
      <c r="D206" s="44"/>
      <c r="F206"/>
      <c r="G206"/>
      <c r="H206"/>
      <c r="I206"/>
      <c r="J206" s="43"/>
      <c r="K206" s="99"/>
      <c r="L206"/>
      <c r="M206"/>
      <c r="N206" s="99"/>
      <c r="O206" s="99"/>
      <c r="P206" s="99"/>
      <c r="Q206"/>
    </row>
    <row r="207" spans="2:17" s="184" customFormat="1">
      <c r="B207" s="298"/>
      <c r="C207" s="44"/>
      <c r="D207" s="44"/>
      <c r="F207"/>
      <c r="G207"/>
      <c r="H207"/>
      <c r="I207"/>
      <c r="J207" s="43"/>
      <c r="K207" s="99"/>
      <c r="L207"/>
      <c r="M207"/>
      <c r="N207" s="99"/>
      <c r="O207" s="99"/>
      <c r="P207" s="99"/>
      <c r="Q207"/>
    </row>
    <row r="208" spans="2:17" s="184" customFormat="1">
      <c r="B208" s="298"/>
      <c r="C208" s="44"/>
      <c r="D208" s="44"/>
      <c r="F208"/>
      <c r="G208"/>
      <c r="H208"/>
      <c r="I208"/>
      <c r="J208" s="43"/>
      <c r="K208" s="99"/>
      <c r="L208"/>
      <c r="M208"/>
      <c r="N208" s="99"/>
      <c r="O208" s="99"/>
      <c r="P208" s="99"/>
      <c r="Q208"/>
    </row>
    <row r="209" spans="2:17" s="184" customFormat="1">
      <c r="B209" s="298"/>
      <c r="C209" s="44"/>
      <c r="D209" s="44"/>
      <c r="F209"/>
      <c r="G209"/>
      <c r="H209"/>
      <c r="I209"/>
      <c r="J209" s="43"/>
      <c r="K209" s="99"/>
      <c r="L209"/>
      <c r="M209"/>
      <c r="N209" s="99"/>
      <c r="O209" s="99"/>
      <c r="P209" s="99"/>
      <c r="Q209"/>
    </row>
    <row r="210" spans="2:17" s="184" customFormat="1">
      <c r="B210" s="298"/>
      <c r="C210" s="44"/>
      <c r="D210" s="44"/>
      <c r="F210"/>
      <c r="G210"/>
      <c r="H210"/>
      <c r="I210"/>
      <c r="J210" s="43"/>
      <c r="K210" s="99"/>
      <c r="L210"/>
      <c r="M210"/>
      <c r="N210" s="99"/>
      <c r="O210" s="99"/>
      <c r="P210" s="99"/>
      <c r="Q210"/>
    </row>
    <row r="211" spans="2:17" s="184" customFormat="1">
      <c r="B211" s="298"/>
      <c r="C211" s="44"/>
      <c r="D211" s="44"/>
      <c r="F211"/>
      <c r="G211"/>
      <c r="H211"/>
      <c r="I211"/>
      <c r="J211" s="43"/>
      <c r="K211" s="99"/>
      <c r="L211"/>
      <c r="M211"/>
      <c r="N211" s="99"/>
      <c r="O211" s="99"/>
      <c r="P211" s="99"/>
      <c r="Q211"/>
    </row>
    <row r="212" spans="2:17" s="184" customFormat="1">
      <c r="B212" s="298"/>
      <c r="C212" s="44"/>
      <c r="D212" s="44"/>
      <c r="F212"/>
      <c r="G212"/>
      <c r="H212"/>
      <c r="I212"/>
      <c r="J212" s="43"/>
      <c r="K212" s="99"/>
      <c r="L212"/>
      <c r="M212"/>
      <c r="N212" s="99"/>
      <c r="O212" s="99"/>
      <c r="P212" s="99"/>
      <c r="Q212"/>
    </row>
    <row r="213" spans="2:17" s="184" customFormat="1">
      <c r="B213" s="298"/>
      <c r="C213" s="44"/>
      <c r="D213" s="44"/>
      <c r="F213"/>
      <c r="G213"/>
      <c r="H213"/>
      <c r="I213"/>
      <c r="J213" s="43"/>
      <c r="K213" s="99"/>
      <c r="L213"/>
      <c r="M213"/>
      <c r="N213" s="99"/>
      <c r="O213" s="99"/>
      <c r="P213" s="99"/>
      <c r="Q213"/>
    </row>
    <row r="214" spans="2:17" s="184" customFormat="1">
      <c r="B214" s="298"/>
      <c r="C214" s="44"/>
      <c r="D214" s="44"/>
      <c r="F214"/>
      <c r="G214"/>
      <c r="H214"/>
      <c r="I214"/>
      <c r="J214" s="43"/>
      <c r="K214" s="99"/>
      <c r="L214"/>
      <c r="M214"/>
      <c r="N214" s="99"/>
      <c r="O214" s="99"/>
      <c r="P214" s="99"/>
      <c r="Q214"/>
    </row>
    <row r="215" spans="2:17" s="184" customFormat="1">
      <c r="B215" s="298"/>
      <c r="C215" s="44"/>
      <c r="D215" s="44"/>
      <c r="F215"/>
      <c r="G215"/>
      <c r="H215"/>
      <c r="I215"/>
      <c r="J215" s="43"/>
      <c r="K215" s="99"/>
      <c r="L215"/>
      <c r="M215"/>
      <c r="N215" s="99"/>
      <c r="O215" s="99"/>
      <c r="P215" s="99"/>
      <c r="Q215"/>
    </row>
    <row r="216" spans="2:17" s="184" customFormat="1">
      <c r="B216" s="298"/>
      <c r="C216" s="44"/>
      <c r="D216" s="44"/>
      <c r="F216"/>
      <c r="G216"/>
      <c r="H216"/>
      <c r="I216"/>
      <c r="J216" s="43"/>
      <c r="K216" s="99"/>
      <c r="L216"/>
      <c r="M216"/>
      <c r="N216" s="99"/>
      <c r="O216" s="99"/>
      <c r="P216" s="99"/>
      <c r="Q216"/>
    </row>
    <row r="217" spans="2:17" s="184" customFormat="1">
      <c r="B217" s="298"/>
      <c r="C217" s="44"/>
      <c r="D217" s="44"/>
      <c r="F217"/>
      <c r="G217"/>
      <c r="H217"/>
      <c r="I217"/>
      <c r="J217" s="43"/>
      <c r="K217" s="99"/>
      <c r="L217"/>
      <c r="M217"/>
      <c r="N217" s="99"/>
      <c r="O217" s="99"/>
      <c r="P217" s="99"/>
      <c r="Q217"/>
    </row>
    <row r="218" spans="2:17" s="184" customFormat="1">
      <c r="B218" s="298"/>
      <c r="C218" s="44"/>
      <c r="D218" s="44"/>
      <c r="F218"/>
      <c r="G218"/>
      <c r="H218"/>
      <c r="I218"/>
      <c r="J218" s="43"/>
      <c r="K218" s="99"/>
      <c r="L218"/>
      <c r="M218"/>
      <c r="N218" s="99"/>
      <c r="O218" s="99"/>
      <c r="P218" s="99"/>
      <c r="Q218"/>
    </row>
    <row r="219" spans="2:17" s="184" customFormat="1">
      <c r="B219" s="298"/>
      <c r="C219" s="44"/>
      <c r="D219" s="44"/>
      <c r="F219"/>
      <c r="G219"/>
      <c r="H219"/>
      <c r="I219"/>
      <c r="J219" s="43"/>
      <c r="K219" s="99"/>
      <c r="L219"/>
      <c r="M219"/>
      <c r="N219" s="99"/>
      <c r="O219" s="99"/>
      <c r="P219" s="99"/>
      <c r="Q219"/>
    </row>
    <row r="220" spans="2:17" s="184" customFormat="1">
      <c r="B220" s="298"/>
      <c r="C220" s="44"/>
      <c r="D220" s="44"/>
      <c r="F220"/>
      <c r="G220"/>
      <c r="H220"/>
      <c r="I220"/>
      <c r="J220" s="43"/>
      <c r="K220" s="99"/>
      <c r="L220"/>
      <c r="M220"/>
      <c r="N220" s="99"/>
      <c r="O220" s="99"/>
      <c r="P220" s="99"/>
      <c r="Q220"/>
    </row>
    <row r="221" spans="2:17" s="184" customFormat="1">
      <c r="B221" s="298"/>
      <c r="C221" s="44"/>
      <c r="D221" s="44"/>
      <c r="F221"/>
      <c r="G221"/>
      <c r="H221"/>
      <c r="I221"/>
      <c r="J221" s="43"/>
      <c r="K221" s="99"/>
      <c r="L221"/>
      <c r="M221"/>
      <c r="N221" s="99"/>
      <c r="O221" s="99"/>
      <c r="P221" s="99"/>
      <c r="Q221"/>
    </row>
    <row r="222" spans="2:17" s="184" customFormat="1">
      <c r="B222" s="298"/>
      <c r="C222" s="44"/>
      <c r="D222" s="44"/>
      <c r="F222"/>
      <c r="G222"/>
      <c r="H222"/>
      <c r="I222"/>
      <c r="J222" s="43"/>
      <c r="K222" s="99"/>
      <c r="L222"/>
      <c r="M222"/>
      <c r="N222" s="99"/>
      <c r="O222" s="99"/>
      <c r="P222" s="99"/>
      <c r="Q222"/>
    </row>
    <row r="223" spans="2:17" s="184" customFormat="1">
      <c r="B223" s="298"/>
      <c r="C223" s="44"/>
      <c r="D223" s="44"/>
      <c r="F223"/>
      <c r="G223"/>
      <c r="H223"/>
      <c r="I223"/>
      <c r="J223" s="43"/>
      <c r="K223" s="99"/>
      <c r="L223"/>
      <c r="M223"/>
      <c r="N223" s="99"/>
      <c r="O223" s="99"/>
      <c r="P223" s="99"/>
      <c r="Q223"/>
    </row>
    <row r="224" spans="2:17" s="184" customFormat="1">
      <c r="B224" s="298"/>
      <c r="C224" s="44"/>
      <c r="D224" s="44"/>
      <c r="F224"/>
      <c r="G224"/>
      <c r="H224"/>
      <c r="I224"/>
      <c r="J224" s="43"/>
      <c r="K224" s="99"/>
      <c r="L224"/>
      <c r="M224"/>
      <c r="N224" s="99"/>
      <c r="O224" s="99"/>
      <c r="P224" s="99"/>
      <c r="Q224"/>
    </row>
    <row r="225" spans="2:17" s="184" customFormat="1">
      <c r="B225" s="298"/>
      <c r="C225" s="44"/>
      <c r="D225" s="44"/>
      <c r="F225"/>
      <c r="G225"/>
      <c r="H225"/>
      <c r="I225"/>
      <c r="J225" s="43"/>
      <c r="K225" s="99"/>
      <c r="L225"/>
      <c r="M225"/>
      <c r="N225" s="99"/>
      <c r="O225" s="99"/>
      <c r="P225" s="99"/>
      <c r="Q225"/>
    </row>
    <row r="226" spans="2:17" s="184" customFormat="1">
      <c r="B226" s="298"/>
      <c r="C226" s="44"/>
      <c r="D226" s="44"/>
      <c r="F226"/>
      <c r="G226"/>
      <c r="H226"/>
      <c r="I226"/>
      <c r="J226" s="43"/>
      <c r="K226" s="99"/>
      <c r="L226"/>
      <c r="M226"/>
      <c r="N226" s="99"/>
      <c r="O226" s="99"/>
      <c r="P226" s="99"/>
      <c r="Q226"/>
    </row>
    <row r="227" spans="2:17" s="184" customFormat="1">
      <c r="B227" s="298"/>
      <c r="C227" s="44"/>
      <c r="D227" s="44"/>
      <c r="F227"/>
      <c r="G227"/>
      <c r="H227"/>
      <c r="I227"/>
      <c r="J227" s="43"/>
      <c r="K227" s="99"/>
      <c r="L227"/>
      <c r="M227"/>
      <c r="N227" s="99"/>
      <c r="O227" s="99"/>
      <c r="P227" s="99"/>
      <c r="Q227"/>
    </row>
    <row r="228" spans="2:17" s="184" customFormat="1">
      <c r="B228" s="298"/>
      <c r="C228" s="44"/>
      <c r="D228" s="44"/>
      <c r="F228"/>
      <c r="G228"/>
      <c r="H228"/>
      <c r="I228"/>
      <c r="J228" s="43"/>
      <c r="K228" s="99"/>
      <c r="L228"/>
      <c r="M228"/>
      <c r="N228" s="99"/>
      <c r="O228" s="99"/>
      <c r="P228" s="99"/>
      <c r="Q228"/>
    </row>
  </sheetData>
  <mergeCells count="2">
    <mergeCell ref="C3:Q3"/>
    <mergeCell ref="C4:Q4"/>
  </mergeCells>
  <conditionalFormatting sqref="D3:E3">
    <cfRule type="duplicateValues" dxfId="116" priority="17"/>
  </conditionalFormatting>
  <conditionalFormatting sqref="D130:E134">
    <cfRule type="duplicateValues" dxfId="115" priority="15"/>
    <cfRule type="duplicateValues" dxfId="114" priority="16"/>
  </conditionalFormatting>
  <conditionalFormatting sqref="D130:E134">
    <cfRule type="duplicateValues" dxfId="113" priority="14"/>
  </conditionalFormatting>
  <conditionalFormatting sqref="B130:B134">
    <cfRule type="duplicateValues" dxfId="112" priority="13"/>
  </conditionalFormatting>
  <conditionalFormatting sqref="B1:B108 B114:B117 B124:B1048576">
    <cfRule type="duplicateValues" dxfId="111" priority="12"/>
  </conditionalFormatting>
  <conditionalFormatting sqref="D116:E117">
    <cfRule type="duplicateValues" dxfId="110" priority="11"/>
  </conditionalFormatting>
  <conditionalFormatting sqref="B116:B117">
    <cfRule type="duplicateValues" dxfId="109" priority="10"/>
  </conditionalFormatting>
  <conditionalFormatting sqref="D116:E117">
    <cfRule type="duplicateValues" dxfId="108" priority="8"/>
    <cfRule type="duplicateValues" dxfId="107" priority="9"/>
  </conditionalFormatting>
  <conditionalFormatting sqref="D229:D1048576 D127:D128 D1:E5 E127:E129 E136:E1048576">
    <cfRule type="duplicateValues" dxfId="106" priority="7"/>
  </conditionalFormatting>
  <conditionalFormatting sqref="D229:D1048576 D127:D128 D4:E5 D1:E2 E127:E129 E136:E1048576">
    <cfRule type="duplicateValues" dxfId="105" priority="6"/>
  </conditionalFormatting>
  <conditionalFormatting sqref="D229:D1048576 D127:D128 E127:E129 E136:E1048576">
    <cfRule type="duplicateValues" dxfId="104" priority="5"/>
  </conditionalFormatting>
  <conditionalFormatting sqref="D1:D117 D124:D1048576">
    <cfRule type="duplicateValues" dxfId="103" priority="4"/>
  </conditionalFormatting>
  <conditionalFormatting sqref="D229:D1048576 D126:D128 D114:E117 D124:E125 D130:E135 D1:E108 E126:E129 E136:E1048576">
    <cfRule type="duplicateValues" dxfId="102" priority="3"/>
  </conditionalFormatting>
  <conditionalFormatting sqref="D229:D1048576 D126:D128 D114:E117 D124:E125 D130:E135 D1:E108 E126:E129 E136:E1048576">
    <cfRule type="duplicateValues" dxfId="101" priority="1"/>
    <cfRule type="duplicateValues" dxfId="100" priority="2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B3:Q227"/>
  <sheetViews>
    <sheetView topLeftCell="C1" workbookViewId="0">
      <selection activeCell="I24" sqref="I24"/>
    </sheetView>
  </sheetViews>
  <sheetFormatPr defaultRowHeight="15"/>
  <cols>
    <col min="2" max="2" width="17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2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7" ht="18">
      <c r="B4" s="324"/>
      <c r="C4" s="424" t="s">
        <v>1306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2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2:17" s="114" customFormat="1">
      <c r="B6" s="293" t="s">
        <v>1239</v>
      </c>
      <c r="C6" s="96">
        <v>1</v>
      </c>
      <c r="D6" s="123" t="s">
        <v>1240</v>
      </c>
      <c r="E6" s="123"/>
      <c r="F6" s="19">
        <v>150000</v>
      </c>
      <c r="G6" s="19">
        <v>19995</v>
      </c>
      <c r="H6" s="19">
        <f>SUM(F6:G6)</f>
        <v>169995</v>
      </c>
      <c r="I6" s="327">
        <v>4149.8999999999996</v>
      </c>
      <c r="J6" s="159">
        <v>40</v>
      </c>
      <c r="K6" s="159">
        <v>10</v>
      </c>
      <c r="L6" s="16">
        <f t="shared" ref="L6:L36" si="0">K6*I6</f>
        <v>41499</v>
      </c>
      <c r="M6" s="94">
        <f t="shared" ref="M6:M37" si="1">H6-L6</f>
        <v>128496</v>
      </c>
      <c r="N6" s="159">
        <f t="shared" ref="N6:N37" si="2">J6-K6</f>
        <v>30</v>
      </c>
      <c r="O6" s="159"/>
      <c r="P6" s="159"/>
      <c r="Q6" s="11"/>
    </row>
    <row r="7" spans="2:17" s="114" customFormat="1">
      <c r="B7" s="293" t="s">
        <v>1243</v>
      </c>
      <c r="C7" s="96">
        <v>2</v>
      </c>
      <c r="D7" s="123" t="s">
        <v>1244</v>
      </c>
      <c r="E7" s="123"/>
      <c r="F7" s="19">
        <v>330000</v>
      </c>
      <c r="G7" s="19">
        <v>43989</v>
      </c>
      <c r="H7" s="19">
        <f>SUM(F7:G7)</f>
        <v>373989</v>
      </c>
      <c r="I7" s="327">
        <v>7479.78</v>
      </c>
      <c r="J7" s="159">
        <v>50</v>
      </c>
      <c r="K7" s="159">
        <v>10</v>
      </c>
      <c r="L7" s="16">
        <f t="shared" si="0"/>
        <v>74797.8</v>
      </c>
      <c r="M7" s="94">
        <f t="shared" si="1"/>
        <v>299191.2</v>
      </c>
      <c r="N7" s="159">
        <f t="shared" si="2"/>
        <v>40</v>
      </c>
      <c r="O7" s="159"/>
      <c r="P7" s="159"/>
      <c r="Q7" s="11"/>
    </row>
    <row r="8" spans="2:17" s="114" customFormat="1">
      <c r="B8" s="292" t="s">
        <v>524</v>
      </c>
      <c r="C8" s="96">
        <v>3</v>
      </c>
      <c r="D8" s="11" t="s">
        <v>525</v>
      </c>
      <c r="E8" s="11"/>
      <c r="F8" s="19">
        <v>330000</v>
      </c>
      <c r="G8" s="19">
        <v>43989</v>
      </c>
      <c r="H8" s="19">
        <f>SUM(F8:G8)</f>
        <v>373989</v>
      </c>
      <c r="I8" s="146">
        <v>7479.78</v>
      </c>
      <c r="J8" s="159">
        <v>50</v>
      </c>
      <c r="K8" s="159">
        <v>23</v>
      </c>
      <c r="L8" s="91">
        <f t="shared" si="0"/>
        <v>172034.94</v>
      </c>
      <c r="M8" s="94">
        <f t="shared" si="1"/>
        <v>201954.06</v>
      </c>
      <c r="N8" s="159">
        <f t="shared" si="2"/>
        <v>27</v>
      </c>
      <c r="O8" s="159"/>
      <c r="P8" s="97"/>
      <c r="Q8" s="11"/>
    </row>
    <row r="9" spans="2:17" s="114" customFormat="1">
      <c r="B9" s="293" t="s">
        <v>895</v>
      </c>
      <c r="C9" s="96">
        <v>4</v>
      </c>
      <c r="D9" s="123" t="s">
        <v>918</v>
      </c>
      <c r="E9" s="123"/>
      <c r="F9" s="19">
        <v>450000</v>
      </c>
      <c r="G9" s="19">
        <v>59985</v>
      </c>
      <c r="H9" s="19">
        <v>509985</v>
      </c>
      <c r="I9" s="327">
        <v>10199.700000000001</v>
      </c>
      <c r="J9" s="159">
        <v>50</v>
      </c>
      <c r="K9" s="159">
        <v>18</v>
      </c>
      <c r="L9" s="16">
        <f t="shared" si="0"/>
        <v>183594.6</v>
      </c>
      <c r="M9" s="94">
        <f t="shared" si="1"/>
        <v>326390.40000000002</v>
      </c>
      <c r="N9" s="159">
        <f t="shared" si="2"/>
        <v>32</v>
      </c>
      <c r="O9" s="159"/>
      <c r="P9" s="159"/>
      <c r="Q9" s="11"/>
    </row>
    <row r="10" spans="2:17" s="114" customFormat="1">
      <c r="B10" s="294" t="s">
        <v>606</v>
      </c>
      <c r="C10" s="96">
        <v>5</v>
      </c>
      <c r="D10" s="123" t="s">
        <v>952</v>
      </c>
      <c r="E10" s="123"/>
      <c r="F10" s="19">
        <v>150000</v>
      </c>
      <c r="G10" s="19">
        <v>19995</v>
      </c>
      <c r="H10" s="19">
        <f>SUM(F10:G10)</f>
        <v>169995</v>
      </c>
      <c r="I10" s="327">
        <v>3399.9</v>
      </c>
      <c r="J10" s="159">
        <v>50</v>
      </c>
      <c r="K10" s="159">
        <v>16</v>
      </c>
      <c r="L10" s="91">
        <f t="shared" si="0"/>
        <v>54398.400000000001</v>
      </c>
      <c r="M10" s="94">
        <f t="shared" si="1"/>
        <v>115596.6</v>
      </c>
      <c r="N10" s="159">
        <f t="shared" si="2"/>
        <v>34</v>
      </c>
      <c r="O10" s="159"/>
      <c r="P10" s="97"/>
      <c r="Q10" s="11"/>
    </row>
    <row r="11" spans="2:17" s="114" customFormat="1">
      <c r="B11" s="293" t="s">
        <v>1215</v>
      </c>
      <c r="C11" s="96">
        <v>6</v>
      </c>
      <c r="D11" s="11" t="s">
        <v>1216</v>
      </c>
      <c r="E11" s="11"/>
      <c r="F11" s="16">
        <v>450000</v>
      </c>
      <c r="G11" s="16">
        <v>59985</v>
      </c>
      <c r="H11" s="16">
        <v>509985</v>
      </c>
      <c r="I11" s="327">
        <v>10199.700000000001</v>
      </c>
      <c r="J11" s="159">
        <v>50</v>
      </c>
      <c r="K11" s="96">
        <v>11</v>
      </c>
      <c r="L11" s="91">
        <f t="shared" si="0"/>
        <v>112196.70000000001</v>
      </c>
      <c r="M11" s="94">
        <f t="shared" si="1"/>
        <v>397788.3</v>
      </c>
      <c r="N11" s="159">
        <f t="shared" si="2"/>
        <v>39</v>
      </c>
      <c r="O11" s="159"/>
      <c r="P11" s="97"/>
      <c r="Q11" s="11"/>
    </row>
    <row r="12" spans="2:17" s="114" customFormat="1">
      <c r="B12" s="293" t="s">
        <v>602</v>
      </c>
      <c r="C12" s="96">
        <v>7</v>
      </c>
      <c r="D12" s="11" t="s">
        <v>603</v>
      </c>
      <c r="E12" s="11"/>
      <c r="F12" s="19">
        <v>330000</v>
      </c>
      <c r="G12" s="19">
        <v>43989</v>
      </c>
      <c r="H12" s="19">
        <f>SUM(F12:G12)</f>
        <v>373989</v>
      </c>
      <c r="I12" s="327">
        <v>7479.78</v>
      </c>
      <c r="J12" s="159">
        <v>50</v>
      </c>
      <c r="K12" s="96">
        <v>11</v>
      </c>
      <c r="L12" s="91">
        <f t="shared" si="0"/>
        <v>82277.58</v>
      </c>
      <c r="M12" s="94">
        <f t="shared" si="1"/>
        <v>291711.42</v>
      </c>
      <c r="N12" s="159">
        <f t="shared" si="2"/>
        <v>39</v>
      </c>
      <c r="O12" s="159"/>
      <c r="P12" s="97"/>
      <c r="Q12" s="11"/>
    </row>
    <row r="13" spans="2:17" s="114" customFormat="1">
      <c r="B13" s="11" t="s">
        <v>1227</v>
      </c>
      <c r="C13" s="96">
        <v>8</v>
      </c>
      <c r="D13" s="11" t="s">
        <v>1228</v>
      </c>
      <c r="E13" s="11"/>
      <c r="F13" s="16">
        <v>500000</v>
      </c>
      <c r="G13" s="16">
        <v>66650</v>
      </c>
      <c r="H13" s="41">
        <f>SUM(F13:G13)</f>
        <v>566650</v>
      </c>
      <c r="I13" s="16">
        <v>11333</v>
      </c>
      <c r="J13" s="159">
        <v>50</v>
      </c>
      <c r="K13" s="159">
        <v>8</v>
      </c>
      <c r="L13" s="16">
        <f t="shared" si="0"/>
        <v>90664</v>
      </c>
      <c r="M13" s="94">
        <f t="shared" si="1"/>
        <v>475986</v>
      </c>
      <c r="N13" s="159">
        <f t="shared" si="2"/>
        <v>42</v>
      </c>
      <c r="O13" s="159"/>
      <c r="P13" s="159"/>
      <c r="Q13" s="11"/>
    </row>
    <row r="14" spans="2:17" s="114" customFormat="1">
      <c r="B14" s="292" t="s">
        <v>709</v>
      </c>
      <c r="C14" s="96">
        <v>9</v>
      </c>
      <c r="D14" s="11" t="s">
        <v>710</v>
      </c>
      <c r="E14" s="11"/>
      <c r="F14" s="19">
        <v>500000</v>
      </c>
      <c r="G14" s="19">
        <v>66650</v>
      </c>
      <c r="H14" s="19">
        <v>566650</v>
      </c>
      <c r="I14" s="318">
        <v>11333</v>
      </c>
      <c r="J14" s="159">
        <v>50</v>
      </c>
      <c r="K14" s="96">
        <v>35</v>
      </c>
      <c r="L14" s="16">
        <f t="shared" si="0"/>
        <v>396655</v>
      </c>
      <c r="M14" s="16">
        <f t="shared" si="1"/>
        <v>169995</v>
      </c>
      <c r="N14" s="159">
        <f t="shared" si="2"/>
        <v>15</v>
      </c>
      <c r="O14" s="159"/>
      <c r="P14" s="96"/>
      <c r="Q14" s="11"/>
    </row>
    <row r="15" spans="2:17" s="114" customFormat="1">
      <c r="B15" s="293" t="s">
        <v>1180</v>
      </c>
      <c r="C15" s="96">
        <v>10</v>
      </c>
      <c r="D15" s="123" t="s">
        <v>1181</v>
      </c>
      <c r="E15" s="123"/>
      <c r="F15" s="16">
        <v>500000</v>
      </c>
      <c r="G15" s="16">
        <v>66650</v>
      </c>
      <c r="H15" s="41">
        <f>SUM(F15:G15)</f>
        <v>566650</v>
      </c>
      <c r="I15" s="327">
        <v>11333</v>
      </c>
      <c r="J15" s="159">
        <v>50</v>
      </c>
      <c r="K15" s="159">
        <v>18</v>
      </c>
      <c r="L15" s="16">
        <f t="shared" si="0"/>
        <v>203994</v>
      </c>
      <c r="M15" s="94">
        <f t="shared" si="1"/>
        <v>362656</v>
      </c>
      <c r="N15" s="159">
        <f t="shared" si="2"/>
        <v>32</v>
      </c>
      <c r="O15" s="159"/>
      <c r="P15" s="159"/>
      <c r="Q15" s="11"/>
    </row>
    <row r="16" spans="2:17" s="114" customFormat="1">
      <c r="B16" s="295" t="s">
        <v>945</v>
      </c>
      <c r="C16" s="96">
        <v>11</v>
      </c>
      <c r="D16" s="11" t="s">
        <v>946</v>
      </c>
      <c r="E16" s="8"/>
      <c r="F16" s="16">
        <v>500000</v>
      </c>
      <c r="G16" s="16">
        <v>66650</v>
      </c>
      <c r="H16" s="41">
        <f>SUM(F16:G16)</f>
        <v>566650</v>
      </c>
      <c r="I16" s="319">
        <v>11333</v>
      </c>
      <c r="J16" s="159">
        <v>50</v>
      </c>
      <c r="K16" s="159">
        <v>18</v>
      </c>
      <c r="L16" s="16">
        <f t="shared" si="0"/>
        <v>203994</v>
      </c>
      <c r="M16" s="94">
        <f t="shared" si="1"/>
        <v>362656</v>
      </c>
      <c r="N16" s="159">
        <f t="shared" si="2"/>
        <v>32</v>
      </c>
      <c r="O16" s="159"/>
      <c r="P16" s="97"/>
      <c r="Q16" s="8"/>
    </row>
    <row r="17" spans="2:17" s="114" customFormat="1">
      <c r="B17" s="11" t="s">
        <v>884</v>
      </c>
      <c r="C17" s="96">
        <v>12</v>
      </c>
      <c r="D17" s="11" t="s">
        <v>906</v>
      </c>
      <c r="E17" s="11"/>
      <c r="F17" s="16">
        <v>500000</v>
      </c>
      <c r="G17" s="16">
        <v>66650</v>
      </c>
      <c r="H17" s="41">
        <f>SUM(F17:G17)</f>
        <v>566650</v>
      </c>
      <c r="I17" s="254">
        <v>11333</v>
      </c>
      <c r="J17" s="159">
        <v>50</v>
      </c>
      <c r="K17" s="159">
        <v>3</v>
      </c>
      <c r="L17" s="16">
        <f t="shared" si="0"/>
        <v>33999</v>
      </c>
      <c r="M17" s="94">
        <f t="shared" si="1"/>
        <v>532651</v>
      </c>
      <c r="N17" s="159">
        <f t="shared" si="2"/>
        <v>47</v>
      </c>
      <c r="O17" s="11"/>
      <c r="P17" s="11"/>
      <c r="Q17" s="11"/>
    </row>
    <row r="18" spans="2:17" s="114" customFormat="1">
      <c r="B18" s="292" t="s">
        <v>649</v>
      </c>
      <c r="C18" s="96">
        <v>13</v>
      </c>
      <c r="D18" s="11" t="s">
        <v>650</v>
      </c>
      <c r="E18" s="11"/>
      <c r="F18" s="16">
        <v>450000</v>
      </c>
      <c r="G18" s="16">
        <v>59985</v>
      </c>
      <c r="H18" s="16">
        <v>509985</v>
      </c>
      <c r="I18" s="318">
        <v>10199.700000000001</v>
      </c>
      <c r="J18" s="159">
        <v>50</v>
      </c>
      <c r="K18" s="97">
        <v>34</v>
      </c>
      <c r="L18" s="91">
        <f t="shared" si="0"/>
        <v>346789.80000000005</v>
      </c>
      <c r="M18" s="91">
        <f t="shared" si="1"/>
        <v>163195.19999999995</v>
      </c>
      <c r="N18" s="159">
        <f t="shared" si="2"/>
        <v>16</v>
      </c>
      <c r="O18" s="159"/>
      <c r="P18" s="97"/>
      <c r="Q18" s="11"/>
    </row>
    <row r="19" spans="2:17" s="114" customFormat="1">
      <c r="B19" s="292" t="s">
        <v>617</v>
      </c>
      <c r="C19" s="96">
        <v>14</v>
      </c>
      <c r="D19" s="11" t="s">
        <v>618</v>
      </c>
      <c r="E19" s="11"/>
      <c r="F19" s="16">
        <v>450000</v>
      </c>
      <c r="G19" s="16">
        <v>59985</v>
      </c>
      <c r="H19" s="16">
        <v>509985</v>
      </c>
      <c r="I19" s="318">
        <v>10199.700000000001</v>
      </c>
      <c r="J19" s="159">
        <v>50</v>
      </c>
      <c r="K19" s="97">
        <v>49</v>
      </c>
      <c r="L19" s="91">
        <f t="shared" si="0"/>
        <v>499785.30000000005</v>
      </c>
      <c r="M19" s="94">
        <f t="shared" si="1"/>
        <v>10199.699999999953</v>
      </c>
      <c r="N19" s="159">
        <f t="shared" si="2"/>
        <v>1</v>
      </c>
      <c r="O19" s="159"/>
      <c r="P19" s="97"/>
      <c r="Q19" s="11"/>
    </row>
    <row r="20" spans="2:17" s="114" customFormat="1">
      <c r="B20" s="292" t="s">
        <v>505</v>
      </c>
      <c r="C20" s="96">
        <v>15</v>
      </c>
      <c r="D20" s="11" t="s">
        <v>506</v>
      </c>
      <c r="E20" s="11"/>
      <c r="F20" s="16">
        <v>500000</v>
      </c>
      <c r="G20" s="16">
        <v>66650</v>
      </c>
      <c r="H20" s="41">
        <f>SUM(F20:G20)</f>
        <v>566650</v>
      </c>
      <c r="I20" s="318">
        <v>11333</v>
      </c>
      <c r="J20" s="159">
        <v>50</v>
      </c>
      <c r="K20" s="97">
        <v>49</v>
      </c>
      <c r="L20" s="91">
        <f t="shared" si="0"/>
        <v>555317</v>
      </c>
      <c r="M20" s="94">
        <f t="shared" si="1"/>
        <v>11333</v>
      </c>
      <c r="N20" s="159">
        <f t="shared" si="2"/>
        <v>1</v>
      </c>
      <c r="O20" s="159"/>
      <c r="P20" s="97"/>
      <c r="Q20" s="11"/>
    </row>
    <row r="21" spans="2:17" s="114" customFormat="1">
      <c r="B21" s="292" t="s">
        <v>559</v>
      </c>
      <c r="C21" s="96">
        <v>16</v>
      </c>
      <c r="D21" s="11" t="s">
        <v>560</v>
      </c>
      <c r="E21" s="11"/>
      <c r="F21" s="16">
        <v>500000</v>
      </c>
      <c r="G21" s="16">
        <v>66650</v>
      </c>
      <c r="H21" s="16">
        <v>566650</v>
      </c>
      <c r="I21" s="146">
        <v>11333</v>
      </c>
      <c r="J21" s="159">
        <v>50</v>
      </c>
      <c r="K21" s="96">
        <v>23</v>
      </c>
      <c r="L21" s="91">
        <f t="shared" si="0"/>
        <v>260659</v>
      </c>
      <c r="M21" s="94">
        <f t="shared" si="1"/>
        <v>305991</v>
      </c>
      <c r="N21" s="159">
        <f t="shared" si="2"/>
        <v>27</v>
      </c>
      <c r="O21" s="159"/>
      <c r="P21" s="97"/>
      <c r="Q21" s="123"/>
    </row>
    <row r="22" spans="2:17" s="114" customFormat="1">
      <c r="B22" s="293" t="s">
        <v>1172</v>
      </c>
      <c r="C22" s="96">
        <v>17</v>
      </c>
      <c r="D22" s="11" t="s">
        <v>1173</v>
      </c>
      <c r="E22" s="11"/>
      <c r="F22" s="19">
        <v>330000</v>
      </c>
      <c r="G22" s="19">
        <v>43989</v>
      </c>
      <c r="H22" s="19">
        <f>SUM(F22:G22)</f>
        <v>373989</v>
      </c>
      <c r="I22" s="327">
        <v>7479.78</v>
      </c>
      <c r="J22" s="159">
        <v>50</v>
      </c>
      <c r="K22" s="96">
        <v>11</v>
      </c>
      <c r="L22" s="91">
        <f t="shared" si="0"/>
        <v>82277.58</v>
      </c>
      <c r="M22" s="94">
        <f t="shared" si="1"/>
        <v>291711.42</v>
      </c>
      <c r="N22" s="159">
        <f t="shared" si="2"/>
        <v>39</v>
      </c>
      <c r="O22" s="159"/>
      <c r="P22" s="97"/>
      <c r="Q22" s="11"/>
    </row>
    <row r="23" spans="2:17" s="114" customFormat="1">
      <c r="B23" s="292" t="s">
        <v>690</v>
      </c>
      <c r="C23" s="96">
        <v>18</v>
      </c>
      <c r="D23" s="11" t="s">
        <v>691</v>
      </c>
      <c r="E23" s="11"/>
      <c r="F23" s="16">
        <v>500000</v>
      </c>
      <c r="G23" s="16">
        <v>66650</v>
      </c>
      <c r="H23" s="41">
        <f>SUM(F23:G23)</f>
        <v>566650</v>
      </c>
      <c r="I23" s="318">
        <v>11333</v>
      </c>
      <c r="J23" s="159">
        <v>50</v>
      </c>
      <c r="K23" s="159">
        <v>21</v>
      </c>
      <c r="L23" s="91">
        <f t="shared" si="0"/>
        <v>237993</v>
      </c>
      <c r="M23" s="94">
        <f t="shared" si="1"/>
        <v>328657</v>
      </c>
      <c r="N23" s="159">
        <f t="shared" si="2"/>
        <v>29</v>
      </c>
      <c r="O23" s="159"/>
      <c r="P23" s="97"/>
      <c r="Q23" s="11"/>
    </row>
    <row r="24" spans="2:17" s="114" customFormat="1">
      <c r="B24" s="295" t="s">
        <v>939</v>
      </c>
      <c r="C24" s="96">
        <v>19</v>
      </c>
      <c r="D24" s="11" t="s">
        <v>940</v>
      </c>
      <c r="E24" s="8"/>
      <c r="F24" s="19">
        <v>330000</v>
      </c>
      <c r="G24" s="19">
        <v>43989</v>
      </c>
      <c r="H24" s="19">
        <f>SUM(F24:G24)</f>
        <v>373989</v>
      </c>
      <c r="I24" s="319">
        <v>7479.78</v>
      </c>
      <c r="J24" s="159">
        <v>50</v>
      </c>
      <c r="K24" s="159">
        <v>15</v>
      </c>
      <c r="L24" s="16">
        <f t="shared" si="0"/>
        <v>112196.7</v>
      </c>
      <c r="M24" s="94">
        <f t="shared" si="1"/>
        <v>261792.3</v>
      </c>
      <c r="N24" s="159">
        <f t="shared" si="2"/>
        <v>35</v>
      </c>
      <c r="O24" s="159"/>
      <c r="P24" s="159"/>
      <c r="Q24" s="8"/>
    </row>
    <row r="25" spans="2:17" s="114" customFormat="1">
      <c r="B25" s="292" t="s">
        <v>726</v>
      </c>
      <c r="C25" s="96">
        <v>20</v>
      </c>
      <c r="D25" s="11" t="s">
        <v>727</v>
      </c>
      <c r="E25" s="11"/>
      <c r="F25" s="19">
        <v>500000</v>
      </c>
      <c r="G25" s="19">
        <v>66650</v>
      </c>
      <c r="H25" s="19">
        <v>566650</v>
      </c>
      <c r="I25" s="318">
        <v>11333</v>
      </c>
      <c r="J25" s="159">
        <v>50</v>
      </c>
      <c r="K25" s="97">
        <v>35</v>
      </c>
      <c r="L25" s="91">
        <f t="shared" si="0"/>
        <v>396655</v>
      </c>
      <c r="M25" s="91">
        <f t="shared" si="1"/>
        <v>169995</v>
      </c>
      <c r="N25" s="159">
        <f t="shared" si="2"/>
        <v>15</v>
      </c>
      <c r="O25" s="159"/>
      <c r="P25" s="97"/>
      <c r="Q25" s="11"/>
    </row>
    <row r="26" spans="2:17" s="114" customFormat="1">
      <c r="B26" s="292" t="s">
        <v>680</v>
      </c>
      <c r="C26" s="96">
        <v>21</v>
      </c>
      <c r="D26" s="11" t="s">
        <v>681</v>
      </c>
      <c r="E26" s="11"/>
      <c r="F26" s="19">
        <v>500000</v>
      </c>
      <c r="G26" s="19">
        <v>66650</v>
      </c>
      <c r="H26" s="19">
        <v>566650</v>
      </c>
      <c r="I26" s="318">
        <v>11333</v>
      </c>
      <c r="J26" s="159">
        <v>50</v>
      </c>
      <c r="K26" s="97">
        <v>35</v>
      </c>
      <c r="L26" s="91">
        <f t="shared" si="0"/>
        <v>396655</v>
      </c>
      <c r="M26" s="91">
        <f t="shared" si="1"/>
        <v>169995</v>
      </c>
      <c r="N26" s="159">
        <f t="shared" si="2"/>
        <v>15</v>
      </c>
      <c r="O26" s="159"/>
      <c r="P26" s="97"/>
      <c r="Q26" s="11"/>
    </row>
    <row r="27" spans="2:17" s="114" customFormat="1">
      <c r="B27" s="292" t="s">
        <v>576</v>
      </c>
      <c r="C27" s="96">
        <v>22</v>
      </c>
      <c r="D27" s="11" t="s">
        <v>927</v>
      </c>
      <c r="E27" s="11"/>
      <c r="F27" s="16">
        <v>60000</v>
      </c>
      <c r="G27" s="16">
        <v>7998</v>
      </c>
      <c r="H27" s="41">
        <f>SUM(F27:G27)</f>
        <v>67998</v>
      </c>
      <c r="I27" s="318">
        <v>1699.95</v>
      </c>
      <c r="J27" s="159">
        <v>40</v>
      </c>
      <c r="K27" s="97">
        <v>24</v>
      </c>
      <c r="L27" s="91">
        <f t="shared" si="0"/>
        <v>40798.800000000003</v>
      </c>
      <c r="M27" s="94">
        <f t="shared" si="1"/>
        <v>27199.199999999997</v>
      </c>
      <c r="N27" s="159">
        <f t="shared" si="2"/>
        <v>16</v>
      </c>
      <c r="O27" s="159"/>
      <c r="P27" s="97"/>
      <c r="Q27" s="11"/>
    </row>
    <row r="28" spans="2:17" s="114" customFormat="1">
      <c r="B28" s="292" t="s">
        <v>949</v>
      </c>
      <c r="C28" s="96">
        <v>23</v>
      </c>
      <c r="D28" s="11" t="s">
        <v>950</v>
      </c>
      <c r="E28" s="11"/>
      <c r="F28" s="16">
        <v>500000</v>
      </c>
      <c r="G28" s="16">
        <v>66650</v>
      </c>
      <c r="H28" s="41">
        <f>SUM(F28:G28)</f>
        <v>566650</v>
      </c>
      <c r="I28" s="318">
        <v>11333</v>
      </c>
      <c r="J28" s="159">
        <v>50</v>
      </c>
      <c r="K28" s="97">
        <v>48</v>
      </c>
      <c r="L28" s="91">
        <f t="shared" si="0"/>
        <v>543984</v>
      </c>
      <c r="M28" s="94">
        <f t="shared" si="1"/>
        <v>22666</v>
      </c>
      <c r="N28" s="159">
        <f t="shared" si="2"/>
        <v>2</v>
      </c>
      <c r="O28" s="159"/>
      <c r="P28" s="97"/>
      <c r="Q28" s="11"/>
    </row>
    <row r="29" spans="2:17" s="114" customFormat="1">
      <c r="B29" s="11" t="s">
        <v>1247</v>
      </c>
      <c r="C29" s="96">
        <v>24</v>
      </c>
      <c r="D29" s="11" t="s">
        <v>1248</v>
      </c>
      <c r="E29" s="11"/>
      <c r="F29" s="16">
        <v>500000</v>
      </c>
      <c r="G29" s="16">
        <v>66650</v>
      </c>
      <c r="H29" s="41">
        <f>SUM(F29:G29)</f>
        <v>566650</v>
      </c>
      <c r="I29" s="254">
        <v>21333</v>
      </c>
      <c r="J29" s="159">
        <v>25</v>
      </c>
      <c r="K29" s="159">
        <v>3</v>
      </c>
      <c r="L29" s="16">
        <f t="shared" si="0"/>
        <v>63999</v>
      </c>
      <c r="M29" s="94">
        <f t="shared" si="1"/>
        <v>502651</v>
      </c>
      <c r="N29" s="159">
        <f t="shared" si="2"/>
        <v>22</v>
      </c>
      <c r="O29" s="11"/>
      <c r="P29" s="11"/>
      <c r="Q29" s="11"/>
    </row>
    <row r="30" spans="2:17" s="114" customFormat="1">
      <c r="B30" s="11" t="s">
        <v>1144</v>
      </c>
      <c r="C30" s="96">
        <v>25</v>
      </c>
      <c r="D30" s="11" t="s">
        <v>1145</v>
      </c>
      <c r="E30" s="11"/>
      <c r="F30" s="19">
        <v>330000</v>
      </c>
      <c r="G30" s="19">
        <v>43989</v>
      </c>
      <c r="H30" s="19">
        <f>SUM(F30:G30)</f>
        <v>373989</v>
      </c>
      <c r="I30" s="254">
        <v>7479.78</v>
      </c>
      <c r="J30" s="159">
        <v>50</v>
      </c>
      <c r="K30" s="159">
        <v>3</v>
      </c>
      <c r="L30" s="16">
        <f t="shared" si="0"/>
        <v>22439.34</v>
      </c>
      <c r="M30" s="94">
        <f t="shared" si="1"/>
        <v>351549.66</v>
      </c>
      <c r="N30" s="159">
        <f t="shared" si="2"/>
        <v>47</v>
      </c>
      <c r="O30" s="11"/>
      <c r="P30" s="11"/>
      <c r="Q30" s="11"/>
    </row>
    <row r="31" spans="2:17" s="114" customFormat="1">
      <c r="B31" s="293" t="s">
        <v>1219</v>
      </c>
      <c r="C31" s="96">
        <v>26</v>
      </c>
      <c r="D31" s="11" t="s">
        <v>1220</v>
      </c>
      <c r="E31" s="11"/>
      <c r="F31" s="19">
        <v>330000</v>
      </c>
      <c r="G31" s="19">
        <v>43989</v>
      </c>
      <c r="H31" s="19">
        <f>SUM(F31:G31)</f>
        <v>373989</v>
      </c>
      <c r="I31" s="327">
        <v>7479.78</v>
      </c>
      <c r="J31" s="159">
        <v>50</v>
      </c>
      <c r="K31" s="96">
        <v>11</v>
      </c>
      <c r="L31" s="91">
        <f t="shared" si="0"/>
        <v>82277.58</v>
      </c>
      <c r="M31" s="94">
        <f t="shared" si="1"/>
        <v>291711.42</v>
      </c>
      <c r="N31" s="159">
        <f t="shared" si="2"/>
        <v>39</v>
      </c>
      <c r="O31" s="159"/>
      <c r="P31" s="97"/>
      <c r="Q31" s="11"/>
    </row>
    <row r="32" spans="2:17" s="114" customFormat="1">
      <c r="B32" s="293" t="s">
        <v>1255</v>
      </c>
      <c r="C32" s="96">
        <v>27</v>
      </c>
      <c r="D32" s="123" t="s">
        <v>1256</v>
      </c>
      <c r="E32" s="123"/>
      <c r="F32" s="19">
        <v>450000</v>
      </c>
      <c r="G32" s="19">
        <v>59985</v>
      </c>
      <c r="H32" s="19">
        <v>509985</v>
      </c>
      <c r="I32" s="327">
        <v>10199.700000000001</v>
      </c>
      <c r="J32" s="159">
        <v>50</v>
      </c>
      <c r="K32" s="159">
        <v>10</v>
      </c>
      <c r="L32" s="16">
        <f t="shared" si="0"/>
        <v>101997</v>
      </c>
      <c r="M32" s="94">
        <f t="shared" si="1"/>
        <v>407988</v>
      </c>
      <c r="N32" s="159">
        <f t="shared" si="2"/>
        <v>40</v>
      </c>
      <c r="O32" s="159"/>
      <c r="P32" s="159"/>
      <c r="Q32" s="11"/>
    </row>
    <row r="33" spans="2:17" s="114" customFormat="1">
      <c r="B33" s="11" t="s">
        <v>1251</v>
      </c>
      <c r="C33" s="96">
        <v>28</v>
      </c>
      <c r="D33" s="11" t="s">
        <v>1252</v>
      </c>
      <c r="E33" s="11"/>
      <c r="F33" s="19">
        <v>450000</v>
      </c>
      <c r="G33" s="19">
        <v>59985</v>
      </c>
      <c r="H33" s="19">
        <v>509985</v>
      </c>
      <c r="I33" s="254">
        <v>10199.700000000001</v>
      </c>
      <c r="J33" s="159">
        <v>50</v>
      </c>
      <c r="K33" s="159">
        <v>3</v>
      </c>
      <c r="L33" s="16">
        <f t="shared" si="0"/>
        <v>30599.100000000002</v>
      </c>
      <c r="M33" s="94">
        <f t="shared" si="1"/>
        <v>479385.9</v>
      </c>
      <c r="N33" s="159">
        <f t="shared" si="2"/>
        <v>47</v>
      </c>
      <c r="O33" s="11"/>
      <c r="P33" s="11"/>
      <c r="Q33" s="11"/>
    </row>
    <row r="34" spans="2:17" s="114" customFormat="1">
      <c r="B34" s="292" t="s">
        <v>633</v>
      </c>
      <c r="C34" s="96">
        <v>29</v>
      </c>
      <c r="D34" s="11" t="s">
        <v>634</v>
      </c>
      <c r="E34" s="11"/>
      <c r="F34" s="19">
        <v>150000</v>
      </c>
      <c r="G34" s="19">
        <v>19995</v>
      </c>
      <c r="H34" s="19">
        <f>SUM(F34:G34)</f>
        <v>169995</v>
      </c>
      <c r="I34" s="252">
        <v>3399.9</v>
      </c>
      <c r="J34" s="159">
        <v>50</v>
      </c>
      <c r="K34" s="101">
        <v>23</v>
      </c>
      <c r="L34" s="91">
        <f t="shared" si="0"/>
        <v>78197.7</v>
      </c>
      <c r="M34" s="94">
        <f t="shared" si="1"/>
        <v>91797.3</v>
      </c>
      <c r="N34" s="159">
        <f t="shared" si="2"/>
        <v>27</v>
      </c>
      <c r="O34" s="159"/>
      <c r="P34" s="97"/>
      <c r="Q34" s="8"/>
    </row>
    <row r="35" spans="2:17" s="114" customFormat="1">
      <c r="B35" s="293" t="s">
        <v>1259</v>
      </c>
      <c r="C35" s="96">
        <v>30</v>
      </c>
      <c r="D35" s="123" t="s">
        <v>1260</v>
      </c>
      <c r="E35" s="123"/>
      <c r="F35" s="16">
        <v>500000</v>
      </c>
      <c r="G35" s="16">
        <v>66650</v>
      </c>
      <c r="H35" s="41">
        <f>SUM(F35:G35)</f>
        <v>566650</v>
      </c>
      <c r="I35" s="327">
        <v>11333</v>
      </c>
      <c r="J35" s="159">
        <v>50</v>
      </c>
      <c r="K35" s="159">
        <v>10</v>
      </c>
      <c r="L35" s="16">
        <f t="shared" si="0"/>
        <v>113330</v>
      </c>
      <c r="M35" s="94">
        <f t="shared" si="1"/>
        <v>453320</v>
      </c>
      <c r="N35" s="159">
        <f t="shared" si="2"/>
        <v>40</v>
      </c>
      <c r="O35" s="159"/>
      <c r="P35" s="159"/>
      <c r="Q35" s="11"/>
    </row>
    <row r="36" spans="2:17" s="114" customFormat="1">
      <c r="B36" s="295" t="s">
        <v>947</v>
      </c>
      <c r="C36" s="96">
        <v>31</v>
      </c>
      <c r="D36" s="11" t="s">
        <v>948</v>
      </c>
      <c r="E36" s="8"/>
      <c r="F36" s="16">
        <v>500000</v>
      </c>
      <c r="G36" s="16">
        <v>66650</v>
      </c>
      <c r="H36" s="41">
        <f>SUM(F36:G36)</f>
        <v>566650</v>
      </c>
      <c r="I36" s="319">
        <v>11333</v>
      </c>
      <c r="J36" s="159">
        <v>50</v>
      </c>
      <c r="K36" s="159">
        <v>15</v>
      </c>
      <c r="L36" s="16">
        <f t="shared" si="0"/>
        <v>169995</v>
      </c>
      <c r="M36" s="94">
        <f t="shared" si="1"/>
        <v>396655</v>
      </c>
      <c r="N36" s="159">
        <f t="shared" si="2"/>
        <v>35</v>
      </c>
      <c r="O36" s="159"/>
      <c r="P36" s="159"/>
      <c r="Q36" s="8"/>
    </row>
    <row r="37" spans="2:17" s="114" customFormat="1">
      <c r="B37" s="292" t="s">
        <v>534</v>
      </c>
      <c r="C37" s="96">
        <v>32</v>
      </c>
      <c r="D37" s="11" t="s">
        <v>535</v>
      </c>
      <c r="E37" s="11"/>
      <c r="F37" s="16">
        <v>450000</v>
      </c>
      <c r="G37" s="16">
        <v>59985</v>
      </c>
      <c r="H37" s="16">
        <v>509985</v>
      </c>
      <c r="I37" s="318">
        <v>10199.700000000001</v>
      </c>
      <c r="J37" s="159">
        <v>50</v>
      </c>
      <c r="K37" s="97">
        <v>27</v>
      </c>
      <c r="L37" s="91">
        <f>(1*10199.7)</f>
        <v>10199.700000000001</v>
      </c>
      <c r="M37" s="94">
        <f t="shared" si="1"/>
        <v>499785.3</v>
      </c>
      <c r="N37" s="159">
        <f t="shared" si="2"/>
        <v>23</v>
      </c>
      <c r="O37" s="159"/>
      <c r="P37" s="97"/>
      <c r="Q37" s="11"/>
    </row>
    <row r="38" spans="2:17" s="114" customFormat="1">
      <c r="B38" s="292" t="s">
        <v>626</v>
      </c>
      <c r="C38" s="96">
        <v>33</v>
      </c>
      <c r="D38" s="11" t="s">
        <v>627</v>
      </c>
      <c r="E38" s="11"/>
      <c r="F38" s="16">
        <v>330000</v>
      </c>
      <c r="G38" s="16">
        <v>43989</v>
      </c>
      <c r="H38" s="41">
        <f>SUM(F38:G38)</f>
        <v>373989</v>
      </c>
      <c r="I38" s="318">
        <v>7479.78</v>
      </c>
      <c r="J38" s="159">
        <v>50</v>
      </c>
      <c r="K38" s="97">
        <v>49</v>
      </c>
      <c r="L38" s="91">
        <f t="shared" ref="L38:L69" si="3">K38*I38</f>
        <v>366509.22</v>
      </c>
      <c r="M38" s="94">
        <f t="shared" ref="M38:M69" si="4">H38-L38</f>
        <v>7479.7800000000279</v>
      </c>
      <c r="N38" s="159">
        <f t="shared" ref="N38:N69" si="5">J38-K38</f>
        <v>1</v>
      </c>
      <c r="O38" s="159"/>
      <c r="P38" s="97"/>
      <c r="Q38" s="11"/>
    </row>
    <row r="39" spans="2:17" s="114" customFormat="1">
      <c r="B39" s="292" t="s">
        <v>730</v>
      </c>
      <c r="C39" s="96">
        <v>34</v>
      </c>
      <c r="D39" s="11" t="s">
        <v>731</v>
      </c>
      <c r="E39" s="11"/>
      <c r="F39" s="16">
        <v>500000</v>
      </c>
      <c r="G39" s="16">
        <v>66650</v>
      </c>
      <c r="H39" s="41">
        <f>SUM(F39:G39)</f>
        <v>566650</v>
      </c>
      <c r="I39" s="318">
        <v>11333</v>
      </c>
      <c r="J39" s="159">
        <v>50</v>
      </c>
      <c r="K39" s="159">
        <v>25</v>
      </c>
      <c r="L39" s="91">
        <f t="shared" si="3"/>
        <v>283325</v>
      </c>
      <c r="M39" s="94">
        <f t="shared" si="4"/>
        <v>283325</v>
      </c>
      <c r="N39" s="159">
        <f t="shared" si="5"/>
        <v>25</v>
      </c>
      <c r="O39" s="159"/>
      <c r="P39" s="159"/>
      <c r="Q39" s="11"/>
    </row>
    <row r="40" spans="2:17" s="114" customFormat="1">
      <c r="B40" s="293" t="s">
        <v>1156</v>
      </c>
      <c r="C40" s="96">
        <v>35</v>
      </c>
      <c r="D40" s="11" t="s">
        <v>1157</v>
      </c>
      <c r="E40" s="11"/>
      <c r="F40" s="19"/>
      <c r="G40" s="19"/>
      <c r="H40" s="19">
        <v>200000</v>
      </c>
      <c r="I40" s="327">
        <v>5099.8500000000004</v>
      </c>
      <c r="J40" s="159">
        <v>50</v>
      </c>
      <c r="K40" s="96">
        <v>11</v>
      </c>
      <c r="L40" s="91">
        <f t="shared" si="3"/>
        <v>56098.350000000006</v>
      </c>
      <c r="M40" s="94">
        <f t="shared" si="4"/>
        <v>143901.65</v>
      </c>
      <c r="N40" s="159">
        <f t="shared" si="5"/>
        <v>39</v>
      </c>
      <c r="O40" s="159"/>
      <c r="P40" s="97"/>
      <c r="Q40" s="11"/>
    </row>
    <row r="41" spans="2:17" s="114" customFormat="1">
      <c r="B41" s="293" t="s">
        <v>1229</v>
      </c>
      <c r="C41" s="96">
        <v>36</v>
      </c>
      <c r="D41" s="123" t="s">
        <v>1230</v>
      </c>
      <c r="E41" s="123"/>
      <c r="F41" s="19">
        <v>150000</v>
      </c>
      <c r="G41" s="19">
        <v>19995</v>
      </c>
      <c r="H41" s="19">
        <f>SUM(F41:G41)</f>
        <v>169995</v>
      </c>
      <c r="I41" s="327">
        <v>4149.8999999999996</v>
      </c>
      <c r="J41" s="159">
        <v>40</v>
      </c>
      <c r="K41" s="159">
        <v>10</v>
      </c>
      <c r="L41" s="16">
        <f t="shared" si="3"/>
        <v>41499</v>
      </c>
      <c r="M41" s="94">
        <f t="shared" si="4"/>
        <v>128496</v>
      </c>
      <c r="N41" s="159">
        <f t="shared" si="5"/>
        <v>30</v>
      </c>
      <c r="O41" s="159"/>
      <c r="P41" s="159"/>
      <c r="Q41" s="11"/>
    </row>
    <row r="42" spans="2:17" s="114" customFormat="1">
      <c r="B42" s="292" t="s">
        <v>623</v>
      </c>
      <c r="C42" s="96">
        <v>37</v>
      </c>
      <c r="D42" s="123" t="s">
        <v>954</v>
      </c>
      <c r="E42" s="123"/>
      <c r="F42" s="19">
        <v>450000</v>
      </c>
      <c r="G42" s="19">
        <v>59985</v>
      </c>
      <c r="H42" s="19">
        <v>509985</v>
      </c>
      <c r="I42" s="327">
        <v>10199.700000000001</v>
      </c>
      <c r="J42" s="159">
        <v>50</v>
      </c>
      <c r="K42" s="159">
        <v>15</v>
      </c>
      <c r="L42" s="91">
        <f t="shared" si="3"/>
        <v>152995.5</v>
      </c>
      <c r="M42" s="94">
        <f t="shared" si="4"/>
        <v>356989.5</v>
      </c>
      <c r="N42" s="159">
        <f t="shared" si="5"/>
        <v>35</v>
      </c>
      <c r="O42" s="159"/>
      <c r="P42" s="97"/>
      <c r="Q42" s="11"/>
    </row>
    <row r="43" spans="2:17" s="114" customFormat="1">
      <c r="B43" s="295" t="s">
        <v>1233</v>
      </c>
      <c r="C43" s="96">
        <v>38</v>
      </c>
      <c r="D43" s="11" t="s">
        <v>1234</v>
      </c>
      <c r="E43" s="8"/>
      <c r="F43" s="16">
        <v>500000</v>
      </c>
      <c r="G43" s="16">
        <v>66650</v>
      </c>
      <c r="H43" s="41">
        <f t="shared" ref="H43:H49" si="6">SUM(F43:G43)</f>
        <v>566650</v>
      </c>
      <c r="I43" s="34">
        <v>11333</v>
      </c>
      <c r="J43" s="159">
        <v>50</v>
      </c>
      <c r="K43" s="323">
        <v>8</v>
      </c>
      <c r="L43" s="16">
        <f t="shared" si="3"/>
        <v>90664</v>
      </c>
      <c r="M43" s="94">
        <f t="shared" si="4"/>
        <v>475986</v>
      </c>
      <c r="N43" s="159">
        <f t="shared" si="5"/>
        <v>42</v>
      </c>
      <c r="O43" s="159"/>
      <c r="P43" s="159"/>
      <c r="Q43" s="8"/>
    </row>
    <row r="44" spans="2:17" s="114" customFormat="1">
      <c r="B44" s="292" t="s">
        <v>526</v>
      </c>
      <c r="C44" s="96">
        <v>39</v>
      </c>
      <c r="D44" s="11" t="s">
        <v>527</v>
      </c>
      <c r="E44" s="11"/>
      <c r="F44" s="16">
        <v>330000</v>
      </c>
      <c r="G44" s="16">
        <v>43989</v>
      </c>
      <c r="H44" s="41">
        <f t="shared" si="6"/>
        <v>373989</v>
      </c>
      <c r="I44" s="146">
        <v>7479.78</v>
      </c>
      <c r="J44" s="159">
        <v>50</v>
      </c>
      <c r="K44" s="97">
        <v>49</v>
      </c>
      <c r="L44" s="91">
        <f t="shared" si="3"/>
        <v>366509.22</v>
      </c>
      <c r="M44" s="94">
        <f t="shared" si="4"/>
        <v>7479.7800000000279</v>
      </c>
      <c r="N44" s="159">
        <f t="shared" si="5"/>
        <v>1</v>
      </c>
      <c r="O44" s="159"/>
      <c r="P44" s="97"/>
      <c r="Q44" s="11"/>
    </row>
    <row r="45" spans="2:17" s="114" customFormat="1">
      <c r="B45" s="292" t="s">
        <v>609</v>
      </c>
      <c r="C45" s="96">
        <v>40</v>
      </c>
      <c r="D45" s="11" t="s">
        <v>610</v>
      </c>
      <c r="E45" s="11"/>
      <c r="F45" s="16">
        <v>500000</v>
      </c>
      <c r="G45" s="16">
        <v>66650</v>
      </c>
      <c r="H45" s="41">
        <f t="shared" si="6"/>
        <v>566650</v>
      </c>
      <c r="I45" s="318">
        <v>11333</v>
      </c>
      <c r="J45" s="159">
        <v>50</v>
      </c>
      <c r="K45" s="97">
        <v>48</v>
      </c>
      <c r="L45" s="91">
        <f t="shared" si="3"/>
        <v>543984</v>
      </c>
      <c r="M45" s="94">
        <f t="shared" si="4"/>
        <v>22666</v>
      </c>
      <c r="N45" s="159">
        <f t="shared" si="5"/>
        <v>2</v>
      </c>
      <c r="O45" s="159"/>
      <c r="P45" s="97"/>
      <c r="Q45" s="11"/>
    </row>
    <row r="46" spans="2:17" s="114" customFormat="1">
      <c r="B46" s="292" t="s">
        <v>682</v>
      </c>
      <c r="C46" s="96">
        <v>41</v>
      </c>
      <c r="D46" s="11" t="s">
        <v>683</v>
      </c>
      <c r="E46" s="11"/>
      <c r="F46" s="16">
        <v>500000</v>
      </c>
      <c r="G46" s="16">
        <v>66650</v>
      </c>
      <c r="H46" s="41">
        <f t="shared" si="6"/>
        <v>566650</v>
      </c>
      <c r="I46" s="318">
        <v>11333</v>
      </c>
      <c r="J46" s="159">
        <v>50</v>
      </c>
      <c r="K46" s="97">
        <v>49</v>
      </c>
      <c r="L46" s="91">
        <f t="shared" si="3"/>
        <v>555317</v>
      </c>
      <c r="M46" s="94">
        <f t="shared" si="4"/>
        <v>11333</v>
      </c>
      <c r="N46" s="159">
        <f t="shared" si="5"/>
        <v>1</v>
      </c>
      <c r="O46" s="159"/>
      <c r="P46" s="97"/>
      <c r="Q46" s="11"/>
    </row>
    <row r="47" spans="2:17" s="114" customFormat="1">
      <c r="B47" s="292" t="s">
        <v>542</v>
      </c>
      <c r="C47" s="96">
        <v>42</v>
      </c>
      <c r="D47" s="11" t="s">
        <v>543</v>
      </c>
      <c r="E47" s="11"/>
      <c r="F47" s="16">
        <v>500000</v>
      </c>
      <c r="G47" s="16">
        <v>66650</v>
      </c>
      <c r="H47" s="41">
        <f t="shared" si="6"/>
        <v>566650</v>
      </c>
      <c r="I47" s="318">
        <v>11333</v>
      </c>
      <c r="J47" s="159">
        <v>50</v>
      </c>
      <c r="K47" s="97">
        <v>48</v>
      </c>
      <c r="L47" s="91">
        <f t="shared" si="3"/>
        <v>543984</v>
      </c>
      <c r="M47" s="94">
        <f t="shared" si="4"/>
        <v>22666</v>
      </c>
      <c r="N47" s="159">
        <f t="shared" si="5"/>
        <v>2</v>
      </c>
      <c r="O47" s="159"/>
      <c r="P47" s="97"/>
      <c r="Q47" s="11"/>
    </row>
    <row r="48" spans="2:17" s="114" customFormat="1">
      <c r="B48" s="293" t="s">
        <v>1166</v>
      </c>
      <c r="C48" s="96">
        <v>43</v>
      </c>
      <c r="D48" s="11" t="s">
        <v>1167</v>
      </c>
      <c r="E48" s="11"/>
      <c r="F48" s="16">
        <v>500000</v>
      </c>
      <c r="G48" s="16">
        <v>66650</v>
      </c>
      <c r="H48" s="41">
        <f t="shared" si="6"/>
        <v>566650</v>
      </c>
      <c r="I48" s="327">
        <v>11333</v>
      </c>
      <c r="J48" s="159">
        <v>50</v>
      </c>
      <c r="K48" s="96">
        <v>11</v>
      </c>
      <c r="L48" s="91">
        <f t="shared" si="3"/>
        <v>124663</v>
      </c>
      <c r="M48" s="94">
        <f t="shared" si="4"/>
        <v>441987</v>
      </c>
      <c r="N48" s="159">
        <f t="shared" si="5"/>
        <v>39</v>
      </c>
      <c r="O48" s="159"/>
      <c r="P48" s="97"/>
      <c r="Q48" s="11"/>
    </row>
    <row r="49" spans="2:17" s="114" customFormat="1">
      <c r="B49" s="8" t="s">
        <v>1152</v>
      </c>
      <c r="C49" s="96">
        <v>44</v>
      </c>
      <c r="D49" s="11" t="s">
        <v>1153</v>
      </c>
      <c r="E49" s="8"/>
      <c r="F49" s="16">
        <v>500000</v>
      </c>
      <c r="G49" s="16">
        <v>66650</v>
      </c>
      <c r="H49" s="41">
        <f t="shared" si="6"/>
        <v>566650</v>
      </c>
      <c r="I49" s="34">
        <v>11333</v>
      </c>
      <c r="J49" s="159">
        <v>50</v>
      </c>
      <c r="K49" s="323">
        <v>8</v>
      </c>
      <c r="L49" s="16">
        <f t="shared" si="3"/>
        <v>90664</v>
      </c>
      <c r="M49" s="94">
        <f t="shared" si="4"/>
        <v>475986</v>
      </c>
      <c r="N49" s="159">
        <f t="shared" si="5"/>
        <v>42</v>
      </c>
      <c r="O49" s="159"/>
      <c r="P49" s="159"/>
      <c r="Q49" s="8"/>
    </row>
    <row r="50" spans="2:17" s="114" customFormat="1">
      <c r="B50" s="293" t="s">
        <v>1160</v>
      </c>
      <c r="C50" s="96">
        <v>45</v>
      </c>
      <c r="D50" s="123" t="s">
        <v>1161</v>
      </c>
      <c r="E50" s="123"/>
      <c r="F50" s="19">
        <v>450000</v>
      </c>
      <c r="G50" s="19">
        <v>59985</v>
      </c>
      <c r="H50" s="19">
        <v>509985</v>
      </c>
      <c r="I50" s="327">
        <v>10199.700000000001</v>
      </c>
      <c r="J50" s="159">
        <v>50</v>
      </c>
      <c r="K50" s="159">
        <v>18</v>
      </c>
      <c r="L50" s="16">
        <f t="shared" si="3"/>
        <v>183594.6</v>
      </c>
      <c r="M50" s="94">
        <f t="shared" si="4"/>
        <v>326390.40000000002</v>
      </c>
      <c r="N50" s="159">
        <f t="shared" si="5"/>
        <v>32</v>
      </c>
      <c r="O50" s="159"/>
      <c r="P50" s="159"/>
      <c r="Q50" s="11"/>
    </row>
    <row r="51" spans="2:17" s="114" customFormat="1">
      <c r="B51" s="292" t="s">
        <v>724</v>
      </c>
      <c r="C51" s="96">
        <v>46</v>
      </c>
      <c r="D51" s="11" t="s">
        <v>725</v>
      </c>
      <c r="E51" s="11"/>
      <c r="F51" s="19">
        <v>500000</v>
      </c>
      <c r="G51" s="19">
        <v>66650</v>
      </c>
      <c r="H51" s="19">
        <v>566650</v>
      </c>
      <c r="I51" s="318">
        <v>11333</v>
      </c>
      <c r="J51" s="159">
        <v>50</v>
      </c>
      <c r="K51" s="97">
        <v>34</v>
      </c>
      <c r="L51" s="91">
        <f t="shared" si="3"/>
        <v>385322</v>
      </c>
      <c r="M51" s="91">
        <f t="shared" si="4"/>
        <v>181328</v>
      </c>
      <c r="N51" s="159">
        <f t="shared" si="5"/>
        <v>16</v>
      </c>
      <c r="O51" s="159"/>
      <c r="P51" s="97"/>
      <c r="Q51" s="11"/>
    </row>
    <row r="52" spans="2:17" s="114" customFormat="1">
      <c r="B52" s="293" t="s">
        <v>887</v>
      </c>
      <c r="C52" s="96">
        <v>47</v>
      </c>
      <c r="D52" s="123" t="s">
        <v>909</v>
      </c>
      <c r="E52" s="123"/>
      <c r="F52" s="16">
        <v>500000</v>
      </c>
      <c r="G52" s="16">
        <v>66650</v>
      </c>
      <c r="H52" s="41">
        <f>SUM(F52:G52)</f>
        <v>566650</v>
      </c>
      <c r="I52" s="327">
        <v>11333</v>
      </c>
      <c r="J52" s="159">
        <v>50</v>
      </c>
      <c r="K52" s="159">
        <v>18</v>
      </c>
      <c r="L52" s="16">
        <f t="shared" si="3"/>
        <v>203994</v>
      </c>
      <c r="M52" s="94">
        <f t="shared" si="4"/>
        <v>362656</v>
      </c>
      <c r="N52" s="159">
        <f t="shared" si="5"/>
        <v>32</v>
      </c>
      <c r="O52" s="159"/>
      <c r="P52" s="159"/>
      <c r="Q52" s="11"/>
    </row>
    <row r="53" spans="2:17" s="114" customFormat="1">
      <c r="B53" s="293" t="s">
        <v>894</v>
      </c>
      <c r="C53" s="96">
        <v>48</v>
      </c>
      <c r="D53" s="123" t="s">
        <v>916</v>
      </c>
      <c r="E53" s="123"/>
      <c r="F53" s="19">
        <v>450000</v>
      </c>
      <c r="G53" s="19">
        <v>59985</v>
      </c>
      <c r="H53" s="19">
        <v>509985</v>
      </c>
      <c r="I53" s="327">
        <v>10199.700000000001</v>
      </c>
      <c r="J53" s="159">
        <v>50</v>
      </c>
      <c r="K53" s="159">
        <v>18</v>
      </c>
      <c r="L53" s="16">
        <f t="shared" si="3"/>
        <v>183594.6</v>
      </c>
      <c r="M53" s="94">
        <f t="shared" si="4"/>
        <v>326390.40000000002</v>
      </c>
      <c r="N53" s="159">
        <f t="shared" si="5"/>
        <v>32</v>
      </c>
      <c r="O53" s="159"/>
      <c r="P53" s="159"/>
      <c r="Q53" s="11"/>
    </row>
    <row r="54" spans="2:17" s="114" customFormat="1">
      <c r="B54" s="11" t="s">
        <v>1253</v>
      </c>
      <c r="C54" s="96">
        <v>49</v>
      </c>
      <c r="D54" s="11" t="s">
        <v>1254</v>
      </c>
      <c r="E54" s="11"/>
      <c r="F54" s="16">
        <v>500000</v>
      </c>
      <c r="G54" s="16">
        <v>66650</v>
      </c>
      <c r="H54" s="41">
        <f>SUM(F54:G54)</f>
        <v>566650</v>
      </c>
      <c r="I54" s="16">
        <v>11333</v>
      </c>
      <c r="J54" s="159">
        <v>50</v>
      </c>
      <c r="K54" s="159">
        <v>8</v>
      </c>
      <c r="L54" s="16">
        <f t="shared" si="3"/>
        <v>90664</v>
      </c>
      <c r="M54" s="94">
        <f t="shared" si="4"/>
        <v>475986</v>
      </c>
      <c r="N54" s="159">
        <f t="shared" si="5"/>
        <v>42</v>
      </c>
      <c r="O54" s="159"/>
      <c r="P54" s="159"/>
      <c r="Q54" s="11"/>
    </row>
    <row r="55" spans="2:17" s="114" customFormat="1">
      <c r="B55" s="292" t="s">
        <v>619</v>
      </c>
      <c r="C55" s="96">
        <v>50</v>
      </c>
      <c r="D55" s="11" t="s">
        <v>620</v>
      </c>
      <c r="E55" s="11"/>
      <c r="F55" s="16">
        <v>500000</v>
      </c>
      <c r="G55" s="16">
        <v>66650</v>
      </c>
      <c r="H55" s="16">
        <v>566650</v>
      </c>
      <c r="I55" s="318">
        <v>11333</v>
      </c>
      <c r="J55" s="159">
        <v>50</v>
      </c>
      <c r="K55" s="97">
        <v>49</v>
      </c>
      <c r="L55" s="91">
        <f t="shared" si="3"/>
        <v>555317</v>
      </c>
      <c r="M55" s="94">
        <f t="shared" si="4"/>
        <v>11333</v>
      </c>
      <c r="N55" s="159">
        <f t="shared" si="5"/>
        <v>1</v>
      </c>
      <c r="O55" s="159"/>
      <c r="P55" s="97"/>
      <c r="Q55" s="11"/>
    </row>
    <row r="56" spans="2:17" s="114" customFormat="1">
      <c r="B56" s="11" t="s">
        <v>1186</v>
      </c>
      <c r="C56" s="96">
        <v>51</v>
      </c>
      <c r="D56" s="11" t="s">
        <v>1187</v>
      </c>
      <c r="E56" s="11"/>
      <c r="F56" s="16">
        <v>500000</v>
      </c>
      <c r="G56" s="16">
        <v>66650</v>
      </c>
      <c r="H56" s="41">
        <f>SUM(F56:G56)</f>
        <v>566650</v>
      </c>
      <c r="I56" s="254">
        <v>11333</v>
      </c>
      <c r="J56" s="159">
        <v>50</v>
      </c>
      <c r="K56" s="159">
        <v>3</v>
      </c>
      <c r="L56" s="16">
        <f t="shared" si="3"/>
        <v>33999</v>
      </c>
      <c r="M56" s="94">
        <f t="shared" si="4"/>
        <v>532651</v>
      </c>
      <c r="N56" s="159">
        <f t="shared" si="5"/>
        <v>47</v>
      </c>
      <c r="O56" s="11"/>
      <c r="P56" s="11"/>
      <c r="Q56" s="11"/>
    </row>
    <row r="57" spans="2:17" s="114" customFormat="1">
      <c r="B57" s="294" t="s">
        <v>663</v>
      </c>
      <c r="C57" s="96">
        <v>52</v>
      </c>
      <c r="D57" s="11" t="s">
        <v>953</v>
      </c>
      <c r="E57" s="11"/>
      <c r="F57" s="19">
        <v>330000</v>
      </c>
      <c r="G57" s="19">
        <v>43989</v>
      </c>
      <c r="H57" s="19">
        <f>SUM(F57:G57)</f>
        <v>373989</v>
      </c>
      <c r="I57" s="327">
        <v>7479.78</v>
      </c>
      <c r="J57" s="159">
        <v>50</v>
      </c>
      <c r="K57" s="159">
        <v>16</v>
      </c>
      <c r="L57" s="91">
        <f t="shared" si="3"/>
        <v>119676.48</v>
      </c>
      <c r="M57" s="94">
        <f t="shared" si="4"/>
        <v>254312.52000000002</v>
      </c>
      <c r="N57" s="159">
        <f t="shared" si="5"/>
        <v>34</v>
      </c>
      <c r="O57" s="159"/>
      <c r="P57" s="97"/>
      <c r="Q57" s="11"/>
    </row>
    <row r="58" spans="2:17" s="114" customFormat="1">
      <c r="B58" s="292" t="s">
        <v>664</v>
      </c>
      <c r="C58" s="96">
        <v>53</v>
      </c>
      <c r="D58" s="11" t="s">
        <v>665</v>
      </c>
      <c r="E58" s="11"/>
      <c r="F58" s="19">
        <v>330000</v>
      </c>
      <c r="G58" s="19">
        <v>43989</v>
      </c>
      <c r="H58" s="19">
        <f>SUM(F58:G58)</f>
        <v>373989</v>
      </c>
      <c r="I58" s="252">
        <v>7479.78</v>
      </c>
      <c r="J58" s="159">
        <v>50</v>
      </c>
      <c r="K58" s="101">
        <v>23</v>
      </c>
      <c r="L58" s="91">
        <f t="shared" si="3"/>
        <v>172034.94</v>
      </c>
      <c r="M58" s="94">
        <f t="shared" si="4"/>
        <v>201954.06</v>
      </c>
      <c r="N58" s="159">
        <f t="shared" si="5"/>
        <v>27</v>
      </c>
      <c r="O58" s="159"/>
      <c r="P58" s="97"/>
      <c r="Q58" s="11"/>
    </row>
    <row r="59" spans="2:17" s="114" customFormat="1">
      <c r="B59" s="11" t="s">
        <v>1174</v>
      </c>
      <c r="C59" s="96">
        <v>54</v>
      </c>
      <c r="D59" s="11" t="s">
        <v>1175</v>
      </c>
      <c r="E59" s="11"/>
      <c r="F59" s="16">
        <v>500000</v>
      </c>
      <c r="G59" s="16">
        <v>66650</v>
      </c>
      <c r="H59" s="41">
        <f>SUM(F59:G59)</f>
        <v>566650</v>
      </c>
      <c r="I59" s="16">
        <v>11333</v>
      </c>
      <c r="J59" s="159">
        <v>50</v>
      </c>
      <c r="K59" s="159">
        <v>8</v>
      </c>
      <c r="L59" s="16">
        <f t="shared" si="3"/>
        <v>90664</v>
      </c>
      <c r="M59" s="94">
        <f t="shared" si="4"/>
        <v>475986</v>
      </c>
      <c r="N59" s="159">
        <f t="shared" si="5"/>
        <v>42</v>
      </c>
      <c r="O59" s="159"/>
      <c r="P59" s="159"/>
      <c r="Q59" s="11"/>
    </row>
    <row r="60" spans="2:17" s="114" customFormat="1">
      <c r="B60" s="293" t="s">
        <v>896</v>
      </c>
      <c r="C60" s="96">
        <v>55</v>
      </c>
      <c r="D60" s="123" t="s">
        <v>919</v>
      </c>
      <c r="E60" s="123"/>
      <c r="F60" s="19">
        <v>450000</v>
      </c>
      <c r="G60" s="19">
        <v>59985</v>
      </c>
      <c r="H60" s="19">
        <v>509985</v>
      </c>
      <c r="I60" s="327">
        <v>10199.700000000001</v>
      </c>
      <c r="J60" s="159">
        <v>50</v>
      </c>
      <c r="K60" s="159">
        <v>18</v>
      </c>
      <c r="L60" s="16">
        <f t="shared" si="3"/>
        <v>183594.6</v>
      </c>
      <c r="M60" s="94">
        <f t="shared" si="4"/>
        <v>326390.40000000002</v>
      </c>
      <c r="N60" s="159">
        <f t="shared" si="5"/>
        <v>32</v>
      </c>
      <c r="O60" s="159"/>
      <c r="P60" s="159"/>
      <c r="Q60" s="11"/>
    </row>
    <row r="61" spans="2:17" s="114" customFormat="1">
      <c r="B61" s="292" t="s">
        <v>516</v>
      </c>
      <c r="C61" s="96">
        <v>56</v>
      </c>
      <c r="D61" s="11" t="s">
        <v>517</v>
      </c>
      <c r="E61" s="11"/>
      <c r="F61" s="16">
        <v>500000</v>
      </c>
      <c r="G61" s="16">
        <v>66650</v>
      </c>
      <c r="H61" s="41">
        <f>SUM(F61:G61)</f>
        <v>566650</v>
      </c>
      <c r="I61" s="146">
        <v>11333</v>
      </c>
      <c r="J61" s="159">
        <v>50</v>
      </c>
      <c r="K61" s="97">
        <v>49</v>
      </c>
      <c r="L61" s="91">
        <f t="shared" si="3"/>
        <v>555317</v>
      </c>
      <c r="M61" s="94">
        <f t="shared" si="4"/>
        <v>11333</v>
      </c>
      <c r="N61" s="159">
        <f t="shared" si="5"/>
        <v>1</v>
      </c>
      <c r="O61" s="159"/>
      <c r="P61" s="97"/>
      <c r="Q61" s="11"/>
    </row>
    <row r="62" spans="2:17" s="114" customFormat="1">
      <c r="B62" s="8" t="s">
        <v>1158</v>
      </c>
      <c r="C62" s="96">
        <v>57</v>
      </c>
      <c r="D62" s="8" t="s">
        <v>1159</v>
      </c>
      <c r="E62" s="8"/>
      <c r="F62" s="19">
        <v>450000</v>
      </c>
      <c r="G62" s="19">
        <v>59985</v>
      </c>
      <c r="H62" s="19">
        <v>509985</v>
      </c>
      <c r="I62" s="34">
        <v>10199.700000000001</v>
      </c>
      <c r="J62" s="159">
        <v>50</v>
      </c>
      <c r="K62" s="323">
        <v>3</v>
      </c>
      <c r="L62" s="16">
        <f t="shared" si="3"/>
        <v>30599.100000000002</v>
      </c>
      <c r="M62" s="94">
        <f t="shared" si="4"/>
        <v>479385.9</v>
      </c>
      <c r="N62" s="159">
        <f t="shared" si="5"/>
        <v>47</v>
      </c>
      <c r="O62" s="34"/>
      <c r="P62" s="34"/>
      <c r="Q62" s="8"/>
    </row>
    <row r="63" spans="2:17" s="114" customFormat="1">
      <c r="B63" s="293" t="s">
        <v>1249</v>
      </c>
      <c r="C63" s="96">
        <v>58</v>
      </c>
      <c r="D63" s="11" t="s">
        <v>1250</v>
      </c>
      <c r="E63" s="11"/>
      <c r="F63" s="19">
        <v>330000</v>
      </c>
      <c r="G63" s="19">
        <v>43989</v>
      </c>
      <c r="H63" s="19">
        <f>SUM(F63:G63)</f>
        <v>373989</v>
      </c>
      <c r="I63" s="327">
        <v>7479.78</v>
      </c>
      <c r="J63" s="159">
        <v>50</v>
      </c>
      <c r="K63" s="96">
        <v>11</v>
      </c>
      <c r="L63" s="91">
        <f t="shared" si="3"/>
        <v>82277.58</v>
      </c>
      <c r="M63" s="94">
        <f t="shared" si="4"/>
        <v>291711.42</v>
      </c>
      <c r="N63" s="159">
        <f t="shared" si="5"/>
        <v>39</v>
      </c>
      <c r="O63" s="159"/>
      <c r="P63" s="97"/>
      <c r="Q63" s="11"/>
    </row>
    <row r="64" spans="2:17" s="114" customFormat="1">
      <c r="B64" s="295" t="s">
        <v>937</v>
      </c>
      <c r="C64" s="96">
        <v>59</v>
      </c>
      <c r="D64" s="11" t="s">
        <v>938</v>
      </c>
      <c r="E64" s="8"/>
      <c r="F64" s="19">
        <v>150000</v>
      </c>
      <c r="G64" s="19">
        <v>19995</v>
      </c>
      <c r="H64" s="19">
        <f>SUM(F64:G64)</f>
        <v>169995</v>
      </c>
      <c r="I64" s="319">
        <v>3399.9</v>
      </c>
      <c r="J64" s="159">
        <v>50</v>
      </c>
      <c r="K64" s="159">
        <v>15</v>
      </c>
      <c r="L64" s="16">
        <f t="shared" si="3"/>
        <v>50998.5</v>
      </c>
      <c r="M64" s="94">
        <f t="shared" si="4"/>
        <v>118996.5</v>
      </c>
      <c r="N64" s="159">
        <f t="shared" si="5"/>
        <v>35</v>
      </c>
      <c r="O64" s="159"/>
      <c r="P64" s="159"/>
      <c r="Q64" s="11"/>
    </row>
    <row r="65" spans="2:17" s="114" customFormat="1">
      <c r="B65" s="292" t="s">
        <v>717</v>
      </c>
      <c r="C65" s="96">
        <v>60</v>
      </c>
      <c r="D65" s="11" t="s">
        <v>718</v>
      </c>
      <c r="E65" s="11"/>
      <c r="F65" s="16">
        <v>450000</v>
      </c>
      <c r="G65" s="16">
        <v>59985</v>
      </c>
      <c r="H65" s="16">
        <v>509985</v>
      </c>
      <c r="I65" s="318">
        <v>10199.700000000001</v>
      </c>
      <c r="J65" s="159">
        <v>50</v>
      </c>
      <c r="K65" s="97">
        <v>37</v>
      </c>
      <c r="L65" s="91">
        <f t="shared" si="3"/>
        <v>377388.9</v>
      </c>
      <c r="M65" s="94">
        <f t="shared" si="4"/>
        <v>132596.09999999998</v>
      </c>
      <c r="N65" s="159">
        <f t="shared" si="5"/>
        <v>13</v>
      </c>
      <c r="O65" s="159"/>
      <c r="P65" s="97"/>
      <c r="Q65" s="11"/>
    </row>
    <row r="66" spans="2:17" s="114" customFormat="1">
      <c r="B66" s="292" t="s">
        <v>698</v>
      </c>
      <c r="C66" s="96">
        <v>61</v>
      </c>
      <c r="D66" s="11" t="s">
        <v>699</v>
      </c>
      <c r="E66" s="11"/>
      <c r="F66" s="19">
        <v>500000</v>
      </c>
      <c r="G66" s="19">
        <v>66650</v>
      </c>
      <c r="H66" s="19">
        <v>566650</v>
      </c>
      <c r="I66" s="318">
        <v>11333</v>
      </c>
      <c r="J66" s="159">
        <v>50</v>
      </c>
      <c r="K66" s="97">
        <v>35</v>
      </c>
      <c r="L66" s="91">
        <f t="shared" si="3"/>
        <v>396655</v>
      </c>
      <c r="M66" s="91">
        <f t="shared" si="4"/>
        <v>169995</v>
      </c>
      <c r="N66" s="159">
        <f t="shared" si="5"/>
        <v>15</v>
      </c>
      <c r="O66" s="159"/>
      <c r="P66" s="97"/>
      <c r="Q66" s="11"/>
    </row>
    <row r="67" spans="2:17" s="114" customFormat="1">
      <c r="B67" s="293" t="s">
        <v>1162</v>
      </c>
      <c r="C67" s="96">
        <v>62</v>
      </c>
      <c r="D67" s="123" t="s">
        <v>1163</v>
      </c>
      <c r="E67" s="123"/>
      <c r="F67" s="16">
        <v>500000</v>
      </c>
      <c r="G67" s="16">
        <v>66650</v>
      </c>
      <c r="H67" s="41">
        <f>SUM(F67:G67)</f>
        <v>566650</v>
      </c>
      <c r="I67" s="327">
        <v>11333</v>
      </c>
      <c r="J67" s="159">
        <v>50</v>
      </c>
      <c r="K67" s="159">
        <v>10</v>
      </c>
      <c r="L67" s="16">
        <f t="shared" si="3"/>
        <v>113330</v>
      </c>
      <c r="M67" s="94">
        <f t="shared" si="4"/>
        <v>453320</v>
      </c>
      <c r="N67" s="159">
        <f t="shared" si="5"/>
        <v>40</v>
      </c>
      <c r="O67" s="159"/>
      <c r="P67" s="159"/>
      <c r="Q67" s="11"/>
    </row>
    <row r="68" spans="2:17" s="114" customFormat="1">
      <c r="B68" s="292" t="s">
        <v>702</v>
      </c>
      <c r="C68" s="96">
        <v>63</v>
      </c>
      <c r="D68" s="11" t="s">
        <v>703</v>
      </c>
      <c r="E68" s="11"/>
      <c r="F68" s="16">
        <v>450000</v>
      </c>
      <c r="G68" s="16">
        <v>59985</v>
      </c>
      <c r="H68" s="16">
        <v>509985</v>
      </c>
      <c r="I68" s="318">
        <v>10199.700000000001</v>
      </c>
      <c r="J68" s="159">
        <v>50</v>
      </c>
      <c r="K68" s="97">
        <v>34</v>
      </c>
      <c r="L68" s="91">
        <f t="shared" si="3"/>
        <v>346789.80000000005</v>
      </c>
      <c r="M68" s="91">
        <f t="shared" si="4"/>
        <v>163195.19999999995</v>
      </c>
      <c r="N68" s="159">
        <f t="shared" si="5"/>
        <v>16</v>
      </c>
      <c r="O68" s="159"/>
      <c r="P68" s="97"/>
      <c r="Q68" s="11"/>
    </row>
    <row r="69" spans="2:17" s="114" customFormat="1">
      <c r="B69" s="292" t="s">
        <v>676</v>
      </c>
      <c r="C69" s="96">
        <v>64</v>
      </c>
      <c r="D69" s="11" t="s">
        <v>677</v>
      </c>
      <c r="E69" s="11"/>
      <c r="F69" s="19">
        <v>150000</v>
      </c>
      <c r="G69" s="19">
        <v>19995</v>
      </c>
      <c r="H69" s="19">
        <f>SUM(F69:G69)</f>
        <v>169995</v>
      </c>
      <c r="I69" s="318">
        <v>3399.9</v>
      </c>
      <c r="J69" s="159">
        <v>50</v>
      </c>
      <c r="K69" s="97">
        <v>35</v>
      </c>
      <c r="L69" s="91">
        <f t="shared" si="3"/>
        <v>118996.5</v>
      </c>
      <c r="M69" s="91">
        <f t="shared" si="4"/>
        <v>50998.5</v>
      </c>
      <c r="N69" s="159">
        <f t="shared" si="5"/>
        <v>15</v>
      </c>
      <c r="O69" s="159"/>
      <c r="P69" s="97"/>
      <c r="Q69" s="11"/>
    </row>
    <row r="70" spans="2:17" s="114" customFormat="1">
      <c r="B70" s="8" t="s">
        <v>1196</v>
      </c>
      <c r="C70" s="96">
        <v>65</v>
      </c>
      <c r="D70" s="8" t="s">
        <v>1197</v>
      </c>
      <c r="E70" s="8"/>
      <c r="F70" s="16">
        <v>500000</v>
      </c>
      <c r="G70" s="16">
        <v>66650</v>
      </c>
      <c r="H70" s="41">
        <f>SUM(F70:G70)</f>
        <v>566650</v>
      </c>
      <c r="I70" s="34">
        <v>11333</v>
      </c>
      <c r="J70" s="159">
        <v>50</v>
      </c>
      <c r="K70" s="323">
        <v>3</v>
      </c>
      <c r="L70" s="16">
        <f t="shared" ref="L70:L101" si="7">K70*I70</f>
        <v>33999</v>
      </c>
      <c r="M70" s="94">
        <f t="shared" ref="M70:M101" si="8">H70-L70</f>
        <v>532651</v>
      </c>
      <c r="N70" s="159">
        <f t="shared" ref="N70:N101" si="9">J70-K70</f>
        <v>47</v>
      </c>
      <c r="O70" s="34"/>
      <c r="P70" s="34"/>
      <c r="Q70" s="8"/>
    </row>
    <row r="71" spans="2:17" s="114" customFormat="1">
      <c r="B71" s="293" t="s">
        <v>1241</v>
      </c>
      <c r="C71" s="96">
        <v>66</v>
      </c>
      <c r="D71" s="123" t="s">
        <v>1242</v>
      </c>
      <c r="E71" s="123"/>
      <c r="F71" s="19">
        <v>450000</v>
      </c>
      <c r="G71" s="19">
        <v>59985</v>
      </c>
      <c r="H71" s="19">
        <v>509985</v>
      </c>
      <c r="I71" s="327">
        <v>10199.700000000001</v>
      </c>
      <c r="J71" s="159">
        <v>50</v>
      </c>
      <c r="K71" s="159">
        <v>10</v>
      </c>
      <c r="L71" s="16">
        <f t="shared" si="7"/>
        <v>101997</v>
      </c>
      <c r="M71" s="94">
        <f t="shared" si="8"/>
        <v>407988</v>
      </c>
      <c r="N71" s="159">
        <f t="shared" si="9"/>
        <v>40</v>
      </c>
      <c r="O71" s="159"/>
      <c r="P71" s="159"/>
      <c r="Q71" s="11"/>
    </row>
    <row r="72" spans="2:17" s="114" customFormat="1">
      <c r="B72" s="8" t="s">
        <v>1168</v>
      </c>
      <c r="C72" s="96">
        <v>67</v>
      </c>
      <c r="D72" s="11" t="s">
        <v>1169</v>
      </c>
      <c r="E72" s="8"/>
      <c r="F72" s="19">
        <v>330000</v>
      </c>
      <c r="G72" s="19">
        <v>43989</v>
      </c>
      <c r="H72" s="19">
        <f>SUM(F72:G72)</f>
        <v>373989</v>
      </c>
      <c r="I72" s="34">
        <v>7479.78</v>
      </c>
      <c r="J72" s="159">
        <v>50</v>
      </c>
      <c r="K72" s="323">
        <v>8</v>
      </c>
      <c r="L72" s="16">
        <f t="shared" si="7"/>
        <v>59838.239999999998</v>
      </c>
      <c r="M72" s="94">
        <f t="shared" si="8"/>
        <v>314150.76</v>
      </c>
      <c r="N72" s="159">
        <f t="shared" si="9"/>
        <v>42</v>
      </c>
      <c r="O72" s="159"/>
      <c r="P72" s="159"/>
      <c r="Q72" s="11"/>
    </row>
    <row r="73" spans="2:17" s="114" customFormat="1">
      <c r="B73" s="292" t="s">
        <v>522</v>
      </c>
      <c r="C73" s="96">
        <v>68</v>
      </c>
      <c r="D73" s="11" t="s">
        <v>523</v>
      </c>
      <c r="E73" s="11"/>
      <c r="F73" s="19">
        <v>500000</v>
      </c>
      <c r="G73" s="19">
        <v>66650</v>
      </c>
      <c r="H73" s="19">
        <v>566650</v>
      </c>
      <c r="I73" s="318">
        <v>11333</v>
      </c>
      <c r="J73" s="159">
        <v>50</v>
      </c>
      <c r="K73" s="97">
        <v>35</v>
      </c>
      <c r="L73" s="91">
        <f t="shared" si="7"/>
        <v>396655</v>
      </c>
      <c r="M73" s="91">
        <f t="shared" si="8"/>
        <v>169995</v>
      </c>
      <c r="N73" s="159">
        <f t="shared" si="9"/>
        <v>15</v>
      </c>
      <c r="O73" s="159"/>
      <c r="P73" s="97"/>
      <c r="Q73" s="11"/>
    </row>
    <row r="74" spans="2:17" s="114" customFormat="1">
      <c r="B74" s="292" t="s">
        <v>666</v>
      </c>
      <c r="C74" s="96">
        <v>69</v>
      </c>
      <c r="D74" s="11" t="s">
        <v>667</v>
      </c>
      <c r="E74" s="11"/>
      <c r="F74" s="19">
        <v>150000</v>
      </c>
      <c r="G74" s="19">
        <v>19995</v>
      </c>
      <c r="H74" s="19">
        <f>SUM(F74:G74)</f>
        <v>169995</v>
      </c>
      <c r="I74" s="318">
        <v>3339.9</v>
      </c>
      <c r="J74" s="159">
        <v>50</v>
      </c>
      <c r="K74" s="159">
        <v>21</v>
      </c>
      <c r="L74" s="91">
        <f t="shared" si="7"/>
        <v>70137.900000000009</v>
      </c>
      <c r="M74" s="94">
        <f t="shared" si="8"/>
        <v>99857.099999999991</v>
      </c>
      <c r="N74" s="159">
        <f t="shared" si="9"/>
        <v>29</v>
      </c>
      <c r="O74" s="159"/>
      <c r="P74" s="97"/>
      <c r="Q74" s="11"/>
    </row>
    <row r="75" spans="2:17" s="114" customFormat="1">
      <c r="B75" s="293" t="s">
        <v>902</v>
      </c>
      <c r="C75" s="96">
        <v>70</v>
      </c>
      <c r="D75" s="123" t="s">
        <v>926</v>
      </c>
      <c r="E75" s="123"/>
      <c r="F75" s="19">
        <v>150000</v>
      </c>
      <c r="G75" s="19">
        <v>19995</v>
      </c>
      <c r="H75" s="19">
        <f>SUM(F75:G75)</f>
        <v>169995</v>
      </c>
      <c r="I75" s="327">
        <v>3399.9</v>
      </c>
      <c r="J75" s="159">
        <v>50</v>
      </c>
      <c r="K75" s="159">
        <v>18</v>
      </c>
      <c r="L75" s="16">
        <f t="shared" si="7"/>
        <v>61198.200000000004</v>
      </c>
      <c r="M75" s="94">
        <f t="shared" si="8"/>
        <v>108796.79999999999</v>
      </c>
      <c r="N75" s="159">
        <f t="shared" si="9"/>
        <v>32</v>
      </c>
      <c r="O75" s="159"/>
      <c r="P75" s="159"/>
      <c r="Q75" s="11"/>
    </row>
    <row r="76" spans="2:17" s="114" customFormat="1">
      <c r="B76" s="293" t="s">
        <v>1231</v>
      </c>
      <c r="C76" s="96">
        <v>71</v>
      </c>
      <c r="D76" s="123" t="s">
        <v>1232</v>
      </c>
      <c r="E76" s="123"/>
      <c r="F76" s="19">
        <v>450000</v>
      </c>
      <c r="G76" s="19">
        <v>59985</v>
      </c>
      <c r="H76" s="19">
        <v>509985</v>
      </c>
      <c r="I76" s="327">
        <v>10199.700000000001</v>
      </c>
      <c r="J76" s="159">
        <v>50</v>
      </c>
      <c r="K76" s="159">
        <v>10</v>
      </c>
      <c r="L76" s="16">
        <f t="shared" si="7"/>
        <v>101997</v>
      </c>
      <c r="M76" s="94">
        <f t="shared" si="8"/>
        <v>407988</v>
      </c>
      <c r="N76" s="159">
        <f t="shared" si="9"/>
        <v>40</v>
      </c>
      <c r="O76" s="159"/>
      <c r="P76" s="159"/>
      <c r="Q76" s="11"/>
    </row>
    <row r="77" spans="2:17" s="114" customFormat="1">
      <c r="B77" s="292" t="s">
        <v>686</v>
      </c>
      <c r="C77" s="96">
        <v>72</v>
      </c>
      <c r="D77" s="11" t="s">
        <v>687</v>
      </c>
      <c r="E77" s="11"/>
      <c r="F77" s="16">
        <v>500000</v>
      </c>
      <c r="G77" s="16">
        <v>66650</v>
      </c>
      <c r="H77" s="41">
        <f>SUM(F77:G77)</f>
        <v>566650</v>
      </c>
      <c r="I77" s="318">
        <v>11333</v>
      </c>
      <c r="J77" s="159">
        <v>50</v>
      </c>
      <c r="K77" s="97">
        <v>48</v>
      </c>
      <c r="L77" s="91">
        <f t="shared" si="7"/>
        <v>543984</v>
      </c>
      <c r="M77" s="94">
        <f t="shared" si="8"/>
        <v>22666</v>
      </c>
      <c r="N77" s="159">
        <f t="shared" si="9"/>
        <v>2</v>
      </c>
      <c r="O77" s="159"/>
      <c r="P77" s="97"/>
      <c r="Q77" s="8"/>
    </row>
    <row r="78" spans="2:17" s="114" customFormat="1">
      <c r="B78" s="293" t="s">
        <v>890</v>
      </c>
      <c r="C78" s="96">
        <v>73</v>
      </c>
      <c r="D78" s="123" t="s">
        <v>912</v>
      </c>
      <c r="E78" s="123"/>
      <c r="F78" s="16">
        <v>500000</v>
      </c>
      <c r="G78" s="16">
        <v>66650</v>
      </c>
      <c r="H78" s="41">
        <f>SUM(F78:G78)</f>
        <v>566650</v>
      </c>
      <c r="I78" s="327">
        <v>11333</v>
      </c>
      <c r="J78" s="159">
        <v>50</v>
      </c>
      <c r="K78" s="159">
        <v>18</v>
      </c>
      <c r="L78" s="16">
        <f t="shared" si="7"/>
        <v>203994</v>
      </c>
      <c r="M78" s="94">
        <f t="shared" si="8"/>
        <v>362656</v>
      </c>
      <c r="N78" s="159">
        <f t="shared" si="9"/>
        <v>32</v>
      </c>
      <c r="O78" s="159"/>
      <c r="P78" s="159"/>
      <c r="Q78" s="11"/>
    </row>
    <row r="79" spans="2:17" s="114" customFormat="1">
      <c r="B79" s="292" t="s">
        <v>530</v>
      </c>
      <c r="C79" s="96">
        <v>74</v>
      </c>
      <c r="D79" s="11" t="s">
        <v>531</v>
      </c>
      <c r="E79" s="11"/>
      <c r="F79" s="16">
        <v>500000</v>
      </c>
      <c r="G79" s="16">
        <v>66650</v>
      </c>
      <c r="H79" s="16">
        <v>566650</v>
      </c>
      <c r="I79" s="318">
        <v>11333</v>
      </c>
      <c r="J79" s="159">
        <v>50</v>
      </c>
      <c r="K79" s="97">
        <v>48</v>
      </c>
      <c r="L79" s="91">
        <f t="shared" si="7"/>
        <v>543984</v>
      </c>
      <c r="M79" s="94">
        <f t="shared" si="8"/>
        <v>22666</v>
      </c>
      <c r="N79" s="159">
        <f t="shared" si="9"/>
        <v>2</v>
      </c>
      <c r="O79" s="159"/>
      <c r="P79" s="97"/>
      <c r="Q79" s="11"/>
    </row>
    <row r="80" spans="2:17" s="114" customFormat="1">
      <c r="B80" s="292" t="s">
        <v>886</v>
      </c>
      <c r="C80" s="96">
        <v>75</v>
      </c>
      <c r="D80" s="11" t="s">
        <v>908</v>
      </c>
      <c r="E80" s="11"/>
      <c r="F80" s="16">
        <v>500000</v>
      </c>
      <c r="G80" s="16">
        <v>66650</v>
      </c>
      <c r="H80" s="41">
        <f>SUM(F80:G80)</f>
        <v>566650</v>
      </c>
      <c r="I80" s="318">
        <v>11333</v>
      </c>
      <c r="J80" s="159">
        <v>50</v>
      </c>
      <c r="K80" s="97">
        <v>49</v>
      </c>
      <c r="L80" s="91">
        <f t="shared" si="7"/>
        <v>555317</v>
      </c>
      <c r="M80" s="94">
        <f t="shared" si="8"/>
        <v>11333</v>
      </c>
      <c r="N80" s="159">
        <f t="shared" si="9"/>
        <v>1</v>
      </c>
      <c r="O80" s="159"/>
      <c r="P80" s="97"/>
      <c r="Q80" s="11"/>
    </row>
    <row r="81" spans="2:17" s="114" customFormat="1">
      <c r="B81" s="292" t="s">
        <v>551</v>
      </c>
      <c r="C81" s="96">
        <v>76</v>
      </c>
      <c r="D81" s="11" t="s">
        <v>552</v>
      </c>
      <c r="E81" s="11"/>
      <c r="F81" s="19">
        <v>500000</v>
      </c>
      <c r="G81" s="19">
        <v>66650</v>
      </c>
      <c r="H81" s="19">
        <v>566650</v>
      </c>
      <c r="I81" s="318">
        <v>11333</v>
      </c>
      <c r="J81" s="159">
        <v>50</v>
      </c>
      <c r="K81" s="97">
        <v>35</v>
      </c>
      <c r="L81" s="91">
        <f t="shared" si="7"/>
        <v>396655</v>
      </c>
      <c r="M81" s="91">
        <f t="shared" si="8"/>
        <v>169995</v>
      </c>
      <c r="N81" s="159">
        <f t="shared" si="9"/>
        <v>15</v>
      </c>
      <c r="O81" s="159"/>
      <c r="P81" s="97"/>
      <c r="Q81" s="11"/>
    </row>
    <row r="82" spans="2:17" s="114" customFormat="1">
      <c r="B82" s="292" t="s">
        <v>518</v>
      </c>
      <c r="C82" s="96">
        <v>77</v>
      </c>
      <c r="D82" s="11" t="s">
        <v>519</v>
      </c>
      <c r="E82" s="11"/>
      <c r="F82" s="19">
        <v>500000</v>
      </c>
      <c r="G82" s="19">
        <v>66650</v>
      </c>
      <c r="H82" s="19">
        <v>566650</v>
      </c>
      <c r="I82" s="318">
        <v>11333</v>
      </c>
      <c r="J82" s="159">
        <v>50</v>
      </c>
      <c r="K82" s="97">
        <v>35</v>
      </c>
      <c r="L82" s="91">
        <f t="shared" si="7"/>
        <v>396655</v>
      </c>
      <c r="M82" s="91">
        <f t="shared" si="8"/>
        <v>169995</v>
      </c>
      <c r="N82" s="159">
        <f t="shared" si="9"/>
        <v>15</v>
      </c>
      <c r="O82" s="159"/>
      <c r="P82" s="97"/>
      <c r="Q82" s="11"/>
    </row>
    <row r="83" spans="2:17" s="114" customFormat="1">
      <c r="B83" s="11" t="s">
        <v>1194</v>
      </c>
      <c r="C83" s="96">
        <v>78</v>
      </c>
      <c r="D83" s="11" t="s">
        <v>1195</v>
      </c>
      <c r="E83" s="11"/>
      <c r="F83" s="16">
        <v>500000</v>
      </c>
      <c r="G83" s="16">
        <v>66650</v>
      </c>
      <c r="H83" s="41">
        <f>SUM(F83:G83)</f>
        <v>566650</v>
      </c>
      <c r="I83" s="16">
        <v>11333</v>
      </c>
      <c r="J83" s="159">
        <v>50</v>
      </c>
      <c r="K83" s="159">
        <v>8</v>
      </c>
      <c r="L83" s="16">
        <f t="shared" si="7"/>
        <v>90664</v>
      </c>
      <c r="M83" s="94">
        <f t="shared" si="8"/>
        <v>475986</v>
      </c>
      <c r="N83" s="159">
        <f t="shared" si="9"/>
        <v>42</v>
      </c>
      <c r="O83" s="159"/>
      <c r="P83" s="159"/>
      <c r="Q83" s="11"/>
    </row>
    <row r="84" spans="2:17" s="114" customFormat="1">
      <c r="B84" s="295" t="s">
        <v>943</v>
      </c>
      <c r="C84" s="96">
        <v>79</v>
      </c>
      <c r="D84" s="11" t="s">
        <v>944</v>
      </c>
      <c r="E84" s="8"/>
      <c r="F84" s="16">
        <v>450000</v>
      </c>
      <c r="G84" s="16">
        <v>59985</v>
      </c>
      <c r="H84" s="41">
        <f>SUM(F84:G84)</f>
        <v>509985</v>
      </c>
      <c r="I84" s="319">
        <v>10199.700000000001</v>
      </c>
      <c r="J84" s="159">
        <v>50</v>
      </c>
      <c r="K84" s="159">
        <v>48</v>
      </c>
      <c r="L84" s="16">
        <f t="shared" si="7"/>
        <v>489585.60000000003</v>
      </c>
      <c r="M84" s="94">
        <f t="shared" si="8"/>
        <v>20399.399999999965</v>
      </c>
      <c r="N84" s="159">
        <f t="shared" si="9"/>
        <v>2</v>
      </c>
      <c r="O84" s="159"/>
      <c r="P84" s="159"/>
      <c r="Q84" s="11"/>
    </row>
    <row r="85" spans="2:17" s="114" customFormat="1">
      <c r="B85" s="292" t="s">
        <v>655</v>
      </c>
      <c r="C85" s="96">
        <v>80</v>
      </c>
      <c r="D85" s="11" t="s">
        <v>656</v>
      </c>
      <c r="E85" s="11"/>
      <c r="F85" s="16">
        <v>450000</v>
      </c>
      <c r="G85" s="16">
        <v>59985</v>
      </c>
      <c r="H85" s="41">
        <f>SUM(F85:G85)</f>
        <v>509985</v>
      </c>
      <c r="I85" s="318">
        <v>10199.700000000001</v>
      </c>
      <c r="J85" s="159">
        <v>50</v>
      </c>
      <c r="K85" s="97">
        <v>49</v>
      </c>
      <c r="L85" s="91">
        <f t="shared" si="7"/>
        <v>499785.30000000005</v>
      </c>
      <c r="M85" s="94">
        <f t="shared" si="8"/>
        <v>10199.699999999953</v>
      </c>
      <c r="N85" s="159">
        <f t="shared" si="9"/>
        <v>1</v>
      </c>
      <c r="O85" s="159"/>
      <c r="P85" s="97"/>
      <c r="Q85" s="11"/>
    </row>
    <row r="86" spans="2:17" s="114" customFormat="1">
      <c r="B86" s="292" t="s">
        <v>883</v>
      </c>
      <c r="C86" s="96">
        <v>81</v>
      </c>
      <c r="D86" s="11" t="s">
        <v>905</v>
      </c>
      <c r="E86" s="11"/>
      <c r="F86" s="16">
        <v>500000</v>
      </c>
      <c r="G86" s="16">
        <v>66650</v>
      </c>
      <c r="H86" s="41">
        <f>SUM(F86:G86)</f>
        <v>566650</v>
      </c>
      <c r="I86" s="318">
        <v>11333</v>
      </c>
      <c r="J86" s="159">
        <v>50</v>
      </c>
      <c r="K86" s="97">
        <v>57</v>
      </c>
      <c r="L86" s="91">
        <f t="shared" si="7"/>
        <v>645981</v>
      </c>
      <c r="M86" s="94">
        <f t="shared" si="8"/>
        <v>-79331</v>
      </c>
      <c r="N86" s="159">
        <f t="shared" si="9"/>
        <v>-7</v>
      </c>
      <c r="O86" s="159"/>
      <c r="P86" s="97"/>
      <c r="Q86" s="123"/>
    </row>
    <row r="87" spans="2:17" s="114" customFormat="1">
      <c r="B87" s="292" t="s">
        <v>596</v>
      </c>
      <c r="C87" s="96">
        <v>82</v>
      </c>
      <c r="D87" s="11" t="s">
        <v>597</v>
      </c>
      <c r="E87" s="11"/>
      <c r="F87" s="19">
        <v>500000</v>
      </c>
      <c r="G87" s="19">
        <v>66650</v>
      </c>
      <c r="H87" s="19">
        <v>566650</v>
      </c>
      <c r="I87" s="318">
        <v>11333</v>
      </c>
      <c r="J87" s="159">
        <v>50</v>
      </c>
      <c r="K87" s="97">
        <v>35</v>
      </c>
      <c r="L87" s="91">
        <f t="shared" si="7"/>
        <v>396655</v>
      </c>
      <c r="M87" s="91">
        <f t="shared" si="8"/>
        <v>169995</v>
      </c>
      <c r="N87" s="159">
        <f t="shared" si="9"/>
        <v>15</v>
      </c>
      <c r="O87" s="159"/>
      <c r="P87" s="97"/>
      <c r="Q87" s="8"/>
    </row>
    <row r="88" spans="2:17" s="114" customFormat="1">
      <c r="B88" s="293" t="s">
        <v>885</v>
      </c>
      <c r="C88" s="96">
        <v>83</v>
      </c>
      <c r="D88" s="123" t="s">
        <v>907</v>
      </c>
      <c r="E88" s="123"/>
      <c r="F88" s="16">
        <v>500000</v>
      </c>
      <c r="G88" s="16">
        <v>66650</v>
      </c>
      <c r="H88" s="41">
        <f>SUM(F88:G88)</f>
        <v>566650</v>
      </c>
      <c r="I88" s="327">
        <v>11333</v>
      </c>
      <c r="J88" s="159">
        <v>50</v>
      </c>
      <c r="K88" s="159">
        <v>18</v>
      </c>
      <c r="L88" s="16">
        <f t="shared" si="7"/>
        <v>203994</v>
      </c>
      <c r="M88" s="94">
        <f t="shared" si="8"/>
        <v>362656</v>
      </c>
      <c r="N88" s="159">
        <f t="shared" si="9"/>
        <v>32</v>
      </c>
      <c r="O88" s="159"/>
      <c r="P88" s="159"/>
      <c r="Q88" s="11"/>
    </row>
    <row r="89" spans="2:17" s="114" customFormat="1">
      <c r="B89" s="8" t="s">
        <v>1184</v>
      </c>
      <c r="C89" s="96">
        <v>84</v>
      </c>
      <c r="D89" s="8" t="s">
        <v>1185</v>
      </c>
      <c r="E89" s="8"/>
      <c r="F89" s="16">
        <v>500000</v>
      </c>
      <c r="G89" s="16">
        <v>66650</v>
      </c>
      <c r="H89" s="41">
        <f>SUM(F89:G89)</f>
        <v>566650</v>
      </c>
      <c r="I89" s="34">
        <v>11333</v>
      </c>
      <c r="J89" s="159">
        <v>50</v>
      </c>
      <c r="K89" s="323">
        <v>3</v>
      </c>
      <c r="L89" s="16">
        <f t="shared" si="7"/>
        <v>33999</v>
      </c>
      <c r="M89" s="94">
        <f t="shared" si="8"/>
        <v>532651</v>
      </c>
      <c r="N89" s="159">
        <f t="shared" si="9"/>
        <v>47</v>
      </c>
      <c r="O89" s="34"/>
      <c r="P89" s="34"/>
      <c r="Q89" s="8"/>
    </row>
    <row r="90" spans="2:17" s="114" customFormat="1">
      <c r="B90" s="293" t="s">
        <v>1237</v>
      </c>
      <c r="C90" s="96">
        <v>85</v>
      </c>
      <c r="D90" s="123" t="s">
        <v>1238</v>
      </c>
      <c r="E90" s="123"/>
      <c r="F90" s="16">
        <v>500000</v>
      </c>
      <c r="G90" s="16">
        <v>66650</v>
      </c>
      <c r="H90" s="41">
        <f>SUM(F90:G90)</f>
        <v>566650</v>
      </c>
      <c r="I90" s="327">
        <v>11333</v>
      </c>
      <c r="J90" s="159">
        <v>50</v>
      </c>
      <c r="K90" s="159">
        <v>10</v>
      </c>
      <c r="L90" s="16">
        <f t="shared" si="7"/>
        <v>113330</v>
      </c>
      <c r="M90" s="94">
        <f t="shared" si="8"/>
        <v>453320</v>
      </c>
      <c r="N90" s="159">
        <f t="shared" si="9"/>
        <v>40</v>
      </c>
      <c r="O90" s="159"/>
      <c r="P90" s="159"/>
      <c r="Q90" s="8"/>
    </row>
    <row r="91" spans="2:17" s="114" customFormat="1">
      <c r="B91" s="8" t="s">
        <v>1223</v>
      </c>
      <c r="C91" s="96">
        <v>86</v>
      </c>
      <c r="D91" s="8" t="s">
        <v>1224</v>
      </c>
      <c r="E91" s="8"/>
      <c r="F91" s="19">
        <v>330000</v>
      </c>
      <c r="G91" s="19">
        <v>43989</v>
      </c>
      <c r="H91" s="19">
        <f>SUM(F91:G91)</f>
        <v>373989</v>
      </c>
      <c r="I91" s="34">
        <v>7479.78</v>
      </c>
      <c r="J91" s="159">
        <v>50</v>
      </c>
      <c r="K91" s="323">
        <v>3</v>
      </c>
      <c r="L91" s="16">
        <f t="shared" si="7"/>
        <v>22439.34</v>
      </c>
      <c r="M91" s="94">
        <f t="shared" si="8"/>
        <v>351549.66</v>
      </c>
      <c r="N91" s="159">
        <f t="shared" si="9"/>
        <v>47</v>
      </c>
      <c r="O91" s="34"/>
      <c r="P91" s="34"/>
      <c r="Q91" s="8"/>
    </row>
    <row r="92" spans="2:17" s="114" customFormat="1">
      <c r="B92" s="292" t="s">
        <v>642</v>
      </c>
      <c r="C92" s="96">
        <v>87</v>
      </c>
      <c r="D92" s="11" t="s">
        <v>643</v>
      </c>
      <c r="E92" s="11"/>
      <c r="F92" s="16">
        <v>500000</v>
      </c>
      <c r="G92" s="16">
        <v>66650</v>
      </c>
      <c r="H92" s="16">
        <v>566650</v>
      </c>
      <c r="I92" s="252">
        <v>11333</v>
      </c>
      <c r="J92" s="159">
        <v>50</v>
      </c>
      <c r="K92" s="101">
        <v>23</v>
      </c>
      <c r="L92" s="91">
        <f t="shared" si="7"/>
        <v>260659</v>
      </c>
      <c r="M92" s="94">
        <f t="shared" si="8"/>
        <v>305991</v>
      </c>
      <c r="N92" s="159">
        <f t="shared" si="9"/>
        <v>27</v>
      </c>
      <c r="O92" s="159"/>
      <c r="P92" s="97"/>
      <c r="Q92" s="11"/>
    </row>
    <row r="93" spans="2:17" s="114" customFormat="1">
      <c r="B93" s="292" t="s">
        <v>661</v>
      </c>
      <c r="C93" s="96">
        <v>88</v>
      </c>
      <c r="D93" s="11" t="s">
        <v>662</v>
      </c>
      <c r="E93" s="11"/>
      <c r="F93" s="19">
        <v>500000</v>
      </c>
      <c r="G93" s="19">
        <v>66650</v>
      </c>
      <c r="H93" s="19">
        <v>566650</v>
      </c>
      <c r="I93" s="318">
        <v>11333</v>
      </c>
      <c r="J93" s="159">
        <v>50</v>
      </c>
      <c r="K93" s="97">
        <v>34</v>
      </c>
      <c r="L93" s="91">
        <f t="shared" si="7"/>
        <v>385322</v>
      </c>
      <c r="M93" s="91">
        <f t="shared" si="8"/>
        <v>181328</v>
      </c>
      <c r="N93" s="159">
        <f t="shared" si="9"/>
        <v>16</v>
      </c>
      <c r="O93" s="159"/>
      <c r="P93" s="97"/>
      <c r="Q93" s="11"/>
    </row>
    <row r="94" spans="2:17" s="114" customFormat="1">
      <c r="B94" s="294" t="s">
        <v>723</v>
      </c>
      <c r="C94" s="96">
        <v>89</v>
      </c>
      <c r="D94" s="11" t="s">
        <v>955</v>
      </c>
      <c r="E94" s="11"/>
      <c r="F94" s="16">
        <v>500000</v>
      </c>
      <c r="G94" s="16">
        <v>66650</v>
      </c>
      <c r="H94" s="41">
        <f>SUM(F94:G94)</f>
        <v>566650</v>
      </c>
      <c r="I94" s="327">
        <v>11333</v>
      </c>
      <c r="J94" s="159">
        <v>50</v>
      </c>
      <c r="K94" s="159">
        <v>16</v>
      </c>
      <c r="L94" s="91">
        <f t="shared" si="7"/>
        <v>181328</v>
      </c>
      <c r="M94" s="94">
        <f t="shared" si="8"/>
        <v>385322</v>
      </c>
      <c r="N94" s="159">
        <f t="shared" si="9"/>
        <v>34</v>
      </c>
      <c r="O94" s="159"/>
      <c r="P94" s="97"/>
      <c r="Q94" s="11"/>
    </row>
    <row r="95" spans="2:17" s="114" customFormat="1">
      <c r="B95" s="293" t="s">
        <v>1225</v>
      </c>
      <c r="C95" s="96">
        <v>90</v>
      </c>
      <c r="D95" s="11" t="s">
        <v>1226</v>
      </c>
      <c r="E95" s="11"/>
      <c r="F95" s="16">
        <v>500000</v>
      </c>
      <c r="G95" s="16">
        <v>66650</v>
      </c>
      <c r="H95" s="41">
        <f>SUM(F95:G95)</f>
        <v>566650</v>
      </c>
      <c r="I95" s="327">
        <v>11333</v>
      </c>
      <c r="J95" s="159">
        <v>50</v>
      </c>
      <c r="K95" s="96">
        <v>11</v>
      </c>
      <c r="L95" s="91">
        <f t="shared" si="7"/>
        <v>124663</v>
      </c>
      <c r="M95" s="94">
        <f t="shared" si="8"/>
        <v>441987</v>
      </c>
      <c r="N95" s="159">
        <f t="shared" si="9"/>
        <v>39</v>
      </c>
      <c r="O95" s="159"/>
      <c r="P95" s="97"/>
      <c r="Q95" s="11"/>
    </row>
    <row r="96" spans="2:17" s="114" customFormat="1">
      <c r="B96" s="293" t="s">
        <v>1178</v>
      </c>
      <c r="C96" s="96">
        <v>91</v>
      </c>
      <c r="D96" s="11" t="s">
        <v>1179</v>
      </c>
      <c r="E96" s="11"/>
      <c r="F96" s="12">
        <v>150000</v>
      </c>
      <c r="G96" s="12">
        <v>19995</v>
      </c>
      <c r="H96" s="15">
        <f>SUM(F96:G96)</f>
        <v>169995</v>
      </c>
      <c r="I96" s="327">
        <v>3399.9</v>
      </c>
      <c r="J96" s="14">
        <v>50</v>
      </c>
      <c r="K96" s="96">
        <v>11</v>
      </c>
      <c r="L96" s="91">
        <f t="shared" si="7"/>
        <v>37398.9</v>
      </c>
      <c r="M96" s="94">
        <f t="shared" si="8"/>
        <v>132596.1</v>
      </c>
      <c r="N96" s="159">
        <f t="shared" si="9"/>
        <v>39</v>
      </c>
      <c r="O96" s="159"/>
      <c r="P96" s="97"/>
      <c r="Q96" s="11"/>
    </row>
    <row r="97" spans="2:17" s="114" customFormat="1">
      <c r="B97" s="292" t="s">
        <v>719</v>
      </c>
      <c r="C97" s="96">
        <v>92</v>
      </c>
      <c r="D97" s="11" t="s">
        <v>720</v>
      </c>
      <c r="E97" s="11"/>
      <c r="F97" s="16">
        <v>500000</v>
      </c>
      <c r="G97" s="16">
        <v>66650</v>
      </c>
      <c r="H97" s="16">
        <v>566650</v>
      </c>
      <c r="I97" s="318">
        <v>11333</v>
      </c>
      <c r="J97" s="159">
        <v>50</v>
      </c>
      <c r="K97" s="101">
        <v>23</v>
      </c>
      <c r="L97" s="91">
        <f t="shared" si="7"/>
        <v>260659</v>
      </c>
      <c r="M97" s="94">
        <f t="shared" si="8"/>
        <v>305991</v>
      </c>
      <c r="N97" s="159">
        <f t="shared" si="9"/>
        <v>27</v>
      </c>
      <c r="O97" s="159"/>
      <c r="P97" s="97"/>
      <c r="Q97" s="8"/>
    </row>
    <row r="98" spans="2:17" s="114" customFormat="1">
      <c r="B98" s="292" t="s">
        <v>668</v>
      </c>
      <c r="C98" s="96">
        <v>93</v>
      </c>
      <c r="D98" s="11" t="s">
        <v>669</v>
      </c>
      <c r="E98" s="11"/>
      <c r="F98" s="16">
        <v>450000</v>
      </c>
      <c r="G98" s="16">
        <v>59985</v>
      </c>
      <c r="H98" s="16">
        <v>509985</v>
      </c>
      <c r="I98" s="318">
        <v>10199.700000000001</v>
      </c>
      <c r="J98" s="159">
        <v>50</v>
      </c>
      <c r="K98" s="97">
        <v>34</v>
      </c>
      <c r="L98" s="91">
        <f t="shared" si="7"/>
        <v>346789.80000000005</v>
      </c>
      <c r="M98" s="91">
        <f t="shared" si="8"/>
        <v>163195.19999999995</v>
      </c>
      <c r="N98" s="159">
        <f t="shared" si="9"/>
        <v>16</v>
      </c>
      <c r="O98" s="159"/>
      <c r="P98" s="97"/>
      <c r="Q98" s="11"/>
    </row>
    <row r="99" spans="2:17" s="114" customFormat="1">
      <c r="B99" s="292" t="s">
        <v>594</v>
      </c>
      <c r="C99" s="96">
        <v>94</v>
      </c>
      <c r="D99" s="11" t="s">
        <v>595</v>
      </c>
      <c r="E99" s="11"/>
      <c r="F99" s="16">
        <v>500000</v>
      </c>
      <c r="G99" s="16">
        <v>66650</v>
      </c>
      <c r="H99" s="41">
        <f>SUM(F99:G99)</f>
        <v>566650</v>
      </c>
      <c r="I99" s="318">
        <v>11333</v>
      </c>
      <c r="J99" s="159">
        <v>50</v>
      </c>
      <c r="K99" s="97">
        <v>49</v>
      </c>
      <c r="L99" s="91">
        <f t="shared" si="7"/>
        <v>555317</v>
      </c>
      <c r="M99" s="94">
        <f t="shared" si="8"/>
        <v>11333</v>
      </c>
      <c r="N99" s="159">
        <f t="shared" si="9"/>
        <v>1</v>
      </c>
      <c r="O99" s="159"/>
      <c r="P99" s="97"/>
      <c r="Q99" s="11"/>
    </row>
    <row r="100" spans="2:17" s="114" customFormat="1">
      <c r="B100" s="295" t="s">
        <v>1188</v>
      </c>
      <c r="C100" s="96">
        <v>95</v>
      </c>
      <c r="D100" s="8" t="s">
        <v>1189</v>
      </c>
      <c r="E100" s="8"/>
      <c r="F100" s="19">
        <v>330000</v>
      </c>
      <c r="G100" s="19">
        <v>43989</v>
      </c>
      <c r="H100" s="19">
        <f>SUM(F100:G100)</f>
        <v>373989</v>
      </c>
      <c r="I100" s="13">
        <v>7479.78</v>
      </c>
      <c r="J100" s="159">
        <v>50</v>
      </c>
      <c r="K100" s="101">
        <v>3</v>
      </c>
      <c r="L100" s="16">
        <f t="shared" si="7"/>
        <v>22439.34</v>
      </c>
      <c r="M100" s="94">
        <f t="shared" si="8"/>
        <v>351549.66</v>
      </c>
      <c r="N100" s="159">
        <f t="shared" si="9"/>
        <v>47</v>
      </c>
      <c r="O100" s="101"/>
      <c r="P100" s="101"/>
      <c r="Q100" s="8"/>
    </row>
    <row r="101" spans="2:17" s="114" customFormat="1">
      <c r="B101" s="293" t="s">
        <v>1207</v>
      </c>
      <c r="C101" s="96">
        <v>96</v>
      </c>
      <c r="D101" s="123" t="s">
        <v>1208</v>
      </c>
      <c r="E101" s="123"/>
      <c r="F101" s="19">
        <v>330000</v>
      </c>
      <c r="G101" s="19">
        <v>43989</v>
      </c>
      <c r="H101" s="19">
        <f>SUM(F101:G101)</f>
        <v>373989</v>
      </c>
      <c r="I101" s="327">
        <v>7479.78</v>
      </c>
      <c r="J101" s="159">
        <v>50</v>
      </c>
      <c r="K101" s="159">
        <v>10</v>
      </c>
      <c r="L101" s="16">
        <f t="shared" si="7"/>
        <v>74797.8</v>
      </c>
      <c r="M101" s="94">
        <f t="shared" si="8"/>
        <v>299191.2</v>
      </c>
      <c r="N101" s="159">
        <f t="shared" si="9"/>
        <v>40</v>
      </c>
      <c r="O101" s="159"/>
      <c r="P101" s="159"/>
      <c r="Q101" s="11"/>
    </row>
    <row r="102" spans="2:17" s="114" customFormat="1">
      <c r="B102" s="292" t="s">
        <v>585</v>
      </c>
      <c r="C102" s="96">
        <v>97</v>
      </c>
      <c r="D102" s="11" t="s">
        <v>586</v>
      </c>
      <c r="E102" s="11"/>
      <c r="F102" s="161">
        <v>500000</v>
      </c>
      <c r="G102" s="161">
        <v>66650</v>
      </c>
      <c r="H102" s="162">
        <f>SUM(F102:G102)</f>
        <v>566650</v>
      </c>
      <c r="I102" s="318">
        <v>11333</v>
      </c>
      <c r="J102" s="96">
        <v>50</v>
      </c>
      <c r="K102" s="97">
        <v>49</v>
      </c>
      <c r="L102" s="146">
        <f>K102*I102</f>
        <v>555317</v>
      </c>
      <c r="M102" s="164">
        <f t="shared" ref="M102:M129" si="10">H102-L102</f>
        <v>11333</v>
      </c>
      <c r="N102" s="159">
        <f t="shared" ref="N102:N129" si="11">J102-K102</f>
        <v>1</v>
      </c>
      <c r="O102" s="159"/>
      <c r="P102" s="97"/>
      <c r="Q102" s="11"/>
    </row>
    <row r="103" spans="2:17" s="114" customFormat="1">
      <c r="B103" s="293" t="s">
        <v>899</v>
      </c>
      <c r="C103" s="96">
        <v>98</v>
      </c>
      <c r="D103" s="123" t="s">
        <v>922</v>
      </c>
      <c r="E103" s="123"/>
      <c r="F103" s="19">
        <v>330000</v>
      </c>
      <c r="G103" s="19">
        <v>43989</v>
      </c>
      <c r="H103" s="19">
        <f>SUM(F103:G103)</f>
        <v>373989</v>
      </c>
      <c r="I103" s="327">
        <v>7479.78</v>
      </c>
      <c r="J103" s="159">
        <v>50</v>
      </c>
      <c r="K103" s="159">
        <v>18</v>
      </c>
      <c r="L103" s="16">
        <f>K103*I103</f>
        <v>134636.04</v>
      </c>
      <c r="M103" s="94">
        <f t="shared" si="10"/>
        <v>239352.95999999999</v>
      </c>
      <c r="N103" s="159">
        <f t="shared" si="11"/>
        <v>32</v>
      </c>
      <c r="O103" s="159"/>
      <c r="P103" s="159"/>
      <c r="Q103" s="11"/>
    </row>
    <row r="104" spans="2:17" s="114" customFormat="1">
      <c r="B104" s="295" t="s">
        <v>1199</v>
      </c>
      <c r="C104" s="96">
        <v>99</v>
      </c>
      <c r="D104" s="8" t="s">
        <v>1200</v>
      </c>
      <c r="E104" s="8"/>
      <c r="F104" s="19">
        <v>450000</v>
      </c>
      <c r="G104" s="19">
        <v>59985</v>
      </c>
      <c r="H104" s="19">
        <v>509985</v>
      </c>
      <c r="I104" s="13">
        <v>10199.700000000001</v>
      </c>
      <c r="J104" s="159">
        <v>50</v>
      </c>
      <c r="K104" s="101">
        <v>3</v>
      </c>
      <c r="L104" s="16">
        <f>K104*I104</f>
        <v>30599.100000000002</v>
      </c>
      <c r="M104" s="94">
        <f t="shared" si="10"/>
        <v>479385.9</v>
      </c>
      <c r="N104" s="159">
        <f t="shared" si="11"/>
        <v>47</v>
      </c>
      <c r="O104" s="101"/>
      <c r="P104" s="101"/>
      <c r="Q104" s="8"/>
    </row>
    <row r="105" spans="2:17" s="114" customFormat="1">
      <c r="B105" s="292" t="s">
        <v>647</v>
      </c>
      <c r="C105" s="96">
        <v>100</v>
      </c>
      <c r="D105" s="11" t="s">
        <v>648</v>
      </c>
      <c r="E105" s="11"/>
      <c r="F105" s="16">
        <v>500000</v>
      </c>
      <c r="G105" s="16">
        <v>66650</v>
      </c>
      <c r="H105" s="41">
        <f t="shared" ref="H105:H110" si="12">SUM(F105:G105)</f>
        <v>566650</v>
      </c>
      <c r="I105" s="318">
        <v>11333</v>
      </c>
      <c r="J105" s="159">
        <v>50</v>
      </c>
      <c r="K105" s="97">
        <v>27</v>
      </c>
      <c r="L105" s="91">
        <f>(1*11333)</f>
        <v>11333</v>
      </c>
      <c r="M105" s="91">
        <f t="shared" si="10"/>
        <v>555317</v>
      </c>
      <c r="N105" s="159">
        <f t="shared" si="11"/>
        <v>23</v>
      </c>
      <c r="O105" s="159"/>
      <c r="P105" s="97"/>
      <c r="Q105" s="11"/>
    </row>
    <row r="106" spans="2:17" s="114" customFormat="1">
      <c r="B106" s="11" t="s">
        <v>1176</v>
      </c>
      <c r="C106" s="96">
        <v>101</v>
      </c>
      <c r="D106" s="11" t="s">
        <v>1177</v>
      </c>
      <c r="E106" s="11"/>
      <c r="F106" s="16">
        <v>500000</v>
      </c>
      <c r="G106" s="16">
        <v>66650</v>
      </c>
      <c r="H106" s="41">
        <f t="shared" si="12"/>
        <v>566650</v>
      </c>
      <c r="I106" s="16">
        <v>11333</v>
      </c>
      <c r="J106" s="159">
        <v>50</v>
      </c>
      <c r="K106" s="159">
        <v>8</v>
      </c>
      <c r="L106" s="16">
        <f t="shared" ref="L106:L111" si="13">K106*I106</f>
        <v>90664</v>
      </c>
      <c r="M106" s="94">
        <f t="shared" si="10"/>
        <v>475986</v>
      </c>
      <c r="N106" s="159">
        <f t="shared" si="11"/>
        <v>42</v>
      </c>
      <c r="O106" s="159"/>
      <c r="P106" s="159"/>
      <c r="Q106" s="11"/>
    </row>
    <row r="107" spans="2:17" s="114" customFormat="1">
      <c r="B107" s="293" t="s">
        <v>929</v>
      </c>
      <c r="C107" s="96">
        <v>102</v>
      </c>
      <c r="D107" s="11" t="s">
        <v>932</v>
      </c>
      <c r="E107" s="11"/>
      <c r="F107" s="16">
        <v>500000</v>
      </c>
      <c r="G107" s="16">
        <v>66650</v>
      </c>
      <c r="H107" s="41">
        <f t="shared" si="12"/>
        <v>566650</v>
      </c>
      <c r="I107" s="327">
        <v>11333</v>
      </c>
      <c r="J107" s="159">
        <v>50</v>
      </c>
      <c r="K107" s="159">
        <v>48</v>
      </c>
      <c r="L107" s="16">
        <f t="shared" si="13"/>
        <v>543984</v>
      </c>
      <c r="M107" s="94">
        <f t="shared" si="10"/>
        <v>22666</v>
      </c>
      <c r="N107" s="159">
        <f t="shared" si="11"/>
        <v>2</v>
      </c>
      <c r="O107" s="159"/>
      <c r="P107" s="159"/>
      <c r="Q107" s="11"/>
    </row>
    <row r="108" spans="2:17" s="114" customFormat="1">
      <c r="B108" s="295" t="s">
        <v>941</v>
      </c>
      <c r="C108" s="96">
        <v>103</v>
      </c>
      <c r="D108" s="11" t="s">
        <v>942</v>
      </c>
      <c r="E108" s="8"/>
      <c r="F108" s="19">
        <v>330000</v>
      </c>
      <c r="G108" s="19">
        <v>43989</v>
      </c>
      <c r="H108" s="19">
        <f t="shared" si="12"/>
        <v>373989</v>
      </c>
      <c r="I108" s="319">
        <v>7479.78</v>
      </c>
      <c r="J108" s="159">
        <v>50</v>
      </c>
      <c r="K108" s="159">
        <v>15</v>
      </c>
      <c r="L108" s="16">
        <f t="shared" si="13"/>
        <v>112196.7</v>
      </c>
      <c r="M108" s="94">
        <f t="shared" si="10"/>
        <v>261792.3</v>
      </c>
      <c r="N108" s="159">
        <f t="shared" si="11"/>
        <v>35</v>
      </c>
      <c r="O108" s="159"/>
      <c r="P108" s="159"/>
      <c r="Q108" s="11"/>
    </row>
    <row r="109" spans="2:17" s="114" customFormat="1">
      <c r="B109" s="292" t="s">
        <v>600</v>
      </c>
      <c r="C109" s="96">
        <v>104</v>
      </c>
      <c r="D109" s="11" t="s">
        <v>601</v>
      </c>
      <c r="E109" s="11"/>
      <c r="F109" s="16">
        <v>450000</v>
      </c>
      <c r="G109" s="16">
        <v>59985</v>
      </c>
      <c r="H109" s="41">
        <f t="shared" si="12"/>
        <v>509985</v>
      </c>
      <c r="I109" s="318">
        <v>10199.700000000001</v>
      </c>
      <c r="J109" s="159">
        <v>50</v>
      </c>
      <c r="K109" s="97">
        <v>48</v>
      </c>
      <c r="L109" s="91">
        <f t="shared" si="13"/>
        <v>489585.60000000003</v>
      </c>
      <c r="M109" s="94">
        <f t="shared" si="10"/>
        <v>20399.399999999965</v>
      </c>
      <c r="N109" s="159">
        <f t="shared" si="11"/>
        <v>2</v>
      </c>
      <c r="O109" s="159"/>
      <c r="P109" s="97"/>
      <c r="Q109" s="11"/>
    </row>
    <row r="110" spans="2:17" s="114" customFormat="1">
      <c r="B110" s="295" t="s">
        <v>930</v>
      </c>
      <c r="C110" s="96">
        <v>105</v>
      </c>
      <c r="D110" s="11" t="s">
        <v>933</v>
      </c>
      <c r="E110" s="8"/>
      <c r="F110" s="19">
        <v>330000</v>
      </c>
      <c r="G110" s="19">
        <v>31672.200000000012</v>
      </c>
      <c r="H110" s="19">
        <f t="shared" si="12"/>
        <v>361672.2</v>
      </c>
      <c r="I110" s="319">
        <v>10046.450000000001</v>
      </c>
      <c r="J110" s="159">
        <v>36</v>
      </c>
      <c r="K110" s="159">
        <v>22</v>
      </c>
      <c r="L110" s="16">
        <f t="shared" si="13"/>
        <v>221021.90000000002</v>
      </c>
      <c r="M110" s="94">
        <f t="shared" si="10"/>
        <v>140650.29999999999</v>
      </c>
      <c r="N110" s="159">
        <f t="shared" si="11"/>
        <v>14</v>
      </c>
      <c r="O110" s="159"/>
      <c r="P110" s="159"/>
      <c r="Q110" s="11"/>
    </row>
    <row r="111" spans="2:17" s="114" customFormat="1">
      <c r="B111" s="293" t="s">
        <v>1182</v>
      </c>
      <c r="C111" s="96">
        <v>106</v>
      </c>
      <c r="D111" s="123" t="s">
        <v>1183</v>
      </c>
      <c r="E111" s="123"/>
      <c r="F111" s="19">
        <v>450000</v>
      </c>
      <c r="G111" s="19">
        <v>59985</v>
      </c>
      <c r="H111" s="19">
        <v>509985</v>
      </c>
      <c r="I111" s="327">
        <v>10199.700000000001</v>
      </c>
      <c r="J111" s="159">
        <v>50</v>
      </c>
      <c r="K111" s="159">
        <v>10</v>
      </c>
      <c r="L111" s="16">
        <f t="shared" si="13"/>
        <v>101997</v>
      </c>
      <c r="M111" s="94">
        <f t="shared" si="10"/>
        <v>407988</v>
      </c>
      <c r="N111" s="159">
        <f t="shared" si="11"/>
        <v>40</v>
      </c>
      <c r="O111" s="159"/>
      <c r="P111" s="159"/>
      <c r="Q111" s="8"/>
    </row>
    <row r="112" spans="2:17" s="114" customFormat="1">
      <c r="B112" s="292" t="s">
        <v>638</v>
      </c>
      <c r="C112" s="96">
        <v>107</v>
      </c>
      <c r="D112" s="11" t="s">
        <v>639</v>
      </c>
      <c r="E112" s="11"/>
      <c r="F112" s="16">
        <v>500000</v>
      </c>
      <c r="G112" s="16">
        <v>66650</v>
      </c>
      <c r="H112" s="41">
        <f>SUM(F112:G112)</f>
        <v>566650</v>
      </c>
      <c r="I112" s="318">
        <v>11333</v>
      </c>
      <c r="J112" s="159">
        <v>50</v>
      </c>
      <c r="K112" s="97">
        <v>27</v>
      </c>
      <c r="L112" s="91">
        <f>(1*11333)</f>
        <v>11333</v>
      </c>
      <c r="M112" s="91">
        <f t="shared" si="10"/>
        <v>555317</v>
      </c>
      <c r="N112" s="159">
        <f t="shared" si="11"/>
        <v>23</v>
      </c>
      <c r="O112" s="159"/>
      <c r="P112" s="97"/>
      <c r="Q112" s="8"/>
    </row>
    <row r="113" spans="2:17" s="114" customFormat="1">
      <c r="B113" s="293" t="s">
        <v>1205</v>
      </c>
      <c r="C113" s="96">
        <v>108</v>
      </c>
      <c r="D113" s="11" t="s">
        <v>1206</v>
      </c>
      <c r="E113" s="11"/>
      <c r="F113" s="16">
        <v>500000</v>
      </c>
      <c r="G113" s="16">
        <v>66650</v>
      </c>
      <c r="H113" s="41">
        <f>SUM(F113:G113)</f>
        <v>566650</v>
      </c>
      <c r="I113" s="327">
        <v>11333</v>
      </c>
      <c r="J113" s="159">
        <v>50</v>
      </c>
      <c r="K113" s="96">
        <v>11</v>
      </c>
      <c r="L113" s="91">
        <f t="shared" ref="L113:L129" si="14">K113*I113</f>
        <v>124663</v>
      </c>
      <c r="M113" s="94">
        <f t="shared" si="10"/>
        <v>441987</v>
      </c>
      <c r="N113" s="159">
        <f t="shared" si="11"/>
        <v>39</v>
      </c>
      <c r="O113" s="159"/>
      <c r="P113" s="97"/>
      <c r="Q113" s="11"/>
    </row>
    <row r="114" spans="2:17" s="114" customFormat="1">
      <c r="B114" s="292" t="s">
        <v>645</v>
      </c>
      <c r="C114" s="96">
        <v>109</v>
      </c>
      <c r="D114" s="11" t="s">
        <v>646</v>
      </c>
      <c r="E114" s="11"/>
      <c r="F114" s="16">
        <v>500000</v>
      </c>
      <c r="G114" s="16">
        <v>66650</v>
      </c>
      <c r="H114" s="41">
        <f>SUM(F114:G114)</f>
        <v>566650</v>
      </c>
      <c r="I114" s="318">
        <v>11333</v>
      </c>
      <c r="J114" s="159">
        <v>50</v>
      </c>
      <c r="K114" s="97">
        <v>48</v>
      </c>
      <c r="L114" s="91">
        <f t="shared" si="14"/>
        <v>543984</v>
      </c>
      <c r="M114" s="94">
        <f t="shared" si="10"/>
        <v>22666</v>
      </c>
      <c r="N114" s="159">
        <f t="shared" si="11"/>
        <v>2</v>
      </c>
      <c r="O114" s="159"/>
      <c r="P114" s="97"/>
      <c r="Q114" s="11"/>
    </row>
    <row r="115" spans="2:17" s="114" customFormat="1">
      <c r="B115" s="293" t="s">
        <v>628</v>
      </c>
      <c r="C115" s="96">
        <v>110</v>
      </c>
      <c r="D115" s="123" t="s">
        <v>917</v>
      </c>
      <c r="E115" s="123"/>
      <c r="F115" s="19">
        <v>450000</v>
      </c>
      <c r="G115" s="19">
        <v>59985</v>
      </c>
      <c r="H115" s="19">
        <v>509985</v>
      </c>
      <c r="I115" s="327">
        <v>10199.700000000001</v>
      </c>
      <c r="J115" s="159">
        <v>50</v>
      </c>
      <c r="K115" s="159">
        <v>10</v>
      </c>
      <c r="L115" s="16">
        <f t="shared" si="14"/>
        <v>101997</v>
      </c>
      <c r="M115" s="94">
        <f t="shared" si="10"/>
        <v>407988</v>
      </c>
      <c r="N115" s="159">
        <f t="shared" si="11"/>
        <v>40</v>
      </c>
      <c r="O115" s="159"/>
      <c r="P115" s="159"/>
      <c r="Q115" s="11"/>
    </row>
    <row r="116" spans="2:17" s="114" customFormat="1">
      <c r="B116" s="292" t="s">
        <v>501</v>
      </c>
      <c r="C116" s="96">
        <v>111</v>
      </c>
      <c r="D116" s="11" t="s">
        <v>502</v>
      </c>
      <c r="E116" s="11"/>
      <c r="F116" s="16">
        <v>500000</v>
      </c>
      <c r="G116" s="16">
        <v>66650</v>
      </c>
      <c r="H116" s="16">
        <v>566650</v>
      </c>
      <c r="I116" s="146">
        <v>11333</v>
      </c>
      <c r="J116" s="159">
        <v>50</v>
      </c>
      <c r="K116" s="159">
        <v>23</v>
      </c>
      <c r="L116" s="91">
        <f t="shared" si="14"/>
        <v>260659</v>
      </c>
      <c r="M116" s="94">
        <f t="shared" si="10"/>
        <v>305991</v>
      </c>
      <c r="N116" s="159">
        <f t="shared" si="11"/>
        <v>27</v>
      </c>
      <c r="O116" s="159"/>
      <c r="P116" s="97"/>
      <c r="Q116" s="11"/>
    </row>
    <row r="117" spans="2:17" s="114" customFormat="1">
      <c r="B117" s="293" t="s">
        <v>1170</v>
      </c>
      <c r="C117" s="96">
        <v>112</v>
      </c>
      <c r="D117" s="123" t="s">
        <v>1171</v>
      </c>
      <c r="E117" s="123"/>
      <c r="F117" s="16">
        <v>500000</v>
      </c>
      <c r="G117" s="16">
        <v>66650</v>
      </c>
      <c r="H117" s="41">
        <f>SUM(F117:G117)</f>
        <v>566650</v>
      </c>
      <c r="I117" s="327">
        <v>11333</v>
      </c>
      <c r="J117" s="159">
        <v>50</v>
      </c>
      <c r="K117" s="159">
        <v>10</v>
      </c>
      <c r="L117" s="16">
        <f t="shared" si="14"/>
        <v>113330</v>
      </c>
      <c r="M117" s="94">
        <f t="shared" si="10"/>
        <v>453320</v>
      </c>
      <c r="N117" s="159">
        <f t="shared" si="11"/>
        <v>40</v>
      </c>
      <c r="O117" s="159"/>
      <c r="P117" s="159"/>
      <c r="Q117" s="11"/>
    </row>
    <row r="118" spans="2:17" s="114" customFormat="1">
      <c r="B118" s="292" t="s">
        <v>583</v>
      </c>
      <c r="C118" s="96">
        <v>113</v>
      </c>
      <c r="D118" s="11" t="s">
        <v>584</v>
      </c>
      <c r="E118" s="11"/>
      <c r="F118" s="16">
        <v>500000</v>
      </c>
      <c r="G118" s="16">
        <v>66650</v>
      </c>
      <c r="H118" s="41">
        <f>SUM(F118:G118)</f>
        <v>566650</v>
      </c>
      <c r="I118" s="318">
        <v>11333</v>
      </c>
      <c r="J118" s="159">
        <v>50</v>
      </c>
      <c r="K118" s="97">
        <v>49</v>
      </c>
      <c r="L118" s="91">
        <f t="shared" si="14"/>
        <v>555317</v>
      </c>
      <c r="M118" s="94">
        <f t="shared" si="10"/>
        <v>11333</v>
      </c>
      <c r="N118" s="159">
        <f t="shared" si="11"/>
        <v>1</v>
      </c>
      <c r="O118" s="159"/>
      <c r="P118" s="97"/>
      <c r="Q118" s="8"/>
    </row>
    <row r="119" spans="2:17" s="114" customFormat="1">
      <c r="B119" s="292" t="s">
        <v>561</v>
      </c>
      <c r="C119" s="96">
        <v>114</v>
      </c>
      <c r="D119" s="11" t="s">
        <v>562</v>
      </c>
      <c r="E119" s="11"/>
      <c r="F119" s="16">
        <v>450000</v>
      </c>
      <c r="G119" s="16">
        <v>59985</v>
      </c>
      <c r="H119" s="41">
        <f>SUM(F119:G119)</f>
        <v>509985</v>
      </c>
      <c r="I119" s="318">
        <v>10199.700000000001</v>
      </c>
      <c r="J119" s="159">
        <v>50</v>
      </c>
      <c r="K119" s="97">
        <v>49</v>
      </c>
      <c r="L119" s="91">
        <f t="shared" si="14"/>
        <v>499785.30000000005</v>
      </c>
      <c r="M119" s="94">
        <f t="shared" si="10"/>
        <v>10199.699999999953</v>
      </c>
      <c r="N119" s="159">
        <f t="shared" si="11"/>
        <v>1</v>
      </c>
      <c r="O119" s="159"/>
      <c r="P119" s="97"/>
      <c r="Q119" s="11"/>
    </row>
    <row r="120" spans="2:17" s="114" customFormat="1">
      <c r="B120" s="292" t="s">
        <v>684</v>
      </c>
      <c r="C120" s="96">
        <v>115</v>
      </c>
      <c r="D120" s="11" t="s">
        <v>685</v>
      </c>
      <c r="E120" s="11"/>
      <c r="F120" s="19">
        <v>500000</v>
      </c>
      <c r="G120" s="19">
        <v>66650</v>
      </c>
      <c r="H120" s="19">
        <v>566650</v>
      </c>
      <c r="I120" s="318">
        <v>11333</v>
      </c>
      <c r="J120" s="159">
        <v>50</v>
      </c>
      <c r="K120" s="97">
        <v>35</v>
      </c>
      <c r="L120" s="91">
        <f t="shared" si="14"/>
        <v>396655</v>
      </c>
      <c r="M120" s="91">
        <f t="shared" si="10"/>
        <v>169995</v>
      </c>
      <c r="N120" s="159">
        <f t="shared" si="11"/>
        <v>15</v>
      </c>
      <c r="O120" s="159"/>
      <c r="P120" s="97"/>
      <c r="Q120" s="11"/>
    </row>
    <row r="121" spans="2:17" s="114" customFormat="1">
      <c r="B121" s="295" t="s">
        <v>1148</v>
      </c>
      <c r="C121" s="96">
        <v>116</v>
      </c>
      <c r="D121" s="126" t="s">
        <v>1149</v>
      </c>
      <c r="E121" s="8"/>
      <c r="F121" s="16">
        <v>500000</v>
      </c>
      <c r="G121" s="16">
        <v>66650</v>
      </c>
      <c r="H121" s="41">
        <f>SUM(F121:G121)</f>
        <v>566650</v>
      </c>
      <c r="I121" s="13">
        <v>11333</v>
      </c>
      <c r="J121" s="159">
        <v>50</v>
      </c>
      <c r="K121" s="101">
        <v>3</v>
      </c>
      <c r="L121" s="16">
        <f t="shared" si="14"/>
        <v>33999</v>
      </c>
      <c r="M121" s="94">
        <f t="shared" si="10"/>
        <v>532651</v>
      </c>
      <c r="N121" s="159">
        <f t="shared" si="11"/>
        <v>47</v>
      </c>
      <c r="O121" s="101"/>
      <c r="P121" s="101"/>
      <c r="Q121" s="8"/>
    </row>
    <row r="122" spans="2:17" s="114" customFormat="1">
      <c r="B122" s="293" t="s">
        <v>901</v>
      </c>
      <c r="C122" s="96">
        <v>117</v>
      </c>
      <c r="D122" s="123" t="s">
        <v>924</v>
      </c>
      <c r="E122" s="123"/>
      <c r="F122" s="19">
        <v>330000</v>
      </c>
      <c r="G122" s="19">
        <v>43989</v>
      </c>
      <c r="H122" s="19">
        <f>SUM(F122:G122)</f>
        <v>373989</v>
      </c>
      <c r="I122" s="327">
        <v>7479.78</v>
      </c>
      <c r="J122" s="159">
        <v>50</v>
      </c>
      <c r="K122" s="159">
        <v>18</v>
      </c>
      <c r="L122" s="16">
        <f t="shared" si="14"/>
        <v>134636.04</v>
      </c>
      <c r="M122" s="94">
        <f t="shared" si="10"/>
        <v>239352.95999999999</v>
      </c>
      <c r="N122" s="159">
        <f t="shared" si="11"/>
        <v>32</v>
      </c>
      <c r="O122" s="159"/>
      <c r="P122" s="159"/>
      <c r="Q122" s="11"/>
    </row>
    <row r="123" spans="2:17" s="114" customFormat="1">
      <c r="B123" s="292" t="s">
        <v>509</v>
      </c>
      <c r="C123" s="96">
        <v>118</v>
      </c>
      <c r="D123" s="11" t="s">
        <v>510</v>
      </c>
      <c r="E123" s="11"/>
      <c r="F123" s="19">
        <v>450000</v>
      </c>
      <c r="G123" s="19">
        <v>59985</v>
      </c>
      <c r="H123" s="19">
        <v>509985</v>
      </c>
      <c r="I123" s="318">
        <v>10199.700000000001</v>
      </c>
      <c r="J123" s="159">
        <v>50</v>
      </c>
      <c r="K123" s="97">
        <v>35</v>
      </c>
      <c r="L123" s="91">
        <f t="shared" si="14"/>
        <v>356989.5</v>
      </c>
      <c r="M123" s="91">
        <f t="shared" si="10"/>
        <v>152995.5</v>
      </c>
      <c r="N123" s="159">
        <f t="shared" si="11"/>
        <v>15</v>
      </c>
      <c r="O123" s="159"/>
      <c r="P123" s="97"/>
      <c r="Q123" s="11"/>
    </row>
    <row r="124" spans="2:17" s="114" customFormat="1">
      <c r="B124" s="292" t="s">
        <v>711</v>
      </c>
      <c r="C124" s="96">
        <v>119</v>
      </c>
      <c r="D124" s="11" t="s">
        <v>712</v>
      </c>
      <c r="E124" s="11"/>
      <c r="F124" s="16">
        <v>500000</v>
      </c>
      <c r="G124" s="16">
        <v>66650</v>
      </c>
      <c r="H124" s="41">
        <f>SUM(F124:G124)</f>
        <v>566650</v>
      </c>
      <c r="I124" s="318">
        <v>11333</v>
      </c>
      <c r="J124" s="159">
        <v>50</v>
      </c>
      <c r="K124" s="97">
        <v>48</v>
      </c>
      <c r="L124" s="91">
        <f t="shared" si="14"/>
        <v>543984</v>
      </c>
      <c r="M124" s="94">
        <f t="shared" si="10"/>
        <v>22666</v>
      </c>
      <c r="N124" s="159">
        <f t="shared" si="11"/>
        <v>2</v>
      </c>
      <c r="O124" s="159"/>
      <c r="P124" s="97"/>
      <c r="Q124" s="11"/>
    </row>
    <row r="125" spans="2:17" s="114" customFormat="1">
      <c r="B125" s="292" t="s">
        <v>507</v>
      </c>
      <c r="C125" s="96">
        <v>120</v>
      </c>
      <c r="D125" s="11" t="s">
        <v>508</v>
      </c>
      <c r="E125" s="11"/>
      <c r="F125" s="16">
        <v>500000</v>
      </c>
      <c r="G125" s="16">
        <v>66650</v>
      </c>
      <c r="H125" s="16">
        <v>566650</v>
      </c>
      <c r="I125" s="318">
        <v>11333</v>
      </c>
      <c r="J125" s="159">
        <v>50</v>
      </c>
      <c r="K125" s="97">
        <v>35</v>
      </c>
      <c r="L125" s="91">
        <f t="shared" si="14"/>
        <v>396655</v>
      </c>
      <c r="M125" s="91">
        <f t="shared" si="10"/>
        <v>169995</v>
      </c>
      <c r="N125" s="159">
        <f t="shared" si="11"/>
        <v>15</v>
      </c>
      <c r="O125" s="159"/>
      <c r="P125" s="97"/>
      <c r="Q125" s="11"/>
    </row>
    <row r="126" spans="2:17" s="114" customFormat="1">
      <c r="B126" s="292" t="s">
        <v>590</v>
      </c>
      <c r="C126" s="96">
        <v>121</v>
      </c>
      <c r="D126" s="11" t="s">
        <v>591</v>
      </c>
      <c r="E126" s="11"/>
      <c r="F126" s="19">
        <v>150000</v>
      </c>
      <c r="G126" s="19">
        <v>19995</v>
      </c>
      <c r="H126" s="19">
        <f t="shared" ref="H126:H134" si="15">SUM(F126:G126)</f>
        <v>169995</v>
      </c>
      <c r="I126" s="146">
        <v>3399.9</v>
      </c>
      <c r="J126" s="159">
        <v>50</v>
      </c>
      <c r="K126" s="97">
        <v>48</v>
      </c>
      <c r="L126" s="91">
        <f t="shared" si="14"/>
        <v>163195.20000000001</v>
      </c>
      <c r="M126" s="94">
        <f t="shared" si="10"/>
        <v>6799.7999999999884</v>
      </c>
      <c r="N126" s="159">
        <f t="shared" si="11"/>
        <v>2</v>
      </c>
      <c r="O126" s="159"/>
      <c r="P126" s="97"/>
      <c r="Q126" s="8"/>
    </row>
    <row r="127" spans="2:17" s="114" customFormat="1">
      <c r="B127" s="293" t="s">
        <v>1213</v>
      </c>
      <c r="C127" s="96">
        <v>122</v>
      </c>
      <c r="D127" s="123" t="s">
        <v>1214</v>
      </c>
      <c r="E127" s="123"/>
      <c r="F127" s="19">
        <v>330000</v>
      </c>
      <c r="G127" s="19">
        <v>43989</v>
      </c>
      <c r="H127" s="19">
        <f t="shared" si="15"/>
        <v>373989</v>
      </c>
      <c r="I127" s="327">
        <v>7479.78</v>
      </c>
      <c r="J127" s="159">
        <v>50</v>
      </c>
      <c r="K127" s="159">
        <v>10</v>
      </c>
      <c r="L127" s="16">
        <f t="shared" si="14"/>
        <v>74797.8</v>
      </c>
      <c r="M127" s="94">
        <f t="shared" si="10"/>
        <v>299191.2</v>
      </c>
      <c r="N127" s="159">
        <f t="shared" si="11"/>
        <v>40</v>
      </c>
      <c r="O127" s="159"/>
      <c r="P127" s="159"/>
      <c r="Q127" s="11"/>
    </row>
    <row r="128" spans="2:17" s="114" customFormat="1">
      <c r="B128" s="293" t="s">
        <v>888</v>
      </c>
      <c r="C128" s="96">
        <v>123</v>
      </c>
      <c r="D128" s="123" t="s">
        <v>910</v>
      </c>
      <c r="E128" s="123"/>
      <c r="F128" s="16">
        <v>500000</v>
      </c>
      <c r="G128" s="16">
        <v>66650</v>
      </c>
      <c r="H128" s="41">
        <f t="shared" si="15"/>
        <v>566650</v>
      </c>
      <c r="I128" s="327">
        <v>11333</v>
      </c>
      <c r="J128" s="159">
        <v>50</v>
      </c>
      <c r="K128" s="159">
        <v>18</v>
      </c>
      <c r="L128" s="16">
        <f t="shared" si="14"/>
        <v>203994</v>
      </c>
      <c r="M128" s="94">
        <f t="shared" si="10"/>
        <v>362656</v>
      </c>
      <c r="N128" s="159">
        <f t="shared" si="11"/>
        <v>32</v>
      </c>
      <c r="O128" s="159"/>
      <c r="P128" s="159"/>
      <c r="Q128" s="11"/>
    </row>
    <row r="129" spans="2:17" s="114" customFormat="1">
      <c r="B129" s="11" t="s">
        <v>1209</v>
      </c>
      <c r="C129" s="96">
        <v>124</v>
      </c>
      <c r="D129" s="11" t="s">
        <v>1210</v>
      </c>
      <c r="E129" s="11"/>
      <c r="F129" s="19">
        <v>150000</v>
      </c>
      <c r="G129" s="19">
        <v>19995</v>
      </c>
      <c r="H129" s="19">
        <f t="shared" si="15"/>
        <v>169995</v>
      </c>
      <c r="I129" s="254">
        <v>3399.9</v>
      </c>
      <c r="J129" s="159">
        <v>50</v>
      </c>
      <c r="K129" s="159">
        <v>3</v>
      </c>
      <c r="L129" s="16">
        <f t="shared" si="14"/>
        <v>10199.700000000001</v>
      </c>
      <c r="M129" s="94">
        <f t="shared" si="10"/>
        <v>159795.29999999999</v>
      </c>
      <c r="N129" s="159">
        <f t="shared" si="11"/>
        <v>47</v>
      </c>
      <c r="O129" s="11"/>
      <c r="P129" s="11"/>
      <c r="Q129" s="11"/>
    </row>
    <row r="130" spans="2:17" s="114" customFormat="1">
      <c r="B130" s="11" t="s">
        <v>1302</v>
      </c>
      <c r="C130" s="96">
        <v>125</v>
      </c>
      <c r="D130" s="11" t="s">
        <v>1303</v>
      </c>
      <c r="E130" s="11"/>
      <c r="F130" s="16">
        <v>500000</v>
      </c>
      <c r="G130" s="16">
        <v>66650</v>
      </c>
      <c r="H130" s="41">
        <f t="shared" si="15"/>
        <v>566650</v>
      </c>
      <c r="I130" s="254">
        <v>56665</v>
      </c>
      <c r="J130" s="159">
        <v>50</v>
      </c>
      <c r="K130" s="159">
        <v>1</v>
      </c>
      <c r="L130" s="16">
        <f t="shared" ref="L130:L142" si="16">K130*I130</f>
        <v>56665</v>
      </c>
      <c r="M130" s="94">
        <f t="shared" ref="M130:M142" si="17">H130-L130</f>
        <v>509985</v>
      </c>
      <c r="N130" s="159">
        <f t="shared" ref="N130:N142" si="18">J130-K130</f>
        <v>49</v>
      </c>
      <c r="O130" s="11"/>
      <c r="P130" s="11"/>
      <c r="Q130" s="11"/>
    </row>
    <row r="131" spans="2:17" s="114" customFormat="1">
      <c r="B131" s="11" t="s">
        <v>1304</v>
      </c>
      <c r="C131" s="96">
        <v>126</v>
      </c>
      <c r="D131" s="11" t="s">
        <v>1305</v>
      </c>
      <c r="E131" s="11"/>
      <c r="F131" s="19">
        <v>150000</v>
      </c>
      <c r="G131" s="19">
        <v>19995</v>
      </c>
      <c r="H131" s="19">
        <f t="shared" si="15"/>
        <v>169995</v>
      </c>
      <c r="I131" s="254">
        <v>16999.5</v>
      </c>
      <c r="J131" s="159">
        <v>50</v>
      </c>
      <c r="K131" s="159">
        <v>1</v>
      </c>
      <c r="L131" s="16">
        <f t="shared" si="16"/>
        <v>16999.5</v>
      </c>
      <c r="M131" s="94">
        <f t="shared" si="17"/>
        <v>152995.5</v>
      </c>
      <c r="N131" s="159">
        <f t="shared" si="18"/>
        <v>49</v>
      </c>
      <c r="O131" s="11"/>
      <c r="P131" s="11"/>
      <c r="Q131" s="11"/>
    </row>
    <row r="132" spans="2:17" s="114" customFormat="1">
      <c r="B132" s="11" t="s">
        <v>1217</v>
      </c>
      <c r="C132" s="96">
        <v>127</v>
      </c>
      <c r="D132" s="11" t="s">
        <v>1218</v>
      </c>
      <c r="E132" s="11"/>
      <c r="F132" s="19">
        <v>330000</v>
      </c>
      <c r="G132" s="19">
        <v>43989</v>
      </c>
      <c r="H132" s="19">
        <f t="shared" si="15"/>
        <v>373989</v>
      </c>
      <c r="I132" s="254">
        <v>7479.78</v>
      </c>
      <c r="J132" s="159">
        <v>50</v>
      </c>
      <c r="K132" s="159">
        <v>1</v>
      </c>
      <c r="L132" s="16">
        <f t="shared" si="16"/>
        <v>7479.78</v>
      </c>
      <c r="M132" s="94">
        <f t="shared" si="17"/>
        <v>366509.22</v>
      </c>
      <c r="N132" s="159">
        <f t="shared" si="18"/>
        <v>49</v>
      </c>
      <c r="O132" s="11"/>
      <c r="P132" s="11"/>
      <c r="Q132" s="11"/>
    </row>
    <row r="133" spans="2:17" s="114" customFormat="1">
      <c r="B133" s="11" t="s">
        <v>1146</v>
      </c>
      <c r="C133" s="96">
        <v>128</v>
      </c>
      <c r="D133" s="11" t="s">
        <v>1147</v>
      </c>
      <c r="E133" s="11"/>
      <c r="F133" s="19">
        <v>330000</v>
      </c>
      <c r="G133" s="19">
        <v>43989</v>
      </c>
      <c r="H133" s="19">
        <f t="shared" si="15"/>
        <v>373989</v>
      </c>
      <c r="I133" s="254">
        <v>7479.78</v>
      </c>
      <c r="J133" s="159">
        <v>50</v>
      </c>
      <c r="K133" s="159">
        <v>1</v>
      </c>
      <c r="L133" s="16">
        <f t="shared" si="16"/>
        <v>7479.78</v>
      </c>
      <c r="M133" s="94">
        <f t="shared" si="17"/>
        <v>366509.22</v>
      </c>
      <c r="N133" s="159">
        <f t="shared" si="18"/>
        <v>49</v>
      </c>
      <c r="O133" s="11"/>
      <c r="P133" s="11"/>
      <c r="Q133" s="11"/>
    </row>
    <row r="134" spans="2:17" s="114" customFormat="1">
      <c r="B134" s="11" t="s">
        <v>1154</v>
      </c>
      <c r="C134" s="96">
        <v>129</v>
      </c>
      <c r="D134" s="11" t="s">
        <v>1155</v>
      </c>
      <c r="E134" s="11"/>
      <c r="F134" s="19">
        <v>330000</v>
      </c>
      <c r="G134" s="19">
        <v>43989</v>
      </c>
      <c r="H134" s="19">
        <f t="shared" si="15"/>
        <v>373989</v>
      </c>
      <c r="I134" s="254">
        <v>7479.78</v>
      </c>
      <c r="J134" s="159">
        <v>50</v>
      </c>
      <c r="K134" s="159">
        <v>1</v>
      </c>
      <c r="L134" s="16">
        <f t="shared" si="16"/>
        <v>7479.78</v>
      </c>
      <c r="M134" s="94">
        <f t="shared" si="17"/>
        <v>366509.22</v>
      </c>
      <c r="N134" s="159">
        <f t="shared" si="18"/>
        <v>49</v>
      </c>
      <c r="O134" s="11"/>
      <c r="P134" s="11"/>
      <c r="Q134" s="11"/>
    </row>
    <row r="135" spans="2:17" s="114" customFormat="1">
      <c r="B135" s="11" t="s">
        <v>1201</v>
      </c>
      <c r="C135" s="96">
        <v>130</v>
      </c>
      <c r="D135" s="11" t="s">
        <v>1202</v>
      </c>
      <c r="E135" s="11"/>
      <c r="F135" s="19">
        <v>450000</v>
      </c>
      <c r="G135" s="19">
        <v>59985</v>
      </c>
      <c r="H135" s="19">
        <v>509985</v>
      </c>
      <c r="I135" s="254">
        <v>10199.700000000001</v>
      </c>
      <c r="J135" s="159">
        <v>50</v>
      </c>
      <c r="K135" s="159">
        <v>1</v>
      </c>
      <c r="L135" s="16">
        <f t="shared" si="16"/>
        <v>10199.700000000001</v>
      </c>
      <c r="M135" s="94">
        <f t="shared" si="17"/>
        <v>499785.3</v>
      </c>
      <c r="N135" s="159">
        <f t="shared" si="18"/>
        <v>49</v>
      </c>
      <c r="O135" s="11"/>
      <c r="P135" s="11"/>
      <c r="Q135" s="11"/>
    </row>
    <row r="136" spans="2:17" s="114" customFormat="1">
      <c r="B136" s="295" t="s">
        <v>1245</v>
      </c>
      <c r="C136" s="96">
        <v>131</v>
      </c>
      <c r="D136" s="126" t="s">
        <v>1246</v>
      </c>
      <c r="E136" s="8"/>
      <c r="F136" s="19">
        <v>450000</v>
      </c>
      <c r="G136" s="19">
        <v>59985</v>
      </c>
      <c r="H136" s="19">
        <v>509985</v>
      </c>
      <c r="I136" s="13">
        <v>10199.700000000001</v>
      </c>
      <c r="J136" s="159">
        <v>50</v>
      </c>
      <c r="K136" s="101">
        <v>1</v>
      </c>
      <c r="L136" s="16">
        <f t="shared" si="16"/>
        <v>10199.700000000001</v>
      </c>
      <c r="M136" s="94">
        <f t="shared" si="17"/>
        <v>499785.3</v>
      </c>
      <c r="N136" s="159">
        <f t="shared" si="18"/>
        <v>49</v>
      </c>
      <c r="O136" s="101"/>
      <c r="P136" s="101"/>
      <c r="Q136" s="8"/>
    </row>
    <row r="137" spans="2:17" s="114" customFormat="1">
      <c r="B137" s="295" t="s">
        <v>1221</v>
      </c>
      <c r="C137" s="96">
        <v>132</v>
      </c>
      <c r="D137" s="126" t="s">
        <v>1222</v>
      </c>
      <c r="E137" s="8"/>
      <c r="F137" s="16">
        <v>500000</v>
      </c>
      <c r="G137" s="16">
        <v>66650</v>
      </c>
      <c r="H137" s="41">
        <f t="shared" ref="H137:H142" si="19">SUM(F137:G137)</f>
        <v>566650</v>
      </c>
      <c r="I137" s="13">
        <v>11333</v>
      </c>
      <c r="J137" s="159">
        <v>50</v>
      </c>
      <c r="K137" s="101">
        <v>1</v>
      </c>
      <c r="L137" s="16">
        <f t="shared" si="16"/>
        <v>11333</v>
      </c>
      <c r="M137" s="94">
        <f t="shared" si="17"/>
        <v>555317</v>
      </c>
      <c r="N137" s="159">
        <f t="shared" si="18"/>
        <v>49</v>
      </c>
      <c r="O137" s="101"/>
      <c r="P137" s="101"/>
      <c r="Q137" s="8"/>
    </row>
    <row r="138" spans="2:17" s="114" customFormat="1">
      <c r="B138" s="295" t="s">
        <v>1164</v>
      </c>
      <c r="C138" s="96">
        <v>133</v>
      </c>
      <c r="D138" s="126" t="s">
        <v>1165</v>
      </c>
      <c r="E138" s="8"/>
      <c r="F138" s="16">
        <v>500000</v>
      </c>
      <c r="G138" s="16">
        <v>66650</v>
      </c>
      <c r="H138" s="41">
        <f t="shared" si="19"/>
        <v>566650</v>
      </c>
      <c r="I138" s="13">
        <v>11333</v>
      </c>
      <c r="J138" s="159">
        <v>50</v>
      </c>
      <c r="K138" s="101">
        <v>1</v>
      </c>
      <c r="L138" s="16">
        <f t="shared" si="16"/>
        <v>11333</v>
      </c>
      <c r="M138" s="94">
        <f t="shared" si="17"/>
        <v>555317</v>
      </c>
      <c r="N138" s="159">
        <f t="shared" si="18"/>
        <v>49</v>
      </c>
      <c r="O138" s="101"/>
      <c r="P138" s="101"/>
      <c r="Q138" s="8"/>
    </row>
    <row r="139" spans="2:17" s="114" customFormat="1">
      <c r="B139" s="295" t="s">
        <v>1211</v>
      </c>
      <c r="C139" s="96">
        <v>134</v>
      </c>
      <c r="D139" s="126" t="s">
        <v>1212</v>
      </c>
      <c r="E139" s="8"/>
      <c r="F139" s="16">
        <v>500000</v>
      </c>
      <c r="G139" s="16">
        <v>66650</v>
      </c>
      <c r="H139" s="41">
        <f t="shared" si="19"/>
        <v>566650</v>
      </c>
      <c r="I139" s="13">
        <v>11333</v>
      </c>
      <c r="J139" s="159">
        <v>50</v>
      </c>
      <c r="K139" s="101">
        <v>1</v>
      </c>
      <c r="L139" s="16">
        <f t="shared" si="16"/>
        <v>11333</v>
      </c>
      <c r="M139" s="94">
        <f t="shared" si="17"/>
        <v>555317</v>
      </c>
      <c r="N139" s="159">
        <f t="shared" si="18"/>
        <v>49</v>
      </c>
      <c r="O139" s="101"/>
      <c r="P139" s="101"/>
      <c r="Q139" s="8"/>
    </row>
    <row r="140" spans="2:17" s="114" customFormat="1">
      <c r="B140" s="295" t="s">
        <v>1203</v>
      </c>
      <c r="C140" s="96">
        <v>135</v>
      </c>
      <c r="D140" s="126" t="s">
        <v>1204</v>
      </c>
      <c r="E140" s="8"/>
      <c r="F140" s="16">
        <v>500000</v>
      </c>
      <c r="G140" s="16">
        <v>66650</v>
      </c>
      <c r="H140" s="41">
        <f t="shared" si="19"/>
        <v>566650</v>
      </c>
      <c r="I140" s="13">
        <v>11333</v>
      </c>
      <c r="J140" s="159">
        <v>50</v>
      </c>
      <c r="K140" s="101">
        <v>1</v>
      </c>
      <c r="L140" s="16">
        <f t="shared" si="16"/>
        <v>11333</v>
      </c>
      <c r="M140" s="94">
        <f t="shared" si="17"/>
        <v>555317</v>
      </c>
      <c r="N140" s="159">
        <f t="shared" si="18"/>
        <v>49</v>
      </c>
      <c r="O140" s="101"/>
      <c r="P140" s="101"/>
      <c r="Q140" s="8"/>
    </row>
    <row r="141" spans="2:17">
      <c r="B141" s="295" t="s">
        <v>1257</v>
      </c>
      <c r="C141" s="96">
        <v>136</v>
      </c>
      <c r="D141" s="126" t="s">
        <v>1258</v>
      </c>
      <c r="E141" s="8"/>
      <c r="F141" s="16">
        <v>500000</v>
      </c>
      <c r="G141" s="16">
        <v>66650</v>
      </c>
      <c r="H141" s="41">
        <f t="shared" si="19"/>
        <v>566650</v>
      </c>
      <c r="I141" s="13">
        <v>11333</v>
      </c>
      <c r="J141" s="159">
        <v>50</v>
      </c>
      <c r="K141" s="101">
        <v>1</v>
      </c>
      <c r="L141" s="16">
        <f t="shared" si="16"/>
        <v>11333</v>
      </c>
      <c r="M141" s="94">
        <f t="shared" si="17"/>
        <v>555317</v>
      </c>
      <c r="N141" s="159">
        <f t="shared" si="18"/>
        <v>49</v>
      </c>
      <c r="O141" s="101"/>
      <c r="P141" s="101"/>
      <c r="Q141" s="8"/>
    </row>
    <row r="142" spans="2:17" s="184" customFormat="1" ht="12.75">
      <c r="B142" s="295" t="s">
        <v>1150</v>
      </c>
      <c r="C142" s="96">
        <v>137</v>
      </c>
      <c r="D142" s="126" t="s">
        <v>1151</v>
      </c>
      <c r="E142" s="8"/>
      <c r="F142" s="16">
        <v>500000</v>
      </c>
      <c r="G142" s="16">
        <v>66650</v>
      </c>
      <c r="H142" s="41">
        <f t="shared" si="19"/>
        <v>566650</v>
      </c>
      <c r="I142" s="13">
        <v>11333</v>
      </c>
      <c r="J142" s="159">
        <v>50</v>
      </c>
      <c r="K142" s="101">
        <v>1</v>
      </c>
      <c r="L142" s="16">
        <f t="shared" si="16"/>
        <v>11333</v>
      </c>
      <c r="M142" s="94">
        <f t="shared" si="17"/>
        <v>555317</v>
      </c>
      <c r="N142" s="159">
        <f t="shared" si="18"/>
        <v>49</v>
      </c>
      <c r="O142" s="101"/>
      <c r="P142" s="101"/>
      <c r="Q142" s="8"/>
    </row>
    <row r="143" spans="2:17" s="184" customFormat="1" ht="12.75">
      <c r="B143" s="293"/>
      <c r="C143" s="96">
        <v>138</v>
      </c>
      <c r="D143" s="123" t="s">
        <v>1270</v>
      </c>
      <c r="E143" s="123"/>
      <c r="F143" s="19">
        <v>150000</v>
      </c>
      <c r="G143" s="19">
        <v>19995</v>
      </c>
      <c r="H143" s="19">
        <f>SUM(F143:G143)</f>
        <v>169995</v>
      </c>
      <c r="I143" s="317">
        <v>3399.9</v>
      </c>
      <c r="J143" s="159">
        <v>50</v>
      </c>
      <c r="K143" s="159">
        <v>34</v>
      </c>
      <c r="L143" s="16">
        <f>K143*I143</f>
        <v>115596.6</v>
      </c>
      <c r="M143" s="94">
        <f>H143-L143</f>
        <v>54398.399999999994</v>
      </c>
      <c r="N143" s="159">
        <f>J143-K143</f>
        <v>16</v>
      </c>
      <c r="O143" s="159"/>
      <c r="P143" s="159"/>
      <c r="Q143" s="11"/>
    </row>
    <row r="144" spans="2:17" s="184" customFormat="1" ht="12.75">
      <c r="B144" s="293"/>
      <c r="C144" s="96">
        <v>139</v>
      </c>
      <c r="D144" s="123" t="s">
        <v>1272</v>
      </c>
      <c r="E144" s="123"/>
      <c r="F144" s="19">
        <v>450000</v>
      </c>
      <c r="G144" s="19">
        <v>59985</v>
      </c>
      <c r="H144" s="19">
        <v>509985</v>
      </c>
      <c r="I144" s="317">
        <v>10199.700000000001</v>
      </c>
      <c r="J144" s="159">
        <v>50</v>
      </c>
      <c r="K144" s="159">
        <v>8</v>
      </c>
      <c r="L144" s="16">
        <f>K144*I144</f>
        <v>81597.600000000006</v>
      </c>
      <c r="M144" s="94">
        <f>H144-L144</f>
        <v>428387.4</v>
      </c>
      <c r="N144" s="159">
        <f>J144-K144</f>
        <v>42</v>
      </c>
      <c r="O144" s="159"/>
      <c r="P144" s="159"/>
      <c r="Q144" s="11"/>
    </row>
    <row r="145" spans="2:17" s="184" customFormat="1" ht="12.75">
      <c r="B145" s="293"/>
      <c r="C145" s="96">
        <v>140</v>
      </c>
      <c r="D145" s="123" t="s">
        <v>1268</v>
      </c>
      <c r="E145" s="123"/>
      <c r="F145" s="16">
        <v>500000</v>
      </c>
      <c r="G145" s="16">
        <v>66650</v>
      </c>
      <c r="H145" s="41">
        <f>SUM(F145:G145)</f>
        <v>566650</v>
      </c>
      <c r="I145" s="317">
        <v>11749.67</v>
      </c>
      <c r="J145" s="159">
        <v>50</v>
      </c>
      <c r="K145" s="159">
        <v>23</v>
      </c>
      <c r="L145" s="16">
        <f>K145*I145</f>
        <v>270242.40999999997</v>
      </c>
      <c r="M145" s="94">
        <f>H145-L145</f>
        <v>296407.59000000003</v>
      </c>
      <c r="N145" s="159">
        <f>J145-K145</f>
        <v>27</v>
      </c>
      <c r="O145" s="159"/>
      <c r="P145" s="159"/>
      <c r="Q145" s="11"/>
    </row>
    <row r="146" spans="2:17" s="184" customFormat="1" ht="12.75">
      <c r="B146" s="293"/>
      <c r="C146" s="96">
        <v>141</v>
      </c>
      <c r="D146" s="123" t="s">
        <v>1269</v>
      </c>
      <c r="E146" s="123"/>
      <c r="F146" s="19">
        <v>450000</v>
      </c>
      <c r="G146" s="19">
        <v>59985</v>
      </c>
      <c r="H146" s="19">
        <v>509985</v>
      </c>
      <c r="I146" s="317">
        <v>10199.700000000001</v>
      </c>
      <c r="J146" s="159">
        <v>50</v>
      </c>
      <c r="K146" s="159">
        <v>30</v>
      </c>
      <c r="L146" s="16">
        <f>K146*I146</f>
        <v>305991</v>
      </c>
      <c r="M146" s="94">
        <f>H146-L146</f>
        <v>203994</v>
      </c>
      <c r="N146" s="159">
        <f>J146-K146</f>
        <v>20</v>
      </c>
      <c r="O146" s="159"/>
      <c r="P146" s="159"/>
      <c r="Q146" s="11"/>
    </row>
    <row r="147" spans="2:17" s="184" customFormat="1" ht="12.75">
      <c r="B147" s="295"/>
      <c r="C147" s="126"/>
      <c r="D147" s="8"/>
      <c r="E147" s="8"/>
      <c r="F147" s="34">
        <f>SUM(F6:F146)</f>
        <v>59480000</v>
      </c>
      <c r="G147" s="34">
        <f>SUM(G6:G146)</f>
        <v>7916367.2000000002</v>
      </c>
      <c r="H147" s="34">
        <f>SUM(H6:H146)</f>
        <v>67596367.200000003</v>
      </c>
      <c r="I147" s="34">
        <f>SUM(I6:I146)</f>
        <v>1426968.4599999995</v>
      </c>
      <c r="J147" s="34"/>
      <c r="K147" s="34"/>
      <c r="L147" s="34">
        <f>SUM(L6:L146)</f>
        <v>29274925.660000008</v>
      </c>
      <c r="M147" s="34">
        <f>SUM(M6:M146)</f>
        <v>38321441.539999999</v>
      </c>
      <c r="N147" s="34"/>
      <c r="O147" s="34"/>
      <c r="P147" s="34"/>
      <c r="Q147" s="8"/>
    </row>
    <row r="148" spans="2:17" s="184" customFormat="1">
      <c r="B148" s="298"/>
      <c r="C148" s="44"/>
      <c r="D148" s="44"/>
      <c r="F148"/>
      <c r="G148"/>
      <c r="H148"/>
      <c r="I148"/>
      <c r="J148" s="43"/>
      <c r="K148" s="99"/>
      <c r="L148"/>
      <c r="M148"/>
      <c r="N148" s="99"/>
      <c r="O148" s="99"/>
      <c r="P148" s="99"/>
      <c r="Q148"/>
    </row>
    <row r="149" spans="2:17" s="184" customFormat="1">
      <c r="B149" s="298"/>
      <c r="C149" s="44"/>
      <c r="D149" s="44"/>
      <c r="F149"/>
      <c r="G149"/>
      <c r="H149"/>
      <c r="I149"/>
      <c r="J149" s="43"/>
      <c r="K149" s="99"/>
      <c r="L149"/>
      <c r="M149"/>
      <c r="N149" s="99"/>
      <c r="O149" s="99"/>
      <c r="P149" s="99"/>
      <c r="Q149"/>
    </row>
    <row r="150" spans="2:17" s="184" customFormat="1">
      <c r="B150" s="298"/>
      <c r="C150" s="44"/>
      <c r="D150" s="44"/>
      <c r="F150"/>
      <c r="G150"/>
      <c r="H150"/>
      <c r="I150"/>
      <c r="J150" s="43"/>
      <c r="K150" s="99"/>
      <c r="L150"/>
      <c r="M150"/>
      <c r="N150" s="99"/>
      <c r="O150" s="99"/>
      <c r="P150" s="99"/>
      <c r="Q150"/>
    </row>
    <row r="151" spans="2:17" s="184" customFormat="1">
      <c r="B151" s="298"/>
      <c r="C151" s="44"/>
      <c r="D151" s="44"/>
      <c r="F151"/>
      <c r="G151"/>
      <c r="H151"/>
      <c r="I151"/>
      <c r="J151" s="43"/>
      <c r="K151" s="99"/>
      <c r="L151"/>
      <c r="M151"/>
      <c r="N151" s="99"/>
      <c r="O151" s="99"/>
      <c r="P151" s="99"/>
      <c r="Q151"/>
    </row>
    <row r="152" spans="2:17" s="184" customFormat="1">
      <c r="B152" s="298"/>
      <c r="C152" s="44"/>
      <c r="D152" s="44"/>
      <c r="F152"/>
      <c r="G152"/>
      <c r="H152"/>
      <c r="I152"/>
      <c r="J152" s="43"/>
      <c r="K152" s="99"/>
      <c r="L152"/>
      <c r="M152"/>
      <c r="N152" s="99"/>
      <c r="O152" s="99"/>
      <c r="P152" s="99"/>
      <c r="Q152"/>
    </row>
    <row r="153" spans="2:17" s="184" customFormat="1">
      <c r="B153" s="298"/>
      <c r="C153" s="44"/>
      <c r="D153" s="44"/>
      <c r="F153"/>
      <c r="G153"/>
      <c r="H153"/>
      <c r="I153"/>
      <c r="J153" s="43"/>
      <c r="K153" s="99"/>
      <c r="L153"/>
      <c r="M153"/>
      <c r="N153" s="99"/>
      <c r="O153" s="99"/>
      <c r="P153" s="99"/>
      <c r="Q153"/>
    </row>
    <row r="154" spans="2:17" s="184" customFormat="1">
      <c r="B154" s="298"/>
      <c r="C154" s="44"/>
      <c r="D154" s="44"/>
      <c r="F154"/>
      <c r="G154"/>
      <c r="H154"/>
      <c r="I154"/>
      <c r="J154" s="43"/>
      <c r="K154" s="99"/>
      <c r="L154"/>
      <c r="M154"/>
      <c r="N154" s="99"/>
      <c r="O154" s="99"/>
      <c r="P154" s="99"/>
      <c r="Q154"/>
    </row>
    <row r="155" spans="2:17" s="184" customFormat="1">
      <c r="B155" s="298"/>
      <c r="C155" s="44"/>
      <c r="D155" s="44"/>
      <c r="F155"/>
      <c r="G155"/>
      <c r="H155"/>
      <c r="I155"/>
      <c r="J155" s="43"/>
      <c r="K155" s="99"/>
      <c r="L155"/>
      <c r="M155"/>
      <c r="N155" s="99"/>
      <c r="O155" s="99"/>
      <c r="P155" s="99"/>
      <c r="Q155"/>
    </row>
    <row r="156" spans="2:17" s="184" customFormat="1">
      <c r="B156" s="298"/>
      <c r="C156" s="44"/>
      <c r="D156" s="44"/>
      <c r="F156"/>
      <c r="G156"/>
      <c r="H156"/>
      <c r="I156"/>
      <c r="J156" s="43"/>
      <c r="K156" s="99"/>
      <c r="L156"/>
      <c r="M156"/>
      <c r="N156" s="99"/>
      <c r="O156" s="99"/>
      <c r="P156" s="99"/>
      <c r="Q156"/>
    </row>
    <row r="157" spans="2:17" s="184" customFormat="1">
      <c r="B157" s="298"/>
      <c r="C157" s="44"/>
      <c r="D157" s="44"/>
      <c r="F157"/>
      <c r="G157"/>
      <c r="H157"/>
      <c r="I157"/>
      <c r="J157" s="43"/>
      <c r="K157" s="99"/>
      <c r="L157"/>
      <c r="M157"/>
      <c r="N157" s="99"/>
      <c r="O157" s="99"/>
      <c r="P157" s="99"/>
      <c r="Q157"/>
    </row>
    <row r="158" spans="2:17" s="184" customFormat="1">
      <c r="B158" s="298"/>
      <c r="C158" s="44"/>
      <c r="D158" s="44"/>
      <c r="F158"/>
      <c r="G158"/>
      <c r="H158"/>
      <c r="I158"/>
      <c r="J158" s="43"/>
      <c r="K158" s="99"/>
      <c r="L158"/>
      <c r="M158"/>
      <c r="N158" s="99"/>
      <c r="O158" s="99"/>
      <c r="P158" s="99"/>
      <c r="Q158"/>
    </row>
    <row r="159" spans="2:17" s="184" customFormat="1">
      <c r="B159" s="298"/>
      <c r="C159" s="44"/>
      <c r="D159" s="44"/>
      <c r="F159"/>
      <c r="G159"/>
      <c r="H159"/>
      <c r="I159"/>
      <c r="J159" s="43"/>
      <c r="K159" s="99"/>
      <c r="L159"/>
      <c r="M159"/>
      <c r="N159" s="99"/>
      <c r="O159" s="99"/>
      <c r="P159" s="99"/>
      <c r="Q159"/>
    </row>
    <row r="160" spans="2:17" s="184" customFormat="1">
      <c r="B160" s="298"/>
      <c r="C160" s="44"/>
      <c r="D160" s="44"/>
      <c r="F160"/>
      <c r="G160"/>
      <c r="H160"/>
      <c r="I160"/>
      <c r="J160" s="43"/>
      <c r="K160" s="99"/>
      <c r="L160"/>
      <c r="M160"/>
      <c r="N160" s="99"/>
      <c r="O160" s="99"/>
      <c r="P160" s="99"/>
      <c r="Q160"/>
    </row>
    <row r="161" spans="2:17" s="184" customFormat="1">
      <c r="B161" s="298"/>
      <c r="C161" s="44"/>
      <c r="D161" s="44"/>
      <c r="F161"/>
      <c r="G161"/>
      <c r="H161"/>
      <c r="I161"/>
      <c r="J161" s="43"/>
      <c r="K161" s="99"/>
      <c r="L161"/>
      <c r="M161"/>
      <c r="N161" s="99"/>
      <c r="O161" s="99"/>
      <c r="P161" s="99"/>
      <c r="Q161"/>
    </row>
    <row r="162" spans="2:17" s="184" customFormat="1">
      <c r="B162" s="298"/>
      <c r="C162" s="44"/>
      <c r="D162" s="44"/>
      <c r="F162"/>
      <c r="G162"/>
      <c r="H162"/>
      <c r="I162"/>
      <c r="J162" s="43"/>
      <c r="K162" s="99"/>
      <c r="L162"/>
      <c r="M162"/>
      <c r="N162" s="99"/>
      <c r="O162" s="99"/>
      <c r="P162" s="99"/>
      <c r="Q162"/>
    </row>
    <row r="163" spans="2:17" s="184" customFormat="1">
      <c r="B163" s="298"/>
      <c r="C163" s="44"/>
      <c r="D163" s="44"/>
      <c r="F163"/>
      <c r="G163"/>
      <c r="H163"/>
      <c r="I163"/>
      <c r="J163" s="43"/>
      <c r="K163" s="99"/>
      <c r="L163"/>
      <c r="M163"/>
      <c r="N163" s="99"/>
      <c r="O163" s="99"/>
      <c r="P163" s="99"/>
      <c r="Q163"/>
    </row>
    <row r="164" spans="2:17" s="184" customFormat="1">
      <c r="B164" s="298"/>
      <c r="C164" s="44"/>
      <c r="D164" s="44"/>
      <c r="F164"/>
      <c r="G164"/>
      <c r="H164"/>
      <c r="I164"/>
      <c r="J164" s="43"/>
      <c r="K164" s="99"/>
      <c r="L164"/>
      <c r="M164"/>
      <c r="N164" s="99"/>
      <c r="O164" s="99"/>
      <c r="P164" s="99"/>
      <c r="Q164"/>
    </row>
    <row r="165" spans="2:17" s="184" customFormat="1">
      <c r="B165" s="298"/>
      <c r="C165" s="44"/>
      <c r="D165" s="44"/>
      <c r="F165"/>
      <c r="G165"/>
      <c r="H165"/>
      <c r="I165"/>
      <c r="J165" s="43"/>
      <c r="K165" s="99"/>
      <c r="L165"/>
      <c r="M165"/>
      <c r="N165" s="99"/>
      <c r="O165" s="99"/>
      <c r="P165" s="99"/>
      <c r="Q165"/>
    </row>
    <row r="166" spans="2:17" s="184" customFormat="1">
      <c r="B166" s="298"/>
      <c r="C166" s="44"/>
      <c r="D166" s="44"/>
      <c r="F166"/>
      <c r="G166"/>
      <c r="H166"/>
      <c r="I166"/>
      <c r="J166" s="43"/>
      <c r="K166" s="99"/>
      <c r="L166"/>
      <c r="M166"/>
      <c r="N166" s="99"/>
      <c r="O166" s="99"/>
      <c r="P166" s="99"/>
      <c r="Q166"/>
    </row>
    <row r="167" spans="2:17" s="184" customFormat="1">
      <c r="B167" s="298"/>
      <c r="C167" s="44"/>
      <c r="D167" s="44"/>
      <c r="F167"/>
      <c r="G167"/>
      <c r="H167"/>
      <c r="I167"/>
      <c r="J167" s="43"/>
      <c r="K167" s="99"/>
      <c r="L167"/>
      <c r="M167"/>
      <c r="N167" s="99"/>
      <c r="O167" s="99"/>
      <c r="P167" s="99"/>
      <c r="Q167"/>
    </row>
    <row r="168" spans="2:17" s="184" customFormat="1">
      <c r="B168" s="298"/>
      <c r="C168" s="44"/>
      <c r="D168" s="44"/>
      <c r="F168"/>
      <c r="G168"/>
      <c r="H168"/>
      <c r="I168"/>
      <c r="J168" s="43"/>
      <c r="K168" s="99"/>
      <c r="L168"/>
      <c r="M168"/>
      <c r="N168" s="99"/>
      <c r="O168" s="99"/>
      <c r="P168" s="99"/>
      <c r="Q168"/>
    </row>
    <row r="169" spans="2:17" s="184" customFormat="1">
      <c r="B169" s="298"/>
      <c r="C169" s="44"/>
      <c r="D169" s="44"/>
      <c r="F169"/>
      <c r="G169"/>
      <c r="H169"/>
      <c r="I169"/>
      <c r="J169" s="43"/>
      <c r="K169" s="99"/>
      <c r="L169"/>
      <c r="M169"/>
      <c r="N169" s="99"/>
      <c r="O169" s="99"/>
      <c r="P169" s="99"/>
      <c r="Q169"/>
    </row>
    <row r="170" spans="2:17" s="184" customFormat="1">
      <c r="B170" s="298"/>
      <c r="C170" s="44"/>
      <c r="D170" s="44"/>
      <c r="F170"/>
      <c r="G170"/>
      <c r="H170"/>
      <c r="I170"/>
      <c r="J170" s="43"/>
      <c r="K170" s="99"/>
      <c r="L170"/>
      <c r="M170"/>
      <c r="N170" s="99"/>
      <c r="O170" s="99"/>
      <c r="P170" s="99"/>
      <c r="Q170"/>
    </row>
    <row r="171" spans="2:17" s="184" customFormat="1">
      <c r="B171" s="298"/>
      <c r="C171" s="44"/>
      <c r="D171" s="44"/>
      <c r="F171"/>
      <c r="G171"/>
      <c r="H171"/>
      <c r="I171"/>
      <c r="J171" s="43"/>
      <c r="K171" s="99"/>
      <c r="L171"/>
      <c r="M171"/>
      <c r="N171" s="99"/>
      <c r="O171" s="99"/>
      <c r="P171" s="99"/>
      <c r="Q171"/>
    </row>
    <row r="172" spans="2:17" s="184" customFormat="1">
      <c r="B172" s="298"/>
      <c r="C172" s="44"/>
      <c r="D172" s="44"/>
      <c r="F172"/>
      <c r="G172"/>
      <c r="H172"/>
      <c r="I172"/>
      <c r="J172" s="43"/>
      <c r="K172" s="99"/>
      <c r="L172"/>
      <c r="M172"/>
      <c r="N172" s="99"/>
      <c r="O172" s="99"/>
      <c r="P172" s="99"/>
      <c r="Q172"/>
    </row>
    <row r="173" spans="2:17" s="184" customFormat="1">
      <c r="B173" s="298"/>
      <c r="C173" s="44"/>
      <c r="D173" s="44"/>
      <c r="F173"/>
      <c r="G173"/>
      <c r="H173"/>
      <c r="I173"/>
      <c r="J173" s="43"/>
      <c r="K173" s="99"/>
      <c r="L173"/>
      <c r="M173"/>
      <c r="N173" s="99"/>
      <c r="O173" s="99"/>
      <c r="P173" s="99"/>
      <c r="Q173"/>
    </row>
    <row r="174" spans="2:17" s="184" customFormat="1">
      <c r="B174" s="298"/>
      <c r="C174" s="44"/>
      <c r="D174" s="44"/>
      <c r="F174"/>
      <c r="G174"/>
      <c r="H174"/>
      <c r="I174"/>
      <c r="J174" s="43"/>
      <c r="K174" s="99"/>
      <c r="L174"/>
      <c r="M174"/>
      <c r="N174" s="99"/>
      <c r="O174" s="99"/>
      <c r="P174" s="99"/>
      <c r="Q174"/>
    </row>
    <row r="175" spans="2:17" s="184" customFormat="1">
      <c r="B175" s="298"/>
      <c r="C175" s="44"/>
      <c r="D175" s="44"/>
      <c r="F175"/>
      <c r="G175"/>
      <c r="H175"/>
      <c r="I175"/>
      <c r="J175" s="43"/>
      <c r="K175" s="99"/>
      <c r="L175"/>
      <c r="M175"/>
      <c r="N175" s="99"/>
      <c r="O175" s="99"/>
      <c r="P175" s="99"/>
      <c r="Q175"/>
    </row>
    <row r="176" spans="2:17" s="184" customFormat="1">
      <c r="B176" s="298"/>
      <c r="C176" s="44"/>
      <c r="D176" s="44"/>
      <c r="F176"/>
      <c r="G176"/>
      <c r="H176"/>
      <c r="I176"/>
      <c r="J176" s="43"/>
      <c r="K176" s="99"/>
      <c r="L176"/>
      <c r="M176"/>
      <c r="N176" s="99"/>
      <c r="O176" s="99"/>
      <c r="P176" s="99"/>
      <c r="Q176"/>
    </row>
    <row r="177" spans="2:17" s="184" customFormat="1">
      <c r="B177" s="298"/>
      <c r="C177" s="44"/>
      <c r="D177" s="44"/>
      <c r="F177"/>
      <c r="G177"/>
      <c r="H177"/>
      <c r="I177"/>
      <c r="J177" s="43"/>
      <c r="K177" s="99"/>
      <c r="L177"/>
      <c r="M177"/>
      <c r="N177" s="99"/>
      <c r="O177" s="99"/>
      <c r="P177" s="99"/>
      <c r="Q177"/>
    </row>
    <row r="178" spans="2:17" s="184" customFormat="1">
      <c r="B178" s="298"/>
      <c r="C178" s="44"/>
      <c r="D178" s="44"/>
      <c r="F178"/>
      <c r="G178"/>
      <c r="H178"/>
      <c r="I178"/>
      <c r="J178" s="43"/>
      <c r="K178" s="99"/>
      <c r="L178"/>
      <c r="M178"/>
      <c r="N178" s="99"/>
      <c r="O178" s="99"/>
      <c r="P178" s="99"/>
      <c r="Q178"/>
    </row>
    <row r="179" spans="2:17" s="184" customFormat="1">
      <c r="B179" s="298"/>
      <c r="C179" s="44"/>
      <c r="D179" s="44"/>
      <c r="F179"/>
      <c r="G179"/>
      <c r="H179"/>
      <c r="I179"/>
      <c r="J179" s="43"/>
      <c r="K179" s="99"/>
      <c r="L179"/>
      <c r="M179"/>
      <c r="N179" s="99"/>
      <c r="O179" s="99"/>
      <c r="P179" s="99"/>
      <c r="Q179"/>
    </row>
    <row r="180" spans="2:17" s="184" customFormat="1">
      <c r="B180" s="298"/>
      <c r="C180" s="44"/>
      <c r="D180" s="44"/>
      <c r="F180"/>
      <c r="G180"/>
      <c r="H180"/>
      <c r="I180"/>
      <c r="J180" s="43"/>
      <c r="K180" s="99"/>
      <c r="L180"/>
      <c r="M180"/>
      <c r="N180" s="99"/>
      <c r="O180" s="99"/>
      <c r="P180" s="99"/>
      <c r="Q180"/>
    </row>
    <row r="181" spans="2:17" s="184" customFormat="1">
      <c r="B181" s="298"/>
      <c r="C181" s="44"/>
      <c r="D181" s="44"/>
      <c r="F181"/>
      <c r="G181"/>
      <c r="H181"/>
      <c r="I181"/>
      <c r="J181" s="43"/>
      <c r="K181" s="99"/>
      <c r="L181"/>
      <c r="M181"/>
      <c r="N181" s="99"/>
      <c r="O181" s="99"/>
      <c r="P181" s="99"/>
      <c r="Q181"/>
    </row>
    <row r="182" spans="2:17" s="184" customFormat="1">
      <c r="B182" s="298"/>
      <c r="C182" s="44"/>
      <c r="D182" s="44"/>
      <c r="F182"/>
      <c r="G182"/>
      <c r="H182"/>
      <c r="I182"/>
      <c r="J182" s="43"/>
      <c r="K182" s="99"/>
      <c r="L182"/>
      <c r="M182"/>
      <c r="N182" s="99"/>
      <c r="O182" s="99"/>
      <c r="P182" s="99"/>
      <c r="Q182"/>
    </row>
    <row r="183" spans="2:17" s="184" customFormat="1">
      <c r="B183" s="298"/>
      <c r="C183" s="44"/>
      <c r="D183" s="44"/>
      <c r="F183"/>
      <c r="G183"/>
      <c r="H183"/>
      <c r="I183"/>
      <c r="J183" s="43"/>
      <c r="K183" s="99"/>
      <c r="L183"/>
      <c r="M183"/>
      <c r="N183" s="99"/>
      <c r="O183" s="99"/>
      <c r="P183" s="99"/>
      <c r="Q183"/>
    </row>
    <row r="184" spans="2:17" s="184" customFormat="1">
      <c r="B184" s="298"/>
      <c r="C184" s="44"/>
      <c r="D184" s="44"/>
      <c r="F184"/>
      <c r="G184"/>
      <c r="H184"/>
      <c r="I184"/>
      <c r="J184" s="43"/>
      <c r="K184" s="99"/>
      <c r="L184"/>
      <c r="M184"/>
      <c r="N184" s="99"/>
      <c r="O184" s="99"/>
      <c r="P184" s="99"/>
      <c r="Q184"/>
    </row>
    <row r="185" spans="2:17" s="184" customFormat="1">
      <c r="B185" s="298"/>
      <c r="C185" s="44"/>
      <c r="D185" s="44"/>
      <c r="F185"/>
      <c r="G185"/>
      <c r="H185"/>
      <c r="I185"/>
      <c r="J185" s="43"/>
      <c r="K185" s="99"/>
      <c r="L185"/>
      <c r="M185"/>
      <c r="N185" s="99"/>
      <c r="O185" s="99"/>
      <c r="P185" s="99"/>
      <c r="Q185"/>
    </row>
    <row r="186" spans="2:17" s="184" customFormat="1">
      <c r="B186" s="298"/>
      <c r="C186" s="44"/>
      <c r="D186" s="44"/>
      <c r="F186"/>
      <c r="G186"/>
      <c r="H186"/>
      <c r="I186"/>
      <c r="J186" s="43"/>
      <c r="K186" s="99"/>
      <c r="L186"/>
      <c r="M186"/>
      <c r="N186" s="99"/>
      <c r="O186" s="99"/>
      <c r="P186" s="99"/>
      <c r="Q186"/>
    </row>
    <row r="187" spans="2:17" s="184" customFormat="1">
      <c r="B187" s="298"/>
      <c r="C187" s="44"/>
      <c r="D187" s="44"/>
      <c r="F187"/>
      <c r="G187"/>
      <c r="H187"/>
      <c r="I187"/>
      <c r="J187" s="43"/>
      <c r="K187" s="99"/>
      <c r="L187"/>
      <c r="M187"/>
      <c r="N187" s="99"/>
      <c r="O187" s="99"/>
      <c r="P187" s="99"/>
      <c r="Q187"/>
    </row>
    <row r="188" spans="2:17" s="184" customFormat="1">
      <c r="B188" s="298"/>
      <c r="C188" s="44"/>
      <c r="D188" s="44"/>
      <c r="F188"/>
      <c r="G188"/>
      <c r="H188"/>
      <c r="I188"/>
      <c r="J188" s="43"/>
      <c r="K188" s="99"/>
      <c r="L188"/>
      <c r="M188"/>
      <c r="N188" s="99"/>
      <c r="O188" s="99"/>
      <c r="P188" s="99"/>
      <c r="Q188"/>
    </row>
    <row r="189" spans="2:17" s="184" customFormat="1">
      <c r="B189" s="298"/>
      <c r="C189" s="44"/>
      <c r="D189" s="44"/>
      <c r="F189"/>
      <c r="G189"/>
      <c r="H189"/>
      <c r="I189"/>
      <c r="J189" s="43"/>
      <c r="K189" s="99"/>
      <c r="L189"/>
      <c r="M189"/>
      <c r="N189" s="99"/>
      <c r="O189" s="99"/>
      <c r="P189" s="99"/>
      <c r="Q189"/>
    </row>
    <row r="190" spans="2:17" s="184" customFormat="1">
      <c r="B190" s="298"/>
      <c r="C190" s="44"/>
      <c r="D190" s="44"/>
      <c r="F190"/>
      <c r="G190"/>
      <c r="H190"/>
      <c r="I190"/>
      <c r="J190" s="43"/>
      <c r="K190" s="99"/>
      <c r="L190"/>
      <c r="M190"/>
      <c r="N190" s="99"/>
      <c r="O190" s="99"/>
      <c r="P190" s="99"/>
      <c r="Q190"/>
    </row>
    <row r="191" spans="2:17" s="184" customFormat="1">
      <c r="B191" s="298"/>
      <c r="C191" s="44"/>
      <c r="D191" s="44"/>
      <c r="F191"/>
      <c r="G191"/>
      <c r="H191"/>
      <c r="I191"/>
      <c r="J191" s="43"/>
      <c r="K191" s="99"/>
      <c r="L191"/>
      <c r="M191"/>
      <c r="N191" s="99"/>
      <c r="O191" s="99"/>
      <c r="P191" s="99"/>
      <c r="Q191"/>
    </row>
    <row r="192" spans="2:17" s="184" customFormat="1">
      <c r="B192" s="298"/>
      <c r="C192" s="44"/>
      <c r="D192" s="44"/>
      <c r="F192"/>
      <c r="G192"/>
      <c r="H192"/>
      <c r="I192"/>
      <c r="J192" s="43"/>
      <c r="K192" s="99"/>
      <c r="L192"/>
      <c r="M192"/>
      <c r="N192" s="99"/>
      <c r="O192" s="99"/>
      <c r="P192" s="99"/>
      <c r="Q192"/>
    </row>
    <row r="193" spans="2:17" s="184" customFormat="1">
      <c r="B193" s="298"/>
      <c r="C193" s="44"/>
      <c r="D193" s="44"/>
      <c r="F193"/>
      <c r="G193"/>
      <c r="H193"/>
      <c r="I193"/>
      <c r="J193" s="43"/>
      <c r="K193" s="99"/>
      <c r="L193"/>
      <c r="M193"/>
      <c r="N193" s="99"/>
      <c r="O193" s="99"/>
      <c r="P193" s="99"/>
      <c r="Q193"/>
    </row>
    <row r="194" spans="2:17" s="184" customFormat="1">
      <c r="B194" s="298"/>
      <c r="C194" s="44"/>
      <c r="D194" s="44"/>
      <c r="F194"/>
      <c r="G194"/>
      <c r="H194"/>
      <c r="I194"/>
      <c r="J194" s="43"/>
      <c r="K194" s="99"/>
      <c r="L194"/>
      <c r="M194"/>
      <c r="N194" s="99"/>
      <c r="O194" s="99"/>
      <c r="P194" s="99"/>
      <c r="Q194"/>
    </row>
    <row r="195" spans="2:17" s="184" customFormat="1">
      <c r="B195" s="298"/>
      <c r="C195" s="44"/>
      <c r="D195" s="44"/>
      <c r="F195"/>
      <c r="G195"/>
      <c r="H195"/>
      <c r="I195"/>
      <c r="J195" s="43"/>
      <c r="K195" s="99"/>
      <c r="L195"/>
      <c r="M195"/>
      <c r="N195" s="99"/>
      <c r="O195" s="99"/>
      <c r="P195" s="99"/>
      <c r="Q195"/>
    </row>
    <row r="196" spans="2:17" s="184" customFormat="1">
      <c r="B196" s="298"/>
      <c r="C196" s="44"/>
      <c r="D196" s="44"/>
      <c r="F196"/>
      <c r="G196"/>
      <c r="H196"/>
      <c r="I196"/>
      <c r="J196" s="43"/>
      <c r="K196" s="99"/>
      <c r="L196"/>
      <c r="M196"/>
      <c r="N196" s="99"/>
      <c r="O196" s="99"/>
      <c r="P196" s="99"/>
      <c r="Q196"/>
    </row>
    <row r="197" spans="2:17" s="184" customFormat="1">
      <c r="B197" s="298"/>
      <c r="C197" s="44"/>
      <c r="D197" s="44"/>
      <c r="F197"/>
      <c r="G197"/>
      <c r="H197"/>
      <c r="I197"/>
      <c r="J197" s="43"/>
      <c r="K197" s="99"/>
      <c r="L197"/>
      <c r="M197"/>
      <c r="N197" s="99"/>
      <c r="O197" s="99"/>
      <c r="P197" s="99"/>
      <c r="Q197"/>
    </row>
    <row r="198" spans="2:17" s="184" customFormat="1">
      <c r="B198" s="298"/>
      <c r="C198" s="44"/>
      <c r="D198" s="44"/>
      <c r="F198"/>
      <c r="G198"/>
      <c r="H198"/>
      <c r="I198"/>
      <c r="J198" s="43"/>
      <c r="K198" s="99"/>
      <c r="L198"/>
      <c r="M198"/>
      <c r="N198" s="99"/>
      <c r="O198" s="99"/>
      <c r="P198" s="99"/>
      <c r="Q198"/>
    </row>
    <row r="199" spans="2:17" s="184" customFormat="1">
      <c r="B199" s="298"/>
      <c r="C199" s="44"/>
      <c r="D199" s="44"/>
      <c r="F199"/>
      <c r="G199"/>
      <c r="H199"/>
      <c r="I199"/>
      <c r="J199" s="43"/>
      <c r="K199" s="99"/>
      <c r="L199"/>
      <c r="M199"/>
      <c r="N199" s="99"/>
      <c r="O199" s="99"/>
      <c r="P199" s="99"/>
      <c r="Q199"/>
    </row>
    <row r="200" spans="2:17" s="184" customFormat="1">
      <c r="B200" s="298"/>
      <c r="C200" s="44"/>
      <c r="D200" s="44"/>
      <c r="F200"/>
      <c r="G200"/>
      <c r="H200"/>
      <c r="I200"/>
      <c r="J200" s="43"/>
      <c r="K200" s="99"/>
      <c r="L200"/>
      <c r="M200"/>
      <c r="N200" s="99"/>
      <c r="O200" s="99"/>
      <c r="P200" s="99"/>
      <c r="Q200"/>
    </row>
    <row r="201" spans="2:17" s="184" customFormat="1">
      <c r="B201" s="298"/>
      <c r="C201" s="44"/>
      <c r="D201" s="44"/>
      <c r="F201"/>
      <c r="G201"/>
      <c r="H201"/>
      <c r="I201"/>
      <c r="J201" s="43"/>
      <c r="K201" s="99"/>
      <c r="L201"/>
      <c r="M201"/>
      <c r="N201" s="99"/>
      <c r="O201" s="99"/>
      <c r="P201" s="99"/>
      <c r="Q201"/>
    </row>
    <row r="202" spans="2:17" s="184" customFormat="1">
      <c r="B202" s="298"/>
      <c r="C202" s="44"/>
      <c r="D202" s="44"/>
      <c r="F202"/>
      <c r="G202"/>
      <c r="H202"/>
      <c r="I202"/>
      <c r="J202" s="43"/>
      <c r="K202" s="99"/>
      <c r="L202"/>
      <c r="M202"/>
      <c r="N202" s="99"/>
      <c r="O202" s="99"/>
      <c r="P202" s="99"/>
      <c r="Q202"/>
    </row>
    <row r="203" spans="2:17" s="184" customFormat="1">
      <c r="B203" s="298"/>
      <c r="C203" s="44"/>
      <c r="D203" s="44"/>
      <c r="F203"/>
      <c r="G203"/>
      <c r="H203"/>
      <c r="I203"/>
      <c r="J203" s="43"/>
      <c r="K203" s="99"/>
      <c r="L203"/>
      <c r="M203"/>
      <c r="N203" s="99"/>
      <c r="O203" s="99"/>
      <c r="P203" s="99"/>
      <c r="Q203"/>
    </row>
    <row r="204" spans="2:17" s="184" customFormat="1">
      <c r="B204" s="298"/>
      <c r="C204" s="44"/>
      <c r="D204" s="44"/>
      <c r="F204"/>
      <c r="G204"/>
      <c r="H204"/>
      <c r="I204"/>
      <c r="J204" s="43"/>
      <c r="K204" s="99"/>
      <c r="L204"/>
      <c r="M204"/>
      <c r="N204" s="99"/>
      <c r="O204" s="99"/>
      <c r="P204" s="99"/>
      <c r="Q204"/>
    </row>
    <row r="205" spans="2:17" s="184" customFormat="1">
      <c r="B205" s="298"/>
      <c r="C205" s="44"/>
      <c r="D205" s="44"/>
      <c r="F205"/>
      <c r="G205"/>
      <c r="H205"/>
      <c r="I205"/>
      <c r="J205" s="43"/>
      <c r="K205" s="99"/>
      <c r="L205"/>
      <c r="M205"/>
      <c r="N205" s="99"/>
      <c r="O205" s="99"/>
      <c r="P205" s="99"/>
      <c r="Q205"/>
    </row>
    <row r="206" spans="2:17" s="184" customFormat="1">
      <c r="B206" s="298"/>
      <c r="C206" s="44"/>
      <c r="D206" s="44"/>
      <c r="F206"/>
      <c r="G206"/>
      <c r="H206"/>
      <c r="I206"/>
      <c r="J206" s="43"/>
      <c r="K206" s="99"/>
      <c r="L206"/>
      <c r="M206"/>
      <c r="N206" s="99"/>
      <c r="O206" s="99"/>
      <c r="P206" s="99"/>
      <c r="Q206"/>
    </row>
    <row r="207" spans="2:17" s="184" customFormat="1">
      <c r="B207" s="298"/>
      <c r="C207" s="44"/>
      <c r="D207" s="44"/>
      <c r="F207"/>
      <c r="G207"/>
      <c r="H207"/>
      <c r="I207"/>
      <c r="J207" s="43"/>
      <c r="K207" s="99"/>
      <c r="L207"/>
      <c r="M207"/>
      <c r="N207" s="99"/>
      <c r="O207" s="99"/>
      <c r="P207" s="99"/>
      <c r="Q207"/>
    </row>
    <row r="208" spans="2:17" s="184" customFormat="1">
      <c r="B208" s="298"/>
      <c r="C208" s="44"/>
      <c r="D208" s="44"/>
      <c r="F208"/>
      <c r="G208"/>
      <c r="H208"/>
      <c r="I208"/>
      <c r="J208" s="43"/>
      <c r="K208" s="99"/>
      <c r="L208"/>
      <c r="M208"/>
      <c r="N208" s="99"/>
      <c r="O208" s="99"/>
      <c r="P208" s="99"/>
      <c r="Q208"/>
    </row>
    <row r="209" spans="2:17" s="184" customFormat="1">
      <c r="B209" s="298"/>
      <c r="C209" s="44"/>
      <c r="D209" s="44"/>
      <c r="F209"/>
      <c r="G209"/>
      <c r="H209"/>
      <c r="I209"/>
      <c r="J209" s="43"/>
      <c r="K209" s="99"/>
      <c r="L209"/>
      <c r="M209"/>
      <c r="N209" s="99"/>
      <c r="O209" s="99"/>
      <c r="P209" s="99"/>
      <c r="Q209"/>
    </row>
    <row r="210" spans="2:17" s="184" customFormat="1">
      <c r="B210" s="298"/>
      <c r="C210" s="44"/>
      <c r="D210" s="44"/>
      <c r="F210"/>
      <c r="G210"/>
      <c r="H210"/>
      <c r="I210"/>
      <c r="J210" s="43"/>
      <c r="K210" s="99"/>
      <c r="L210"/>
      <c r="M210"/>
      <c r="N210" s="99"/>
      <c r="O210" s="99"/>
      <c r="P210" s="99"/>
      <c r="Q210"/>
    </row>
    <row r="211" spans="2:17" s="184" customFormat="1">
      <c r="B211" s="298"/>
      <c r="C211" s="44"/>
      <c r="D211" s="44"/>
      <c r="F211"/>
      <c r="G211"/>
      <c r="H211"/>
      <c r="I211"/>
      <c r="J211" s="43"/>
      <c r="K211" s="99"/>
      <c r="L211"/>
      <c r="M211"/>
      <c r="N211" s="99"/>
      <c r="O211" s="99"/>
      <c r="P211" s="99"/>
      <c r="Q211"/>
    </row>
    <row r="212" spans="2:17" s="184" customFormat="1">
      <c r="B212" s="298"/>
      <c r="C212" s="44"/>
      <c r="D212" s="44"/>
      <c r="F212"/>
      <c r="G212"/>
      <c r="H212"/>
      <c r="I212"/>
      <c r="J212" s="43"/>
      <c r="K212" s="99"/>
      <c r="L212"/>
      <c r="M212"/>
      <c r="N212" s="99"/>
      <c r="O212" s="99"/>
      <c r="P212" s="99"/>
      <c r="Q212"/>
    </row>
    <row r="213" spans="2:17" s="184" customFormat="1">
      <c r="B213" s="298"/>
      <c r="C213" s="44"/>
      <c r="D213" s="44"/>
      <c r="F213"/>
      <c r="G213"/>
      <c r="H213"/>
      <c r="I213"/>
      <c r="J213" s="43"/>
      <c r="K213" s="99"/>
      <c r="L213"/>
      <c r="M213"/>
      <c r="N213" s="99"/>
      <c r="O213" s="99"/>
      <c r="P213" s="99"/>
      <c r="Q213"/>
    </row>
    <row r="214" spans="2:17" s="184" customFormat="1">
      <c r="B214" s="298"/>
      <c r="C214" s="44"/>
      <c r="D214" s="44"/>
      <c r="F214"/>
      <c r="G214"/>
      <c r="H214"/>
      <c r="I214"/>
      <c r="J214" s="43"/>
      <c r="K214" s="99"/>
      <c r="L214"/>
      <c r="M214"/>
      <c r="N214" s="99"/>
      <c r="O214" s="99"/>
      <c r="P214" s="99"/>
      <c r="Q214"/>
    </row>
    <row r="215" spans="2:17" s="184" customFormat="1">
      <c r="B215" s="298"/>
      <c r="C215" s="44"/>
      <c r="D215" s="44"/>
      <c r="F215"/>
      <c r="G215"/>
      <c r="H215"/>
      <c r="I215"/>
      <c r="J215" s="43"/>
      <c r="K215" s="99"/>
      <c r="L215"/>
      <c r="M215"/>
      <c r="N215" s="99"/>
      <c r="O215" s="99"/>
      <c r="P215" s="99"/>
      <c r="Q215"/>
    </row>
    <row r="216" spans="2:17" s="184" customFormat="1">
      <c r="B216" s="298"/>
      <c r="C216" s="44"/>
      <c r="D216" s="44"/>
      <c r="F216"/>
      <c r="G216"/>
      <c r="H216"/>
      <c r="I216"/>
      <c r="J216" s="43"/>
      <c r="K216" s="99"/>
      <c r="L216"/>
      <c r="M216"/>
      <c r="N216" s="99"/>
      <c r="O216" s="99"/>
      <c r="P216" s="99"/>
      <c r="Q216"/>
    </row>
    <row r="217" spans="2:17" s="184" customFormat="1">
      <c r="B217" s="298"/>
      <c r="C217" s="44"/>
      <c r="D217" s="44"/>
      <c r="F217"/>
      <c r="G217"/>
      <c r="H217"/>
      <c r="I217"/>
      <c r="J217" s="43"/>
      <c r="K217" s="99"/>
      <c r="L217"/>
      <c r="M217"/>
      <c r="N217" s="99"/>
      <c r="O217" s="99"/>
      <c r="P217" s="99"/>
      <c r="Q217"/>
    </row>
    <row r="218" spans="2:17" s="184" customFormat="1">
      <c r="B218" s="298"/>
      <c r="C218" s="44"/>
      <c r="D218" s="44"/>
      <c r="F218"/>
      <c r="G218"/>
      <c r="H218"/>
      <c r="I218"/>
      <c r="J218" s="43"/>
      <c r="K218" s="99"/>
      <c r="L218"/>
      <c r="M218"/>
      <c r="N218" s="99"/>
      <c r="O218" s="99"/>
      <c r="P218" s="99"/>
      <c r="Q218"/>
    </row>
    <row r="219" spans="2:17" s="184" customFormat="1">
      <c r="B219" s="298"/>
      <c r="C219" s="44"/>
      <c r="D219" s="44"/>
      <c r="F219"/>
      <c r="G219"/>
      <c r="H219"/>
      <c r="I219"/>
      <c r="J219" s="43"/>
      <c r="K219" s="99"/>
      <c r="L219"/>
      <c r="M219"/>
      <c r="N219" s="99"/>
      <c r="O219" s="99"/>
      <c r="P219" s="99"/>
      <c r="Q219"/>
    </row>
    <row r="220" spans="2:17" s="184" customFormat="1">
      <c r="B220" s="298"/>
      <c r="C220" s="44"/>
      <c r="D220" s="44"/>
      <c r="F220"/>
      <c r="G220"/>
      <c r="H220"/>
      <c r="I220"/>
      <c r="J220" s="43"/>
      <c r="K220" s="99"/>
      <c r="L220"/>
      <c r="M220"/>
      <c r="N220" s="99"/>
      <c r="O220" s="99"/>
      <c r="P220" s="99"/>
      <c r="Q220"/>
    </row>
    <row r="221" spans="2:17" s="184" customFormat="1">
      <c r="B221" s="298"/>
      <c r="C221" s="44"/>
      <c r="D221" s="44"/>
      <c r="F221"/>
      <c r="G221"/>
      <c r="H221"/>
      <c r="I221"/>
      <c r="J221" s="43"/>
      <c r="K221" s="99"/>
      <c r="L221"/>
      <c r="M221"/>
      <c r="N221" s="99"/>
      <c r="O221" s="99"/>
      <c r="P221" s="99"/>
      <c r="Q221"/>
    </row>
    <row r="222" spans="2:17" s="184" customFormat="1">
      <c r="B222" s="298"/>
      <c r="C222" s="44"/>
      <c r="D222" s="44"/>
      <c r="F222"/>
      <c r="G222"/>
      <c r="H222"/>
      <c r="I222"/>
      <c r="J222" s="43"/>
      <c r="K222" s="99"/>
      <c r="L222"/>
      <c r="M222"/>
      <c r="N222" s="99"/>
      <c r="O222" s="99"/>
      <c r="P222" s="99"/>
      <c r="Q222"/>
    </row>
    <row r="223" spans="2:17" s="184" customFormat="1">
      <c r="B223" s="298"/>
      <c r="C223" s="44"/>
      <c r="D223" s="44"/>
      <c r="F223"/>
      <c r="G223"/>
      <c r="H223"/>
      <c r="I223"/>
      <c r="J223" s="43"/>
      <c r="K223" s="99"/>
      <c r="L223"/>
      <c r="M223"/>
      <c r="N223" s="99"/>
      <c r="O223" s="99"/>
      <c r="P223" s="99"/>
      <c r="Q223"/>
    </row>
    <row r="224" spans="2:17" s="184" customFormat="1">
      <c r="B224" s="298"/>
      <c r="C224" s="44"/>
      <c r="D224" s="44"/>
      <c r="F224"/>
      <c r="G224"/>
      <c r="H224"/>
      <c r="I224"/>
      <c r="J224" s="43"/>
      <c r="K224" s="99"/>
      <c r="L224"/>
      <c r="M224"/>
      <c r="N224" s="99"/>
      <c r="O224" s="99"/>
      <c r="P224" s="99"/>
      <c r="Q224"/>
    </row>
    <row r="225" spans="2:17" s="184" customFormat="1">
      <c r="B225" s="298"/>
      <c r="C225" s="44"/>
      <c r="D225" s="44"/>
      <c r="F225"/>
      <c r="G225"/>
      <c r="H225"/>
      <c r="I225"/>
      <c r="J225" s="43"/>
      <c r="K225" s="99"/>
      <c r="L225"/>
      <c r="M225"/>
      <c r="N225" s="99"/>
      <c r="O225" s="99"/>
      <c r="P225" s="99"/>
      <c r="Q225"/>
    </row>
    <row r="226" spans="2:17" s="184" customFormat="1">
      <c r="B226" s="298"/>
      <c r="C226" s="44"/>
      <c r="D226" s="44"/>
      <c r="F226"/>
      <c r="G226"/>
      <c r="H226"/>
      <c r="I226"/>
      <c r="J226" s="43"/>
      <c r="K226" s="99"/>
      <c r="L226"/>
      <c r="M226"/>
      <c r="N226" s="99"/>
      <c r="O226" s="99"/>
      <c r="P226" s="99"/>
      <c r="Q226"/>
    </row>
    <row r="227" spans="2:17" s="184" customFormat="1">
      <c r="B227" s="298"/>
      <c r="C227" s="44"/>
      <c r="D227" s="44"/>
      <c r="F227"/>
      <c r="G227"/>
      <c r="H227"/>
      <c r="I227"/>
      <c r="J227" s="43"/>
      <c r="K227" s="99"/>
      <c r="L227"/>
      <c r="M227"/>
      <c r="N227" s="99"/>
      <c r="O227" s="99"/>
      <c r="P227" s="99"/>
      <c r="Q227"/>
    </row>
  </sheetData>
  <mergeCells count="2">
    <mergeCell ref="C3:Q3"/>
    <mergeCell ref="C4:Q4"/>
  </mergeCells>
  <conditionalFormatting sqref="D3:E3">
    <cfRule type="duplicateValues" dxfId="99" priority="17"/>
  </conditionalFormatting>
  <conditionalFormatting sqref="B1:B108 B114:B117 B124:B129 B136:B1048576">
    <cfRule type="duplicateValues" dxfId="98" priority="12"/>
  </conditionalFormatting>
  <conditionalFormatting sqref="D116:E117">
    <cfRule type="duplicateValues" dxfId="97" priority="11"/>
  </conditionalFormatting>
  <conditionalFormatting sqref="B116:B117">
    <cfRule type="duplicateValues" dxfId="96" priority="10"/>
  </conditionalFormatting>
  <conditionalFormatting sqref="D116:E117">
    <cfRule type="duplicateValues" dxfId="95" priority="8"/>
    <cfRule type="duplicateValues" dxfId="94" priority="9"/>
  </conditionalFormatting>
  <conditionalFormatting sqref="D228:D1048576 D127:D128 D1:E5 E127:E129 E136:E142 E148:E1048576">
    <cfRule type="duplicateValues" dxfId="93" priority="7"/>
  </conditionalFormatting>
  <conditionalFormatting sqref="D228:D1048576 D127:D128 D4:E5 D1:E2 E127:E129 E136:E142 E148:E1048576">
    <cfRule type="duplicateValues" dxfId="92" priority="6"/>
  </conditionalFormatting>
  <conditionalFormatting sqref="D228:D1048576 D127:D128 E127:E129 E136:E142 E148:E1048576">
    <cfRule type="duplicateValues" dxfId="91" priority="5"/>
  </conditionalFormatting>
  <conditionalFormatting sqref="D1:D117 D124:D129 D136:D1048576">
    <cfRule type="duplicateValues" dxfId="90" priority="4"/>
  </conditionalFormatting>
  <conditionalFormatting sqref="D228:D1048576 D143:E147 D126:D128 D114:E117 D124:E125 D1:E108 E126:E129 E136:E142 E148:E1048576">
    <cfRule type="duplicateValues" dxfId="89" priority="3"/>
  </conditionalFormatting>
  <conditionalFormatting sqref="D228:D1048576 D143:E147 D126:D128 D114:E117 D124:E125 D1:E108 E126:E129 E136:E142 E148:E1048576">
    <cfRule type="duplicateValues" dxfId="88" priority="1"/>
    <cfRule type="duplicateValues" dxfId="87" priority="2"/>
  </conditionalFormatting>
  <conditionalFormatting sqref="D143:E146">
    <cfRule type="duplicateValues" dxfId="86" priority="19"/>
    <cfRule type="duplicateValues" dxfId="85" priority="20"/>
  </conditionalFormatting>
  <conditionalFormatting sqref="D143:E146">
    <cfRule type="duplicateValues" dxfId="84" priority="23"/>
  </conditionalFormatting>
  <conditionalFormatting sqref="B143:B146">
    <cfRule type="duplicateValues" dxfId="83" priority="25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3:Q154"/>
  <sheetViews>
    <sheetView workbookViewId="0">
      <selection activeCell="D127" sqref="D127"/>
    </sheetView>
  </sheetViews>
  <sheetFormatPr defaultRowHeight="15"/>
  <cols>
    <col min="1" max="1" width="10.5703125" bestFit="1" customWidth="1"/>
    <col min="2" max="2" width="17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1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1:17" ht="18">
      <c r="B4" s="324"/>
      <c r="C4" s="424" t="s">
        <v>1307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1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1:17" s="114" customFormat="1">
      <c r="A6" s="180"/>
      <c r="B6" s="11" t="s">
        <v>1144</v>
      </c>
      <c r="C6" s="96">
        <v>1</v>
      </c>
      <c r="D6" s="11" t="s">
        <v>1145</v>
      </c>
      <c r="E6" s="11"/>
      <c r="F6" s="19">
        <v>330000</v>
      </c>
      <c r="G6" s="19">
        <v>43989</v>
      </c>
      <c r="H6" s="19">
        <f>SUM(F6:G6)</f>
        <v>373989</v>
      </c>
      <c r="I6" s="254">
        <v>7479.78</v>
      </c>
      <c r="J6" s="159">
        <v>50</v>
      </c>
      <c r="K6" s="159">
        <v>4</v>
      </c>
      <c r="L6" s="16">
        <f t="shared" ref="L6:L26" si="0">K6*I6</f>
        <v>29919.119999999999</v>
      </c>
      <c r="M6" s="94">
        <f t="shared" ref="M6:M37" si="1">H6-L6</f>
        <v>344069.88</v>
      </c>
      <c r="N6" s="159">
        <f t="shared" ref="N6:N37" si="2">J6-K6</f>
        <v>46</v>
      </c>
      <c r="O6" s="11"/>
      <c r="P6" s="11"/>
      <c r="Q6" s="11"/>
    </row>
    <row r="7" spans="1:17" s="114" customFormat="1">
      <c r="A7" s="180"/>
      <c r="B7" s="11" t="s">
        <v>1304</v>
      </c>
      <c r="C7" s="96">
        <v>2</v>
      </c>
      <c r="D7" s="11" t="s">
        <v>1305</v>
      </c>
      <c r="E7" s="11"/>
      <c r="F7" s="19">
        <v>150000</v>
      </c>
      <c r="G7" s="19">
        <v>19995</v>
      </c>
      <c r="H7" s="19">
        <f>SUM(F7:G7)</f>
        <v>169995</v>
      </c>
      <c r="I7" s="254">
        <v>3399.9</v>
      </c>
      <c r="J7" s="159">
        <v>50</v>
      </c>
      <c r="K7" s="159">
        <v>6</v>
      </c>
      <c r="L7" s="16">
        <f t="shared" si="0"/>
        <v>20399.400000000001</v>
      </c>
      <c r="M7" s="94">
        <f t="shared" si="1"/>
        <v>149595.6</v>
      </c>
      <c r="N7" s="159">
        <f t="shared" si="2"/>
        <v>44</v>
      </c>
      <c r="O7" s="11"/>
      <c r="P7" s="11"/>
      <c r="Q7" s="11"/>
    </row>
    <row r="8" spans="1:17" s="114" customFormat="1">
      <c r="A8" s="180"/>
      <c r="B8" s="293" t="s">
        <v>896</v>
      </c>
      <c r="C8" s="96">
        <v>3</v>
      </c>
      <c r="D8" s="123" t="s">
        <v>919</v>
      </c>
      <c r="E8" s="123"/>
      <c r="F8" s="19">
        <v>450000</v>
      </c>
      <c r="G8" s="19">
        <v>59985</v>
      </c>
      <c r="H8" s="19">
        <v>509985</v>
      </c>
      <c r="I8" s="327">
        <v>10199.700000000001</v>
      </c>
      <c r="J8" s="159">
        <v>50</v>
      </c>
      <c r="K8" s="159">
        <v>19</v>
      </c>
      <c r="L8" s="16">
        <f t="shared" si="0"/>
        <v>193794.30000000002</v>
      </c>
      <c r="M8" s="94">
        <f t="shared" si="1"/>
        <v>316190.69999999995</v>
      </c>
      <c r="N8" s="159">
        <f t="shared" si="2"/>
        <v>31</v>
      </c>
      <c r="O8" s="159"/>
      <c r="P8" s="159"/>
      <c r="Q8" s="11"/>
    </row>
    <row r="9" spans="1:17" s="114" customFormat="1">
      <c r="A9" s="180"/>
      <c r="B9" s="295" t="s">
        <v>945</v>
      </c>
      <c r="C9" s="96">
        <v>4</v>
      </c>
      <c r="D9" s="11" t="s">
        <v>946</v>
      </c>
      <c r="E9" s="8"/>
      <c r="F9" s="16">
        <v>500000</v>
      </c>
      <c r="G9" s="16">
        <v>66650</v>
      </c>
      <c r="H9" s="41">
        <f t="shared" ref="H9:H14" si="3">SUM(F9:G9)</f>
        <v>566650</v>
      </c>
      <c r="I9" s="319">
        <v>11333</v>
      </c>
      <c r="J9" s="159">
        <v>50</v>
      </c>
      <c r="K9" s="159">
        <v>19</v>
      </c>
      <c r="L9" s="16">
        <f t="shared" si="0"/>
        <v>215327</v>
      </c>
      <c r="M9" s="94">
        <f t="shared" si="1"/>
        <v>351323</v>
      </c>
      <c r="N9" s="159">
        <f t="shared" si="2"/>
        <v>31</v>
      </c>
      <c r="O9" s="159"/>
      <c r="P9" s="97"/>
      <c r="Q9" s="11"/>
    </row>
    <row r="10" spans="1:17" s="114" customFormat="1">
      <c r="A10" s="180"/>
      <c r="B10" s="292" t="s">
        <v>590</v>
      </c>
      <c r="C10" s="96">
        <v>5</v>
      </c>
      <c r="D10" s="11" t="s">
        <v>591</v>
      </c>
      <c r="E10" s="11"/>
      <c r="F10" s="19">
        <v>150000</v>
      </c>
      <c r="G10" s="19">
        <v>19995</v>
      </c>
      <c r="H10" s="19">
        <f t="shared" si="3"/>
        <v>169995</v>
      </c>
      <c r="I10" s="146">
        <v>3399.9</v>
      </c>
      <c r="J10" s="159">
        <v>50</v>
      </c>
      <c r="K10" s="97">
        <v>49</v>
      </c>
      <c r="L10" s="91">
        <f t="shared" si="0"/>
        <v>166595.1</v>
      </c>
      <c r="M10" s="94">
        <f t="shared" si="1"/>
        <v>3399.8999999999942</v>
      </c>
      <c r="N10" s="159">
        <f t="shared" si="2"/>
        <v>1</v>
      </c>
      <c r="O10" s="159"/>
      <c r="P10" s="97"/>
      <c r="Q10" s="11"/>
    </row>
    <row r="11" spans="1:17" s="114" customFormat="1">
      <c r="A11" s="180"/>
      <c r="B11" s="293" t="s">
        <v>929</v>
      </c>
      <c r="C11" s="96">
        <v>6</v>
      </c>
      <c r="D11" s="11" t="s">
        <v>932</v>
      </c>
      <c r="E11" s="11"/>
      <c r="F11" s="16">
        <v>500000</v>
      </c>
      <c r="G11" s="16">
        <v>66650</v>
      </c>
      <c r="H11" s="41">
        <f t="shared" si="3"/>
        <v>566650</v>
      </c>
      <c r="I11" s="327">
        <v>11333</v>
      </c>
      <c r="J11" s="159">
        <v>50</v>
      </c>
      <c r="K11" s="159">
        <v>49</v>
      </c>
      <c r="L11" s="16">
        <f t="shared" si="0"/>
        <v>555317</v>
      </c>
      <c r="M11" s="94">
        <f t="shared" si="1"/>
        <v>11333</v>
      </c>
      <c r="N11" s="159">
        <f t="shared" si="2"/>
        <v>1</v>
      </c>
      <c r="O11" s="159"/>
      <c r="P11" s="159"/>
      <c r="Q11" s="11"/>
    </row>
    <row r="12" spans="1:17" s="114" customFormat="1">
      <c r="A12" s="180"/>
      <c r="B12" s="293" t="s">
        <v>1207</v>
      </c>
      <c r="C12" s="96">
        <v>7</v>
      </c>
      <c r="D12" s="123" t="s">
        <v>1208</v>
      </c>
      <c r="E12" s="123"/>
      <c r="F12" s="19">
        <v>330000</v>
      </c>
      <c r="G12" s="19">
        <v>43989</v>
      </c>
      <c r="H12" s="19">
        <f t="shared" si="3"/>
        <v>373989</v>
      </c>
      <c r="I12" s="327">
        <v>7479.78</v>
      </c>
      <c r="J12" s="159">
        <v>50</v>
      </c>
      <c r="K12" s="159">
        <v>11</v>
      </c>
      <c r="L12" s="16">
        <f t="shared" si="0"/>
        <v>82277.58</v>
      </c>
      <c r="M12" s="94">
        <f t="shared" si="1"/>
        <v>291711.42</v>
      </c>
      <c r="N12" s="159">
        <f t="shared" si="2"/>
        <v>39</v>
      </c>
      <c r="O12" s="159"/>
      <c r="P12" s="159"/>
      <c r="Q12" s="11"/>
    </row>
    <row r="13" spans="1:17" s="114" customFormat="1">
      <c r="A13" s="180"/>
      <c r="B13" s="292" t="s">
        <v>690</v>
      </c>
      <c r="C13" s="96">
        <v>8</v>
      </c>
      <c r="D13" s="11" t="s">
        <v>691</v>
      </c>
      <c r="E13" s="11"/>
      <c r="F13" s="16">
        <v>500000</v>
      </c>
      <c r="G13" s="16">
        <v>66650</v>
      </c>
      <c r="H13" s="41">
        <f t="shared" si="3"/>
        <v>566650</v>
      </c>
      <c r="I13" s="318">
        <v>11333</v>
      </c>
      <c r="J13" s="159">
        <v>50</v>
      </c>
      <c r="K13" s="159">
        <v>22</v>
      </c>
      <c r="L13" s="91">
        <f t="shared" si="0"/>
        <v>249326</v>
      </c>
      <c r="M13" s="94">
        <f t="shared" si="1"/>
        <v>317324</v>
      </c>
      <c r="N13" s="159">
        <f t="shared" si="2"/>
        <v>28</v>
      </c>
      <c r="O13" s="159"/>
      <c r="P13" s="97"/>
      <c r="Q13" s="8"/>
    </row>
    <row r="14" spans="1:17" s="114" customFormat="1">
      <c r="A14" s="180"/>
      <c r="B14" s="293" t="s">
        <v>1162</v>
      </c>
      <c r="C14" s="96">
        <v>9</v>
      </c>
      <c r="D14" s="123" t="s">
        <v>1163</v>
      </c>
      <c r="E14" s="123"/>
      <c r="F14" s="16">
        <v>500000</v>
      </c>
      <c r="G14" s="16">
        <v>66650</v>
      </c>
      <c r="H14" s="41">
        <f t="shared" si="3"/>
        <v>566650</v>
      </c>
      <c r="I14" s="327">
        <v>11333</v>
      </c>
      <c r="J14" s="159">
        <v>50</v>
      </c>
      <c r="K14" s="159">
        <v>11</v>
      </c>
      <c r="L14" s="16">
        <f t="shared" si="0"/>
        <v>124663</v>
      </c>
      <c r="M14" s="94">
        <f t="shared" si="1"/>
        <v>441987</v>
      </c>
      <c r="N14" s="159">
        <f t="shared" si="2"/>
        <v>39</v>
      </c>
      <c r="O14" s="159"/>
      <c r="P14" s="159"/>
      <c r="Q14" s="11"/>
    </row>
    <row r="15" spans="1:17" s="114" customFormat="1">
      <c r="A15" s="180"/>
      <c r="B15" s="295" t="s">
        <v>1245</v>
      </c>
      <c r="C15" s="96">
        <v>10</v>
      </c>
      <c r="D15" s="126" t="s">
        <v>1246</v>
      </c>
      <c r="E15" s="8"/>
      <c r="F15" s="19">
        <v>450000</v>
      </c>
      <c r="G15" s="19">
        <v>59985</v>
      </c>
      <c r="H15" s="19">
        <v>509985</v>
      </c>
      <c r="I15" s="13">
        <v>10199.700000000001</v>
      </c>
      <c r="J15" s="159">
        <v>50</v>
      </c>
      <c r="K15" s="101">
        <v>2</v>
      </c>
      <c r="L15" s="16">
        <f t="shared" si="0"/>
        <v>20399.400000000001</v>
      </c>
      <c r="M15" s="94">
        <f t="shared" si="1"/>
        <v>489585.6</v>
      </c>
      <c r="N15" s="159">
        <f t="shared" si="2"/>
        <v>48</v>
      </c>
      <c r="O15" s="101"/>
      <c r="P15" s="101"/>
      <c r="Q15" s="11"/>
    </row>
    <row r="16" spans="1:17" s="114" customFormat="1">
      <c r="A16" s="180"/>
      <c r="B16" s="11" t="s">
        <v>1253</v>
      </c>
      <c r="C16" s="96">
        <v>11</v>
      </c>
      <c r="D16" s="11" t="s">
        <v>1254</v>
      </c>
      <c r="E16" s="11"/>
      <c r="F16" s="16">
        <v>500000</v>
      </c>
      <c r="G16" s="16">
        <v>66650</v>
      </c>
      <c r="H16" s="41">
        <f t="shared" ref="H16:H21" si="4">SUM(F16:G16)</f>
        <v>566650</v>
      </c>
      <c r="I16" s="16">
        <v>11333</v>
      </c>
      <c r="J16" s="159">
        <v>50</v>
      </c>
      <c r="K16" s="159">
        <v>9</v>
      </c>
      <c r="L16" s="16">
        <f t="shared" si="0"/>
        <v>101997</v>
      </c>
      <c r="M16" s="94">
        <f t="shared" si="1"/>
        <v>464653</v>
      </c>
      <c r="N16" s="159">
        <f t="shared" si="2"/>
        <v>41</v>
      </c>
      <c r="O16" s="159"/>
      <c r="P16" s="159"/>
      <c r="Q16" s="11"/>
    </row>
    <row r="17" spans="1:17" s="114" customFormat="1">
      <c r="A17" s="180"/>
      <c r="B17" s="295" t="s">
        <v>1211</v>
      </c>
      <c r="C17" s="96">
        <v>12</v>
      </c>
      <c r="D17" s="126" t="s">
        <v>1212</v>
      </c>
      <c r="E17" s="8"/>
      <c r="F17" s="16">
        <v>500000</v>
      </c>
      <c r="G17" s="16">
        <v>66650</v>
      </c>
      <c r="H17" s="41">
        <f t="shared" si="4"/>
        <v>566650</v>
      </c>
      <c r="I17" s="13">
        <v>11333</v>
      </c>
      <c r="J17" s="159">
        <v>50</v>
      </c>
      <c r="K17" s="101">
        <v>2</v>
      </c>
      <c r="L17" s="16">
        <f t="shared" si="0"/>
        <v>22666</v>
      </c>
      <c r="M17" s="94">
        <f t="shared" si="1"/>
        <v>543984</v>
      </c>
      <c r="N17" s="159">
        <f t="shared" si="2"/>
        <v>48</v>
      </c>
      <c r="O17" s="101"/>
      <c r="P17" s="101"/>
      <c r="Q17" s="11"/>
    </row>
    <row r="18" spans="1:17" s="114" customFormat="1">
      <c r="A18" s="180"/>
      <c r="B18" s="292" t="s">
        <v>645</v>
      </c>
      <c r="C18" s="96">
        <v>13</v>
      </c>
      <c r="D18" s="11" t="s">
        <v>646</v>
      </c>
      <c r="E18" s="11"/>
      <c r="F18" s="16">
        <v>500000</v>
      </c>
      <c r="G18" s="16">
        <v>66650</v>
      </c>
      <c r="H18" s="41">
        <f t="shared" si="4"/>
        <v>566650</v>
      </c>
      <c r="I18" s="318">
        <v>11333</v>
      </c>
      <c r="J18" s="159">
        <v>50</v>
      </c>
      <c r="K18" s="97">
        <v>49</v>
      </c>
      <c r="L18" s="91">
        <f t="shared" si="0"/>
        <v>555317</v>
      </c>
      <c r="M18" s="94">
        <f t="shared" si="1"/>
        <v>11333</v>
      </c>
      <c r="N18" s="159">
        <f t="shared" si="2"/>
        <v>1</v>
      </c>
      <c r="O18" s="159"/>
      <c r="P18" s="97"/>
      <c r="Q18" s="123"/>
    </row>
    <row r="19" spans="1:17" s="114" customFormat="1">
      <c r="A19" s="180"/>
      <c r="B19" s="293" t="s">
        <v>885</v>
      </c>
      <c r="C19" s="96">
        <v>14</v>
      </c>
      <c r="D19" s="123" t="s">
        <v>907</v>
      </c>
      <c r="E19" s="123"/>
      <c r="F19" s="16">
        <v>500000</v>
      </c>
      <c r="G19" s="16">
        <v>66650</v>
      </c>
      <c r="H19" s="41">
        <f t="shared" si="4"/>
        <v>566650</v>
      </c>
      <c r="I19" s="327">
        <v>11333</v>
      </c>
      <c r="J19" s="159">
        <v>50</v>
      </c>
      <c r="K19" s="159">
        <v>19</v>
      </c>
      <c r="L19" s="16">
        <f t="shared" si="0"/>
        <v>215327</v>
      </c>
      <c r="M19" s="94">
        <f t="shared" si="1"/>
        <v>351323</v>
      </c>
      <c r="N19" s="159">
        <f t="shared" si="2"/>
        <v>31</v>
      </c>
      <c r="O19" s="159"/>
      <c r="P19" s="159"/>
      <c r="Q19" s="11"/>
    </row>
    <row r="20" spans="1:17" s="114" customFormat="1">
      <c r="A20" s="180"/>
      <c r="B20" s="295" t="s">
        <v>930</v>
      </c>
      <c r="C20" s="96">
        <v>15</v>
      </c>
      <c r="D20" s="11" t="s">
        <v>933</v>
      </c>
      <c r="E20" s="8"/>
      <c r="F20" s="19">
        <v>330000</v>
      </c>
      <c r="G20" s="19">
        <v>31672.200000000012</v>
      </c>
      <c r="H20" s="19">
        <f t="shared" si="4"/>
        <v>361672.2</v>
      </c>
      <c r="I20" s="319">
        <v>10046.450000000001</v>
      </c>
      <c r="J20" s="159">
        <v>36</v>
      </c>
      <c r="K20" s="159">
        <v>23</v>
      </c>
      <c r="L20" s="16">
        <f t="shared" si="0"/>
        <v>231068.35</v>
      </c>
      <c r="M20" s="94">
        <f t="shared" si="1"/>
        <v>130603.85</v>
      </c>
      <c r="N20" s="159">
        <f t="shared" si="2"/>
        <v>13</v>
      </c>
      <c r="O20" s="159"/>
      <c r="P20" s="159"/>
      <c r="Q20" s="11"/>
    </row>
    <row r="21" spans="1:17" s="114" customFormat="1">
      <c r="A21" s="180"/>
      <c r="B21" s="293" t="s">
        <v>1249</v>
      </c>
      <c r="C21" s="96">
        <v>16</v>
      </c>
      <c r="D21" s="11" t="s">
        <v>1250</v>
      </c>
      <c r="E21" s="11"/>
      <c r="F21" s="19">
        <v>330000</v>
      </c>
      <c r="G21" s="19">
        <v>43989</v>
      </c>
      <c r="H21" s="19">
        <f t="shared" si="4"/>
        <v>373989</v>
      </c>
      <c r="I21" s="327">
        <v>7479.78</v>
      </c>
      <c r="J21" s="159">
        <v>50</v>
      </c>
      <c r="K21" s="96">
        <v>12</v>
      </c>
      <c r="L21" s="91">
        <f t="shared" si="0"/>
        <v>89757.36</v>
      </c>
      <c r="M21" s="94">
        <f t="shared" si="1"/>
        <v>284231.64</v>
      </c>
      <c r="N21" s="159">
        <f t="shared" si="2"/>
        <v>38</v>
      </c>
      <c r="O21" s="159"/>
      <c r="P21" s="97"/>
      <c r="Q21" s="11"/>
    </row>
    <row r="22" spans="1:17" s="114" customFormat="1">
      <c r="A22" s="180"/>
      <c r="B22" s="292" t="s">
        <v>509</v>
      </c>
      <c r="C22" s="96">
        <v>17</v>
      </c>
      <c r="D22" s="11" t="s">
        <v>510</v>
      </c>
      <c r="E22" s="11"/>
      <c r="F22" s="19">
        <v>450000</v>
      </c>
      <c r="G22" s="19">
        <v>59985</v>
      </c>
      <c r="H22" s="19">
        <v>509985</v>
      </c>
      <c r="I22" s="318">
        <v>10199.700000000001</v>
      </c>
      <c r="J22" s="159">
        <v>50</v>
      </c>
      <c r="K22" s="97">
        <v>36</v>
      </c>
      <c r="L22" s="91">
        <f t="shared" si="0"/>
        <v>367189.2</v>
      </c>
      <c r="M22" s="91">
        <f t="shared" si="1"/>
        <v>142795.79999999999</v>
      </c>
      <c r="N22" s="159">
        <f t="shared" si="2"/>
        <v>14</v>
      </c>
      <c r="O22" s="159"/>
      <c r="P22" s="97"/>
      <c r="Q22" s="11"/>
    </row>
    <row r="23" spans="1:17" s="114" customFormat="1">
      <c r="A23" s="180"/>
      <c r="B23" s="293" t="s">
        <v>902</v>
      </c>
      <c r="C23" s="96">
        <v>18</v>
      </c>
      <c r="D23" s="123" t="s">
        <v>926</v>
      </c>
      <c r="E23" s="123"/>
      <c r="F23" s="19">
        <v>150000</v>
      </c>
      <c r="G23" s="19">
        <v>19995</v>
      </c>
      <c r="H23" s="19">
        <f>SUM(F23:G23)</f>
        <v>169995</v>
      </c>
      <c r="I23" s="327">
        <v>3399.9</v>
      </c>
      <c r="J23" s="159">
        <v>50</v>
      </c>
      <c r="K23" s="159">
        <v>19</v>
      </c>
      <c r="L23" s="16">
        <f t="shared" si="0"/>
        <v>64598.1</v>
      </c>
      <c r="M23" s="94">
        <f t="shared" si="1"/>
        <v>105396.9</v>
      </c>
      <c r="N23" s="159">
        <f t="shared" si="2"/>
        <v>31</v>
      </c>
      <c r="O23" s="159"/>
      <c r="P23" s="159"/>
      <c r="Q23" s="11"/>
    </row>
    <row r="24" spans="1:17" s="114" customFormat="1">
      <c r="A24" s="180"/>
      <c r="B24" s="292" t="s">
        <v>719</v>
      </c>
      <c r="C24" s="96">
        <v>19</v>
      </c>
      <c r="D24" s="11" t="s">
        <v>720</v>
      </c>
      <c r="E24" s="11"/>
      <c r="F24" s="16">
        <v>500000</v>
      </c>
      <c r="G24" s="16">
        <v>66650</v>
      </c>
      <c r="H24" s="16">
        <v>566650</v>
      </c>
      <c r="I24" s="318">
        <v>11333</v>
      </c>
      <c r="J24" s="159">
        <v>50</v>
      </c>
      <c r="K24" s="101">
        <v>24</v>
      </c>
      <c r="L24" s="91">
        <f t="shared" si="0"/>
        <v>271992</v>
      </c>
      <c r="M24" s="94">
        <f t="shared" si="1"/>
        <v>294658</v>
      </c>
      <c r="N24" s="159">
        <f t="shared" si="2"/>
        <v>26</v>
      </c>
      <c r="O24" s="159"/>
      <c r="P24" s="97"/>
      <c r="Q24" s="11"/>
    </row>
    <row r="25" spans="1:17" s="114" customFormat="1">
      <c r="A25" s="180"/>
      <c r="B25" s="292" t="s">
        <v>507</v>
      </c>
      <c r="C25" s="96">
        <v>20</v>
      </c>
      <c r="D25" s="11" t="s">
        <v>508</v>
      </c>
      <c r="E25" s="11"/>
      <c r="F25" s="16">
        <v>500000</v>
      </c>
      <c r="G25" s="16">
        <v>66650</v>
      </c>
      <c r="H25" s="16">
        <v>566650</v>
      </c>
      <c r="I25" s="318">
        <v>11333</v>
      </c>
      <c r="J25" s="159">
        <v>50</v>
      </c>
      <c r="K25" s="97">
        <v>36</v>
      </c>
      <c r="L25" s="91">
        <f t="shared" si="0"/>
        <v>407988</v>
      </c>
      <c r="M25" s="91">
        <f t="shared" si="1"/>
        <v>158662</v>
      </c>
      <c r="N25" s="159">
        <f t="shared" si="2"/>
        <v>14</v>
      </c>
      <c r="O25" s="159"/>
      <c r="P25" s="97"/>
      <c r="Q25" s="11"/>
    </row>
    <row r="26" spans="1:17" s="114" customFormat="1">
      <c r="A26" s="180"/>
      <c r="B26" s="292" t="s">
        <v>726</v>
      </c>
      <c r="C26" s="96">
        <v>21</v>
      </c>
      <c r="D26" s="11" t="s">
        <v>727</v>
      </c>
      <c r="E26" s="11"/>
      <c r="F26" s="19">
        <v>500000</v>
      </c>
      <c r="G26" s="19">
        <v>66650</v>
      </c>
      <c r="H26" s="19">
        <v>566650</v>
      </c>
      <c r="I26" s="318">
        <v>11333</v>
      </c>
      <c r="J26" s="159">
        <v>50</v>
      </c>
      <c r="K26" s="97">
        <v>36</v>
      </c>
      <c r="L26" s="91">
        <f t="shared" si="0"/>
        <v>407988</v>
      </c>
      <c r="M26" s="91">
        <f t="shared" si="1"/>
        <v>158662</v>
      </c>
      <c r="N26" s="159">
        <f t="shared" si="2"/>
        <v>14</v>
      </c>
      <c r="O26" s="159"/>
      <c r="P26" s="97"/>
      <c r="Q26" s="11"/>
    </row>
    <row r="27" spans="1:17" s="114" customFormat="1">
      <c r="A27" s="180"/>
      <c r="B27" s="292" t="s">
        <v>647</v>
      </c>
      <c r="C27" s="96">
        <v>22</v>
      </c>
      <c r="D27" s="11" t="s">
        <v>648</v>
      </c>
      <c r="E27" s="11"/>
      <c r="F27" s="16">
        <v>500000</v>
      </c>
      <c r="G27" s="16">
        <v>66650</v>
      </c>
      <c r="H27" s="41">
        <f>SUM(F27:G27)</f>
        <v>566650</v>
      </c>
      <c r="I27" s="318">
        <v>11333</v>
      </c>
      <c r="J27" s="159">
        <v>50</v>
      </c>
      <c r="K27" s="97">
        <v>28</v>
      </c>
      <c r="L27" s="91">
        <f>(1*11333)</f>
        <v>11333</v>
      </c>
      <c r="M27" s="91">
        <f t="shared" si="1"/>
        <v>555317</v>
      </c>
      <c r="N27" s="159">
        <f t="shared" si="2"/>
        <v>22</v>
      </c>
      <c r="O27" s="159"/>
      <c r="P27" s="97"/>
      <c r="Q27" s="11"/>
    </row>
    <row r="28" spans="1:17" s="114" customFormat="1">
      <c r="A28" s="180"/>
      <c r="B28" s="292" t="s">
        <v>698</v>
      </c>
      <c r="C28" s="96">
        <v>23</v>
      </c>
      <c r="D28" s="11" t="s">
        <v>699</v>
      </c>
      <c r="E28" s="11"/>
      <c r="F28" s="19">
        <v>500000</v>
      </c>
      <c r="G28" s="19">
        <v>66650</v>
      </c>
      <c r="H28" s="19">
        <v>566650</v>
      </c>
      <c r="I28" s="318">
        <v>11333</v>
      </c>
      <c r="J28" s="159">
        <v>50</v>
      </c>
      <c r="K28" s="97">
        <v>36</v>
      </c>
      <c r="L28" s="91">
        <f>K28*I28</f>
        <v>407988</v>
      </c>
      <c r="M28" s="91">
        <f t="shared" si="1"/>
        <v>158662</v>
      </c>
      <c r="N28" s="159">
        <f t="shared" si="2"/>
        <v>14</v>
      </c>
      <c r="O28" s="159"/>
      <c r="P28" s="97"/>
      <c r="Q28" s="8"/>
    </row>
    <row r="29" spans="1:17" s="114" customFormat="1">
      <c r="A29" s="180"/>
      <c r="B29" s="11" t="s">
        <v>1227</v>
      </c>
      <c r="C29" s="96">
        <v>24</v>
      </c>
      <c r="D29" s="11" t="s">
        <v>1228</v>
      </c>
      <c r="E29" s="11"/>
      <c r="F29" s="16">
        <v>500000</v>
      </c>
      <c r="G29" s="16">
        <v>66650</v>
      </c>
      <c r="H29" s="41">
        <f>SUM(F29:G29)</f>
        <v>566650</v>
      </c>
      <c r="I29" s="16">
        <v>11333</v>
      </c>
      <c r="J29" s="159">
        <v>50</v>
      </c>
      <c r="K29" s="159">
        <v>9</v>
      </c>
      <c r="L29" s="16">
        <f>K29*I29</f>
        <v>101997</v>
      </c>
      <c r="M29" s="94">
        <f t="shared" si="1"/>
        <v>464653</v>
      </c>
      <c r="N29" s="159">
        <f t="shared" si="2"/>
        <v>41</v>
      </c>
      <c r="O29" s="159"/>
      <c r="P29" s="159"/>
      <c r="Q29" s="11"/>
    </row>
    <row r="30" spans="1:17" s="114" customFormat="1">
      <c r="A30" s="180"/>
      <c r="B30" s="292" t="s">
        <v>551</v>
      </c>
      <c r="C30" s="96">
        <v>25</v>
      </c>
      <c r="D30" s="11" t="s">
        <v>552</v>
      </c>
      <c r="E30" s="11"/>
      <c r="F30" s="19">
        <v>500000</v>
      </c>
      <c r="G30" s="19">
        <v>66650</v>
      </c>
      <c r="H30" s="19">
        <v>566650</v>
      </c>
      <c r="I30" s="318">
        <v>11333</v>
      </c>
      <c r="J30" s="159">
        <v>50</v>
      </c>
      <c r="K30" s="97">
        <v>36</v>
      </c>
      <c r="L30" s="91">
        <f>K30*I30</f>
        <v>407988</v>
      </c>
      <c r="M30" s="91">
        <f t="shared" si="1"/>
        <v>158662</v>
      </c>
      <c r="N30" s="159">
        <f t="shared" si="2"/>
        <v>14</v>
      </c>
      <c r="O30" s="159"/>
      <c r="P30" s="97"/>
      <c r="Q30" s="8"/>
    </row>
    <row r="31" spans="1:17" s="114" customFormat="1">
      <c r="A31" s="180"/>
      <c r="B31" s="293" t="s">
        <v>1231</v>
      </c>
      <c r="C31" s="96">
        <v>26</v>
      </c>
      <c r="D31" s="123" t="s">
        <v>1232</v>
      </c>
      <c r="E31" s="123"/>
      <c r="F31" s="19">
        <v>450000</v>
      </c>
      <c r="G31" s="19">
        <v>59985</v>
      </c>
      <c r="H31" s="19">
        <v>509985</v>
      </c>
      <c r="I31" s="327">
        <v>10199.700000000001</v>
      </c>
      <c r="J31" s="159">
        <v>50</v>
      </c>
      <c r="K31" s="159">
        <v>11</v>
      </c>
      <c r="L31" s="16">
        <f>K31*I31</f>
        <v>112196.70000000001</v>
      </c>
      <c r="M31" s="94">
        <f t="shared" si="1"/>
        <v>397788.3</v>
      </c>
      <c r="N31" s="159">
        <f t="shared" si="2"/>
        <v>39</v>
      </c>
      <c r="O31" s="159"/>
      <c r="P31" s="159"/>
      <c r="Q31" s="11"/>
    </row>
    <row r="32" spans="1:17" s="114" customFormat="1">
      <c r="A32" s="180"/>
      <c r="B32" s="292" t="s">
        <v>534</v>
      </c>
      <c r="C32" s="96">
        <v>27</v>
      </c>
      <c r="D32" s="11" t="s">
        <v>535</v>
      </c>
      <c r="E32" s="11"/>
      <c r="F32" s="16">
        <v>450000</v>
      </c>
      <c r="G32" s="16">
        <v>59985</v>
      </c>
      <c r="H32" s="16">
        <v>509985</v>
      </c>
      <c r="I32" s="318">
        <v>10199.700000000001</v>
      </c>
      <c r="J32" s="159">
        <v>50</v>
      </c>
      <c r="K32" s="97">
        <v>28</v>
      </c>
      <c r="L32" s="91">
        <f>(1*10199.7)</f>
        <v>10199.700000000001</v>
      </c>
      <c r="M32" s="94">
        <f t="shared" si="1"/>
        <v>499785.3</v>
      </c>
      <c r="N32" s="159">
        <f t="shared" si="2"/>
        <v>22</v>
      </c>
      <c r="O32" s="159"/>
      <c r="P32" s="97"/>
      <c r="Q32" s="11"/>
    </row>
    <row r="33" spans="1:17" s="114" customFormat="1">
      <c r="A33" s="180"/>
      <c r="B33" s="295" t="s">
        <v>1203</v>
      </c>
      <c r="C33" s="96">
        <v>28</v>
      </c>
      <c r="D33" s="126" t="s">
        <v>1204</v>
      </c>
      <c r="E33" s="8"/>
      <c r="F33" s="16">
        <v>500000</v>
      </c>
      <c r="G33" s="16">
        <v>66650</v>
      </c>
      <c r="H33" s="41">
        <f>SUM(F33:G33)</f>
        <v>566650</v>
      </c>
      <c r="I33" s="13">
        <v>11333</v>
      </c>
      <c r="J33" s="159">
        <v>50</v>
      </c>
      <c r="K33" s="101">
        <v>2</v>
      </c>
      <c r="L33" s="16">
        <f t="shared" ref="L33:L63" si="5">K33*I33</f>
        <v>22666</v>
      </c>
      <c r="M33" s="94">
        <f t="shared" si="1"/>
        <v>543984</v>
      </c>
      <c r="N33" s="159">
        <f t="shared" si="2"/>
        <v>48</v>
      </c>
      <c r="O33" s="101"/>
      <c r="P33" s="101"/>
      <c r="Q33" s="11"/>
    </row>
    <row r="34" spans="1:17" s="114" customFormat="1">
      <c r="A34" s="180"/>
      <c r="B34" s="293" t="s">
        <v>899</v>
      </c>
      <c r="C34" s="96">
        <v>29</v>
      </c>
      <c r="D34" s="123" t="s">
        <v>922</v>
      </c>
      <c r="E34" s="123"/>
      <c r="F34" s="19">
        <v>330000</v>
      </c>
      <c r="G34" s="19">
        <v>43989</v>
      </c>
      <c r="H34" s="19">
        <f>SUM(F34:G34)</f>
        <v>373989</v>
      </c>
      <c r="I34" s="327">
        <v>7479.78</v>
      </c>
      <c r="J34" s="159">
        <v>50</v>
      </c>
      <c r="K34" s="159">
        <v>19</v>
      </c>
      <c r="L34" s="16">
        <f t="shared" si="5"/>
        <v>142115.82</v>
      </c>
      <c r="M34" s="94">
        <f t="shared" si="1"/>
        <v>231873.18</v>
      </c>
      <c r="N34" s="159">
        <f t="shared" si="2"/>
        <v>31</v>
      </c>
      <c r="O34" s="159"/>
      <c r="P34" s="159"/>
      <c r="Q34" s="11"/>
    </row>
    <row r="35" spans="1:17" s="114" customFormat="1">
      <c r="A35" s="180"/>
      <c r="B35" s="295" t="s">
        <v>941</v>
      </c>
      <c r="C35" s="96">
        <v>30</v>
      </c>
      <c r="D35" s="11" t="s">
        <v>942</v>
      </c>
      <c r="E35" s="8"/>
      <c r="F35" s="19">
        <v>330000</v>
      </c>
      <c r="G35" s="19">
        <v>43989</v>
      </c>
      <c r="H35" s="19">
        <f>SUM(F35:G35)</f>
        <v>373989</v>
      </c>
      <c r="I35" s="319">
        <v>7479.78</v>
      </c>
      <c r="J35" s="159">
        <v>50</v>
      </c>
      <c r="K35" s="159">
        <v>16</v>
      </c>
      <c r="L35" s="16">
        <f t="shared" si="5"/>
        <v>119676.48</v>
      </c>
      <c r="M35" s="94">
        <f t="shared" si="1"/>
        <v>254312.52000000002</v>
      </c>
      <c r="N35" s="159">
        <f t="shared" si="2"/>
        <v>34</v>
      </c>
      <c r="O35" s="159"/>
      <c r="P35" s="159"/>
      <c r="Q35" s="11"/>
    </row>
    <row r="36" spans="1:17" s="114" customFormat="1">
      <c r="A36" s="180"/>
      <c r="B36" s="292" t="s">
        <v>623</v>
      </c>
      <c r="C36" s="96">
        <v>31</v>
      </c>
      <c r="D36" s="123" t="s">
        <v>954</v>
      </c>
      <c r="E36" s="123"/>
      <c r="F36" s="19">
        <v>450000</v>
      </c>
      <c r="G36" s="19">
        <v>59985</v>
      </c>
      <c r="H36" s="19">
        <v>509985</v>
      </c>
      <c r="I36" s="327">
        <v>10199.700000000001</v>
      </c>
      <c r="J36" s="159">
        <v>50</v>
      </c>
      <c r="K36" s="159">
        <v>16</v>
      </c>
      <c r="L36" s="91">
        <f t="shared" si="5"/>
        <v>163195.20000000001</v>
      </c>
      <c r="M36" s="94">
        <f t="shared" si="1"/>
        <v>346789.8</v>
      </c>
      <c r="N36" s="159">
        <f t="shared" si="2"/>
        <v>34</v>
      </c>
      <c r="O36" s="159"/>
      <c r="P36" s="97"/>
      <c r="Q36" s="11"/>
    </row>
    <row r="37" spans="1:17" s="114" customFormat="1">
      <c r="A37" s="180"/>
      <c r="B37" s="11" t="s">
        <v>1146</v>
      </c>
      <c r="C37" s="96">
        <v>32</v>
      </c>
      <c r="D37" s="11" t="s">
        <v>1147</v>
      </c>
      <c r="E37" s="11"/>
      <c r="F37" s="19">
        <v>330000</v>
      </c>
      <c r="G37" s="19">
        <v>43989</v>
      </c>
      <c r="H37" s="19">
        <f>SUM(F37:G37)</f>
        <v>373989</v>
      </c>
      <c r="I37" s="254">
        <v>7479.78</v>
      </c>
      <c r="J37" s="159">
        <v>50</v>
      </c>
      <c r="K37" s="159">
        <v>2</v>
      </c>
      <c r="L37" s="16">
        <f t="shared" si="5"/>
        <v>14959.56</v>
      </c>
      <c r="M37" s="94">
        <f t="shared" si="1"/>
        <v>359029.44</v>
      </c>
      <c r="N37" s="159">
        <f t="shared" si="2"/>
        <v>48</v>
      </c>
      <c r="O37" s="11"/>
      <c r="P37" s="11"/>
      <c r="Q37" s="8"/>
    </row>
    <row r="38" spans="1:17" s="114" customFormat="1">
      <c r="A38" s="180"/>
      <c r="B38" s="11" t="s">
        <v>1217</v>
      </c>
      <c r="C38" s="96">
        <v>33</v>
      </c>
      <c r="D38" s="11" t="s">
        <v>1218</v>
      </c>
      <c r="E38" s="11"/>
      <c r="F38" s="19">
        <v>330000</v>
      </c>
      <c r="G38" s="19">
        <v>43989</v>
      </c>
      <c r="H38" s="19">
        <f>SUM(F38:G38)</f>
        <v>373989</v>
      </c>
      <c r="I38" s="254">
        <v>7479.78</v>
      </c>
      <c r="J38" s="159">
        <v>50</v>
      </c>
      <c r="K38" s="159">
        <v>2</v>
      </c>
      <c r="L38" s="16">
        <f t="shared" si="5"/>
        <v>14959.56</v>
      </c>
      <c r="M38" s="94">
        <f t="shared" ref="M38:M69" si="6">H38-L38</f>
        <v>359029.44</v>
      </c>
      <c r="N38" s="159">
        <f t="shared" ref="N38:N69" si="7">J38-K38</f>
        <v>48</v>
      </c>
      <c r="O38" s="11"/>
      <c r="P38" s="11"/>
      <c r="Q38" s="11"/>
    </row>
    <row r="39" spans="1:17" s="114" customFormat="1">
      <c r="A39" s="180"/>
      <c r="B39" s="11" t="s">
        <v>1209</v>
      </c>
      <c r="C39" s="96">
        <v>34</v>
      </c>
      <c r="D39" s="11" t="s">
        <v>1210</v>
      </c>
      <c r="E39" s="11"/>
      <c r="F39" s="19">
        <v>150000</v>
      </c>
      <c r="G39" s="19">
        <v>19995</v>
      </c>
      <c r="H39" s="19">
        <f>SUM(F39:G39)</f>
        <v>169995</v>
      </c>
      <c r="I39" s="254">
        <v>3399.9</v>
      </c>
      <c r="J39" s="159">
        <v>50</v>
      </c>
      <c r="K39" s="159">
        <v>4</v>
      </c>
      <c r="L39" s="16">
        <f t="shared" si="5"/>
        <v>13599.6</v>
      </c>
      <c r="M39" s="94">
        <f t="shared" si="6"/>
        <v>156395.4</v>
      </c>
      <c r="N39" s="159">
        <f t="shared" si="7"/>
        <v>46</v>
      </c>
      <c r="O39" s="11"/>
      <c r="P39" s="11"/>
      <c r="Q39" s="11"/>
    </row>
    <row r="40" spans="1:17" s="114" customFormat="1">
      <c r="A40" s="180"/>
      <c r="B40" s="293" t="s">
        <v>1243</v>
      </c>
      <c r="C40" s="96">
        <v>35</v>
      </c>
      <c r="D40" s="123" t="s">
        <v>1244</v>
      </c>
      <c r="E40" s="123"/>
      <c r="F40" s="19">
        <v>330000</v>
      </c>
      <c r="G40" s="19">
        <v>43989</v>
      </c>
      <c r="H40" s="19">
        <f>SUM(F40:G40)</f>
        <v>373989</v>
      </c>
      <c r="I40" s="327">
        <v>7479.78</v>
      </c>
      <c r="J40" s="159">
        <v>50</v>
      </c>
      <c r="K40" s="159">
        <v>11</v>
      </c>
      <c r="L40" s="16">
        <f t="shared" si="5"/>
        <v>82277.58</v>
      </c>
      <c r="M40" s="94">
        <f t="shared" si="6"/>
        <v>291711.42</v>
      </c>
      <c r="N40" s="159">
        <f t="shared" si="7"/>
        <v>39</v>
      </c>
      <c r="O40" s="159"/>
      <c r="P40" s="159"/>
      <c r="Q40" s="11"/>
    </row>
    <row r="41" spans="1:17" s="114" customFormat="1">
      <c r="A41" s="180"/>
      <c r="B41" s="293" t="s">
        <v>895</v>
      </c>
      <c r="C41" s="96">
        <v>36</v>
      </c>
      <c r="D41" s="123" t="s">
        <v>918</v>
      </c>
      <c r="E41" s="123"/>
      <c r="F41" s="19">
        <v>450000</v>
      </c>
      <c r="G41" s="19">
        <v>59985</v>
      </c>
      <c r="H41" s="19">
        <v>509985</v>
      </c>
      <c r="I41" s="327">
        <v>10199.700000000001</v>
      </c>
      <c r="J41" s="159">
        <v>50</v>
      </c>
      <c r="K41" s="159">
        <v>19</v>
      </c>
      <c r="L41" s="16">
        <f t="shared" si="5"/>
        <v>193794.30000000002</v>
      </c>
      <c r="M41" s="94">
        <f t="shared" si="6"/>
        <v>316190.69999999995</v>
      </c>
      <c r="N41" s="159">
        <f t="shared" si="7"/>
        <v>31</v>
      </c>
      <c r="O41" s="159"/>
      <c r="P41" s="159"/>
      <c r="Q41" s="11"/>
    </row>
    <row r="42" spans="1:17" s="114" customFormat="1">
      <c r="A42" s="180"/>
      <c r="B42" s="293" t="s">
        <v>628</v>
      </c>
      <c r="C42" s="96">
        <v>37</v>
      </c>
      <c r="D42" s="123" t="s">
        <v>917</v>
      </c>
      <c r="E42" s="123"/>
      <c r="F42" s="19">
        <v>450000</v>
      </c>
      <c r="G42" s="19">
        <v>59985</v>
      </c>
      <c r="H42" s="19">
        <v>509985</v>
      </c>
      <c r="I42" s="327">
        <v>10199.700000000001</v>
      </c>
      <c r="J42" s="159">
        <v>50</v>
      </c>
      <c r="K42" s="159">
        <v>11</v>
      </c>
      <c r="L42" s="16">
        <f t="shared" si="5"/>
        <v>112196.70000000001</v>
      </c>
      <c r="M42" s="94">
        <f t="shared" si="6"/>
        <v>397788.3</v>
      </c>
      <c r="N42" s="159">
        <f t="shared" si="7"/>
        <v>39</v>
      </c>
      <c r="O42" s="159"/>
      <c r="P42" s="159"/>
      <c r="Q42" s="11"/>
    </row>
    <row r="43" spans="1:17" s="114" customFormat="1">
      <c r="A43" s="180"/>
      <c r="B43" s="292" t="s">
        <v>717</v>
      </c>
      <c r="C43" s="96">
        <v>38</v>
      </c>
      <c r="D43" s="11" t="s">
        <v>718</v>
      </c>
      <c r="E43" s="11"/>
      <c r="F43" s="16">
        <v>450000</v>
      </c>
      <c r="G43" s="16">
        <v>59985</v>
      </c>
      <c r="H43" s="16">
        <v>509985</v>
      </c>
      <c r="I43" s="318">
        <v>10199.700000000001</v>
      </c>
      <c r="J43" s="159">
        <v>50</v>
      </c>
      <c r="K43" s="97">
        <v>38</v>
      </c>
      <c r="L43" s="91">
        <f t="shared" si="5"/>
        <v>387588.60000000003</v>
      </c>
      <c r="M43" s="94">
        <f t="shared" si="6"/>
        <v>122396.39999999997</v>
      </c>
      <c r="N43" s="159">
        <f t="shared" si="7"/>
        <v>12</v>
      </c>
      <c r="O43" s="159"/>
      <c r="P43" s="97"/>
      <c r="Q43" s="8"/>
    </row>
    <row r="44" spans="1:17" s="114" customFormat="1">
      <c r="A44" s="180"/>
      <c r="B44" s="295" t="s">
        <v>1148</v>
      </c>
      <c r="C44" s="96">
        <v>39</v>
      </c>
      <c r="D44" s="126" t="s">
        <v>1149</v>
      </c>
      <c r="E44" s="8"/>
      <c r="F44" s="16">
        <v>500000</v>
      </c>
      <c r="G44" s="16">
        <v>66650</v>
      </c>
      <c r="H44" s="41">
        <f>SUM(F44:G44)</f>
        <v>566650</v>
      </c>
      <c r="I44" s="13">
        <v>11333</v>
      </c>
      <c r="J44" s="159">
        <v>50</v>
      </c>
      <c r="K44" s="101">
        <v>4</v>
      </c>
      <c r="L44" s="16">
        <f t="shared" si="5"/>
        <v>45332</v>
      </c>
      <c r="M44" s="94">
        <f t="shared" si="6"/>
        <v>521318</v>
      </c>
      <c r="N44" s="159">
        <f t="shared" si="7"/>
        <v>46</v>
      </c>
      <c r="O44" s="101"/>
      <c r="P44" s="101"/>
      <c r="Q44" s="11"/>
    </row>
    <row r="45" spans="1:17" s="114" customFormat="1">
      <c r="A45" s="180"/>
      <c r="B45" s="11" t="s">
        <v>1251</v>
      </c>
      <c r="C45" s="96">
        <v>40</v>
      </c>
      <c r="D45" s="11" t="s">
        <v>1252</v>
      </c>
      <c r="E45" s="11"/>
      <c r="F45" s="19">
        <v>450000</v>
      </c>
      <c r="G45" s="19">
        <v>59985</v>
      </c>
      <c r="H45" s="19">
        <v>509985</v>
      </c>
      <c r="I45" s="254">
        <v>10199.700000000001</v>
      </c>
      <c r="J45" s="159">
        <v>50</v>
      </c>
      <c r="K45" s="159">
        <v>4</v>
      </c>
      <c r="L45" s="16">
        <f t="shared" si="5"/>
        <v>40798.800000000003</v>
      </c>
      <c r="M45" s="94">
        <f t="shared" si="6"/>
        <v>469186.2</v>
      </c>
      <c r="N45" s="159">
        <f t="shared" si="7"/>
        <v>46</v>
      </c>
      <c r="O45" s="11"/>
      <c r="P45" s="11"/>
      <c r="Q45" s="11"/>
    </row>
    <row r="46" spans="1:17" s="114" customFormat="1">
      <c r="A46" s="180"/>
      <c r="B46" s="292" t="s">
        <v>518</v>
      </c>
      <c r="C46" s="96">
        <v>41</v>
      </c>
      <c r="D46" s="11" t="s">
        <v>519</v>
      </c>
      <c r="E46" s="11"/>
      <c r="F46" s="19">
        <v>500000</v>
      </c>
      <c r="G46" s="19">
        <v>66650</v>
      </c>
      <c r="H46" s="19">
        <v>566650</v>
      </c>
      <c r="I46" s="318">
        <v>11333</v>
      </c>
      <c r="J46" s="159">
        <v>50</v>
      </c>
      <c r="K46" s="97">
        <v>36</v>
      </c>
      <c r="L46" s="91">
        <f t="shared" si="5"/>
        <v>407988</v>
      </c>
      <c r="M46" s="91">
        <f t="shared" si="6"/>
        <v>158662</v>
      </c>
      <c r="N46" s="159">
        <f t="shared" si="7"/>
        <v>14</v>
      </c>
      <c r="O46" s="159"/>
      <c r="P46" s="97"/>
      <c r="Q46" s="11"/>
    </row>
    <row r="47" spans="1:17" s="114" customFormat="1">
      <c r="A47" s="180"/>
      <c r="B47" s="292" t="s">
        <v>709</v>
      </c>
      <c r="C47" s="96">
        <v>42</v>
      </c>
      <c r="D47" s="11" t="s">
        <v>710</v>
      </c>
      <c r="E47" s="11"/>
      <c r="F47" s="19">
        <v>500000</v>
      </c>
      <c r="G47" s="19">
        <v>66650</v>
      </c>
      <c r="H47" s="19">
        <v>566650</v>
      </c>
      <c r="I47" s="318">
        <v>11333</v>
      </c>
      <c r="J47" s="159">
        <v>50</v>
      </c>
      <c r="K47" s="96">
        <v>36</v>
      </c>
      <c r="L47" s="16">
        <f t="shared" si="5"/>
        <v>407988</v>
      </c>
      <c r="M47" s="16">
        <f t="shared" si="6"/>
        <v>158662</v>
      </c>
      <c r="N47" s="159">
        <f t="shared" si="7"/>
        <v>14</v>
      </c>
      <c r="O47" s="159"/>
      <c r="P47" s="96"/>
      <c r="Q47" s="11"/>
    </row>
    <row r="48" spans="1:17" s="114" customFormat="1">
      <c r="A48" s="180"/>
      <c r="B48" s="292" t="s">
        <v>642</v>
      </c>
      <c r="C48" s="96">
        <v>43</v>
      </c>
      <c r="D48" s="11" t="s">
        <v>643</v>
      </c>
      <c r="E48" s="11"/>
      <c r="F48" s="16">
        <v>500000</v>
      </c>
      <c r="G48" s="16">
        <v>66650</v>
      </c>
      <c r="H48" s="16">
        <v>566650</v>
      </c>
      <c r="I48" s="252">
        <v>11333</v>
      </c>
      <c r="J48" s="159">
        <v>50</v>
      </c>
      <c r="K48" s="101">
        <v>24</v>
      </c>
      <c r="L48" s="91">
        <f t="shared" si="5"/>
        <v>271992</v>
      </c>
      <c r="M48" s="94">
        <f t="shared" si="6"/>
        <v>294658</v>
      </c>
      <c r="N48" s="159">
        <f t="shared" si="7"/>
        <v>26</v>
      </c>
      <c r="O48" s="159"/>
      <c r="P48" s="97"/>
      <c r="Q48" s="11"/>
    </row>
    <row r="49" spans="1:17" s="114" customFormat="1">
      <c r="A49" s="180"/>
      <c r="B49" s="292" t="s">
        <v>664</v>
      </c>
      <c r="C49" s="96">
        <v>44</v>
      </c>
      <c r="D49" s="11" t="s">
        <v>665</v>
      </c>
      <c r="E49" s="11"/>
      <c r="F49" s="19">
        <v>330000</v>
      </c>
      <c r="G49" s="19">
        <v>43989</v>
      </c>
      <c r="H49" s="19">
        <f>SUM(F49:G49)</f>
        <v>373989</v>
      </c>
      <c r="I49" s="252">
        <v>7479.78</v>
      </c>
      <c r="J49" s="159">
        <v>50</v>
      </c>
      <c r="K49" s="101">
        <v>24</v>
      </c>
      <c r="L49" s="91">
        <f t="shared" si="5"/>
        <v>179514.72</v>
      </c>
      <c r="M49" s="94">
        <f t="shared" si="6"/>
        <v>194474.28</v>
      </c>
      <c r="N49" s="159">
        <f t="shared" si="7"/>
        <v>26</v>
      </c>
      <c r="O49" s="159"/>
      <c r="P49" s="97"/>
      <c r="Q49" s="11"/>
    </row>
    <row r="50" spans="1:17" s="114" customFormat="1">
      <c r="A50" s="180"/>
      <c r="B50" s="11" t="s">
        <v>1302</v>
      </c>
      <c r="C50" s="96">
        <v>45</v>
      </c>
      <c r="D50" s="11" t="s">
        <v>1303</v>
      </c>
      <c r="E50" s="11"/>
      <c r="F50" s="16">
        <v>500000</v>
      </c>
      <c r="G50" s="16">
        <v>66650</v>
      </c>
      <c r="H50" s="41">
        <f>SUM(F50:G50)</f>
        <v>566650</v>
      </c>
      <c r="I50" s="254">
        <v>11333</v>
      </c>
      <c r="J50" s="159">
        <v>50</v>
      </c>
      <c r="K50" s="159">
        <v>6</v>
      </c>
      <c r="L50" s="16">
        <f t="shared" si="5"/>
        <v>67998</v>
      </c>
      <c r="M50" s="94">
        <f t="shared" si="6"/>
        <v>498652</v>
      </c>
      <c r="N50" s="159">
        <f t="shared" si="7"/>
        <v>44</v>
      </c>
      <c r="O50" s="11"/>
      <c r="P50" s="11"/>
      <c r="Q50" s="11"/>
    </row>
    <row r="51" spans="1:17" s="114" customFormat="1">
      <c r="A51" s="180"/>
      <c r="B51" s="11" t="s">
        <v>1247</v>
      </c>
      <c r="C51" s="96">
        <v>46</v>
      </c>
      <c r="D51" s="11" t="s">
        <v>1248</v>
      </c>
      <c r="E51" s="11"/>
      <c r="F51" s="16">
        <v>500000</v>
      </c>
      <c r="G51" s="16">
        <v>66650</v>
      </c>
      <c r="H51" s="41">
        <f>SUM(F51:G51)</f>
        <v>566650</v>
      </c>
      <c r="I51" s="254">
        <v>21333</v>
      </c>
      <c r="J51" s="159">
        <v>25</v>
      </c>
      <c r="K51" s="159">
        <v>4</v>
      </c>
      <c r="L51" s="16">
        <f t="shared" si="5"/>
        <v>85332</v>
      </c>
      <c r="M51" s="94">
        <f t="shared" si="6"/>
        <v>481318</v>
      </c>
      <c r="N51" s="159">
        <f t="shared" si="7"/>
        <v>21</v>
      </c>
      <c r="O51" s="11"/>
      <c r="P51" s="11"/>
      <c r="Q51" s="11"/>
    </row>
    <row r="52" spans="1:17" s="114" customFormat="1">
      <c r="A52" s="180"/>
      <c r="B52" s="292" t="s">
        <v>633</v>
      </c>
      <c r="C52" s="96">
        <v>47</v>
      </c>
      <c r="D52" s="11" t="s">
        <v>634</v>
      </c>
      <c r="E52" s="11"/>
      <c r="F52" s="19">
        <v>150000</v>
      </c>
      <c r="G52" s="19">
        <v>19995</v>
      </c>
      <c r="H52" s="19">
        <f>SUM(F52:G52)</f>
        <v>169995</v>
      </c>
      <c r="I52" s="252">
        <v>3399.9</v>
      </c>
      <c r="J52" s="159">
        <v>50</v>
      </c>
      <c r="K52" s="101">
        <v>24</v>
      </c>
      <c r="L52" s="91">
        <f t="shared" si="5"/>
        <v>81597.600000000006</v>
      </c>
      <c r="M52" s="94">
        <f t="shared" si="6"/>
        <v>88397.4</v>
      </c>
      <c r="N52" s="159">
        <f t="shared" si="7"/>
        <v>26</v>
      </c>
      <c r="O52" s="159"/>
      <c r="P52" s="97"/>
      <c r="Q52" s="11"/>
    </row>
    <row r="53" spans="1:17" s="114" customFormat="1">
      <c r="A53" s="180"/>
      <c r="B53" s="11" t="s">
        <v>1174</v>
      </c>
      <c r="C53" s="96">
        <v>48</v>
      </c>
      <c r="D53" s="11" t="s">
        <v>1175</v>
      </c>
      <c r="E53" s="11"/>
      <c r="F53" s="16">
        <v>500000</v>
      </c>
      <c r="G53" s="16">
        <v>66650</v>
      </c>
      <c r="H53" s="41">
        <f>SUM(F53:G53)</f>
        <v>566650</v>
      </c>
      <c r="I53" s="16">
        <v>11333</v>
      </c>
      <c r="J53" s="159">
        <v>50</v>
      </c>
      <c r="K53" s="159">
        <v>9</v>
      </c>
      <c r="L53" s="16">
        <f t="shared" si="5"/>
        <v>101997</v>
      </c>
      <c r="M53" s="94">
        <f t="shared" si="6"/>
        <v>464653</v>
      </c>
      <c r="N53" s="159">
        <f t="shared" si="7"/>
        <v>41</v>
      </c>
      <c r="O53" s="159"/>
      <c r="P53" s="159"/>
      <c r="Q53" s="11"/>
    </row>
    <row r="54" spans="1:17" s="114" customFormat="1">
      <c r="A54" s="180"/>
      <c r="B54" s="292" t="s">
        <v>661</v>
      </c>
      <c r="C54" s="96">
        <v>49</v>
      </c>
      <c r="D54" s="11" t="s">
        <v>662</v>
      </c>
      <c r="E54" s="11"/>
      <c r="F54" s="19">
        <v>500000</v>
      </c>
      <c r="G54" s="19">
        <v>66650</v>
      </c>
      <c r="H54" s="19">
        <v>566650</v>
      </c>
      <c r="I54" s="318">
        <v>11333</v>
      </c>
      <c r="J54" s="159">
        <v>50</v>
      </c>
      <c r="K54" s="97">
        <v>35</v>
      </c>
      <c r="L54" s="91">
        <f t="shared" si="5"/>
        <v>396655</v>
      </c>
      <c r="M54" s="91">
        <f t="shared" si="6"/>
        <v>169995</v>
      </c>
      <c r="N54" s="159">
        <f t="shared" si="7"/>
        <v>15</v>
      </c>
      <c r="O54" s="159"/>
      <c r="P54" s="97"/>
      <c r="Q54" s="11"/>
    </row>
    <row r="55" spans="1:17" s="114" customFormat="1">
      <c r="A55" s="180"/>
      <c r="B55" s="293" t="s">
        <v>1170</v>
      </c>
      <c r="C55" s="96">
        <v>50</v>
      </c>
      <c r="D55" s="123" t="s">
        <v>1171</v>
      </c>
      <c r="E55" s="123"/>
      <c r="F55" s="16">
        <v>500000</v>
      </c>
      <c r="G55" s="16">
        <v>66650</v>
      </c>
      <c r="H55" s="41">
        <f>SUM(F55:G55)</f>
        <v>566650</v>
      </c>
      <c r="I55" s="327">
        <v>11333</v>
      </c>
      <c r="J55" s="159">
        <v>50</v>
      </c>
      <c r="K55" s="159">
        <v>11</v>
      </c>
      <c r="L55" s="16">
        <f t="shared" si="5"/>
        <v>124663</v>
      </c>
      <c r="M55" s="94">
        <f t="shared" si="6"/>
        <v>441987</v>
      </c>
      <c r="N55" s="159">
        <f t="shared" si="7"/>
        <v>39</v>
      </c>
      <c r="O55" s="159"/>
      <c r="P55" s="159"/>
      <c r="Q55" s="8"/>
    </row>
    <row r="56" spans="1:17" s="114" customFormat="1">
      <c r="A56" s="180"/>
      <c r="B56" s="292" t="s">
        <v>596</v>
      </c>
      <c r="C56" s="96">
        <v>51</v>
      </c>
      <c r="D56" s="11" t="s">
        <v>597</v>
      </c>
      <c r="E56" s="11"/>
      <c r="F56" s="19">
        <v>500000</v>
      </c>
      <c r="G56" s="19">
        <v>66650</v>
      </c>
      <c r="H56" s="19">
        <v>566650</v>
      </c>
      <c r="I56" s="318">
        <v>11333</v>
      </c>
      <c r="J56" s="159">
        <v>50</v>
      </c>
      <c r="K56" s="97">
        <v>36</v>
      </c>
      <c r="L56" s="91">
        <f t="shared" si="5"/>
        <v>407988</v>
      </c>
      <c r="M56" s="91">
        <f t="shared" si="6"/>
        <v>158662</v>
      </c>
      <c r="N56" s="159">
        <f t="shared" si="7"/>
        <v>14</v>
      </c>
      <c r="O56" s="159"/>
      <c r="P56" s="97"/>
      <c r="Q56" s="11"/>
    </row>
    <row r="57" spans="1:17" s="114" customFormat="1">
      <c r="A57" s="180"/>
      <c r="B57" s="293" t="s">
        <v>1205</v>
      </c>
      <c r="C57" s="96">
        <v>52</v>
      </c>
      <c r="D57" s="11" t="s">
        <v>1206</v>
      </c>
      <c r="E57" s="11"/>
      <c r="F57" s="16">
        <v>500000</v>
      </c>
      <c r="G57" s="16">
        <v>66650</v>
      </c>
      <c r="H57" s="41">
        <f>SUM(F57:G57)</f>
        <v>566650</v>
      </c>
      <c r="I57" s="327">
        <v>11333</v>
      </c>
      <c r="J57" s="159">
        <v>50</v>
      </c>
      <c r="K57" s="96">
        <v>12</v>
      </c>
      <c r="L57" s="91">
        <f t="shared" si="5"/>
        <v>135996</v>
      </c>
      <c r="M57" s="94">
        <f t="shared" si="6"/>
        <v>430654</v>
      </c>
      <c r="N57" s="159">
        <f t="shared" si="7"/>
        <v>38</v>
      </c>
      <c r="O57" s="159"/>
      <c r="P57" s="97"/>
      <c r="Q57" s="11"/>
    </row>
    <row r="58" spans="1:17" s="114" customFormat="1">
      <c r="A58" s="180"/>
      <c r="B58" s="293" t="s">
        <v>1239</v>
      </c>
      <c r="C58" s="96">
        <v>53</v>
      </c>
      <c r="D58" s="123" t="s">
        <v>1240</v>
      </c>
      <c r="E58" s="123"/>
      <c r="F58" s="19">
        <v>150000</v>
      </c>
      <c r="G58" s="19">
        <v>19995</v>
      </c>
      <c r="H58" s="19">
        <f>SUM(F58:G58)</f>
        <v>169995</v>
      </c>
      <c r="I58" s="327">
        <v>4149.8999999999996</v>
      </c>
      <c r="J58" s="159">
        <v>40</v>
      </c>
      <c r="K58" s="159">
        <v>11</v>
      </c>
      <c r="L58" s="16">
        <f t="shared" si="5"/>
        <v>45648.899999999994</v>
      </c>
      <c r="M58" s="94">
        <f t="shared" si="6"/>
        <v>124346.1</v>
      </c>
      <c r="N58" s="159">
        <f t="shared" si="7"/>
        <v>29</v>
      </c>
      <c r="O58" s="159"/>
      <c r="P58" s="159"/>
      <c r="Q58" s="11"/>
    </row>
    <row r="59" spans="1:17" s="114" customFormat="1">
      <c r="A59" s="180"/>
      <c r="B59" s="292" t="s">
        <v>668</v>
      </c>
      <c r="C59" s="96">
        <v>54</v>
      </c>
      <c r="D59" s="11" t="s">
        <v>669</v>
      </c>
      <c r="E59" s="11"/>
      <c r="F59" s="16">
        <v>450000</v>
      </c>
      <c r="G59" s="16">
        <v>59985</v>
      </c>
      <c r="H59" s="16">
        <v>509985</v>
      </c>
      <c r="I59" s="318">
        <v>10199.700000000001</v>
      </c>
      <c r="J59" s="159">
        <v>50</v>
      </c>
      <c r="K59" s="97">
        <v>35</v>
      </c>
      <c r="L59" s="91">
        <f t="shared" si="5"/>
        <v>356989.5</v>
      </c>
      <c r="M59" s="91">
        <f t="shared" si="6"/>
        <v>152995.5</v>
      </c>
      <c r="N59" s="159">
        <f t="shared" si="7"/>
        <v>15</v>
      </c>
      <c r="O59" s="159"/>
      <c r="P59" s="97"/>
      <c r="Q59" s="11"/>
    </row>
    <row r="60" spans="1:17" s="114" customFormat="1">
      <c r="A60" s="180"/>
      <c r="B60" s="293" t="s">
        <v>901</v>
      </c>
      <c r="C60" s="96">
        <v>55</v>
      </c>
      <c r="D60" s="123" t="s">
        <v>924</v>
      </c>
      <c r="E60" s="123"/>
      <c r="F60" s="19">
        <v>330000</v>
      </c>
      <c r="G60" s="19">
        <v>43989</v>
      </c>
      <c r="H60" s="19">
        <f>SUM(F60:G60)</f>
        <v>373989</v>
      </c>
      <c r="I60" s="327">
        <v>7479.78</v>
      </c>
      <c r="J60" s="159">
        <v>50</v>
      </c>
      <c r="K60" s="159">
        <v>19</v>
      </c>
      <c r="L60" s="16">
        <f t="shared" si="5"/>
        <v>142115.82</v>
      </c>
      <c r="M60" s="94">
        <f t="shared" si="6"/>
        <v>231873.18</v>
      </c>
      <c r="N60" s="159">
        <f t="shared" si="7"/>
        <v>31</v>
      </c>
      <c r="O60" s="159"/>
      <c r="P60" s="159"/>
      <c r="Q60" s="11"/>
    </row>
    <row r="61" spans="1:17" s="114" customFormat="1">
      <c r="A61" s="180"/>
      <c r="B61" s="293" t="s">
        <v>1178</v>
      </c>
      <c r="C61" s="96">
        <v>56</v>
      </c>
      <c r="D61" s="11" t="s">
        <v>1179</v>
      </c>
      <c r="E61" s="11"/>
      <c r="F61" s="12">
        <v>150000</v>
      </c>
      <c r="G61" s="12">
        <v>19995</v>
      </c>
      <c r="H61" s="15">
        <f>SUM(F61:G61)</f>
        <v>169995</v>
      </c>
      <c r="I61" s="327">
        <v>3399.9</v>
      </c>
      <c r="J61" s="14">
        <v>50</v>
      </c>
      <c r="K61" s="96">
        <v>12</v>
      </c>
      <c r="L61" s="91">
        <f t="shared" si="5"/>
        <v>40798.800000000003</v>
      </c>
      <c r="M61" s="94">
        <f t="shared" si="6"/>
        <v>129196.2</v>
      </c>
      <c r="N61" s="159">
        <f t="shared" si="7"/>
        <v>38</v>
      </c>
      <c r="O61" s="159"/>
      <c r="P61" s="97"/>
      <c r="Q61" s="11"/>
    </row>
    <row r="62" spans="1:17" s="114" customFormat="1">
      <c r="A62" s="180"/>
      <c r="B62" s="11" t="s">
        <v>1154</v>
      </c>
      <c r="C62" s="96">
        <v>57</v>
      </c>
      <c r="D62" s="11" t="s">
        <v>1155</v>
      </c>
      <c r="E62" s="11"/>
      <c r="F62" s="19">
        <v>330000</v>
      </c>
      <c r="G62" s="19">
        <v>43989</v>
      </c>
      <c r="H62" s="19">
        <f>SUM(F62:G62)</f>
        <v>373989</v>
      </c>
      <c r="I62" s="254">
        <v>7479.78</v>
      </c>
      <c r="J62" s="159">
        <v>50</v>
      </c>
      <c r="K62" s="159">
        <v>2</v>
      </c>
      <c r="L62" s="16">
        <f t="shared" si="5"/>
        <v>14959.56</v>
      </c>
      <c r="M62" s="94">
        <f t="shared" si="6"/>
        <v>359029.44</v>
      </c>
      <c r="N62" s="159">
        <f t="shared" si="7"/>
        <v>48</v>
      </c>
      <c r="O62" s="11"/>
      <c r="P62" s="11"/>
      <c r="Q62" s="8"/>
    </row>
    <row r="63" spans="1:17" s="114" customFormat="1">
      <c r="A63" s="180"/>
      <c r="B63" s="293" t="s">
        <v>1229</v>
      </c>
      <c r="C63" s="96">
        <v>58</v>
      </c>
      <c r="D63" s="123" t="s">
        <v>1230</v>
      </c>
      <c r="E63" s="123"/>
      <c r="F63" s="19">
        <v>150000</v>
      </c>
      <c r="G63" s="19">
        <v>19995</v>
      </c>
      <c r="H63" s="19">
        <f>SUM(F63:G63)</f>
        <v>169995</v>
      </c>
      <c r="I63" s="327">
        <v>4149.8999999999996</v>
      </c>
      <c r="J63" s="159">
        <v>40</v>
      </c>
      <c r="K63" s="159">
        <v>11</v>
      </c>
      <c r="L63" s="16">
        <f t="shared" si="5"/>
        <v>45648.899999999994</v>
      </c>
      <c r="M63" s="94">
        <f t="shared" si="6"/>
        <v>124346.1</v>
      </c>
      <c r="N63" s="159">
        <f t="shared" si="7"/>
        <v>29</v>
      </c>
      <c r="O63" s="159"/>
      <c r="P63" s="159"/>
      <c r="Q63" s="11"/>
    </row>
    <row r="64" spans="1:17" s="114" customFormat="1">
      <c r="A64" s="180"/>
      <c r="B64" s="292" t="s">
        <v>638</v>
      </c>
      <c r="C64" s="96">
        <v>59</v>
      </c>
      <c r="D64" s="11" t="s">
        <v>639</v>
      </c>
      <c r="E64" s="11"/>
      <c r="F64" s="16">
        <v>500000</v>
      </c>
      <c r="G64" s="16">
        <v>66650</v>
      </c>
      <c r="H64" s="41">
        <f>SUM(F64:G64)</f>
        <v>566650</v>
      </c>
      <c r="I64" s="318">
        <v>11333</v>
      </c>
      <c r="J64" s="159">
        <v>50</v>
      </c>
      <c r="K64" s="97">
        <v>28</v>
      </c>
      <c r="L64" s="91">
        <f>(1*11333)</f>
        <v>11333</v>
      </c>
      <c r="M64" s="91">
        <f t="shared" si="6"/>
        <v>555317</v>
      </c>
      <c r="N64" s="159">
        <f t="shared" si="7"/>
        <v>22</v>
      </c>
      <c r="O64" s="159"/>
      <c r="P64" s="97"/>
      <c r="Q64" s="11"/>
    </row>
    <row r="65" spans="1:17" s="114" customFormat="1">
      <c r="A65" s="180"/>
      <c r="B65" s="292" t="s">
        <v>522</v>
      </c>
      <c r="C65" s="96">
        <v>60</v>
      </c>
      <c r="D65" s="11" t="s">
        <v>523</v>
      </c>
      <c r="E65" s="11"/>
      <c r="F65" s="19">
        <v>500000</v>
      </c>
      <c r="G65" s="19">
        <v>66650</v>
      </c>
      <c r="H65" s="19">
        <v>566650</v>
      </c>
      <c r="I65" s="318">
        <v>11333</v>
      </c>
      <c r="J65" s="159">
        <v>50</v>
      </c>
      <c r="K65" s="97">
        <v>36</v>
      </c>
      <c r="L65" s="91">
        <f t="shared" ref="L65:L96" si="8">K65*I65</f>
        <v>407988</v>
      </c>
      <c r="M65" s="91">
        <f t="shared" si="6"/>
        <v>158662</v>
      </c>
      <c r="N65" s="159">
        <f t="shared" si="7"/>
        <v>14</v>
      </c>
      <c r="O65" s="159"/>
      <c r="P65" s="97"/>
      <c r="Q65" s="11"/>
    </row>
    <row r="66" spans="1:17" s="114" customFormat="1">
      <c r="A66" s="180"/>
      <c r="B66" s="8" t="s">
        <v>1158</v>
      </c>
      <c r="C66" s="96">
        <v>61</v>
      </c>
      <c r="D66" s="8" t="s">
        <v>1159</v>
      </c>
      <c r="E66" s="8"/>
      <c r="F66" s="19">
        <v>450000</v>
      </c>
      <c r="G66" s="19">
        <v>59985</v>
      </c>
      <c r="H66" s="19">
        <v>509985</v>
      </c>
      <c r="I66" s="34">
        <v>10199.700000000001</v>
      </c>
      <c r="J66" s="159">
        <v>50</v>
      </c>
      <c r="K66" s="323">
        <v>4</v>
      </c>
      <c r="L66" s="16">
        <f t="shared" si="8"/>
        <v>40798.800000000003</v>
      </c>
      <c r="M66" s="94">
        <f t="shared" si="6"/>
        <v>469186.2</v>
      </c>
      <c r="N66" s="159">
        <f t="shared" si="7"/>
        <v>46</v>
      </c>
      <c r="O66" s="34"/>
      <c r="P66" s="34"/>
      <c r="Q66" s="11"/>
    </row>
    <row r="67" spans="1:17" s="114" customFormat="1">
      <c r="A67" s="180"/>
      <c r="B67" s="8" t="s">
        <v>1184</v>
      </c>
      <c r="C67" s="96">
        <v>62</v>
      </c>
      <c r="D67" s="8" t="s">
        <v>1185</v>
      </c>
      <c r="E67" s="8"/>
      <c r="F67" s="16">
        <v>500000</v>
      </c>
      <c r="G67" s="16">
        <v>66650</v>
      </c>
      <c r="H67" s="41">
        <f>SUM(F67:G67)</f>
        <v>566650</v>
      </c>
      <c r="I67" s="34">
        <v>11333</v>
      </c>
      <c r="J67" s="159">
        <v>50</v>
      </c>
      <c r="K67" s="323">
        <v>4</v>
      </c>
      <c r="L67" s="16">
        <f t="shared" si="8"/>
        <v>45332</v>
      </c>
      <c r="M67" s="94">
        <f t="shared" si="6"/>
        <v>521318</v>
      </c>
      <c r="N67" s="159">
        <f t="shared" si="7"/>
        <v>46</v>
      </c>
      <c r="O67" s="34"/>
      <c r="P67" s="34"/>
      <c r="Q67" s="11"/>
    </row>
    <row r="68" spans="1:17" s="114" customFormat="1">
      <c r="A68" s="180"/>
      <c r="B68" s="292" t="s">
        <v>501</v>
      </c>
      <c r="C68" s="96">
        <v>63</v>
      </c>
      <c r="D68" s="11" t="s">
        <v>502</v>
      </c>
      <c r="E68" s="11"/>
      <c r="F68" s="16">
        <v>500000</v>
      </c>
      <c r="G68" s="16">
        <v>66650</v>
      </c>
      <c r="H68" s="16">
        <v>566650</v>
      </c>
      <c r="I68" s="146">
        <v>11333</v>
      </c>
      <c r="J68" s="159">
        <v>50</v>
      </c>
      <c r="K68" s="159">
        <v>24</v>
      </c>
      <c r="L68" s="91">
        <f t="shared" si="8"/>
        <v>271992</v>
      </c>
      <c r="M68" s="94">
        <f t="shared" si="6"/>
        <v>294658</v>
      </c>
      <c r="N68" s="159">
        <f t="shared" si="7"/>
        <v>26</v>
      </c>
      <c r="O68" s="159"/>
      <c r="P68" s="97"/>
      <c r="Q68" s="11"/>
    </row>
    <row r="69" spans="1:17" s="114" customFormat="1">
      <c r="A69" s="180"/>
      <c r="B69" s="292" t="s">
        <v>600</v>
      </c>
      <c r="C69" s="96">
        <v>64</v>
      </c>
      <c r="D69" s="11" t="s">
        <v>601</v>
      </c>
      <c r="E69" s="11"/>
      <c r="F69" s="16">
        <v>450000</v>
      </c>
      <c r="G69" s="16">
        <v>59985</v>
      </c>
      <c r="H69" s="41">
        <f>SUM(F69:G69)</f>
        <v>509985</v>
      </c>
      <c r="I69" s="318">
        <v>10199.700000000001</v>
      </c>
      <c r="J69" s="159">
        <v>50</v>
      </c>
      <c r="K69" s="97">
        <v>49</v>
      </c>
      <c r="L69" s="91">
        <f t="shared" si="8"/>
        <v>499785.30000000005</v>
      </c>
      <c r="M69" s="94">
        <f t="shared" si="6"/>
        <v>10199.699999999953</v>
      </c>
      <c r="N69" s="159">
        <f t="shared" si="7"/>
        <v>1</v>
      </c>
      <c r="O69" s="159"/>
      <c r="P69" s="97"/>
      <c r="Q69" s="8"/>
    </row>
    <row r="70" spans="1:17" s="114" customFormat="1">
      <c r="A70" s="180"/>
      <c r="B70" s="293" t="s">
        <v>887</v>
      </c>
      <c r="C70" s="96">
        <v>65</v>
      </c>
      <c r="D70" s="123" t="s">
        <v>909</v>
      </c>
      <c r="E70" s="123"/>
      <c r="F70" s="16">
        <v>500000</v>
      </c>
      <c r="G70" s="16">
        <v>66650</v>
      </c>
      <c r="H70" s="41">
        <f>SUM(F70:G70)</f>
        <v>566650</v>
      </c>
      <c r="I70" s="327">
        <v>11333</v>
      </c>
      <c r="J70" s="159">
        <v>50</v>
      </c>
      <c r="K70" s="159">
        <v>19</v>
      </c>
      <c r="L70" s="16">
        <f t="shared" si="8"/>
        <v>215327</v>
      </c>
      <c r="M70" s="94">
        <f t="shared" ref="M70:M101" si="9">H70-L70</f>
        <v>351323</v>
      </c>
      <c r="N70" s="159">
        <f t="shared" ref="N70:N101" si="10">J70-K70</f>
        <v>31</v>
      </c>
      <c r="O70" s="159"/>
      <c r="P70" s="159"/>
      <c r="Q70" s="11"/>
    </row>
    <row r="71" spans="1:17" s="114" customFormat="1">
      <c r="A71" s="180"/>
      <c r="B71" s="292" t="s">
        <v>883</v>
      </c>
      <c r="C71" s="96">
        <v>66</v>
      </c>
      <c r="D71" s="11" t="s">
        <v>905</v>
      </c>
      <c r="E71" s="11"/>
      <c r="F71" s="16">
        <v>500000</v>
      </c>
      <c r="G71" s="16">
        <v>66650</v>
      </c>
      <c r="H71" s="41">
        <f>SUM(F71:G71)</f>
        <v>566650</v>
      </c>
      <c r="I71" s="318">
        <v>11333</v>
      </c>
      <c r="J71" s="159">
        <v>50</v>
      </c>
      <c r="K71" s="97">
        <v>58</v>
      </c>
      <c r="L71" s="91">
        <f t="shared" si="8"/>
        <v>657314</v>
      </c>
      <c r="M71" s="94">
        <f t="shared" si="9"/>
        <v>-90664</v>
      </c>
      <c r="N71" s="159">
        <f t="shared" si="10"/>
        <v>-8</v>
      </c>
      <c r="O71" s="159"/>
      <c r="P71" s="97"/>
      <c r="Q71" s="11"/>
    </row>
    <row r="72" spans="1:17" s="114" customFormat="1">
      <c r="A72" s="180"/>
      <c r="B72" s="11" t="s">
        <v>1194</v>
      </c>
      <c r="C72" s="96">
        <v>67</v>
      </c>
      <c r="D72" s="11" t="s">
        <v>1195</v>
      </c>
      <c r="E72" s="11"/>
      <c r="F72" s="16">
        <v>500000</v>
      </c>
      <c r="G72" s="16">
        <v>66650</v>
      </c>
      <c r="H72" s="41">
        <f>SUM(F72:G72)</f>
        <v>566650</v>
      </c>
      <c r="I72" s="16">
        <v>11333</v>
      </c>
      <c r="J72" s="159">
        <v>50</v>
      </c>
      <c r="K72" s="159">
        <v>9</v>
      </c>
      <c r="L72" s="16">
        <f t="shared" si="8"/>
        <v>101997</v>
      </c>
      <c r="M72" s="94">
        <f t="shared" si="9"/>
        <v>464653</v>
      </c>
      <c r="N72" s="159">
        <f t="shared" si="10"/>
        <v>41</v>
      </c>
      <c r="O72" s="159"/>
      <c r="P72" s="159"/>
      <c r="Q72" s="11"/>
    </row>
    <row r="73" spans="1:17" s="114" customFormat="1">
      <c r="A73" s="180"/>
      <c r="B73" s="292" t="s">
        <v>724</v>
      </c>
      <c r="C73" s="96">
        <v>68</v>
      </c>
      <c r="D73" s="11" t="s">
        <v>725</v>
      </c>
      <c r="E73" s="11"/>
      <c r="F73" s="19">
        <v>500000</v>
      </c>
      <c r="G73" s="19">
        <v>66650</v>
      </c>
      <c r="H73" s="19">
        <v>566650</v>
      </c>
      <c r="I73" s="318">
        <v>11333</v>
      </c>
      <c r="J73" s="159">
        <v>50</v>
      </c>
      <c r="K73" s="97">
        <v>35</v>
      </c>
      <c r="L73" s="91">
        <f t="shared" si="8"/>
        <v>396655</v>
      </c>
      <c r="M73" s="91">
        <f t="shared" si="9"/>
        <v>169995</v>
      </c>
      <c r="N73" s="159">
        <f t="shared" si="10"/>
        <v>15</v>
      </c>
      <c r="O73" s="159"/>
      <c r="P73" s="97"/>
      <c r="Q73" s="11"/>
    </row>
    <row r="74" spans="1:17" s="114" customFormat="1">
      <c r="A74" s="180"/>
      <c r="B74" s="295" t="s">
        <v>937</v>
      </c>
      <c r="C74" s="96">
        <v>69</v>
      </c>
      <c r="D74" s="11" t="s">
        <v>938</v>
      </c>
      <c r="E74" s="8"/>
      <c r="F74" s="19">
        <v>150000</v>
      </c>
      <c r="G74" s="19">
        <v>19995</v>
      </c>
      <c r="H74" s="19">
        <f t="shared" ref="H74:H79" si="11">SUM(F74:G74)</f>
        <v>169995</v>
      </c>
      <c r="I74" s="319">
        <v>3399.9</v>
      </c>
      <c r="J74" s="159">
        <v>50</v>
      </c>
      <c r="K74" s="159">
        <v>16</v>
      </c>
      <c r="L74" s="16">
        <f t="shared" si="8"/>
        <v>54398.400000000001</v>
      </c>
      <c r="M74" s="94">
        <f t="shared" si="9"/>
        <v>115596.6</v>
      </c>
      <c r="N74" s="159">
        <f t="shared" si="10"/>
        <v>34</v>
      </c>
      <c r="O74" s="159"/>
      <c r="P74" s="159"/>
      <c r="Q74" s="11"/>
    </row>
    <row r="75" spans="1:17" s="114" customFormat="1">
      <c r="A75" s="180"/>
      <c r="B75" s="293" t="s">
        <v>1213</v>
      </c>
      <c r="C75" s="96">
        <v>70</v>
      </c>
      <c r="D75" s="123" t="s">
        <v>1214</v>
      </c>
      <c r="E75" s="123"/>
      <c r="F75" s="19">
        <v>330000</v>
      </c>
      <c r="G75" s="19">
        <v>43989</v>
      </c>
      <c r="H75" s="19">
        <f t="shared" si="11"/>
        <v>373989</v>
      </c>
      <c r="I75" s="327">
        <v>7479.78</v>
      </c>
      <c r="J75" s="159">
        <v>50</v>
      </c>
      <c r="K75" s="159">
        <v>11</v>
      </c>
      <c r="L75" s="16">
        <f t="shared" si="8"/>
        <v>82277.58</v>
      </c>
      <c r="M75" s="94">
        <f t="shared" si="9"/>
        <v>291711.42</v>
      </c>
      <c r="N75" s="159">
        <f t="shared" si="10"/>
        <v>39</v>
      </c>
      <c r="O75" s="159"/>
      <c r="P75" s="159"/>
      <c r="Q75" s="11"/>
    </row>
    <row r="76" spans="1:17" s="114" customFormat="1">
      <c r="A76" s="180"/>
      <c r="B76" s="294" t="s">
        <v>663</v>
      </c>
      <c r="C76" s="96">
        <v>71</v>
      </c>
      <c r="D76" s="11" t="s">
        <v>953</v>
      </c>
      <c r="E76" s="11"/>
      <c r="F76" s="19">
        <v>330000</v>
      </c>
      <c r="G76" s="19">
        <v>43989</v>
      </c>
      <c r="H76" s="19">
        <f t="shared" si="11"/>
        <v>373989</v>
      </c>
      <c r="I76" s="327">
        <v>7479.78</v>
      </c>
      <c r="J76" s="159">
        <v>50</v>
      </c>
      <c r="K76" s="159">
        <v>17</v>
      </c>
      <c r="L76" s="91">
        <f t="shared" si="8"/>
        <v>127156.26</v>
      </c>
      <c r="M76" s="94">
        <f t="shared" si="9"/>
        <v>246832.74</v>
      </c>
      <c r="N76" s="159">
        <f t="shared" si="10"/>
        <v>33</v>
      </c>
      <c r="O76" s="159"/>
      <c r="P76" s="97"/>
      <c r="Q76" s="11"/>
    </row>
    <row r="77" spans="1:17" s="114" customFormat="1">
      <c r="A77" s="180"/>
      <c r="B77" s="293" t="s">
        <v>1237</v>
      </c>
      <c r="C77" s="96">
        <v>72</v>
      </c>
      <c r="D77" s="123" t="s">
        <v>1238</v>
      </c>
      <c r="E77" s="123"/>
      <c r="F77" s="16">
        <v>500000</v>
      </c>
      <c r="G77" s="16">
        <v>66650</v>
      </c>
      <c r="H77" s="41">
        <f t="shared" si="11"/>
        <v>566650</v>
      </c>
      <c r="I77" s="327">
        <v>11333</v>
      </c>
      <c r="J77" s="159">
        <v>50</v>
      </c>
      <c r="K77" s="159">
        <v>11</v>
      </c>
      <c r="L77" s="16">
        <f t="shared" si="8"/>
        <v>124663</v>
      </c>
      <c r="M77" s="94">
        <f t="shared" si="9"/>
        <v>441987</v>
      </c>
      <c r="N77" s="159">
        <f t="shared" si="10"/>
        <v>39</v>
      </c>
      <c r="O77" s="159"/>
      <c r="P77" s="159"/>
      <c r="Q77" s="8"/>
    </row>
    <row r="78" spans="1:17" s="114" customFormat="1">
      <c r="A78" s="180"/>
      <c r="B78" s="293" t="s">
        <v>1166</v>
      </c>
      <c r="C78" s="96">
        <v>73</v>
      </c>
      <c r="D78" s="11" t="s">
        <v>1167</v>
      </c>
      <c r="E78" s="11"/>
      <c r="F78" s="16">
        <v>500000</v>
      </c>
      <c r="G78" s="16">
        <v>66650</v>
      </c>
      <c r="H78" s="41">
        <f t="shared" si="11"/>
        <v>566650</v>
      </c>
      <c r="I78" s="327">
        <v>11333</v>
      </c>
      <c r="J78" s="159">
        <v>50</v>
      </c>
      <c r="K78" s="96">
        <v>12</v>
      </c>
      <c r="L78" s="91">
        <f t="shared" si="8"/>
        <v>135996</v>
      </c>
      <c r="M78" s="94">
        <f t="shared" si="9"/>
        <v>430654</v>
      </c>
      <c r="N78" s="159">
        <f t="shared" si="10"/>
        <v>38</v>
      </c>
      <c r="O78" s="159"/>
      <c r="P78" s="97"/>
      <c r="Q78" s="8"/>
    </row>
    <row r="79" spans="1:17" s="114" customFormat="1">
      <c r="A79" s="180"/>
      <c r="B79" s="293" t="s">
        <v>1172</v>
      </c>
      <c r="C79" s="96">
        <v>74</v>
      </c>
      <c r="D79" s="11" t="s">
        <v>1173</v>
      </c>
      <c r="E79" s="11"/>
      <c r="F79" s="19">
        <v>330000</v>
      </c>
      <c r="G79" s="19">
        <v>43989</v>
      </c>
      <c r="H79" s="19">
        <f t="shared" si="11"/>
        <v>373989</v>
      </c>
      <c r="I79" s="327">
        <v>7479.78</v>
      </c>
      <c r="J79" s="159">
        <v>50</v>
      </c>
      <c r="K79" s="96">
        <v>12</v>
      </c>
      <c r="L79" s="91">
        <f t="shared" si="8"/>
        <v>89757.36</v>
      </c>
      <c r="M79" s="94">
        <f t="shared" si="9"/>
        <v>284231.64</v>
      </c>
      <c r="N79" s="159">
        <f t="shared" si="10"/>
        <v>38</v>
      </c>
      <c r="O79" s="159"/>
      <c r="P79" s="97"/>
      <c r="Q79" s="8"/>
    </row>
    <row r="80" spans="1:17" s="114" customFormat="1">
      <c r="A80" s="180"/>
      <c r="B80" s="295" t="s">
        <v>1199</v>
      </c>
      <c r="C80" s="96">
        <v>75</v>
      </c>
      <c r="D80" s="8" t="s">
        <v>1200</v>
      </c>
      <c r="E80" s="8"/>
      <c r="F80" s="19">
        <v>450000</v>
      </c>
      <c r="G80" s="19">
        <v>59985</v>
      </c>
      <c r="H80" s="19">
        <v>509985</v>
      </c>
      <c r="I80" s="13">
        <v>10199.700000000001</v>
      </c>
      <c r="J80" s="159">
        <v>50</v>
      </c>
      <c r="K80" s="101">
        <v>4</v>
      </c>
      <c r="L80" s="16">
        <f t="shared" si="8"/>
        <v>40798.800000000003</v>
      </c>
      <c r="M80" s="94">
        <f t="shared" si="9"/>
        <v>469186.2</v>
      </c>
      <c r="N80" s="159">
        <f t="shared" si="10"/>
        <v>46</v>
      </c>
      <c r="O80" s="101"/>
      <c r="P80" s="101"/>
      <c r="Q80" s="11"/>
    </row>
    <row r="81" spans="1:17" s="114" customFormat="1">
      <c r="A81" s="180"/>
      <c r="B81" s="11" t="s">
        <v>884</v>
      </c>
      <c r="C81" s="96">
        <v>76</v>
      </c>
      <c r="D81" s="11" t="s">
        <v>906</v>
      </c>
      <c r="E81" s="11"/>
      <c r="F81" s="16">
        <v>500000</v>
      </c>
      <c r="G81" s="16">
        <v>66650</v>
      </c>
      <c r="H81" s="41">
        <f>SUM(F81:G81)</f>
        <v>566650</v>
      </c>
      <c r="I81" s="254">
        <v>11333</v>
      </c>
      <c r="J81" s="159">
        <v>50</v>
      </c>
      <c r="K81" s="159">
        <v>4</v>
      </c>
      <c r="L81" s="16">
        <f t="shared" si="8"/>
        <v>45332</v>
      </c>
      <c r="M81" s="94">
        <f t="shared" si="9"/>
        <v>521318</v>
      </c>
      <c r="N81" s="159">
        <f t="shared" si="10"/>
        <v>46</v>
      </c>
      <c r="O81" s="11"/>
      <c r="P81" s="11"/>
      <c r="Q81" s="11"/>
    </row>
    <row r="82" spans="1:17" s="114" customFormat="1">
      <c r="A82" s="180"/>
      <c r="B82" s="295" t="s">
        <v>1150</v>
      </c>
      <c r="C82" s="96">
        <v>77</v>
      </c>
      <c r="D82" s="126" t="s">
        <v>1151</v>
      </c>
      <c r="E82" s="8"/>
      <c r="F82" s="16">
        <v>500000</v>
      </c>
      <c r="G82" s="16">
        <v>66650</v>
      </c>
      <c r="H82" s="41">
        <f>SUM(F82:G82)</f>
        <v>566650</v>
      </c>
      <c r="I82" s="13">
        <v>11333</v>
      </c>
      <c r="J82" s="159">
        <v>50</v>
      </c>
      <c r="K82" s="101">
        <v>2</v>
      </c>
      <c r="L82" s="16">
        <f t="shared" si="8"/>
        <v>22666</v>
      </c>
      <c r="M82" s="94">
        <f t="shared" si="9"/>
        <v>543984</v>
      </c>
      <c r="N82" s="159">
        <f t="shared" si="10"/>
        <v>48</v>
      </c>
      <c r="O82" s="101"/>
      <c r="P82" s="101"/>
      <c r="Q82" s="11"/>
    </row>
    <row r="83" spans="1:17" s="114" customFormat="1">
      <c r="A83" s="180"/>
      <c r="B83" s="292" t="s">
        <v>702</v>
      </c>
      <c r="C83" s="96">
        <v>78</v>
      </c>
      <c r="D83" s="11" t="s">
        <v>703</v>
      </c>
      <c r="E83" s="11"/>
      <c r="F83" s="16">
        <v>450000</v>
      </c>
      <c r="G83" s="16">
        <v>59985</v>
      </c>
      <c r="H83" s="16">
        <v>509985</v>
      </c>
      <c r="I83" s="318">
        <v>10199.700000000001</v>
      </c>
      <c r="J83" s="159">
        <v>50</v>
      </c>
      <c r="K83" s="97">
        <v>35</v>
      </c>
      <c r="L83" s="91">
        <f t="shared" si="8"/>
        <v>356989.5</v>
      </c>
      <c r="M83" s="91">
        <f t="shared" si="9"/>
        <v>152995.5</v>
      </c>
      <c r="N83" s="159">
        <f t="shared" si="10"/>
        <v>15</v>
      </c>
      <c r="O83" s="159"/>
      <c r="P83" s="97"/>
      <c r="Q83" s="11"/>
    </row>
    <row r="84" spans="1:17" s="114" customFormat="1">
      <c r="A84" s="180"/>
      <c r="B84" s="294" t="s">
        <v>723</v>
      </c>
      <c r="C84" s="96">
        <v>79</v>
      </c>
      <c r="D84" s="11" t="s">
        <v>955</v>
      </c>
      <c r="E84" s="11"/>
      <c r="F84" s="16">
        <v>500000</v>
      </c>
      <c r="G84" s="16">
        <v>66650</v>
      </c>
      <c r="H84" s="41">
        <f>SUM(F84:G84)</f>
        <v>566650</v>
      </c>
      <c r="I84" s="327">
        <v>11333</v>
      </c>
      <c r="J84" s="159">
        <v>50</v>
      </c>
      <c r="K84" s="159">
        <v>17</v>
      </c>
      <c r="L84" s="91">
        <f t="shared" si="8"/>
        <v>192661</v>
      </c>
      <c r="M84" s="94">
        <f t="shared" si="9"/>
        <v>373989</v>
      </c>
      <c r="N84" s="159">
        <f t="shared" si="10"/>
        <v>33</v>
      </c>
      <c r="O84" s="159"/>
      <c r="P84" s="97"/>
      <c r="Q84" s="8"/>
    </row>
    <row r="85" spans="1:17" s="114" customFormat="1">
      <c r="A85" s="180"/>
      <c r="B85" s="11" t="s">
        <v>1176</v>
      </c>
      <c r="C85" s="96">
        <v>80</v>
      </c>
      <c r="D85" s="11" t="s">
        <v>1177</v>
      </c>
      <c r="E85" s="11"/>
      <c r="F85" s="16">
        <v>500000</v>
      </c>
      <c r="G85" s="16">
        <v>66650</v>
      </c>
      <c r="H85" s="41">
        <f>SUM(F85:G85)</f>
        <v>566650</v>
      </c>
      <c r="I85" s="16">
        <v>11333</v>
      </c>
      <c r="J85" s="159">
        <v>50</v>
      </c>
      <c r="K85" s="159">
        <v>9</v>
      </c>
      <c r="L85" s="16">
        <f t="shared" si="8"/>
        <v>101997</v>
      </c>
      <c r="M85" s="94">
        <f t="shared" si="9"/>
        <v>464653</v>
      </c>
      <c r="N85" s="159">
        <f t="shared" si="10"/>
        <v>41</v>
      </c>
      <c r="O85" s="159"/>
      <c r="P85" s="159"/>
      <c r="Q85" s="11"/>
    </row>
    <row r="86" spans="1:17" s="114" customFormat="1">
      <c r="A86" s="180"/>
      <c r="B86" s="11" t="s">
        <v>1201</v>
      </c>
      <c r="C86" s="96">
        <v>81</v>
      </c>
      <c r="D86" s="11" t="s">
        <v>1202</v>
      </c>
      <c r="E86" s="11"/>
      <c r="F86" s="19">
        <v>450000</v>
      </c>
      <c r="G86" s="19">
        <v>59985</v>
      </c>
      <c r="H86" s="19">
        <v>509985</v>
      </c>
      <c r="I86" s="254">
        <v>10199.700000000001</v>
      </c>
      <c r="J86" s="159">
        <v>50</v>
      </c>
      <c r="K86" s="159">
        <v>2</v>
      </c>
      <c r="L86" s="16">
        <f t="shared" si="8"/>
        <v>20399.400000000001</v>
      </c>
      <c r="M86" s="94">
        <f t="shared" si="9"/>
        <v>489585.6</v>
      </c>
      <c r="N86" s="159">
        <f t="shared" si="10"/>
        <v>48</v>
      </c>
      <c r="O86" s="11"/>
      <c r="P86" s="11"/>
      <c r="Q86" s="11"/>
    </row>
    <row r="87" spans="1:17" s="114" customFormat="1">
      <c r="A87" s="180"/>
      <c r="B87" s="292" t="s">
        <v>559</v>
      </c>
      <c r="C87" s="96">
        <v>82</v>
      </c>
      <c r="D87" s="11" t="s">
        <v>560</v>
      </c>
      <c r="E87" s="11"/>
      <c r="F87" s="16">
        <v>500000</v>
      </c>
      <c r="G87" s="16">
        <v>66650</v>
      </c>
      <c r="H87" s="16">
        <v>566650</v>
      </c>
      <c r="I87" s="146">
        <v>11333</v>
      </c>
      <c r="J87" s="159">
        <v>50</v>
      </c>
      <c r="K87" s="96">
        <v>24</v>
      </c>
      <c r="L87" s="91">
        <f t="shared" si="8"/>
        <v>271992</v>
      </c>
      <c r="M87" s="94">
        <f t="shared" si="9"/>
        <v>294658</v>
      </c>
      <c r="N87" s="159">
        <f t="shared" si="10"/>
        <v>26</v>
      </c>
      <c r="O87" s="159"/>
      <c r="P87" s="97"/>
      <c r="Q87" s="8"/>
    </row>
    <row r="88" spans="1:17" s="114" customFormat="1">
      <c r="A88" s="180"/>
      <c r="B88" s="292" t="s">
        <v>676</v>
      </c>
      <c r="C88" s="96">
        <v>83</v>
      </c>
      <c r="D88" s="11" t="s">
        <v>677</v>
      </c>
      <c r="E88" s="11"/>
      <c r="F88" s="19">
        <v>150000</v>
      </c>
      <c r="G88" s="19">
        <v>19995</v>
      </c>
      <c r="H88" s="19">
        <f>SUM(F88:G88)</f>
        <v>169995</v>
      </c>
      <c r="I88" s="318">
        <v>3399.9</v>
      </c>
      <c r="J88" s="159">
        <v>50</v>
      </c>
      <c r="K88" s="97">
        <v>36</v>
      </c>
      <c r="L88" s="91">
        <f t="shared" si="8"/>
        <v>122396.40000000001</v>
      </c>
      <c r="M88" s="91">
        <f t="shared" si="9"/>
        <v>47598.599999999991</v>
      </c>
      <c r="N88" s="159">
        <f t="shared" si="10"/>
        <v>14</v>
      </c>
      <c r="O88" s="159"/>
      <c r="P88" s="97"/>
      <c r="Q88" s="11"/>
    </row>
    <row r="89" spans="1:17" s="114" customFormat="1">
      <c r="A89" s="180"/>
      <c r="B89" s="293" t="s">
        <v>1180</v>
      </c>
      <c r="C89" s="96">
        <v>84</v>
      </c>
      <c r="D89" s="123" t="s">
        <v>1181</v>
      </c>
      <c r="E89" s="123"/>
      <c r="F89" s="16">
        <v>500000</v>
      </c>
      <c r="G89" s="16">
        <v>66650</v>
      </c>
      <c r="H89" s="41">
        <f>SUM(F89:G89)</f>
        <v>566650</v>
      </c>
      <c r="I89" s="327">
        <v>11333</v>
      </c>
      <c r="J89" s="159">
        <v>50</v>
      </c>
      <c r="K89" s="159">
        <v>19</v>
      </c>
      <c r="L89" s="16">
        <f t="shared" si="8"/>
        <v>215327</v>
      </c>
      <c r="M89" s="94">
        <f t="shared" si="9"/>
        <v>351323</v>
      </c>
      <c r="N89" s="159">
        <f t="shared" si="10"/>
        <v>31</v>
      </c>
      <c r="O89" s="159"/>
      <c r="P89" s="159"/>
      <c r="Q89" s="11"/>
    </row>
    <row r="90" spans="1:17" s="114" customFormat="1">
      <c r="A90" s="180"/>
      <c r="B90" s="292" t="s">
        <v>686</v>
      </c>
      <c r="C90" s="96">
        <v>85</v>
      </c>
      <c r="D90" s="11" t="s">
        <v>687</v>
      </c>
      <c r="E90" s="11"/>
      <c r="F90" s="16">
        <v>500000</v>
      </c>
      <c r="G90" s="16">
        <v>66650</v>
      </c>
      <c r="H90" s="41">
        <f>SUM(F90:G90)</f>
        <v>566650</v>
      </c>
      <c r="I90" s="318">
        <v>11333</v>
      </c>
      <c r="J90" s="159">
        <v>50</v>
      </c>
      <c r="K90" s="97">
        <v>49</v>
      </c>
      <c r="L90" s="91">
        <f t="shared" si="8"/>
        <v>555317</v>
      </c>
      <c r="M90" s="94">
        <f t="shared" si="9"/>
        <v>11333</v>
      </c>
      <c r="N90" s="159">
        <f t="shared" si="10"/>
        <v>1</v>
      </c>
      <c r="O90" s="159"/>
      <c r="P90" s="97"/>
      <c r="Q90" s="8"/>
    </row>
    <row r="91" spans="1:17" s="114" customFormat="1">
      <c r="A91" s="180"/>
      <c r="B91" s="295" t="s">
        <v>1233</v>
      </c>
      <c r="C91" s="96">
        <v>86</v>
      </c>
      <c r="D91" s="11" t="s">
        <v>1234</v>
      </c>
      <c r="E91" s="8"/>
      <c r="F91" s="16">
        <v>500000</v>
      </c>
      <c r="G91" s="16">
        <v>66650</v>
      </c>
      <c r="H91" s="41">
        <f>SUM(F91:G91)</f>
        <v>566650</v>
      </c>
      <c r="I91" s="34">
        <v>11333</v>
      </c>
      <c r="J91" s="159">
        <v>50</v>
      </c>
      <c r="K91" s="323">
        <v>9</v>
      </c>
      <c r="L91" s="16">
        <f t="shared" si="8"/>
        <v>101997</v>
      </c>
      <c r="M91" s="94">
        <f t="shared" si="9"/>
        <v>464653</v>
      </c>
      <c r="N91" s="159">
        <f t="shared" si="10"/>
        <v>41</v>
      </c>
      <c r="O91" s="159"/>
      <c r="P91" s="159"/>
      <c r="Q91" s="11"/>
    </row>
    <row r="92" spans="1:17" s="114" customFormat="1">
      <c r="A92" s="180"/>
      <c r="B92" s="8" t="s">
        <v>1152</v>
      </c>
      <c r="C92" s="96">
        <v>87</v>
      </c>
      <c r="D92" s="11" t="s">
        <v>1153</v>
      </c>
      <c r="E92" s="8"/>
      <c r="F92" s="16">
        <v>500000</v>
      </c>
      <c r="G92" s="16">
        <v>66650</v>
      </c>
      <c r="H92" s="41">
        <f>SUM(F92:G92)</f>
        <v>566650</v>
      </c>
      <c r="I92" s="34">
        <v>11333</v>
      </c>
      <c r="J92" s="159">
        <v>50</v>
      </c>
      <c r="K92" s="323">
        <v>9</v>
      </c>
      <c r="L92" s="16">
        <f t="shared" si="8"/>
        <v>101997</v>
      </c>
      <c r="M92" s="94">
        <f t="shared" si="9"/>
        <v>464653</v>
      </c>
      <c r="N92" s="159">
        <f t="shared" si="10"/>
        <v>41</v>
      </c>
      <c r="O92" s="159"/>
      <c r="P92" s="159"/>
      <c r="Q92" s="11"/>
    </row>
    <row r="93" spans="1:17" s="114" customFormat="1">
      <c r="A93" s="180"/>
      <c r="B93" s="293" t="s">
        <v>1255</v>
      </c>
      <c r="C93" s="96">
        <v>88</v>
      </c>
      <c r="D93" s="123" t="s">
        <v>1256</v>
      </c>
      <c r="E93" s="123"/>
      <c r="F93" s="19">
        <v>450000</v>
      </c>
      <c r="G93" s="19">
        <v>59985</v>
      </c>
      <c r="H93" s="19">
        <v>509985</v>
      </c>
      <c r="I93" s="327">
        <v>10199.700000000001</v>
      </c>
      <c r="J93" s="159">
        <v>50</v>
      </c>
      <c r="K93" s="159">
        <v>11</v>
      </c>
      <c r="L93" s="16">
        <f t="shared" si="8"/>
        <v>112196.70000000001</v>
      </c>
      <c r="M93" s="94">
        <f t="shared" si="9"/>
        <v>397788.3</v>
      </c>
      <c r="N93" s="159">
        <f t="shared" si="10"/>
        <v>39</v>
      </c>
      <c r="O93" s="159"/>
      <c r="P93" s="159"/>
      <c r="Q93" s="11"/>
    </row>
    <row r="94" spans="1:17" s="114" customFormat="1">
      <c r="A94" s="180"/>
      <c r="B94" s="295" t="s">
        <v>947</v>
      </c>
      <c r="C94" s="96">
        <v>89</v>
      </c>
      <c r="D94" s="11" t="s">
        <v>948</v>
      </c>
      <c r="E94" s="8"/>
      <c r="F94" s="16">
        <v>500000</v>
      </c>
      <c r="G94" s="16">
        <v>66650</v>
      </c>
      <c r="H94" s="41">
        <f>SUM(F94:G94)</f>
        <v>566650</v>
      </c>
      <c r="I94" s="319">
        <v>11333</v>
      </c>
      <c r="J94" s="159">
        <v>50</v>
      </c>
      <c r="K94" s="159">
        <v>16</v>
      </c>
      <c r="L94" s="16">
        <f t="shared" si="8"/>
        <v>181328</v>
      </c>
      <c r="M94" s="94">
        <f t="shared" si="9"/>
        <v>385322</v>
      </c>
      <c r="N94" s="159">
        <f t="shared" si="10"/>
        <v>34</v>
      </c>
      <c r="O94" s="159"/>
      <c r="P94" s="159"/>
      <c r="Q94" s="11"/>
    </row>
    <row r="95" spans="1:17" s="114" customFormat="1">
      <c r="A95" s="180"/>
      <c r="B95" s="293" t="s">
        <v>1259</v>
      </c>
      <c r="C95" s="96">
        <v>90</v>
      </c>
      <c r="D95" s="123" t="s">
        <v>1260</v>
      </c>
      <c r="E95" s="123"/>
      <c r="F95" s="16">
        <v>500000</v>
      </c>
      <c r="G95" s="16">
        <v>66650</v>
      </c>
      <c r="H95" s="41">
        <f>SUM(F95:G95)</f>
        <v>566650</v>
      </c>
      <c r="I95" s="327">
        <v>11333</v>
      </c>
      <c r="J95" s="159">
        <v>50</v>
      </c>
      <c r="K95" s="159">
        <v>11</v>
      </c>
      <c r="L95" s="16">
        <f t="shared" si="8"/>
        <v>124663</v>
      </c>
      <c r="M95" s="94">
        <f t="shared" si="9"/>
        <v>441987</v>
      </c>
      <c r="N95" s="159">
        <f t="shared" si="10"/>
        <v>39</v>
      </c>
      <c r="O95" s="159"/>
      <c r="P95" s="159"/>
      <c r="Q95" s="11"/>
    </row>
    <row r="96" spans="1:17" s="114" customFormat="1">
      <c r="A96" s="180"/>
      <c r="B96" s="8" t="s">
        <v>1223</v>
      </c>
      <c r="C96" s="96">
        <v>91</v>
      </c>
      <c r="D96" s="8" t="s">
        <v>1224</v>
      </c>
      <c r="E96" s="8"/>
      <c r="F96" s="19">
        <v>330000</v>
      </c>
      <c r="G96" s="19">
        <v>43989</v>
      </c>
      <c r="H96" s="19">
        <f>SUM(F96:G96)</f>
        <v>373989</v>
      </c>
      <c r="I96" s="34">
        <v>7479.78</v>
      </c>
      <c r="J96" s="159">
        <v>50</v>
      </c>
      <c r="K96" s="323">
        <v>4</v>
      </c>
      <c r="L96" s="16">
        <f t="shared" si="8"/>
        <v>29919.119999999999</v>
      </c>
      <c r="M96" s="94">
        <f t="shared" si="9"/>
        <v>344069.88</v>
      </c>
      <c r="N96" s="159">
        <f t="shared" si="10"/>
        <v>46</v>
      </c>
      <c r="O96" s="34"/>
      <c r="P96" s="34"/>
      <c r="Q96" s="11"/>
    </row>
    <row r="97" spans="1:17" s="114" customFormat="1">
      <c r="A97" s="180"/>
      <c r="B97" s="292" t="s">
        <v>886</v>
      </c>
      <c r="C97" s="96">
        <v>92</v>
      </c>
      <c r="D97" s="11" t="s">
        <v>908</v>
      </c>
      <c r="E97" s="11"/>
      <c r="F97" s="16">
        <v>500000</v>
      </c>
      <c r="G97" s="16">
        <v>66650</v>
      </c>
      <c r="H97" s="41">
        <f>SUM(F97:G97)</f>
        <v>566650</v>
      </c>
      <c r="I97" s="318">
        <v>11333</v>
      </c>
      <c r="J97" s="159">
        <v>50</v>
      </c>
      <c r="K97" s="97">
        <v>50</v>
      </c>
      <c r="L97" s="91">
        <f t="shared" ref="L97:L125" si="12">K97*I97</f>
        <v>566650</v>
      </c>
      <c r="M97" s="94">
        <f t="shared" si="9"/>
        <v>0</v>
      </c>
      <c r="N97" s="159">
        <f t="shared" si="10"/>
        <v>0</v>
      </c>
      <c r="O97" s="159"/>
      <c r="P97" s="97"/>
      <c r="Q97" s="8"/>
    </row>
    <row r="98" spans="1:17" s="114" customFormat="1">
      <c r="A98" s="180"/>
      <c r="B98" s="292" t="s">
        <v>542</v>
      </c>
      <c r="C98" s="96">
        <v>93</v>
      </c>
      <c r="D98" s="11" t="s">
        <v>543</v>
      </c>
      <c r="E98" s="11"/>
      <c r="F98" s="16">
        <v>500000</v>
      </c>
      <c r="G98" s="16">
        <v>66650</v>
      </c>
      <c r="H98" s="41">
        <f>SUM(F98:G98)</f>
        <v>566650</v>
      </c>
      <c r="I98" s="318">
        <v>11333</v>
      </c>
      <c r="J98" s="159">
        <v>50</v>
      </c>
      <c r="K98" s="97">
        <v>49</v>
      </c>
      <c r="L98" s="91">
        <f t="shared" si="12"/>
        <v>555317</v>
      </c>
      <c r="M98" s="94">
        <f t="shared" si="9"/>
        <v>11333</v>
      </c>
      <c r="N98" s="159">
        <f t="shared" si="10"/>
        <v>1</v>
      </c>
      <c r="O98" s="159"/>
      <c r="P98" s="97"/>
      <c r="Q98" s="8"/>
    </row>
    <row r="99" spans="1:17" s="114" customFormat="1">
      <c r="A99" s="180"/>
      <c r="B99" s="292" t="s">
        <v>680</v>
      </c>
      <c r="C99" s="96">
        <v>94</v>
      </c>
      <c r="D99" s="11" t="s">
        <v>681</v>
      </c>
      <c r="E99" s="11"/>
      <c r="F99" s="19">
        <v>500000</v>
      </c>
      <c r="G99" s="19">
        <v>66650</v>
      </c>
      <c r="H99" s="19">
        <v>566650</v>
      </c>
      <c r="I99" s="318">
        <v>11333</v>
      </c>
      <c r="J99" s="159">
        <v>50</v>
      </c>
      <c r="K99" s="97">
        <v>36</v>
      </c>
      <c r="L99" s="91">
        <f t="shared" si="12"/>
        <v>407988</v>
      </c>
      <c r="M99" s="91">
        <f t="shared" si="9"/>
        <v>158662</v>
      </c>
      <c r="N99" s="159">
        <f t="shared" si="10"/>
        <v>14</v>
      </c>
      <c r="O99" s="159"/>
      <c r="P99" s="97"/>
      <c r="Q99" s="11"/>
    </row>
    <row r="100" spans="1:17" s="114" customFormat="1">
      <c r="A100" s="180"/>
      <c r="B100" s="292" t="s">
        <v>684</v>
      </c>
      <c r="C100" s="96">
        <v>95</v>
      </c>
      <c r="D100" s="11" t="s">
        <v>685</v>
      </c>
      <c r="E100" s="11"/>
      <c r="F100" s="19">
        <v>500000</v>
      </c>
      <c r="G100" s="19">
        <v>66650</v>
      </c>
      <c r="H100" s="19">
        <v>566650</v>
      </c>
      <c r="I100" s="318">
        <v>11333</v>
      </c>
      <c r="J100" s="159">
        <v>50</v>
      </c>
      <c r="K100" s="97">
        <v>36</v>
      </c>
      <c r="L100" s="91">
        <f t="shared" si="12"/>
        <v>407988</v>
      </c>
      <c r="M100" s="91">
        <f t="shared" si="9"/>
        <v>158662</v>
      </c>
      <c r="N100" s="159">
        <f t="shared" si="10"/>
        <v>14</v>
      </c>
      <c r="O100" s="159"/>
      <c r="P100" s="97"/>
      <c r="Q100" s="11"/>
    </row>
    <row r="101" spans="1:17" s="114" customFormat="1">
      <c r="A101" s="180"/>
      <c r="B101" s="292" t="s">
        <v>730</v>
      </c>
      <c r="C101" s="96">
        <v>96</v>
      </c>
      <c r="D101" s="11" t="s">
        <v>731</v>
      </c>
      <c r="E101" s="11"/>
      <c r="F101" s="16">
        <v>500000</v>
      </c>
      <c r="G101" s="16">
        <v>66650</v>
      </c>
      <c r="H101" s="41">
        <f t="shared" ref="H101:H110" si="13">SUM(F101:G101)</f>
        <v>566650</v>
      </c>
      <c r="I101" s="318">
        <v>11333</v>
      </c>
      <c r="J101" s="159">
        <v>50</v>
      </c>
      <c r="K101" s="159">
        <v>26</v>
      </c>
      <c r="L101" s="91">
        <f t="shared" si="12"/>
        <v>294658</v>
      </c>
      <c r="M101" s="94">
        <f t="shared" si="9"/>
        <v>271992</v>
      </c>
      <c r="N101" s="159">
        <f t="shared" si="10"/>
        <v>24</v>
      </c>
      <c r="O101" s="159"/>
      <c r="P101" s="159"/>
      <c r="Q101" s="11"/>
    </row>
    <row r="102" spans="1:17" s="114" customFormat="1">
      <c r="A102" s="180"/>
      <c r="B102" s="11" t="s">
        <v>1186</v>
      </c>
      <c r="C102" s="96">
        <v>97</v>
      </c>
      <c r="D102" s="11" t="s">
        <v>1187</v>
      </c>
      <c r="E102" s="11"/>
      <c r="F102" s="16">
        <v>500000</v>
      </c>
      <c r="G102" s="16">
        <v>66650</v>
      </c>
      <c r="H102" s="41">
        <f t="shared" si="13"/>
        <v>566650</v>
      </c>
      <c r="I102" s="254">
        <v>11333</v>
      </c>
      <c r="J102" s="159">
        <v>50</v>
      </c>
      <c r="K102" s="159">
        <v>4</v>
      </c>
      <c r="L102" s="16">
        <f t="shared" si="12"/>
        <v>45332</v>
      </c>
      <c r="M102" s="94">
        <f t="shared" ref="M102:M125" si="14">H102-L102</f>
        <v>521318</v>
      </c>
      <c r="N102" s="159">
        <f t="shared" ref="N102:N125" si="15">J102-K102</f>
        <v>46</v>
      </c>
      <c r="O102" s="11"/>
      <c r="P102" s="11"/>
      <c r="Q102" s="11"/>
    </row>
    <row r="103" spans="1:17" s="114" customFormat="1">
      <c r="A103" s="180"/>
      <c r="B103" s="293" t="s">
        <v>888</v>
      </c>
      <c r="C103" s="96">
        <v>98</v>
      </c>
      <c r="D103" s="123" t="s">
        <v>910</v>
      </c>
      <c r="E103" s="123"/>
      <c r="F103" s="16">
        <v>500000</v>
      </c>
      <c r="G103" s="16">
        <v>66650</v>
      </c>
      <c r="H103" s="41">
        <f t="shared" si="13"/>
        <v>566650</v>
      </c>
      <c r="I103" s="327">
        <v>11333</v>
      </c>
      <c r="J103" s="159">
        <v>50</v>
      </c>
      <c r="K103" s="159">
        <v>19</v>
      </c>
      <c r="L103" s="16">
        <f t="shared" si="12"/>
        <v>215327</v>
      </c>
      <c r="M103" s="94">
        <f t="shared" si="14"/>
        <v>351323</v>
      </c>
      <c r="N103" s="159">
        <f t="shared" si="15"/>
        <v>31</v>
      </c>
      <c r="O103" s="159"/>
      <c r="P103" s="159"/>
      <c r="Q103" s="11"/>
    </row>
    <row r="104" spans="1:17" s="114" customFormat="1">
      <c r="A104" s="180"/>
      <c r="B104" s="292" t="s">
        <v>949</v>
      </c>
      <c r="C104" s="96">
        <v>99</v>
      </c>
      <c r="D104" s="11" t="s">
        <v>950</v>
      </c>
      <c r="E104" s="11"/>
      <c r="F104" s="16">
        <v>500000</v>
      </c>
      <c r="G104" s="16">
        <v>66650</v>
      </c>
      <c r="H104" s="41">
        <f t="shared" si="13"/>
        <v>566650</v>
      </c>
      <c r="I104" s="318">
        <v>11333</v>
      </c>
      <c r="J104" s="159">
        <v>50</v>
      </c>
      <c r="K104" s="97">
        <v>49</v>
      </c>
      <c r="L104" s="91">
        <f t="shared" si="12"/>
        <v>555317</v>
      </c>
      <c r="M104" s="94">
        <f t="shared" si="14"/>
        <v>11333</v>
      </c>
      <c r="N104" s="159">
        <f t="shared" si="15"/>
        <v>1</v>
      </c>
      <c r="O104" s="159"/>
      <c r="P104" s="97"/>
      <c r="Q104" s="8"/>
    </row>
    <row r="105" spans="1:17" s="114" customFormat="1">
      <c r="A105" s="180"/>
      <c r="B105" s="292" t="s">
        <v>711</v>
      </c>
      <c r="C105" s="96">
        <v>100</v>
      </c>
      <c r="D105" s="11" t="s">
        <v>712</v>
      </c>
      <c r="E105" s="11"/>
      <c r="F105" s="16">
        <v>500000</v>
      </c>
      <c r="G105" s="16">
        <v>66650</v>
      </c>
      <c r="H105" s="41">
        <f t="shared" si="13"/>
        <v>566650</v>
      </c>
      <c r="I105" s="318">
        <v>11333</v>
      </c>
      <c r="J105" s="159">
        <v>50</v>
      </c>
      <c r="K105" s="97">
        <v>49</v>
      </c>
      <c r="L105" s="91">
        <f t="shared" si="12"/>
        <v>555317</v>
      </c>
      <c r="M105" s="94">
        <f t="shared" si="14"/>
        <v>11333</v>
      </c>
      <c r="N105" s="159">
        <f t="shared" si="15"/>
        <v>1</v>
      </c>
      <c r="O105" s="159"/>
      <c r="P105" s="97"/>
      <c r="Q105" s="11"/>
    </row>
    <row r="106" spans="1:17" s="114" customFormat="1">
      <c r="A106" s="180"/>
      <c r="B106" s="295" t="s">
        <v>1221</v>
      </c>
      <c r="C106" s="96">
        <v>101</v>
      </c>
      <c r="D106" s="126" t="s">
        <v>1222</v>
      </c>
      <c r="E106" s="8"/>
      <c r="F106" s="16">
        <v>500000</v>
      </c>
      <c r="G106" s="16">
        <v>66650</v>
      </c>
      <c r="H106" s="41">
        <f t="shared" si="13"/>
        <v>566650</v>
      </c>
      <c r="I106" s="13">
        <v>11333</v>
      </c>
      <c r="J106" s="159">
        <v>50</v>
      </c>
      <c r="K106" s="101">
        <v>2</v>
      </c>
      <c r="L106" s="16">
        <f t="shared" si="12"/>
        <v>22666</v>
      </c>
      <c r="M106" s="94">
        <f t="shared" si="14"/>
        <v>543984</v>
      </c>
      <c r="N106" s="159">
        <f t="shared" si="15"/>
        <v>48</v>
      </c>
      <c r="O106" s="101"/>
      <c r="P106" s="101"/>
      <c r="Q106" s="11"/>
    </row>
    <row r="107" spans="1:17" s="114" customFormat="1">
      <c r="A107" s="180"/>
      <c r="B107" s="295" t="s">
        <v>1257</v>
      </c>
      <c r="C107" s="96">
        <v>102</v>
      </c>
      <c r="D107" s="126" t="s">
        <v>1258</v>
      </c>
      <c r="E107" s="8"/>
      <c r="F107" s="16">
        <v>500000</v>
      </c>
      <c r="G107" s="16">
        <v>66650</v>
      </c>
      <c r="H107" s="41">
        <f t="shared" si="13"/>
        <v>566650</v>
      </c>
      <c r="I107" s="13">
        <v>11333</v>
      </c>
      <c r="J107" s="159">
        <v>50</v>
      </c>
      <c r="K107" s="101">
        <v>2</v>
      </c>
      <c r="L107" s="16">
        <f t="shared" si="12"/>
        <v>22666</v>
      </c>
      <c r="M107" s="94">
        <f t="shared" si="14"/>
        <v>543984</v>
      </c>
      <c r="N107" s="159">
        <f t="shared" si="15"/>
        <v>48</v>
      </c>
      <c r="O107" s="101"/>
      <c r="P107" s="101"/>
      <c r="Q107" s="8"/>
    </row>
    <row r="108" spans="1:17" s="114" customFormat="1">
      <c r="A108" s="180"/>
      <c r="B108" s="295" t="s">
        <v>1164</v>
      </c>
      <c r="C108" s="96">
        <v>103</v>
      </c>
      <c r="D108" s="126" t="s">
        <v>1165</v>
      </c>
      <c r="E108" s="8"/>
      <c r="F108" s="16">
        <v>500000</v>
      </c>
      <c r="G108" s="16">
        <v>66650</v>
      </c>
      <c r="H108" s="41">
        <f t="shared" si="13"/>
        <v>566650</v>
      </c>
      <c r="I108" s="13">
        <v>11333</v>
      </c>
      <c r="J108" s="159">
        <v>50</v>
      </c>
      <c r="K108" s="101">
        <v>2</v>
      </c>
      <c r="L108" s="16">
        <f t="shared" si="12"/>
        <v>22666</v>
      </c>
      <c r="M108" s="94">
        <f t="shared" si="14"/>
        <v>543984</v>
      </c>
      <c r="N108" s="159">
        <f t="shared" si="15"/>
        <v>48</v>
      </c>
      <c r="O108" s="101"/>
      <c r="P108" s="101"/>
      <c r="Q108" s="11"/>
    </row>
    <row r="109" spans="1:17" s="114" customFormat="1">
      <c r="A109" s="180"/>
      <c r="B109" s="295" t="s">
        <v>939</v>
      </c>
      <c r="C109" s="96">
        <v>104</v>
      </c>
      <c r="D109" s="11" t="s">
        <v>940</v>
      </c>
      <c r="E109" s="8"/>
      <c r="F109" s="19">
        <v>330000</v>
      </c>
      <c r="G109" s="19">
        <v>43989</v>
      </c>
      <c r="H109" s="19">
        <f t="shared" si="13"/>
        <v>373989</v>
      </c>
      <c r="I109" s="319">
        <v>7479.78</v>
      </c>
      <c r="J109" s="159">
        <v>50</v>
      </c>
      <c r="K109" s="159">
        <v>16</v>
      </c>
      <c r="L109" s="16">
        <f t="shared" si="12"/>
        <v>119676.48</v>
      </c>
      <c r="M109" s="94">
        <f t="shared" si="14"/>
        <v>254312.52000000002</v>
      </c>
      <c r="N109" s="159">
        <f t="shared" si="15"/>
        <v>34</v>
      </c>
      <c r="O109" s="159"/>
      <c r="P109" s="159"/>
      <c r="Q109" s="11"/>
    </row>
    <row r="110" spans="1:17" s="114" customFormat="1">
      <c r="A110" s="180"/>
      <c r="B110" s="295" t="s">
        <v>1188</v>
      </c>
      <c r="C110" s="96">
        <v>105</v>
      </c>
      <c r="D110" s="8" t="s">
        <v>1189</v>
      </c>
      <c r="E110" s="8"/>
      <c r="F110" s="19">
        <v>330000</v>
      </c>
      <c r="G110" s="19">
        <v>43989</v>
      </c>
      <c r="H110" s="19">
        <f t="shared" si="13"/>
        <v>373989</v>
      </c>
      <c r="I110" s="13">
        <v>7479.78</v>
      </c>
      <c r="J110" s="159">
        <v>50</v>
      </c>
      <c r="K110" s="101">
        <v>4</v>
      </c>
      <c r="L110" s="16">
        <f t="shared" si="12"/>
        <v>29919.119999999999</v>
      </c>
      <c r="M110" s="94">
        <f t="shared" si="14"/>
        <v>344069.88</v>
      </c>
      <c r="N110" s="159">
        <f t="shared" si="15"/>
        <v>46</v>
      </c>
      <c r="O110" s="101"/>
      <c r="P110" s="101"/>
      <c r="Q110" s="8"/>
    </row>
    <row r="111" spans="1:17" s="114" customFormat="1">
      <c r="A111" s="180"/>
      <c r="B111" s="293" t="s">
        <v>1215</v>
      </c>
      <c r="C111" s="96">
        <v>106</v>
      </c>
      <c r="D111" s="11" t="s">
        <v>1216</v>
      </c>
      <c r="E111" s="11"/>
      <c r="F111" s="16">
        <v>450000</v>
      </c>
      <c r="G111" s="16">
        <v>59985</v>
      </c>
      <c r="H111" s="16">
        <v>509985</v>
      </c>
      <c r="I111" s="327">
        <v>10199.700000000001</v>
      </c>
      <c r="J111" s="159">
        <v>50</v>
      </c>
      <c r="K111" s="96">
        <v>12</v>
      </c>
      <c r="L111" s="91">
        <f t="shared" si="12"/>
        <v>122396.40000000001</v>
      </c>
      <c r="M111" s="94">
        <f t="shared" si="14"/>
        <v>387588.6</v>
      </c>
      <c r="N111" s="159">
        <f t="shared" si="15"/>
        <v>38</v>
      </c>
      <c r="O111" s="159"/>
      <c r="P111" s="97"/>
      <c r="Q111" s="11"/>
    </row>
    <row r="112" spans="1:17" s="114" customFormat="1">
      <c r="A112" s="180"/>
      <c r="B112" s="293" t="s">
        <v>602</v>
      </c>
      <c r="C112" s="96">
        <v>107</v>
      </c>
      <c r="D112" s="11" t="s">
        <v>603</v>
      </c>
      <c r="E112" s="11"/>
      <c r="F112" s="19">
        <v>330000</v>
      </c>
      <c r="G112" s="19">
        <v>43989</v>
      </c>
      <c r="H112" s="19">
        <f>SUM(F112:G112)</f>
        <v>373989</v>
      </c>
      <c r="I112" s="327">
        <v>7479.78</v>
      </c>
      <c r="J112" s="159">
        <v>50</v>
      </c>
      <c r="K112" s="96">
        <v>12</v>
      </c>
      <c r="L112" s="91">
        <f t="shared" si="12"/>
        <v>89757.36</v>
      </c>
      <c r="M112" s="94">
        <f t="shared" si="14"/>
        <v>284231.64</v>
      </c>
      <c r="N112" s="159">
        <f t="shared" si="15"/>
        <v>38</v>
      </c>
      <c r="O112" s="159"/>
      <c r="P112" s="97"/>
      <c r="Q112" s="11"/>
    </row>
    <row r="113" spans="1:17" s="114" customFormat="1">
      <c r="A113" s="180"/>
      <c r="B113" s="293" t="s">
        <v>1219</v>
      </c>
      <c r="C113" s="96">
        <v>108</v>
      </c>
      <c r="D113" s="11" t="s">
        <v>1220</v>
      </c>
      <c r="E113" s="11"/>
      <c r="F113" s="19">
        <v>330000</v>
      </c>
      <c r="G113" s="19">
        <v>43989</v>
      </c>
      <c r="H113" s="19">
        <f>SUM(F113:G113)</f>
        <v>373989</v>
      </c>
      <c r="I113" s="327">
        <v>7479.78</v>
      </c>
      <c r="J113" s="159">
        <v>50</v>
      </c>
      <c r="K113" s="96">
        <v>12</v>
      </c>
      <c r="L113" s="91">
        <f t="shared" si="12"/>
        <v>89757.36</v>
      </c>
      <c r="M113" s="94">
        <f t="shared" si="14"/>
        <v>284231.64</v>
      </c>
      <c r="N113" s="159">
        <f t="shared" si="15"/>
        <v>38</v>
      </c>
      <c r="O113" s="159"/>
      <c r="P113" s="97"/>
      <c r="Q113" s="11"/>
    </row>
    <row r="114" spans="1:17" s="114" customFormat="1">
      <c r="A114" s="180"/>
      <c r="B114" s="293" t="s">
        <v>1156</v>
      </c>
      <c r="C114" s="96">
        <v>109</v>
      </c>
      <c r="D114" s="11" t="s">
        <v>1157</v>
      </c>
      <c r="E114" s="11"/>
      <c r="F114" s="19"/>
      <c r="G114" s="19"/>
      <c r="H114" s="19">
        <v>200000</v>
      </c>
      <c r="I114" s="327">
        <v>5099.8500000000004</v>
      </c>
      <c r="J114" s="159">
        <v>50</v>
      </c>
      <c r="K114" s="96">
        <v>12</v>
      </c>
      <c r="L114" s="91">
        <f t="shared" si="12"/>
        <v>61198.200000000004</v>
      </c>
      <c r="M114" s="94">
        <f t="shared" si="14"/>
        <v>138801.79999999999</v>
      </c>
      <c r="N114" s="159">
        <f t="shared" si="15"/>
        <v>38</v>
      </c>
      <c r="O114" s="159"/>
      <c r="P114" s="97"/>
      <c r="Q114" s="11"/>
    </row>
    <row r="115" spans="1:17" s="114" customFormat="1">
      <c r="A115" s="180"/>
      <c r="B115" s="293" t="s">
        <v>1225</v>
      </c>
      <c r="C115" s="96">
        <v>110</v>
      </c>
      <c r="D115" s="11" t="s">
        <v>1226</v>
      </c>
      <c r="E115" s="11"/>
      <c r="F115" s="16">
        <v>500000</v>
      </c>
      <c r="G115" s="16">
        <v>66650</v>
      </c>
      <c r="H115" s="41">
        <f>SUM(F115:G115)</f>
        <v>566650</v>
      </c>
      <c r="I115" s="327">
        <v>11333</v>
      </c>
      <c r="J115" s="159">
        <v>50</v>
      </c>
      <c r="K115" s="96">
        <v>12</v>
      </c>
      <c r="L115" s="91">
        <f t="shared" si="12"/>
        <v>135996</v>
      </c>
      <c r="M115" s="94">
        <f t="shared" si="14"/>
        <v>430654</v>
      </c>
      <c r="N115" s="159">
        <f t="shared" si="15"/>
        <v>38</v>
      </c>
      <c r="O115" s="159"/>
      <c r="P115" s="97"/>
      <c r="Q115" s="11"/>
    </row>
    <row r="116" spans="1:17" s="114" customFormat="1">
      <c r="A116" s="180"/>
      <c r="B116" s="294" t="s">
        <v>606</v>
      </c>
      <c r="C116" s="96">
        <v>111</v>
      </c>
      <c r="D116" s="123" t="s">
        <v>952</v>
      </c>
      <c r="E116" s="123"/>
      <c r="F116" s="19">
        <v>150000</v>
      </c>
      <c r="G116" s="19">
        <v>19995</v>
      </c>
      <c r="H116" s="19">
        <f>SUM(F116:G116)</f>
        <v>169995</v>
      </c>
      <c r="I116" s="327">
        <v>3399.9</v>
      </c>
      <c r="J116" s="159">
        <v>50</v>
      </c>
      <c r="K116" s="159">
        <v>17</v>
      </c>
      <c r="L116" s="91">
        <f t="shared" si="12"/>
        <v>57798.3</v>
      </c>
      <c r="M116" s="94">
        <f t="shared" si="14"/>
        <v>112196.7</v>
      </c>
      <c r="N116" s="159">
        <f t="shared" si="15"/>
        <v>33</v>
      </c>
      <c r="O116" s="159"/>
      <c r="P116" s="97"/>
      <c r="Q116" s="11"/>
    </row>
    <row r="117" spans="1:17" s="114" customFormat="1">
      <c r="A117" s="180"/>
      <c r="B117" s="292" t="s">
        <v>649</v>
      </c>
      <c r="C117" s="96">
        <v>112</v>
      </c>
      <c r="D117" s="11" t="s">
        <v>650</v>
      </c>
      <c r="E117" s="11"/>
      <c r="F117" s="16">
        <v>450000</v>
      </c>
      <c r="G117" s="16">
        <v>59985</v>
      </c>
      <c r="H117" s="16">
        <v>509985</v>
      </c>
      <c r="I117" s="318">
        <v>10199.700000000001</v>
      </c>
      <c r="J117" s="159">
        <v>50</v>
      </c>
      <c r="K117" s="97">
        <v>35</v>
      </c>
      <c r="L117" s="91">
        <f t="shared" si="12"/>
        <v>356989.5</v>
      </c>
      <c r="M117" s="91">
        <f t="shared" si="14"/>
        <v>152995.5</v>
      </c>
      <c r="N117" s="159">
        <f t="shared" si="15"/>
        <v>15</v>
      </c>
      <c r="O117" s="159"/>
      <c r="P117" s="97"/>
      <c r="Q117" s="11"/>
    </row>
    <row r="118" spans="1:17" s="114" customFormat="1">
      <c r="A118" s="180"/>
      <c r="B118" s="293" t="s">
        <v>890</v>
      </c>
      <c r="C118" s="96">
        <v>113</v>
      </c>
      <c r="D118" s="123" t="s">
        <v>912</v>
      </c>
      <c r="E118" s="123"/>
      <c r="F118" s="16">
        <v>500000</v>
      </c>
      <c r="G118" s="16">
        <v>66650</v>
      </c>
      <c r="H118" s="41">
        <f>SUM(F118:G118)</f>
        <v>566650</v>
      </c>
      <c r="I118" s="327">
        <v>11333</v>
      </c>
      <c r="J118" s="159">
        <v>50</v>
      </c>
      <c r="K118" s="159">
        <v>19</v>
      </c>
      <c r="L118" s="16">
        <f t="shared" si="12"/>
        <v>215327</v>
      </c>
      <c r="M118" s="94">
        <f t="shared" si="14"/>
        <v>351323</v>
      </c>
      <c r="N118" s="159">
        <f t="shared" si="15"/>
        <v>31</v>
      </c>
      <c r="O118" s="159"/>
      <c r="P118" s="159"/>
      <c r="Q118" s="11"/>
    </row>
    <row r="119" spans="1:17" s="114" customFormat="1">
      <c r="A119" s="180"/>
      <c r="B119" s="8" t="s">
        <v>1196</v>
      </c>
      <c r="C119" s="96">
        <v>114</v>
      </c>
      <c r="D119" s="8" t="s">
        <v>1197</v>
      </c>
      <c r="E119" s="8"/>
      <c r="F119" s="16">
        <v>500000</v>
      </c>
      <c r="G119" s="16">
        <v>66650</v>
      </c>
      <c r="H119" s="41">
        <f>SUM(F119:G119)</f>
        <v>566650</v>
      </c>
      <c r="I119" s="34">
        <v>11333</v>
      </c>
      <c r="J119" s="159">
        <v>50</v>
      </c>
      <c r="K119" s="323">
        <v>4</v>
      </c>
      <c r="L119" s="16">
        <f t="shared" si="12"/>
        <v>45332</v>
      </c>
      <c r="M119" s="94">
        <f t="shared" si="14"/>
        <v>521318</v>
      </c>
      <c r="N119" s="159">
        <f t="shared" si="15"/>
        <v>46</v>
      </c>
      <c r="O119" s="34"/>
      <c r="P119" s="34"/>
      <c r="Q119" s="8"/>
    </row>
    <row r="120" spans="1:17" s="114" customFormat="1">
      <c r="A120" s="180"/>
      <c r="B120" s="292" t="s">
        <v>609</v>
      </c>
      <c r="C120" s="96">
        <v>115</v>
      </c>
      <c r="D120" s="11" t="s">
        <v>610</v>
      </c>
      <c r="E120" s="11"/>
      <c r="F120" s="16">
        <v>500000</v>
      </c>
      <c r="G120" s="16">
        <v>66650</v>
      </c>
      <c r="H120" s="41">
        <f>SUM(F120:G120)</f>
        <v>566650</v>
      </c>
      <c r="I120" s="318">
        <v>11333</v>
      </c>
      <c r="J120" s="159">
        <v>50</v>
      </c>
      <c r="K120" s="97">
        <v>49</v>
      </c>
      <c r="L120" s="91">
        <f t="shared" si="12"/>
        <v>555317</v>
      </c>
      <c r="M120" s="94">
        <f t="shared" si="14"/>
        <v>11333</v>
      </c>
      <c r="N120" s="159">
        <f t="shared" si="15"/>
        <v>1</v>
      </c>
      <c r="O120" s="159"/>
      <c r="P120" s="97"/>
      <c r="Q120" s="8"/>
    </row>
    <row r="121" spans="1:17" s="114" customFormat="1">
      <c r="A121" s="180"/>
      <c r="B121" s="293" t="s">
        <v>1241</v>
      </c>
      <c r="C121" s="96">
        <v>116</v>
      </c>
      <c r="D121" s="123" t="s">
        <v>1242</v>
      </c>
      <c r="E121" s="123"/>
      <c r="F121" s="19">
        <v>450000</v>
      </c>
      <c r="G121" s="19">
        <v>59985</v>
      </c>
      <c r="H121" s="19">
        <v>509985</v>
      </c>
      <c r="I121" s="327">
        <v>10199.700000000001</v>
      </c>
      <c r="J121" s="159">
        <v>50</v>
      </c>
      <c r="K121" s="159">
        <v>11</v>
      </c>
      <c r="L121" s="16">
        <f t="shared" si="12"/>
        <v>112196.70000000001</v>
      </c>
      <c r="M121" s="94">
        <f t="shared" si="14"/>
        <v>397788.3</v>
      </c>
      <c r="N121" s="159">
        <f t="shared" si="15"/>
        <v>39</v>
      </c>
      <c r="O121" s="159"/>
      <c r="P121" s="159"/>
      <c r="Q121" s="8"/>
    </row>
    <row r="122" spans="1:17" s="114" customFormat="1">
      <c r="A122" s="180"/>
      <c r="B122" s="292" t="s">
        <v>524</v>
      </c>
      <c r="C122" s="96">
        <v>117</v>
      </c>
      <c r="D122" s="11" t="s">
        <v>525</v>
      </c>
      <c r="E122" s="11"/>
      <c r="F122" s="19">
        <v>330000</v>
      </c>
      <c r="G122" s="19">
        <v>43989</v>
      </c>
      <c r="H122" s="19">
        <f>SUM(F122:G122)</f>
        <v>373989</v>
      </c>
      <c r="I122" s="146">
        <v>7479.78</v>
      </c>
      <c r="J122" s="159">
        <v>50</v>
      </c>
      <c r="K122" s="159">
        <v>24</v>
      </c>
      <c r="L122" s="91">
        <f t="shared" si="12"/>
        <v>179514.72</v>
      </c>
      <c r="M122" s="94">
        <f t="shared" si="14"/>
        <v>194474.28</v>
      </c>
      <c r="N122" s="159">
        <f t="shared" si="15"/>
        <v>26</v>
      </c>
      <c r="O122" s="159"/>
      <c r="P122" s="97"/>
      <c r="Q122" s="8"/>
    </row>
    <row r="123" spans="1:17" s="114" customFormat="1">
      <c r="A123" s="180"/>
      <c r="B123" s="292" t="s">
        <v>576</v>
      </c>
      <c r="C123" s="96">
        <v>118</v>
      </c>
      <c r="D123" s="11" t="s">
        <v>927</v>
      </c>
      <c r="E123" s="11"/>
      <c r="F123" s="16">
        <v>60000</v>
      </c>
      <c r="G123" s="16">
        <v>7998</v>
      </c>
      <c r="H123" s="41">
        <f>SUM(F123:G123)</f>
        <v>67998</v>
      </c>
      <c r="I123" s="318">
        <v>1699.95</v>
      </c>
      <c r="J123" s="159">
        <v>40</v>
      </c>
      <c r="K123" s="97">
        <v>25</v>
      </c>
      <c r="L123" s="91">
        <f t="shared" si="12"/>
        <v>42498.75</v>
      </c>
      <c r="M123" s="94">
        <f t="shared" si="14"/>
        <v>25499.25</v>
      </c>
      <c r="N123" s="159">
        <f t="shared" si="15"/>
        <v>15</v>
      </c>
      <c r="O123" s="159"/>
      <c r="P123" s="97"/>
      <c r="Q123" s="8"/>
    </row>
    <row r="124" spans="1:17" s="114" customFormat="1">
      <c r="A124" s="180"/>
      <c r="B124" s="8" t="s">
        <v>1168</v>
      </c>
      <c r="C124" s="96">
        <v>119</v>
      </c>
      <c r="D124" s="11" t="s">
        <v>1169</v>
      </c>
      <c r="E124" s="8"/>
      <c r="F124" s="19">
        <v>330000</v>
      </c>
      <c r="G124" s="19">
        <v>43989</v>
      </c>
      <c r="H124" s="19">
        <f>SUM(F124:G124)</f>
        <v>373989</v>
      </c>
      <c r="I124" s="34">
        <v>7479.78</v>
      </c>
      <c r="J124" s="159">
        <v>50</v>
      </c>
      <c r="K124" s="323">
        <v>9</v>
      </c>
      <c r="L124" s="16">
        <f t="shared" si="12"/>
        <v>67318.02</v>
      </c>
      <c r="M124" s="94">
        <f t="shared" si="14"/>
        <v>306670.98</v>
      </c>
      <c r="N124" s="159">
        <f t="shared" si="15"/>
        <v>41</v>
      </c>
      <c r="O124" s="159"/>
      <c r="P124" s="159"/>
      <c r="Q124" s="8"/>
    </row>
    <row r="125" spans="1:17" s="114" customFormat="1">
      <c r="A125" s="180"/>
      <c r="B125" s="293" t="s">
        <v>1160</v>
      </c>
      <c r="C125" s="96">
        <v>120</v>
      </c>
      <c r="D125" s="123" t="s">
        <v>1161</v>
      </c>
      <c r="E125" s="123"/>
      <c r="F125" s="19">
        <v>450000</v>
      </c>
      <c r="G125" s="19">
        <v>59985</v>
      </c>
      <c r="H125" s="19">
        <v>509985</v>
      </c>
      <c r="I125" s="327">
        <v>10199.700000000001</v>
      </c>
      <c r="J125" s="159">
        <v>50</v>
      </c>
      <c r="K125" s="159">
        <v>19</v>
      </c>
      <c r="L125" s="16">
        <f t="shared" si="12"/>
        <v>193794.30000000002</v>
      </c>
      <c r="M125" s="94">
        <f t="shared" si="14"/>
        <v>316190.69999999995</v>
      </c>
      <c r="N125" s="159">
        <f t="shared" si="15"/>
        <v>31</v>
      </c>
      <c r="O125" s="159"/>
      <c r="P125" s="159"/>
      <c r="Q125" s="8"/>
    </row>
    <row r="126" spans="1:17" s="114" customFormat="1">
      <c r="B126" s="11" t="s">
        <v>1308</v>
      </c>
      <c r="C126" s="96">
        <v>121</v>
      </c>
      <c r="D126" s="11" t="s">
        <v>1309</v>
      </c>
      <c r="E126" s="335">
        <v>43466</v>
      </c>
      <c r="F126" s="19">
        <v>330000</v>
      </c>
      <c r="G126" s="19">
        <v>43989</v>
      </c>
      <c r="H126" s="19">
        <f>SUM(F126:G126)</f>
        <v>373989</v>
      </c>
      <c r="I126" s="254">
        <v>7479.78</v>
      </c>
      <c r="J126" s="159">
        <v>50</v>
      </c>
      <c r="K126" s="159">
        <v>1</v>
      </c>
      <c r="L126" s="16">
        <f t="shared" ref="L126:L131" si="16">K126*I126</f>
        <v>7479.78</v>
      </c>
      <c r="M126" s="94">
        <f t="shared" ref="M126:M131" si="17">H126-L126</f>
        <v>366509.22</v>
      </c>
      <c r="N126" s="159">
        <f t="shared" ref="N126:N131" si="18">J126-K126</f>
        <v>49</v>
      </c>
      <c r="O126" s="11"/>
      <c r="P126" s="11"/>
      <c r="Q126" s="11"/>
    </row>
    <row r="127" spans="1:17" s="114" customFormat="1">
      <c r="B127" s="11" t="s">
        <v>520</v>
      </c>
      <c r="C127" s="96">
        <v>122</v>
      </c>
      <c r="D127" s="11" t="s">
        <v>521</v>
      </c>
      <c r="E127" s="335">
        <v>43466</v>
      </c>
      <c r="F127" s="16">
        <v>500000</v>
      </c>
      <c r="G127" s="16">
        <v>66650</v>
      </c>
      <c r="H127" s="41">
        <f>SUM(F127:G127)</f>
        <v>566650</v>
      </c>
      <c r="I127" s="254">
        <v>11333</v>
      </c>
      <c r="J127" s="159">
        <v>50</v>
      </c>
      <c r="K127" s="159">
        <v>1</v>
      </c>
      <c r="L127" s="16">
        <f t="shared" si="16"/>
        <v>11333</v>
      </c>
      <c r="M127" s="94">
        <f t="shared" si="17"/>
        <v>555317</v>
      </c>
      <c r="N127" s="159">
        <f t="shared" si="18"/>
        <v>49</v>
      </c>
      <c r="O127" s="11"/>
      <c r="P127" s="11"/>
      <c r="Q127" s="11"/>
    </row>
    <row r="128" spans="1:17" s="114" customFormat="1">
      <c r="B128" s="293"/>
      <c r="C128" s="96">
        <v>123</v>
      </c>
      <c r="D128" s="123" t="s">
        <v>1270</v>
      </c>
      <c r="E128" s="123"/>
      <c r="F128" s="19">
        <v>150000</v>
      </c>
      <c r="G128" s="19">
        <v>19995</v>
      </c>
      <c r="H128" s="19">
        <f>SUM(F128:G128)</f>
        <v>169995</v>
      </c>
      <c r="I128" s="317">
        <v>3399.9</v>
      </c>
      <c r="J128" s="159">
        <v>50</v>
      </c>
      <c r="K128" s="159">
        <v>35</v>
      </c>
      <c r="L128" s="16">
        <f t="shared" si="16"/>
        <v>118996.5</v>
      </c>
      <c r="M128" s="94">
        <f t="shared" si="17"/>
        <v>50998.5</v>
      </c>
      <c r="N128" s="159">
        <f t="shared" si="18"/>
        <v>15</v>
      </c>
      <c r="O128" s="159"/>
      <c r="P128" s="159"/>
      <c r="Q128" s="11"/>
    </row>
    <row r="129" spans="2:17" s="114" customFormat="1">
      <c r="B129" s="293"/>
      <c r="C129" s="96">
        <v>124</v>
      </c>
      <c r="D129" s="123" t="s">
        <v>1272</v>
      </c>
      <c r="E129" s="123"/>
      <c r="F129" s="19">
        <v>450000</v>
      </c>
      <c r="G129" s="19">
        <v>59985</v>
      </c>
      <c r="H129" s="19">
        <v>509985</v>
      </c>
      <c r="I129" s="317">
        <v>10199.700000000001</v>
      </c>
      <c r="J129" s="159">
        <v>50</v>
      </c>
      <c r="K129" s="159">
        <v>9</v>
      </c>
      <c r="L129" s="16">
        <f t="shared" si="16"/>
        <v>91797.3</v>
      </c>
      <c r="M129" s="94">
        <f t="shared" si="17"/>
        <v>418187.7</v>
      </c>
      <c r="N129" s="159">
        <f t="shared" si="18"/>
        <v>41</v>
      </c>
      <c r="O129" s="159"/>
      <c r="P129" s="159"/>
      <c r="Q129" s="11"/>
    </row>
    <row r="130" spans="2:17" s="114" customFormat="1">
      <c r="B130" s="293"/>
      <c r="C130" s="96">
        <v>125</v>
      </c>
      <c r="D130" s="123" t="s">
        <v>1268</v>
      </c>
      <c r="E130" s="123"/>
      <c r="F130" s="16">
        <v>500000</v>
      </c>
      <c r="G130" s="16">
        <v>66650</v>
      </c>
      <c r="H130" s="41">
        <f>SUM(F130:G130)</f>
        <v>566650</v>
      </c>
      <c r="I130" s="317">
        <v>11749.67</v>
      </c>
      <c r="J130" s="159">
        <v>50</v>
      </c>
      <c r="K130" s="159">
        <v>24</v>
      </c>
      <c r="L130" s="16">
        <f t="shared" si="16"/>
        <v>281992.08</v>
      </c>
      <c r="M130" s="94">
        <f t="shared" si="17"/>
        <v>284657.91999999998</v>
      </c>
      <c r="N130" s="159">
        <f t="shared" si="18"/>
        <v>26</v>
      </c>
      <c r="O130" s="159"/>
      <c r="P130" s="159"/>
      <c r="Q130" s="11"/>
    </row>
    <row r="131" spans="2:17" s="114" customFormat="1">
      <c r="B131" s="293"/>
      <c r="C131" s="96">
        <v>126</v>
      </c>
      <c r="D131" s="123" t="s">
        <v>1269</v>
      </c>
      <c r="E131" s="123"/>
      <c r="F131" s="19">
        <v>450000</v>
      </c>
      <c r="G131" s="19">
        <v>59985</v>
      </c>
      <c r="H131" s="19">
        <v>509985</v>
      </c>
      <c r="I131" s="317">
        <v>10199.700000000001</v>
      </c>
      <c r="J131" s="159">
        <v>50</v>
      </c>
      <c r="K131" s="159">
        <v>31</v>
      </c>
      <c r="L131" s="16">
        <f t="shared" si="16"/>
        <v>316190.7</v>
      </c>
      <c r="M131" s="94">
        <f t="shared" si="17"/>
        <v>193794.3</v>
      </c>
      <c r="N131" s="159">
        <f t="shared" si="18"/>
        <v>19</v>
      </c>
      <c r="O131" s="159"/>
      <c r="P131" s="159"/>
      <c r="Q131" s="11"/>
    </row>
    <row r="132" spans="2:17" s="114" customFormat="1">
      <c r="B132" s="295"/>
      <c r="C132" s="126"/>
      <c r="D132" s="8"/>
      <c r="E132" s="8"/>
      <c r="F132" s="34">
        <f>SUM(F6:F131)</f>
        <v>52800000</v>
      </c>
      <c r="G132" s="34">
        <f>SUM(G6:G131)</f>
        <v>7025923.2000000002</v>
      </c>
      <c r="H132" s="34">
        <f>SUM(H6:H131)</f>
        <v>60025923.200000003</v>
      </c>
      <c r="I132" s="34">
        <f>SUM(I6:I131)</f>
        <v>1216687.98</v>
      </c>
      <c r="J132" s="34"/>
      <c r="K132" s="34"/>
      <c r="L132" s="34">
        <f>SUM(L6:L131)</f>
        <v>22949855.499999996</v>
      </c>
      <c r="M132" s="34">
        <f>SUM(M6:M131)</f>
        <v>37076067.699999996</v>
      </c>
      <c r="N132" s="34"/>
      <c r="O132" s="34"/>
      <c r="P132" s="34"/>
      <c r="Q132" s="8"/>
    </row>
    <row r="133" spans="2:17" s="114" customFormat="1">
      <c r="B133" s="298"/>
      <c r="C133" s="44"/>
      <c r="D133" s="44"/>
      <c r="E133" s="184"/>
      <c r="F133"/>
      <c r="G133"/>
      <c r="H133"/>
      <c r="I133"/>
      <c r="J133" s="43"/>
      <c r="K133" s="99"/>
      <c r="L133"/>
      <c r="M133"/>
      <c r="N133" s="99"/>
      <c r="O133" s="99"/>
      <c r="P133" s="99"/>
      <c r="Q133"/>
    </row>
    <row r="134" spans="2:17" s="114" customFormat="1">
      <c r="B134" s="298"/>
      <c r="C134" s="44"/>
      <c r="D134" s="44"/>
      <c r="E134" s="184"/>
      <c r="F134"/>
      <c r="G134"/>
      <c r="H134"/>
      <c r="I134" s="39"/>
      <c r="J134" s="43"/>
      <c r="K134" s="99"/>
      <c r="L134"/>
      <c r="M134"/>
      <c r="N134" s="99"/>
      <c r="O134" s="99"/>
      <c r="P134" s="99"/>
      <c r="Q134"/>
    </row>
    <row r="135" spans="2:17" s="114" customFormat="1">
      <c r="B135" s="298"/>
      <c r="C135" s="44"/>
      <c r="D135" s="44"/>
      <c r="E135" s="184"/>
      <c r="F135"/>
      <c r="G135"/>
      <c r="H135"/>
      <c r="I135"/>
      <c r="J135" s="43"/>
      <c r="K135" s="99"/>
      <c r="L135"/>
      <c r="M135"/>
      <c r="N135" s="99"/>
      <c r="O135" s="99"/>
      <c r="P135" s="99"/>
      <c r="Q135"/>
    </row>
    <row r="136" spans="2:17" s="114" customFormat="1">
      <c r="B136" s="298"/>
      <c r="C136" s="44"/>
      <c r="D136" s="44"/>
      <c r="E136" s="184"/>
      <c r="F136"/>
      <c r="G136"/>
      <c r="H136"/>
      <c r="I136"/>
      <c r="J136" s="43"/>
      <c r="K136" s="99"/>
      <c r="L136"/>
      <c r="M136"/>
      <c r="N136" s="99"/>
      <c r="O136" s="99"/>
      <c r="P136" s="99"/>
      <c r="Q136"/>
    </row>
    <row r="137" spans="2:17" s="114" customFormat="1">
      <c r="B137" s="298"/>
      <c r="C137" s="44"/>
      <c r="D137" s="44"/>
      <c r="E137" s="184"/>
      <c r="F137"/>
      <c r="G137"/>
      <c r="H137"/>
      <c r="I137"/>
      <c r="J137" s="43"/>
      <c r="K137" s="99"/>
      <c r="L137"/>
      <c r="M137"/>
      <c r="N137" s="99"/>
      <c r="O137" s="99"/>
      <c r="P137" s="99"/>
      <c r="Q137"/>
    </row>
    <row r="138" spans="2:17" s="114" customFormat="1">
      <c r="B138" s="298"/>
      <c r="C138" s="44"/>
      <c r="D138" s="44"/>
      <c r="E138" s="184"/>
      <c r="F138"/>
      <c r="G138"/>
      <c r="H138"/>
      <c r="I138"/>
      <c r="J138" s="43"/>
      <c r="K138" s="99"/>
      <c r="L138"/>
      <c r="M138"/>
      <c r="N138" s="99"/>
      <c r="O138" s="99"/>
      <c r="P138" s="99"/>
      <c r="Q138"/>
    </row>
    <row r="139" spans="2:17" s="114" customFormat="1">
      <c r="B139" s="298"/>
      <c r="C139" s="44"/>
      <c r="D139" s="44"/>
      <c r="E139" s="184"/>
      <c r="F139"/>
      <c r="G139"/>
      <c r="H139"/>
      <c r="I139"/>
      <c r="J139" s="43"/>
      <c r="K139" s="99"/>
      <c r="L139"/>
      <c r="M139"/>
      <c r="N139" s="99"/>
      <c r="O139" s="99"/>
      <c r="P139" s="99"/>
      <c r="Q139"/>
    </row>
    <row r="140" spans="2:17" s="114" customFormat="1">
      <c r="B140" s="298"/>
      <c r="C140" s="44"/>
      <c r="D140" s="44"/>
      <c r="E140" s="184"/>
      <c r="F140"/>
      <c r="G140"/>
      <c r="H140"/>
      <c r="I140"/>
      <c r="J140" s="43"/>
      <c r="K140" s="99"/>
      <c r="L140"/>
      <c r="M140"/>
      <c r="N140" s="99"/>
      <c r="O140" s="99"/>
      <c r="P140" s="99"/>
      <c r="Q140"/>
    </row>
    <row r="141" spans="2:17">
      <c r="D141" s="44"/>
    </row>
    <row r="142" spans="2:17" s="184" customFormat="1">
      <c r="B142" s="298"/>
      <c r="C142" s="44"/>
      <c r="D142" s="44"/>
      <c r="F142"/>
      <c r="G142"/>
      <c r="H142"/>
      <c r="I142"/>
      <c r="J142" s="43"/>
      <c r="K142" s="99"/>
      <c r="L142"/>
      <c r="M142"/>
      <c r="N142" s="99"/>
      <c r="O142" s="99"/>
      <c r="P142" s="99"/>
      <c r="Q142"/>
    </row>
    <row r="143" spans="2:17" s="184" customFormat="1">
      <c r="B143" s="298"/>
      <c r="C143" s="44"/>
      <c r="D143" s="44"/>
      <c r="F143"/>
      <c r="G143"/>
      <c r="H143"/>
      <c r="I143"/>
      <c r="J143" s="43"/>
      <c r="K143" s="99"/>
      <c r="L143"/>
      <c r="M143"/>
      <c r="N143" s="99"/>
      <c r="O143" s="99"/>
      <c r="P143" s="99"/>
      <c r="Q143"/>
    </row>
    <row r="144" spans="2:17" s="184" customFormat="1">
      <c r="B144" s="298"/>
      <c r="C144" s="44"/>
      <c r="D144" s="44"/>
      <c r="F144"/>
      <c r="G144"/>
      <c r="H144"/>
      <c r="I144"/>
      <c r="J144" s="43"/>
      <c r="K144" s="99"/>
      <c r="L144"/>
      <c r="M144"/>
      <c r="N144" s="99"/>
      <c r="O144" s="99"/>
      <c r="P144" s="99"/>
      <c r="Q144"/>
    </row>
    <row r="145" spans="2:17" s="184" customFormat="1">
      <c r="B145" s="298"/>
      <c r="C145" s="44"/>
      <c r="D145" s="44"/>
      <c r="F145"/>
      <c r="G145"/>
      <c r="H145"/>
      <c r="I145"/>
      <c r="J145" s="43"/>
      <c r="K145" s="99"/>
      <c r="L145"/>
      <c r="M145"/>
      <c r="N145" s="99"/>
      <c r="O145" s="99"/>
      <c r="P145" s="99"/>
      <c r="Q145"/>
    </row>
    <row r="146" spans="2:17" s="184" customFormat="1">
      <c r="B146" s="298"/>
      <c r="C146" s="44"/>
      <c r="D146" s="44"/>
      <c r="F146"/>
      <c r="G146"/>
      <c r="H146"/>
      <c r="I146"/>
      <c r="J146" s="43"/>
      <c r="K146" s="99"/>
      <c r="L146"/>
      <c r="M146"/>
      <c r="N146" s="99"/>
      <c r="O146" s="99"/>
      <c r="P146" s="99"/>
      <c r="Q146"/>
    </row>
    <row r="147" spans="2:17" s="184" customFormat="1">
      <c r="B147" s="298"/>
      <c r="C147" s="44"/>
      <c r="D147" s="44"/>
      <c r="F147"/>
      <c r="G147"/>
      <c r="H147"/>
      <c r="I147"/>
      <c r="J147" s="43"/>
      <c r="K147" s="99"/>
      <c r="L147"/>
      <c r="M147"/>
      <c r="N147" s="99"/>
      <c r="O147" s="99"/>
      <c r="P147" s="99"/>
      <c r="Q147"/>
    </row>
    <row r="148" spans="2:17" s="184" customFormat="1">
      <c r="B148" s="298"/>
      <c r="C148" s="44"/>
      <c r="D148" s="44"/>
      <c r="F148"/>
      <c r="G148"/>
      <c r="H148"/>
      <c r="I148"/>
      <c r="J148" s="43"/>
      <c r="K148" s="99"/>
      <c r="L148"/>
      <c r="M148"/>
      <c r="N148" s="99"/>
      <c r="O148" s="99"/>
      <c r="P148" s="99"/>
      <c r="Q148"/>
    </row>
    <row r="149" spans="2:17" s="184" customFormat="1">
      <c r="B149" s="298"/>
      <c r="C149" s="44"/>
      <c r="D149" s="44"/>
      <c r="F149"/>
      <c r="G149"/>
      <c r="H149"/>
      <c r="I149"/>
      <c r="J149" s="43"/>
      <c r="K149" s="99"/>
      <c r="L149"/>
      <c r="M149"/>
      <c r="N149" s="99"/>
      <c r="O149" s="99"/>
      <c r="P149" s="99"/>
      <c r="Q149"/>
    </row>
    <row r="150" spans="2:17" s="184" customFormat="1">
      <c r="B150" s="298"/>
      <c r="C150" s="44"/>
      <c r="D150" s="44"/>
      <c r="F150"/>
      <c r="G150"/>
      <c r="H150"/>
      <c r="I150"/>
      <c r="J150" s="43"/>
      <c r="K150" s="99"/>
      <c r="L150"/>
      <c r="M150"/>
      <c r="N150" s="99"/>
      <c r="O150" s="99"/>
      <c r="P150" s="99"/>
      <c r="Q150"/>
    </row>
    <row r="151" spans="2:17" s="184" customFormat="1">
      <c r="B151" s="298"/>
      <c r="C151" s="44"/>
      <c r="D151" s="44"/>
      <c r="F151"/>
      <c r="G151"/>
      <c r="H151"/>
      <c r="I151"/>
      <c r="J151" s="43"/>
      <c r="K151" s="99"/>
      <c r="L151"/>
      <c r="M151"/>
      <c r="N151" s="99"/>
      <c r="O151" s="99"/>
      <c r="P151" s="99"/>
      <c r="Q151"/>
    </row>
    <row r="152" spans="2:17" s="184" customFormat="1">
      <c r="B152" s="298"/>
      <c r="C152" s="44"/>
      <c r="D152" s="44"/>
      <c r="F152"/>
      <c r="G152"/>
      <c r="H152"/>
      <c r="I152"/>
      <c r="J152" s="43"/>
      <c r="K152" s="99"/>
      <c r="L152"/>
      <c r="M152"/>
      <c r="N152" s="99"/>
      <c r="O152" s="99"/>
      <c r="P152" s="99"/>
      <c r="Q152"/>
    </row>
    <row r="153" spans="2:17" s="184" customFormat="1">
      <c r="B153" s="298"/>
      <c r="C153" s="44"/>
      <c r="D153" s="44"/>
      <c r="F153"/>
      <c r="G153"/>
      <c r="H153"/>
      <c r="I153"/>
      <c r="J153" s="43"/>
      <c r="K153" s="99"/>
      <c r="L153"/>
      <c r="M153"/>
      <c r="N153" s="99"/>
      <c r="O153" s="99"/>
      <c r="P153" s="99"/>
      <c r="Q153"/>
    </row>
    <row r="154" spans="2:17" s="184" customFormat="1">
      <c r="B154" s="298"/>
      <c r="C154" s="44"/>
      <c r="D154" s="44"/>
      <c r="F154"/>
      <c r="G154"/>
      <c r="H154"/>
      <c r="I154"/>
      <c r="J154" s="43"/>
      <c r="K154" s="99"/>
      <c r="L154"/>
      <c r="M154"/>
      <c r="N154" s="99"/>
      <c r="O154" s="99"/>
      <c r="P154" s="99"/>
      <c r="Q154"/>
    </row>
  </sheetData>
  <sortState ref="B6:P142">
    <sortCondition ref="B6:B142"/>
  </sortState>
  <mergeCells count="2">
    <mergeCell ref="C3:Q3"/>
    <mergeCell ref="C4:Q4"/>
  </mergeCells>
  <conditionalFormatting sqref="D3:E3">
    <cfRule type="duplicateValues" dxfId="82" priority="17"/>
  </conditionalFormatting>
  <conditionalFormatting sqref="D102:E103">
    <cfRule type="duplicateValues" dxfId="81" priority="15"/>
  </conditionalFormatting>
  <conditionalFormatting sqref="B102:B103">
    <cfRule type="duplicateValues" dxfId="80" priority="14"/>
  </conditionalFormatting>
  <conditionalFormatting sqref="D102:E103">
    <cfRule type="duplicateValues" dxfId="79" priority="12"/>
    <cfRule type="duplicateValues" dxfId="78" priority="13"/>
  </conditionalFormatting>
  <conditionalFormatting sqref="D155:D1048576 D111:D112 D1:E5 E111:E113 E119:E125 E133:E1048576">
    <cfRule type="duplicateValues" dxfId="77" priority="11"/>
  </conditionalFormatting>
  <conditionalFormatting sqref="D155:D1048576 D111:D112 D4:E5 D1:E2 E111:E113 E119:E125 E133:E1048576">
    <cfRule type="duplicateValues" dxfId="76" priority="10"/>
  </conditionalFormatting>
  <conditionalFormatting sqref="D155:D1048576 D111:D112 E111:E113 E119:E125 E133:E1048576">
    <cfRule type="duplicateValues" dxfId="75" priority="9"/>
  </conditionalFormatting>
  <conditionalFormatting sqref="D155:D1048576 D128:E132 D110:D112 D100:E103 D109:E109 D1:E94 E110:E113 E119:E125 E133:E1048576">
    <cfRule type="duplicateValues" dxfId="74" priority="7"/>
  </conditionalFormatting>
  <conditionalFormatting sqref="D155:D1048576 D128:E132 D110:D112 D100:E103 D109:E109 D1:E94 E110:E113 E119:E125 E133:E1048576">
    <cfRule type="duplicateValues" dxfId="73" priority="5"/>
    <cfRule type="duplicateValues" dxfId="72" priority="6"/>
  </conditionalFormatting>
  <conditionalFormatting sqref="D128:E131">
    <cfRule type="duplicateValues" dxfId="71" priority="3"/>
    <cfRule type="duplicateValues" dxfId="70" priority="4"/>
  </conditionalFormatting>
  <conditionalFormatting sqref="D128:E131">
    <cfRule type="duplicateValues" dxfId="69" priority="2"/>
  </conditionalFormatting>
  <conditionalFormatting sqref="B128:B131">
    <cfRule type="duplicateValues" dxfId="68" priority="1"/>
  </conditionalFormatting>
  <conditionalFormatting sqref="B109:B113 B1:B94 B100:B103 B119:B125 B128:B1048576">
    <cfRule type="duplicateValues" dxfId="67" priority="114"/>
  </conditionalFormatting>
  <conditionalFormatting sqref="D109:D113 D1:D103 D119:D125 D128:D1048576">
    <cfRule type="duplicateValues" dxfId="66" priority="121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3:Q149"/>
  <sheetViews>
    <sheetView topLeftCell="A103" workbookViewId="0">
      <selection activeCell="L131" sqref="L131:M131"/>
    </sheetView>
  </sheetViews>
  <sheetFormatPr defaultRowHeight="15"/>
  <cols>
    <col min="1" max="1" width="11.28515625" bestFit="1" customWidth="1"/>
    <col min="2" max="2" width="17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</cols>
  <sheetData>
    <row r="3" spans="1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1:17" ht="18">
      <c r="B4" s="324"/>
      <c r="C4" s="424" t="s">
        <v>1310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1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1:17" s="114" customFormat="1">
      <c r="A6" s="180"/>
      <c r="B6" s="11" t="s">
        <v>1144</v>
      </c>
      <c r="C6" s="96">
        <v>1</v>
      </c>
      <c r="D6" s="11" t="s">
        <v>1145</v>
      </c>
      <c r="E6" s="11"/>
      <c r="F6" s="19">
        <v>330000</v>
      </c>
      <c r="G6" s="19">
        <v>43989</v>
      </c>
      <c r="H6" s="19">
        <f>SUM(F6:G6)</f>
        <v>373989</v>
      </c>
      <c r="I6" s="254">
        <v>7479.78</v>
      </c>
      <c r="J6" s="159">
        <v>50</v>
      </c>
      <c r="K6" s="159">
        <v>5</v>
      </c>
      <c r="L6" s="16">
        <f t="shared" ref="L6:L25" si="0">K6*I6</f>
        <v>37398.9</v>
      </c>
      <c r="M6" s="94">
        <f t="shared" ref="M6:M37" si="1">H6-L6</f>
        <v>336590.1</v>
      </c>
      <c r="N6" s="159">
        <f t="shared" ref="N6:N37" si="2">J6-K6</f>
        <v>45</v>
      </c>
      <c r="O6" s="11"/>
      <c r="P6" s="11"/>
      <c r="Q6" s="11"/>
    </row>
    <row r="7" spans="1:17" s="114" customFormat="1">
      <c r="A7" s="180"/>
      <c r="B7" s="11" t="s">
        <v>1304</v>
      </c>
      <c r="C7" s="96">
        <v>2</v>
      </c>
      <c r="D7" s="11" t="s">
        <v>1305</v>
      </c>
      <c r="E7" s="11"/>
      <c r="F7" s="19">
        <v>150000</v>
      </c>
      <c r="G7" s="19">
        <v>19995</v>
      </c>
      <c r="H7" s="19">
        <f>SUM(F7:G7)</f>
        <v>169995</v>
      </c>
      <c r="I7" s="254">
        <v>3399.9</v>
      </c>
      <c r="J7" s="159">
        <v>50</v>
      </c>
      <c r="K7" s="159">
        <v>7</v>
      </c>
      <c r="L7" s="16">
        <f t="shared" si="0"/>
        <v>23799.3</v>
      </c>
      <c r="M7" s="94">
        <f t="shared" si="1"/>
        <v>146195.70000000001</v>
      </c>
      <c r="N7" s="159">
        <f t="shared" si="2"/>
        <v>43</v>
      </c>
      <c r="O7" s="11"/>
      <c r="P7" s="11"/>
      <c r="Q7" s="11"/>
    </row>
    <row r="8" spans="1:17" s="114" customFormat="1">
      <c r="A8" s="180"/>
      <c r="B8" s="293" t="s">
        <v>896</v>
      </c>
      <c r="C8" s="96">
        <v>3</v>
      </c>
      <c r="D8" s="123" t="s">
        <v>919</v>
      </c>
      <c r="E8" s="123"/>
      <c r="F8" s="19">
        <v>450000</v>
      </c>
      <c r="G8" s="19">
        <v>59985</v>
      </c>
      <c r="H8" s="19">
        <v>509985</v>
      </c>
      <c r="I8" s="327">
        <v>10199.700000000001</v>
      </c>
      <c r="J8" s="159">
        <v>50</v>
      </c>
      <c r="K8" s="159">
        <v>20</v>
      </c>
      <c r="L8" s="16">
        <f t="shared" si="0"/>
        <v>203994</v>
      </c>
      <c r="M8" s="94">
        <f t="shared" si="1"/>
        <v>305991</v>
      </c>
      <c r="N8" s="159">
        <f t="shared" si="2"/>
        <v>30</v>
      </c>
      <c r="O8" s="159"/>
      <c r="P8" s="159"/>
      <c r="Q8" s="11"/>
    </row>
    <row r="9" spans="1:17" s="114" customFormat="1">
      <c r="A9" s="180"/>
      <c r="B9" s="295" t="s">
        <v>945</v>
      </c>
      <c r="C9" s="96">
        <v>4</v>
      </c>
      <c r="D9" s="11" t="s">
        <v>946</v>
      </c>
      <c r="E9" s="8"/>
      <c r="F9" s="16">
        <v>500000</v>
      </c>
      <c r="G9" s="16">
        <v>66650</v>
      </c>
      <c r="H9" s="41">
        <f>SUM(F9:G9)</f>
        <v>566650</v>
      </c>
      <c r="I9" s="319">
        <v>11333</v>
      </c>
      <c r="J9" s="159">
        <v>50</v>
      </c>
      <c r="K9" s="159">
        <v>20</v>
      </c>
      <c r="L9" s="16">
        <f t="shared" si="0"/>
        <v>226660</v>
      </c>
      <c r="M9" s="94">
        <f t="shared" si="1"/>
        <v>339990</v>
      </c>
      <c r="N9" s="159">
        <f t="shared" si="2"/>
        <v>30</v>
      </c>
      <c r="O9" s="159"/>
      <c r="P9" s="97"/>
      <c r="Q9" s="11"/>
    </row>
    <row r="10" spans="1:17" s="114" customFormat="1">
      <c r="A10" s="180"/>
      <c r="B10" s="293" t="s">
        <v>929</v>
      </c>
      <c r="C10" s="96">
        <v>5</v>
      </c>
      <c r="D10" s="11" t="s">
        <v>932</v>
      </c>
      <c r="E10" s="11"/>
      <c r="F10" s="16">
        <v>500000</v>
      </c>
      <c r="G10" s="16">
        <v>66650</v>
      </c>
      <c r="H10" s="41">
        <f>SUM(F10:G10)</f>
        <v>566650</v>
      </c>
      <c r="I10" s="327">
        <v>11333</v>
      </c>
      <c r="J10" s="159">
        <v>50</v>
      </c>
      <c r="K10" s="159">
        <v>50</v>
      </c>
      <c r="L10" s="16">
        <f t="shared" si="0"/>
        <v>566650</v>
      </c>
      <c r="M10" s="94">
        <f t="shared" si="1"/>
        <v>0</v>
      </c>
      <c r="N10" s="159">
        <f t="shared" si="2"/>
        <v>0</v>
      </c>
      <c r="O10" s="159"/>
      <c r="P10" s="159"/>
      <c r="Q10" s="11"/>
    </row>
    <row r="11" spans="1:17" s="114" customFormat="1">
      <c r="A11" s="180"/>
      <c r="B11" s="293" t="s">
        <v>1207</v>
      </c>
      <c r="C11" s="96">
        <v>6</v>
      </c>
      <c r="D11" s="123" t="s">
        <v>1208</v>
      </c>
      <c r="E11" s="123"/>
      <c r="F11" s="19">
        <v>330000</v>
      </c>
      <c r="G11" s="19">
        <v>43989</v>
      </c>
      <c r="H11" s="19">
        <f>SUM(F11:G11)</f>
        <v>373989</v>
      </c>
      <c r="I11" s="327">
        <v>7479.78</v>
      </c>
      <c r="J11" s="159">
        <v>50</v>
      </c>
      <c r="K11" s="159">
        <v>12</v>
      </c>
      <c r="L11" s="16">
        <f t="shared" si="0"/>
        <v>89757.36</v>
      </c>
      <c r="M11" s="94">
        <f t="shared" si="1"/>
        <v>284231.64</v>
      </c>
      <c r="N11" s="159">
        <f t="shared" si="2"/>
        <v>38</v>
      </c>
      <c r="O11" s="159"/>
      <c r="P11" s="159"/>
      <c r="Q11" s="11"/>
    </row>
    <row r="12" spans="1:17" s="114" customFormat="1">
      <c r="A12" s="180"/>
      <c r="B12" s="292" t="s">
        <v>690</v>
      </c>
      <c r="C12" s="96">
        <v>7</v>
      </c>
      <c r="D12" s="11" t="s">
        <v>691</v>
      </c>
      <c r="E12" s="11"/>
      <c r="F12" s="16">
        <v>500000</v>
      </c>
      <c r="G12" s="16">
        <v>66650</v>
      </c>
      <c r="H12" s="41">
        <f>SUM(F12:G12)</f>
        <v>566650</v>
      </c>
      <c r="I12" s="318">
        <v>11333</v>
      </c>
      <c r="J12" s="159">
        <v>50</v>
      </c>
      <c r="K12" s="159">
        <v>23</v>
      </c>
      <c r="L12" s="91">
        <f t="shared" si="0"/>
        <v>260659</v>
      </c>
      <c r="M12" s="94">
        <f t="shared" si="1"/>
        <v>305991</v>
      </c>
      <c r="N12" s="159">
        <f t="shared" si="2"/>
        <v>27</v>
      </c>
      <c r="O12" s="159"/>
      <c r="P12" s="97"/>
      <c r="Q12" s="8"/>
    </row>
    <row r="13" spans="1:17" s="114" customFormat="1">
      <c r="A13" s="180"/>
      <c r="B13" s="293" t="s">
        <v>1162</v>
      </c>
      <c r="C13" s="96">
        <v>8</v>
      </c>
      <c r="D13" s="123" t="s">
        <v>1163</v>
      </c>
      <c r="E13" s="123"/>
      <c r="F13" s="16">
        <v>500000</v>
      </c>
      <c r="G13" s="16">
        <v>66650</v>
      </c>
      <c r="H13" s="41">
        <f>SUM(F13:G13)</f>
        <v>566650</v>
      </c>
      <c r="I13" s="327">
        <v>11333</v>
      </c>
      <c r="J13" s="159">
        <v>50</v>
      </c>
      <c r="K13" s="159">
        <v>12</v>
      </c>
      <c r="L13" s="16">
        <f t="shared" si="0"/>
        <v>135996</v>
      </c>
      <c r="M13" s="94">
        <f t="shared" si="1"/>
        <v>430654</v>
      </c>
      <c r="N13" s="159">
        <f t="shared" si="2"/>
        <v>38</v>
      </c>
      <c r="O13" s="159"/>
      <c r="P13" s="159"/>
      <c r="Q13" s="11"/>
    </row>
    <row r="14" spans="1:17" s="114" customFormat="1">
      <c r="A14" s="180"/>
      <c r="B14" s="295" t="s">
        <v>1245</v>
      </c>
      <c r="C14" s="96">
        <v>9</v>
      </c>
      <c r="D14" s="126" t="s">
        <v>1246</v>
      </c>
      <c r="E14" s="8"/>
      <c r="F14" s="19">
        <v>450000</v>
      </c>
      <c r="G14" s="19">
        <v>59985</v>
      </c>
      <c r="H14" s="19">
        <v>509985</v>
      </c>
      <c r="I14" s="13">
        <v>10199.700000000001</v>
      </c>
      <c r="J14" s="159">
        <v>50</v>
      </c>
      <c r="K14" s="101">
        <v>3</v>
      </c>
      <c r="L14" s="16">
        <f t="shared" si="0"/>
        <v>30599.100000000002</v>
      </c>
      <c r="M14" s="94">
        <f t="shared" si="1"/>
        <v>479385.9</v>
      </c>
      <c r="N14" s="159">
        <f t="shared" si="2"/>
        <v>47</v>
      </c>
      <c r="O14" s="101"/>
      <c r="P14" s="101"/>
      <c r="Q14" s="11"/>
    </row>
    <row r="15" spans="1:17" s="114" customFormat="1">
      <c r="A15" s="180"/>
      <c r="B15" s="11" t="s">
        <v>1253</v>
      </c>
      <c r="C15" s="96">
        <v>10</v>
      </c>
      <c r="D15" s="11" t="s">
        <v>1254</v>
      </c>
      <c r="E15" s="11"/>
      <c r="F15" s="16">
        <v>500000</v>
      </c>
      <c r="G15" s="16">
        <v>66650</v>
      </c>
      <c r="H15" s="41">
        <f t="shared" ref="H15:H20" si="3">SUM(F15:G15)</f>
        <v>566650</v>
      </c>
      <c r="I15" s="16">
        <v>11333</v>
      </c>
      <c r="J15" s="159">
        <v>50</v>
      </c>
      <c r="K15" s="159">
        <v>10</v>
      </c>
      <c r="L15" s="16">
        <f t="shared" si="0"/>
        <v>113330</v>
      </c>
      <c r="M15" s="94">
        <f t="shared" si="1"/>
        <v>453320</v>
      </c>
      <c r="N15" s="159">
        <f t="shared" si="2"/>
        <v>40</v>
      </c>
      <c r="O15" s="159"/>
      <c r="P15" s="159"/>
      <c r="Q15" s="11"/>
    </row>
    <row r="16" spans="1:17" s="114" customFormat="1">
      <c r="A16" s="180"/>
      <c r="B16" s="295" t="s">
        <v>1211</v>
      </c>
      <c r="C16" s="96">
        <v>11</v>
      </c>
      <c r="D16" s="126" t="s">
        <v>1212</v>
      </c>
      <c r="E16" s="8"/>
      <c r="F16" s="16">
        <v>500000</v>
      </c>
      <c r="G16" s="16">
        <v>66650</v>
      </c>
      <c r="H16" s="41">
        <f t="shared" si="3"/>
        <v>566650</v>
      </c>
      <c r="I16" s="13">
        <v>11333</v>
      </c>
      <c r="J16" s="159">
        <v>50</v>
      </c>
      <c r="K16" s="101">
        <v>3</v>
      </c>
      <c r="L16" s="16">
        <f t="shared" si="0"/>
        <v>33999</v>
      </c>
      <c r="M16" s="94">
        <f t="shared" si="1"/>
        <v>532651</v>
      </c>
      <c r="N16" s="159">
        <f t="shared" si="2"/>
        <v>47</v>
      </c>
      <c r="O16" s="101"/>
      <c r="P16" s="101"/>
      <c r="Q16" s="11"/>
    </row>
    <row r="17" spans="1:17" s="114" customFormat="1">
      <c r="A17" s="180"/>
      <c r="B17" s="292" t="s">
        <v>645</v>
      </c>
      <c r="C17" s="96">
        <v>12</v>
      </c>
      <c r="D17" s="11" t="s">
        <v>646</v>
      </c>
      <c r="E17" s="11"/>
      <c r="F17" s="16">
        <v>500000</v>
      </c>
      <c r="G17" s="16">
        <v>66650</v>
      </c>
      <c r="H17" s="41">
        <f t="shared" si="3"/>
        <v>566650</v>
      </c>
      <c r="I17" s="318">
        <v>11333</v>
      </c>
      <c r="J17" s="159">
        <v>50</v>
      </c>
      <c r="K17" s="97">
        <v>50</v>
      </c>
      <c r="L17" s="91">
        <f t="shared" si="0"/>
        <v>566650</v>
      </c>
      <c r="M17" s="94">
        <f t="shared" si="1"/>
        <v>0</v>
      </c>
      <c r="N17" s="159">
        <f t="shared" si="2"/>
        <v>0</v>
      </c>
      <c r="O17" s="159"/>
      <c r="P17" s="97"/>
      <c r="Q17" s="123"/>
    </row>
    <row r="18" spans="1:17" s="114" customFormat="1">
      <c r="A18" s="180"/>
      <c r="B18" s="293" t="s">
        <v>885</v>
      </c>
      <c r="C18" s="96">
        <v>13</v>
      </c>
      <c r="D18" s="123" t="s">
        <v>907</v>
      </c>
      <c r="E18" s="123"/>
      <c r="F18" s="16">
        <v>500000</v>
      </c>
      <c r="G18" s="16">
        <v>66650</v>
      </c>
      <c r="H18" s="41">
        <f t="shared" si="3"/>
        <v>566650</v>
      </c>
      <c r="I18" s="327">
        <v>11333</v>
      </c>
      <c r="J18" s="159">
        <v>50</v>
      </c>
      <c r="K18" s="159">
        <v>20</v>
      </c>
      <c r="L18" s="16">
        <f t="shared" si="0"/>
        <v>226660</v>
      </c>
      <c r="M18" s="94">
        <f t="shared" si="1"/>
        <v>339990</v>
      </c>
      <c r="N18" s="159">
        <f t="shared" si="2"/>
        <v>30</v>
      </c>
      <c r="O18" s="159"/>
      <c r="P18" s="159"/>
      <c r="Q18" s="11"/>
    </row>
    <row r="19" spans="1:17" s="114" customFormat="1">
      <c r="A19" s="180"/>
      <c r="B19" s="295" t="s">
        <v>930</v>
      </c>
      <c r="C19" s="96">
        <v>14</v>
      </c>
      <c r="D19" s="11" t="s">
        <v>933</v>
      </c>
      <c r="E19" s="8"/>
      <c r="F19" s="19">
        <v>330000</v>
      </c>
      <c r="G19" s="19">
        <v>31672.200000000012</v>
      </c>
      <c r="H19" s="19">
        <f t="shared" si="3"/>
        <v>361672.2</v>
      </c>
      <c r="I19" s="319">
        <v>10046.450000000001</v>
      </c>
      <c r="J19" s="159">
        <v>36</v>
      </c>
      <c r="K19" s="159">
        <v>24</v>
      </c>
      <c r="L19" s="16">
        <f t="shared" si="0"/>
        <v>241114.80000000002</v>
      </c>
      <c r="M19" s="94">
        <f t="shared" si="1"/>
        <v>120557.4</v>
      </c>
      <c r="N19" s="159">
        <f t="shared" si="2"/>
        <v>12</v>
      </c>
      <c r="O19" s="159"/>
      <c r="P19" s="159"/>
      <c r="Q19" s="11"/>
    </row>
    <row r="20" spans="1:17" s="114" customFormat="1">
      <c r="A20" s="180"/>
      <c r="B20" s="293" t="s">
        <v>1249</v>
      </c>
      <c r="C20" s="96">
        <v>15</v>
      </c>
      <c r="D20" s="11" t="s">
        <v>1250</v>
      </c>
      <c r="E20" s="11"/>
      <c r="F20" s="19">
        <v>330000</v>
      </c>
      <c r="G20" s="19">
        <v>43989</v>
      </c>
      <c r="H20" s="19">
        <f t="shared" si="3"/>
        <v>373989</v>
      </c>
      <c r="I20" s="327">
        <v>7479.78</v>
      </c>
      <c r="J20" s="159">
        <v>50</v>
      </c>
      <c r="K20" s="96">
        <v>13</v>
      </c>
      <c r="L20" s="91">
        <f t="shared" si="0"/>
        <v>97237.14</v>
      </c>
      <c r="M20" s="94">
        <f t="shared" si="1"/>
        <v>276751.86</v>
      </c>
      <c r="N20" s="159">
        <f t="shared" si="2"/>
        <v>37</v>
      </c>
      <c r="O20" s="159"/>
      <c r="P20" s="97"/>
      <c r="Q20" s="11"/>
    </row>
    <row r="21" spans="1:17" s="114" customFormat="1">
      <c r="A21" s="180"/>
      <c r="B21" s="292" t="s">
        <v>509</v>
      </c>
      <c r="C21" s="96">
        <v>16</v>
      </c>
      <c r="D21" s="11" t="s">
        <v>510</v>
      </c>
      <c r="E21" s="11"/>
      <c r="F21" s="19">
        <v>450000</v>
      </c>
      <c r="G21" s="19">
        <v>59985</v>
      </c>
      <c r="H21" s="19">
        <v>509985</v>
      </c>
      <c r="I21" s="318">
        <v>10199.700000000001</v>
      </c>
      <c r="J21" s="159">
        <v>50</v>
      </c>
      <c r="K21" s="97">
        <v>37</v>
      </c>
      <c r="L21" s="91">
        <f t="shared" si="0"/>
        <v>377388.9</v>
      </c>
      <c r="M21" s="91">
        <f t="shared" si="1"/>
        <v>132596.09999999998</v>
      </c>
      <c r="N21" s="159">
        <f t="shared" si="2"/>
        <v>13</v>
      </c>
      <c r="O21" s="159"/>
      <c r="P21" s="97"/>
      <c r="Q21" s="11"/>
    </row>
    <row r="22" spans="1:17" s="114" customFormat="1">
      <c r="A22" s="180"/>
      <c r="B22" s="293" t="s">
        <v>902</v>
      </c>
      <c r="C22" s="96">
        <v>17</v>
      </c>
      <c r="D22" s="123" t="s">
        <v>926</v>
      </c>
      <c r="E22" s="123"/>
      <c r="F22" s="19">
        <v>150000</v>
      </c>
      <c r="G22" s="19">
        <v>19995</v>
      </c>
      <c r="H22" s="19">
        <f>SUM(F22:G22)</f>
        <v>169995</v>
      </c>
      <c r="I22" s="327">
        <v>3399.9</v>
      </c>
      <c r="J22" s="159">
        <v>50</v>
      </c>
      <c r="K22" s="159">
        <v>20</v>
      </c>
      <c r="L22" s="16">
        <f t="shared" si="0"/>
        <v>67998</v>
      </c>
      <c r="M22" s="94">
        <f t="shared" si="1"/>
        <v>101997</v>
      </c>
      <c r="N22" s="159">
        <f t="shared" si="2"/>
        <v>30</v>
      </c>
      <c r="O22" s="159"/>
      <c r="P22" s="159"/>
      <c r="Q22" s="11"/>
    </row>
    <row r="23" spans="1:17" s="114" customFormat="1">
      <c r="A23" s="180"/>
      <c r="B23" s="292" t="s">
        <v>719</v>
      </c>
      <c r="C23" s="96">
        <v>18</v>
      </c>
      <c r="D23" s="11" t="s">
        <v>720</v>
      </c>
      <c r="E23" s="11"/>
      <c r="F23" s="16">
        <v>500000</v>
      </c>
      <c r="G23" s="16">
        <v>66650</v>
      </c>
      <c r="H23" s="16">
        <v>566650</v>
      </c>
      <c r="I23" s="318">
        <v>11333</v>
      </c>
      <c r="J23" s="159">
        <v>50</v>
      </c>
      <c r="K23" s="101">
        <v>25</v>
      </c>
      <c r="L23" s="91">
        <f t="shared" si="0"/>
        <v>283325</v>
      </c>
      <c r="M23" s="94">
        <f t="shared" si="1"/>
        <v>283325</v>
      </c>
      <c r="N23" s="159">
        <f t="shared" si="2"/>
        <v>25</v>
      </c>
      <c r="O23" s="159"/>
      <c r="P23" s="97"/>
      <c r="Q23" s="11"/>
    </row>
    <row r="24" spans="1:17" s="114" customFormat="1">
      <c r="A24" s="180"/>
      <c r="B24" s="292" t="s">
        <v>507</v>
      </c>
      <c r="C24" s="96">
        <v>19</v>
      </c>
      <c r="D24" s="11" t="s">
        <v>508</v>
      </c>
      <c r="E24" s="11"/>
      <c r="F24" s="16">
        <v>500000</v>
      </c>
      <c r="G24" s="16">
        <v>66650</v>
      </c>
      <c r="H24" s="16">
        <v>566650</v>
      </c>
      <c r="I24" s="318">
        <v>11333</v>
      </c>
      <c r="J24" s="159">
        <v>50</v>
      </c>
      <c r="K24" s="97">
        <v>37</v>
      </c>
      <c r="L24" s="91">
        <f t="shared" si="0"/>
        <v>419321</v>
      </c>
      <c r="M24" s="91">
        <f t="shared" si="1"/>
        <v>147329</v>
      </c>
      <c r="N24" s="159">
        <f t="shared" si="2"/>
        <v>13</v>
      </c>
      <c r="O24" s="159"/>
      <c r="P24" s="97"/>
      <c r="Q24" s="11"/>
    </row>
    <row r="25" spans="1:17" s="114" customFormat="1">
      <c r="A25" s="180"/>
      <c r="B25" s="292" t="s">
        <v>726</v>
      </c>
      <c r="C25" s="96">
        <v>20</v>
      </c>
      <c r="D25" s="11" t="s">
        <v>727</v>
      </c>
      <c r="E25" s="11"/>
      <c r="F25" s="19">
        <v>500000</v>
      </c>
      <c r="G25" s="19">
        <v>66650</v>
      </c>
      <c r="H25" s="19">
        <v>566650</v>
      </c>
      <c r="I25" s="318">
        <v>11333</v>
      </c>
      <c r="J25" s="159">
        <v>50</v>
      </c>
      <c r="K25" s="97">
        <v>37</v>
      </c>
      <c r="L25" s="91">
        <f t="shared" si="0"/>
        <v>419321</v>
      </c>
      <c r="M25" s="91">
        <f t="shared" si="1"/>
        <v>147329</v>
      </c>
      <c r="N25" s="159">
        <f t="shared" si="2"/>
        <v>13</v>
      </c>
      <c r="O25" s="159"/>
      <c r="P25" s="97"/>
      <c r="Q25" s="11"/>
    </row>
    <row r="26" spans="1:17" s="114" customFormat="1">
      <c r="A26" s="180"/>
      <c r="B26" s="292" t="s">
        <v>647</v>
      </c>
      <c r="C26" s="96">
        <v>21</v>
      </c>
      <c r="D26" s="11" t="s">
        <v>648</v>
      </c>
      <c r="E26" s="11"/>
      <c r="F26" s="16">
        <v>500000</v>
      </c>
      <c r="G26" s="16">
        <v>66650</v>
      </c>
      <c r="H26" s="41">
        <f>SUM(F26:G26)</f>
        <v>566650</v>
      </c>
      <c r="I26" s="318">
        <v>11333</v>
      </c>
      <c r="J26" s="159">
        <v>50</v>
      </c>
      <c r="K26" s="97">
        <v>29</v>
      </c>
      <c r="L26" s="91">
        <f>(1*11333)</f>
        <v>11333</v>
      </c>
      <c r="M26" s="91">
        <f t="shared" si="1"/>
        <v>555317</v>
      </c>
      <c r="N26" s="159">
        <f t="shared" si="2"/>
        <v>21</v>
      </c>
      <c r="O26" s="159"/>
      <c r="P26" s="97"/>
      <c r="Q26" s="11"/>
    </row>
    <row r="27" spans="1:17" s="114" customFormat="1">
      <c r="A27" s="180"/>
      <c r="B27" s="292" t="s">
        <v>698</v>
      </c>
      <c r="C27" s="96">
        <v>22</v>
      </c>
      <c r="D27" s="11" t="s">
        <v>699</v>
      </c>
      <c r="E27" s="11"/>
      <c r="F27" s="19">
        <v>500000</v>
      </c>
      <c r="G27" s="19">
        <v>66650</v>
      </c>
      <c r="H27" s="19">
        <v>566650</v>
      </c>
      <c r="I27" s="318">
        <v>11333</v>
      </c>
      <c r="J27" s="159">
        <v>50</v>
      </c>
      <c r="K27" s="97">
        <v>37</v>
      </c>
      <c r="L27" s="91">
        <f>K27*I27</f>
        <v>419321</v>
      </c>
      <c r="M27" s="91">
        <f t="shared" si="1"/>
        <v>147329</v>
      </c>
      <c r="N27" s="159">
        <f t="shared" si="2"/>
        <v>13</v>
      </c>
      <c r="O27" s="159"/>
      <c r="P27" s="97"/>
      <c r="Q27" s="8"/>
    </row>
    <row r="28" spans="1:17" s="114" customFormat="1">
      <c r="A28" s="180"/>
      <c r="B28" s="11" t="s">
        <v>1227</v>
      </c>
      <c r="C28" s="96">
        <v>23</v>
      </c>
      <c r="D28" s="11" t="s">
        <v>1228</v>
      </c>
      <c r="E28" s="11"/>
      <c r="F28" s="16">
        <v>500000</v>
      </c>
      <c r="G28" s="16">
        <v>66650</v>
      </c>
      <c r="H28" s="41">
        <f>SUM(F28:G28)</f>
        <v>566650</v>
      </c>
      <c r="I28" s="16">
        <v>11333</v>
      </c>
      <c r="J28" s="159">
        <v>50</v>
      </c>
      <c r="K28" s="159">
        <v>10</v>
      </c>
      <c r="L28" s="16">
        <f>K28*I28</f>
        <v>113330</v>
      </c>
      <c r="M28" s="94">
        <f t="shared" si="1"/>
        <v>453320</v>
      </c>
      <c r="N28" s="159">
        <f t="shared" si="2"/>
        <v>40</v>
      </c>
      <c r="O28" s="159"/>
      <c r="P28" s="159"/>
      <c r="Q28" s="11"/>
    </row>
    <row r="29" spans="1:17" s="114" customFormat="1">
      <c r="A29" s="180"/>
      <c r="B29" s="292" t="s">
        <v>551</v>
      </c>
      <c r="C29" s="96">
        <v>24</v>
      </c>
      <c r="D29" s="11" t="s">
        <v>552</v>
      </c>
      <c r="E29" s="11"/>
      <c r="F29" s="19">
        <v>500000</v>
      </c>
      <c r="G29" s="19">
        <v>66650</v>
      </c>
      <c r="H29" s="19">
        <v>566650</v>
      </c>
      <c r="I29" s="318">
        <v>11333</v>
      </c>
      <c r="J29" s="159">
        <v>50</v>
      </c>
      <c r="K29" s="97">
        <v>37</v>
      </c>
      <c r="L29" s="91">
        <f>K29*I29</f>
        <v>419321</v>
      </c>
      <c r="M29" s="91">
        <f t="shared" si="1"/>
        <v>147329</v>
      </c>
      <c r="N29" s="159">
        <f t="shared" si="2"/>
        <v>13</v>
      </c>
      <c r="O29" s="159"/>
      <c r="P29" s="97"/>
      <c r="Q29" s="8"/>
    </row>
    <row r="30" spans="1:17" s="114" customFormat="1">
      <c r="A30" s="180"/>
      <c r="B30" s="293" t="s">
        <v>1231</v>
      </c>
      <c r="C30" s="96">
        <v>25</v>
      </c>
      <c r="D30" s="123" t="s">
        <v>1232</v>
      </c>
      <c r="E30" s="123"/>
      <c r="F30" s="19">
        <v>450000</v>
      </c>
      <c r="G30" s="19">
        <v>59985</v>
      </c>
      <c r="H30" s="19">
        <v>509985</v>
      </c>
      <c r="I30" s="327">
        <v>10199.700000000001</v>
      </c>
      <c r="J30" s="159">
        <v>50</v>
      </c>
      <c r="K30" s="159">
        <v>12</v>
      </c>
      <c r="L30" s="16">
        <f>K30*I30</f>
        <v>122396.40000000001</v>
      </c>
      <c r="M30" s="94">
        <f t="shared" si="1"/>
        <v>387588.6</v>
      </c>
      <c r="N30" s="159">
        <f t="shared" si="2"/>
        <v>38</v>
      </c>
      <c r="O30" s="159"/>
      <c r="P30" s="159"/>
      <c r="Q30" s="11"/>
    </row>
    <row r="31" spans="1:17" s="114" customFormat="1">
      <c r="A31" s="180"/>
      <c r="B31" s="292" t="s">
        <v>534</v>
      </c>
      <c r="C31" s="96">
        <v>26</v>
      </c>
      <c r="D31" s="11" t="s">
        <v>535</v>
      </c>
      <c r="E31" s="11"/>
      <c r="F31" s="16">
        <v>450000</v>
      </c>
      <c r="G31" s="16">
        <v>59985</v>
      </c>
      <c r="H31" s="16">
        <v>509985</v>
      </c>
      <c r="I31" s="318">
        <v>10199.700000000001</v>
      </c>
      <c r="J31" s="159">
        <v>50</v>
      </c>
      <c r="K31" s="97">
        <v>29</v>
      </c>
      <c r="L31" s="91">
        <f>(1*10199.7)</f>
        <v>10199.700000000001</v>
      </c>
      <c r="M31" s="94">
        <f t="shared" si="1"/>
        <v>499785.3</v>
      </c>
      <c r="N31" s="159">
        <f t="shared" si="2"/>
        <v>21</v>
      </c>
      <c r="O31" s="159"/>
      <c r="P31" s="97"/>
      <c r="Q31" s="11"/>
    </row>
    <row r="32" spans="1:17" s="114" customFormat="1">
      <c r="A32" s="180"/>
      <c r="B32" s="295" t="s">
        <v>1203</v>
      </c>
      <c r="C32" s="96">
        <v>27</v>
      </c>
      <c r="D32" s="126" t="s">
        <v>1204</v>
      </c>
      <c r="E32" s="8"/>
      <c r="F32" s="16">
        <v>500000</v>
      </c>
      <c r="G32" s="16">
        <v>66650</v>
      </c>
      <c r="H32" s="41">
        <f>SUM(F32:G32)</f>
        <v>566650</v>
      </c>
      <c r="I32" s="13">
        <v>11333</v>
      </c>
      <c r="J32" s="159">
        <v>50</v>
      </c>
      <c r="K32" s="101">
        <v>3</v>
      </c>
      <c r="L32" s="16">
        <f t="shared" ref="L32:L62" si="4">K32*I32</f>
        <v>33999</v>
      </c>
      <c r="M32" s="94">
        <f t="shared" si="1"/>
        <v>532651</v>
      </c>
      <c r="N32" s="159">
        <f t="shared" si="2"/>
        <v>47</v>
      </c>
      <c r="O32" s="101"/>
      <c r="P32" s="101"/>
      <c r="Q32" s="11"/>
    </row>
    <row r="33" spans="1:17" s="114" customFormat="1">
      <c r="A33" s="180"/>
      <c r="B33" s="293" t="s">
        <v>899</v>
      </c>
      <c r="C33" s="96">
        <v>28</v>
      </c>
      <c r="D33" s="123" t="s">
        <v>922</v>
      </c>
      <c r="E33" s="123"/>
      <c r="F33" s="19">
        <v>330000</v>
      </c>
      <c r="G33" s="19">
        <v>43989</v>
      </c>
      <c r="H33" s="19">
        <f>SUM(F33:G33)</f>
        <v>373989</v>
      </c>
      <c r="I33" s="327">
        <v>7479.78</v>
      </c>
      <c r="J33" s="159">
        <v>50</v>
      </c>
      <c r="K33" s="159">
        <v>20</v>
      </c>
      <c r="L33" s="16">
        <f t="shared" si="4"/>
        <v>149595.6</v>
      </c>
      <c r="M33" s="94">
        <f t="shared" si="1"/>
        <v>224393.4</v>
      </c>
      <c r="N33" s="159">
        <f t="shared" si="2"/>
        <v>30</v>
      </c>
      <c r="O33" s="159"/>
      <c r="P33" s="159"/>
      <c r="Q33" s="11"/>
    </row>
    <row r="34" spans="1:17" s="114" customFormat="1">
      <c r="A34" s="180"/>
      <c r="B34" s="295" t="s">
        <v>941</v>
      </c>
      <c r="C34" s="96">
        <v>29</v>
      </c>
      <c r="D34" s="11" t="s">
        <v>942</v>
      </c>
      <c r="E34" s="8"/>
      <c r="F34" s="19">
        <v>330000</v>
      </c>
      <c r="G34" s="19">
        <v>43989</v>
      </c>
      <c r="H34" s="19">
        <f>SUM(F34:G34)</f>
        <v>373989</v>
      </c>
      <c r="I34" s="319">
        <v>7479.78</v>
      </c>
      <c r="J34" s="159">
        <v>50</v>
      </c>
      <c r="K34" s="159">
        <v>17</v>
      </c>
      <c r="L34" s="16">
        <f t="shared" si="4"/>
        <v>127156.26</v>
      </c>
      <c r="M34" s="94">
        <f t="shared" si="1"/>
        <v>246832.74</v>
      </c>
      <c r="N34" s="159">
        <f t="shared" si="2"/>
        <v>33</v>
      </c>
      <c r="O34" s="159"/>
      <c r="P34" s="159"/>
      <c r="Q34" s="11"/>
    </row>
    <row r="35" spans="1:17" s="114" customFormat="1">
      <c r="A35" s="180"/>
      <c r="B35" s="292" t="s">
        <v>623</v>
      </c>
      <c r="C35" s="96">
        <v>30</v>
      </c>
      <c r="D35" s="123" t="s">
        <v>954</v>
      </c>
      <c r="E35" s="123"/>
      <c r="F35" s="19">
        <v>450000</v>
      </c>
      <c r="G35" s="19">
        <v>59985</v>
      </c>
      <c r="H35" s="19">
        <v>509985</v>
      </c>
      <c r="I35" s="327">
        <v>10199.700000000001</v>
      </c>
      <c r="J35" s="159">
        <v>50</v>
      </c>
      <c r="K35" s="159">
        <v>17</v>
      </c>
      <c r="L35" s="91">
        <f t="shared" si="4"/>
        <v>173394.90000000002</v>
      </c>
      <c r="M35" s="94">
        <f t="shared" si="1"/>
        <v>336590.1</v>
      </c>
      <c r="N35" s="159">
        <f t="shared" si="2"/>
        <v>33</v>
      </c>
      <c r="O35" s="159"/>
      <c r="P35" s="97"/>
      <c r="Q35" s="11"/>
    </row>
    <row r="36" spans="1:17" s="114" customFormat="1">
      <c r="A36" s="180"/>
      <c r="B36" s="11" t="s">
        <v>1146</v>
      </c>
      <c r="C36" s="96">
        <v>31</v>
      </c>
      <c r="D36" s="11" t="s">
        <v>1147</v>
      </c>
      <c r="E36" s="11"/>
      <c r="F36" s="19">
        <v>330000</v>
      </c>
      <c r="G36" s="19">
        <v>43989</v>
      </c>
      <c r="H36" s="19">
        <f>SUM(F36:G36)</f>
        <v>373989</v>
      </c>
      <c r="I36" s="254">
        <v>7479.78</v>
      </c>
      <c r="J36" s="159">
        <v>50</v>
      </c>
      <c r="K36" s="159">
        <v>3</v>
      </c>
      <c r="L36" s="16">
        <f t="shared" si="4"/>
        <v>22439.34</v>
      </c>
      <c r="M36" s="94">
        <f t="shared" si="1"/>
        <v>351549.66</v>
      </c>
      <c r="N36" s="159">
        <f t="shared" si="2"/>
        <v>47</v>
      </c>
      <c r="O36" s="11"/>
      <c r="P36" s="11"/>
      <c r="Q36" s="8"/>
    </row>
    <row r="37" spans="1:17" s="114" customFormat="1">
      <c r="A37" s="180"/>
      <c r="B37" s="11" t="s">
        <v>1217</v>
      </c>
      <c r="C37" s="96">
        <v>32</v>
      </c>
      <c r="D37" s="11" t="s">
        <v>1218</v>
      </c>
      <c r="E37" s="11"/>
      <c r="F37" s="19">
        <v>330000</v>
      </c>
      <c r="G37" s="19">
        <v>43989</v>
      </c>
      <c r="H37" s="19">
        <f>SUM(F37:G37)</f>
        <v>373989</v>
      </c>
      <c r="I37" s="254">
        <v>7479.78</v>
      </c>
      <c r="J37" s="159">
        <v>50</v>
      </c>
      <c r="K37" s="159">
        <v>3</v>
      </c>
      <c r="L37" s="16">
        <f t="shared" si="4"/>
        <v>22439.34</v>
      </c>
      <c r="M37" s="94">
        <f t="shared" si="1"/>
        <v>351549.66</v>
      </c>
      <c r="N37" s="159">
        <f t="shared" si="2"/>
        <v>47</v>
      </c>
      <c r="O37" s="11"/>
      <c r="P37" s="11"/>
      <c r="Q37" s="11"/>
    </row>
    <row r="38" spans="1:17" s="114" customFormat="1">
      <c r="A38" s="180"/>
      <c r="B38" s="11" t="s">
        <v>1209</v>
      </c>
      <c r="C38" s="96">
        <v>33</v>
      </c>
      <c r="D38" s="11" t="s">
        <v>1210</v>
      </c>
      <c r="E38" s="11"/>
      <c r="F38" s="19">
        <v>150000</v>
      </c>
      <c r="G38" s="19">
        <v>19995</v>
      </c>
      <c r="H38" s="19">
        <f>SUM(F38:G38)</f>
        <v>169995</v>
      </c>
      <c r="I38" s="254">
        <v>3399.9</v>
      </c>
      <c r="J38" s="159">
        <v>50</v>
      </c>
      <c r="K38" s="159">
        <v>5</v>
      </c>
      <c r="L38" s="16">
        <f t="shared" si="4"/>
        <v>16999.5</v>
      </c>
      <c r="M38" s="94">
        <f t="shared" ref="M38:M69" si="5">H38-L38</f>
        <v>152995.5</v>
      </c>
      <c r="N38" s="159">
        <f t="shared" ref="N38:N69" si="6">J38-K38</f>
        <v>45</v>
      </c>
      <c r="O38" s="11"/>
      <c r="P38" s="11"/>
      <c r="Q38" s="11"/>
    </row>
    <row r="39" spans="1:17" s="114" customFormat="1">
      <c r="A39" s="180"/>
      <c r="B39" s="293" t="s">
        <v>1243</v>
      </c>
      <c r="C39" s="96">
        <v>34</v>
      </c>
      <c r="D39" s="123" t="s">
        <v>1244</v>
      </c>
      <c r="E39" s="123"/>
      <c r="F39" s="19">
        <v>330000</v>
      </c>
      <c r="G39" s="19">
        <v>43989</v>
      </c>
      <c r="H39" s="19">
        <f>SUM(F39:G39)</f>
        <v>373989</v>
      </c>
      <c r="I39" s="327">
        <v>7479.78</v>
      </c>
      <c r="J39" s="159">
        <v>50</v>
      </c>
      <c r="K39" s="159">
        <v>12</v>
      </c>
      <c r="L39" s="16">
        <f t="shared" si="4"/>
        <v>89757.36</v>
      </c>
      <c r="M39" s="94">
        <f t="shared" si="5"/>
        <v>284231.64</v>
      </c>
      <c r="N39" s="159">
        <f t="shared" si="6"/>
        <v>38</v>
      </c>
      <c r="O39" s="159"/>
      <c r="P39" s="159"/>
      <c r="Q39" s="11"/>
    </row>
    <row r="40" spans="1:17" s="114" customFormat="1">
      <c r="A40" s="180"/>
      <c r="B40" s="293" t="s">
        <v>895</v>
      </c>
      <c r="C40" s="96">
        <v>35</v>
      </c>
      <c r="D40" s="123" t="s">
        <v>918</v>
      </c>
      <c r="E40" s="123"/>
      <c r="F40" s="19">
        <v>450000</v>
      </c>
      <c r="G40" s="19">
        <v>59985</v>
      </c>
      <c r="H40" s="19">
        <v>509985</v>
      </c>
      <c r="I40" s="327">
        <v>10199.700000000001</v>
      </c>
      <c r="J40" s="159">
        <v>50</v>
      </c>
      <c r="K40" s="159">
        <v>20</v>
      </c>
      <c r="L40" s="16">
        <f t="shared" si="4"/>
        <v>203994</v>
      </c>
      <c r="M40" s="94">
        <f t="shared" si="5"/>
        <v>305991</v>
      </c>
      <c r="N40" s="159">
        <f t="shared" si="6"/>
        <v>30</v>
      </c>
      <c r="O40" s="159"/>
      <c r="P40" s="159"/>
      <c r="Q40" s="11"/>
    </row>
    <row r="41" spans="1:17" s="114" customFormat="1">
      <c r="A41" s="180"/>
      <c r="B41" s="293" t="s">
        <v>628</v>
      </c>
      <c r="C41" s="96">
        <v>36</v>
      </c>
      <c r="D41" s="123" t="s">
        <v>917</v>
      </c>
      <c r="E41" s="123"/>
      <c r="F41" s="19">
        <v>450000</v>
      </c>
      <c r="G41" s="19">
        <v>59985</v>
      </c>
      <c r="H41" s="19">
        <v>509985</v>
      </c>
      <c r="I41" s="327">
        <v>10199.700000000001</v>
      </c>
      <c r="J41" s="159">
        <v>50</v>
      </c>
      <c r="K41" s="159">
        <v>12</v>
      </c>
      <c r="L41" s="16">
        <f t="shared" si="4"/>
        <v>122396.40000000001</v>
      </c>
      <c r="M41" s="94">
        <f t="shared" si="5"/>
        <v>387588.6</v>
      </c>
      <c r="N41" s="159">
        <f t="shared" si="6"/>
        <v>38</v>
      </c>
      <c r="O41" s="159"/>
      <c r="P41" s="159"/>
      <c r="Q41" s="11"/>
    </row>
    <row r="42" spans="1:17" s="114" customFormat="1">
      <c r="A42" s="180"/>
      <c r="B42" s="292" t="s">
        <v>717</v>
      </c>
      <c r="C42" s="96">
        <v>37</v>
      </c>
      <c r="D42" s="11" t="s">
        <v>718</v>
      </c>
      <c r="E42" s="11"/>
      <c r="F42" s="16">
        <v>450000</v>
      </c>
      <c r="G42" s="16">
        <v>59985</v>
      </c>
      <c r="H42" s="16">
        <v>509985</v>
      </c>
      <c r="I42" s="318">
        <v>10199.700000000001</v>
      </c>
      <c r="J42" s="159">
        <v>50</v>
      </c>
      <c r="K42" s="97">
        <v>39</v>
      </c>
      <c r="L42" s="91">
        <f t="shared" si="4"/>
        <v>397788.30000000005</v>
      </c>
      <c r="M42" s="94">
        <f t="shared" si="5"/>
        <v>112196.69999999995</v>
      </c>
      <c r="N42" s="159">
        <f t="shared" si="6"/>
        <v>11</v>
      </c>
      <c r="O42" s="159"/>
      <c r="P42" s="97"/>
      <c r="Q42" s="8"/>
    </row>
    <row r="43" spans="1:17" s="114" customFormat="1">
      <c r="A43" s="180"/>
      <c r="B43" s="295" t="s">
        <v>1148</v>
      </c>
      <c r="C43" s="96">
        <v>38</v>
      </c>
      <c r="D43" s="126" t="s">
        <v>1149</v>
      </c>
      <c r="E43" s="8"/>
      <c r="F43" s="16">
        <v>500000</v>
      </c>
      <c r="G43" s="16">
        <v>66650</v>
      </c>
      <c r="H43" s="41">
        <f>SUM(F43:G43)</f>
        <v>566650</v>
      </c>
      <c r="I43" s="13">
        <v>11333</v>
      </c>
      <c r="J43" s="159">
        <v>50</v>
      </c>
      <c r="K43" s="101">
        <v>5</v>
      </c>
      <c r="L43" s="16">
        <f t="shared" si="4"/>
        <v>56665</v>
      </c>
      <c r="M43" s="94">
        <f t="shared" si="5"/>
        <v>509985</v>
      </c>
      <c r="N43" s="159">
        <f t="shared" si="6"/>
        <v>45</v>
      </c>
      <c r="O43" s="101"/>
      <c r="P43" s="101"/>
      <c r="Q43" s="11"/>
    </row>
    <row r="44" spans="1:17" s="114" customFormat="1">
      <c r="A44" s="180"/>
      <c r="B44" s="11" t="s">
        <v>1251</v>
      </c>
      <c r="C44" s="96">
        <v>39</v>
      </c>
      <c r="D44" s="11" t="s">
        <v>1252</v>
      </c>
      <c r="E44" s="11"/>
      <c r="F44" s="19">
        <v>450000</v>
      </c>
      <c r="G44" s="19">
        <v>59985</v>
      </c>
      <c r="H44" s="19">
        <v>509985</v>
      </c>
      <c r="I44" s="254">
        <v>10199.700000000001</v>
      </c>
      <c r="J44" s="159">
        <v>50</v>
      </c>
      <c r="K44" s="159">
        <v>5</v>
      </c>
      <c r="L44" s="16">
        <f t="shared" si="4"/>
        <v>50998.5</v>
      </c>
      <c r="M44" s="94">
        <f t="shared" si="5"/>
        <v>458986.5</v>
      </c>
      <c r="N44" s="159">
        <f t="shared" si="6"/>
        <v>45</v>
      </c>
      <c r="O44" s="11"/>
      <c r="P44" s="11"/>
      <c r="Q44" s="11"/>
    </row>
    <row r="45" spans="1:17" s="114" customFormat="1">
      <c r="A45" s="180"/>
      <c r="B45" s="292" t="s">
        <v>518</v>
      </c>
      <c r="C45" s="96">
        <v>40</v>
      </c>
      <c r="D45" s="11" t="s">
        <v>519</v>
      </c>
      <c r="E45" s="11"/>
      <c r="F45" s="19">
        <v>500000</v>
      </c>
      <c r="G45" s="19">
        <v>66650</v>
      </c>
      <c r="H45" s="19">
        <v>566650</v>
      </c>
      <c r="I45" s="318">
        <v>11333</v>
      </c>
      <c r="J45" s="159">
        <v>50</v>
      </c>
      <c r="K45" s="97">
        <v>37</v>
      </c>
      <c r="L45" s="91">
        <f t="shared" si="4"/>
        <v>419321</v>
      </c>
      <c r="M45" s="91">
        <f t="shared" si="5"/>
        <v>147329</v>
      </c>
      <c r="N45" s="159">
        <f t="shared" si="6"/>
        <v>13</v>
      </c>
      <c r="O45" s="159"/>
      <c r="P45" s="97"/>
      <c r="Q45" s="11"/>
    </row>
    <row r="46" spans="1:17" s="114" customFormat="1">
      <c r="A46" s="180"/>
      <c r="B46" s="292" t="s">
        <v>709</v>
      </c>
      <c r="C46" s="96">
        <v>41</v>
      </c>
      <c r="D46" s="11" t="s">
        <v>710</v>
      </c>
      <c r="E46" s="11"/>
      <c r="F46" s="19">
        <v>500000</v>
      </c>
      <c r="G46" s="19">
        <v>66650</v>
      </c>
      <c r="H46" s="19">
        <v>566650</v>
      </c>
      <c r="I46" s="318">
        <v>11333</v>
      </c>
      <c r="J46" s="159">
        <v>50</v>
      </c>
      <c r="K46" s="96">
        <v>37</v>
      </c>
      <c r="L46" s="16">
        <f t="shared" si="4"/>
        <v>419321</v>
      </c>
      <c r="M46" s="16">
        <f t="shared" si="5"/>
        <v>147329</v>
      </c>
      <c r="N46" s="159">
        <f t="shared" si="6"/>
        <v>13</v>
      </c>
      <c r="O46" s="159"/>
      <c r="P46" s="96"/>
      <c r="Q46" s="11"/>
    </row>
    <row r="47" spans="1:17" s="114" customFormat="1">
      <c r="A47" s="180"/>
      <c r="B47" s="292" t="s">
        <v>642</v>
      </c>
      <c r="C47" s="96">
        <v>42</v>
      </c>
      <c r="D47" s="11" t="s">
        <v>643</v>
      </c>
      <c r="E47" s="11"/>
      <c r="F47" s="16">
        <v>500000</v>
      </c>
      <c r="G47" s="16">
        <v>66650</v>
      </c>
      <c r="H47" s="16">
        <v>566650</v>
      </c>
      <c r="I47" s="252">
        <v>11333</v>
      </c>
      <c r="J47" s="159">
        <v>50</v>
      </c>
      <c r="K47" s="101">
        <v>25</v>
      </c>
      <c r="L47" s="91">
        <f t="shared" si="4"/>
        <v>283325</v>
      </c>
      <c r="M47" s="94">
        <f t="shared" si="5"/>
        <v>283325</v>
      </c>
      <c r="N47" s="159">
        <f t="shared" si="6"/>
        <v>25</v>
      </c>
      <c r="O47" s="159"/>
      <c r="P47" s="97"/>
      <c r="Q47" s="11"/>
    </row>
    <row r="48" spans="1:17" s="114" customFormat="1">
      <c r="A48" s="180"/>
      <c r="B48" s="292" t="s">
        <v>664</v>
      </c>
      <c r="C48" s="96">
        <v>43</v>
      </c>
      <c r="D48" s="11" t="s">
        <v>665</v>
      </c>
      <c r="E48" s="11"/>
      <c r="F48" s="19">
        <v>330000</v>
      </c>
      <c r="G48" s="19">
        <v>43989</v>
      </c>
      <c r="H48" s="19">
        <f>SUM(F48:G48)</f>
        <v>373989</v>
      </c>
      <c r="I48" s="252">
        <v>7479.78</v>
      </c>
      <c r="J48" s="159">
        <v>50</v>
      </c>
      <c r="K48" s="101">
        <v>25</v>
      </c>
      <c r="L48" s="91">
        <f t="shared" si="4"/>
        <v>186994.5</v>
      </c>
      <c r="M48" s="94">
        <f t="shared" si="5"/>
        <v>186994.5</v>
      </c>
      <c r="N48" s="159">
        <f t="shared" si="6"/>
        <v>25</v>
      </c>
      <c r="O48" s="159"/>
      <c r="P48" s="97"/>
      <c r="Q48" s="11"/>
    </row>
    <row r="49" spans="1:17" s="114" customFormat="1">
      <c r="A49" s="180"/>
      <c r="B49" s="11" t="s">
        <v>1302</v>
      </c>
      <c r="C49" s="96">
        <v>44</v>
      </c>
      <c r="D49" s="11" t="s">
        <v>1303</v>
      </c>
      <c r="E49" s="11"/>
      <c r="F49" s="16">
        <v>500000</v>
      </c>
      <c r="G49" s="16">
        <v>66650</v>
      </c>
      <c r="H49" s="41">
        <f>SUM(F49:G49)</f>
        <v>566650</v>
      </c>
      <c r="I49" s="254">
        <v>11333</v>
      </c>
      <c r="J49" s="159">
        <v>50</v>
      </c>
      <c r="K49" s="159">
        <v>7</v>
      </c>
      <c r="L49" s="16">
        <f t="shared" si="4"/>
        <v>79331</v>
      </c>
      <c r="M49" s="94">
        <f t="shared" si="5"/>
        <v>487319</v>
      </c>
      <c r="N49" s="159">
        <f t="shared" si="6"/>
        <v>43</v>
      </c>
      <c r="O49" s="11"/>
      <c r="P49" s="11"/>
      <c r="Q49" s="11"/>
    </row>
    <row r="50" spans="1:17" s="114" customFormat="1">
      <c r="A50" s="180"/>
      <c r="B50" s="11" t="s">
        <v>1247</v>
      </c>
      <c r="C50" s="96">
        <v>45</v>
      </c>
      <c r="D50" s="11" t="s">
        <v>1248</v>
      </c>
      <c r="E50" s="11"/>
      <c r="F50" s="16">
        <v>500000</v>
      </c>
      <c r="G50" s="16">
        <v>66650</v>
      </c>
      <c r="H50" s="41">
        <f>SUM(F50:G50)</f>
        <v>566650</v>
      </c>
      <c r="I50" s="254">
        <v>21333</v>
      </c>
      <c r="J50" s="159">
        <v>25</v>
      </c>
      <c r="K50" s="159">
        <v>5</v>
      </c>
      <c r="L50" s="16">
        <f t="shared" si="4"/>
        <v>106665</v>
      </c>
      <c r="M50" s="94">
        <f t="shared" si="5"/>
        <v>459985</v>
      </c>
      <c r="N50" s="159">
        <f t="shared" si="6"/>
        <v>20</v>
      </c>
      <c r="O50" s="11"/>
      <c r="P50" s="11"/>
      <c r="Q50" s="11"/>
    </row>
    <row r="51" spans="1:17" s="114" customFormat="1">
      <c r="A51" s="180"/>
      <c r="B51" s="292" t="s">
        <v>633</v>
      </c>
      <c r="C51" s="96">
        <v>46</v>
      </c>
      <c r="D51" s="11" t="s">
        <v>634</v>
      </c>
      <c r="E51" s="11"/>
      <c r="F51" s="19">
        <v>150000</v>
      </c>
      <c r="G51" s="19">
        <v>19995</v>
      </c>
      <c r="H51" s="19">
        <f>SUM(F51:G51)</f>
        <v>169995</v>
      </c>
      <c r="I51" s="252">
        <v>3399.9</v>
      </c>
      <c r="J51" s="159">
        <v>50</v>
      </c>
      <c r="K51" s="101">
        <v>25</v>
      </c>
      <c r="L51" s="91">
        <f t="shared" si="4"/>
        <v>84997.5</v>
      </c>
      <c r="M51" s="94">
        <f t="shared" si="5"/>
        <v>84997.5</v>
      </c>
      <c r="N51" s="159">
        <f t="shared" si="6"/>
        <v>25</v>
      </c>
      <c r="O51" s="159"/>
      <c r="P51" s="97"/>
      <c r="Q51" s="11"/>
    </row>
    <row r="52" spans="1:17" s="114" customFormat="1">
      <c r="A52" s="180"/>
      <c r="B52" s="11" t="s">
        <v>1174</v>
      </c>
      <c r="C52" s="96">
        <v>47</v>
      </c>
      <c r="D52" s="11" t="s">
        <v>1175</v>
      </c>
      <c r="E52" s="11"/>
      <c r="F52" s="16">
        <v>500000</v>
      </c>
      <c r="G52" s="16">
        <v>66650</v>
      </c>
      <c r="H52" s="41">
        <f>SUM(F52:G52)</f>
        <v>566650</v>
      </c>
      <c r="I52" s="16">
        <v>11333</v>
      </c>
      <c r="J52" s="159">
        <v>50</v>
      </c>
      <c r="K52" s="159">
        <v>10</v>
      </c>
      <c r="L52" s="16">
        <f t="shared" si="4"/>
        <v>113330</v>
      </c>
      <c r="M52" s="94">
        <f t="shared" si="5"/>
        <v>453320</v>
      </c>
      <c r="N52" s="159">
        <f t="shared" si="6"/>
        <v>40</v>
      </c>
      <c r="O52" s="159"/>
      <c r="P52" s="159"/>
      <c r="Q52" s="11"/>
    </row>
    <row r="53" spans="1:17" s="114" customFormat="1">
      <c r="A53" s="180"/>
      <c r="B53" s="292" t="s">
        <v>661</v>
      </c>
      <c r="C53" s="96">
        <v>48</v>
      </c>
      <c r="D53" s="11" t="s">
        <v>662</v>
      </c>
      <c r="E53" s="11"/>
      <c r="F53" s="19">
        <v>500000</v>
      </c>
      <c r="G53" s="19">
        <v>66650</v>
      </c>
      <c r="H53" s="19">
        <v>566650</v>
      </c>
      <c r="I53" s="318">
        <v>11333</v>
      </c>
      <c r="J53" s="159">
        <v>50</v>
      </c>
      <c r="K53" s="97">
        <v>36</v>
      </c>
      <c r="L53" s="91">
        <f t="shared" si="4"/>
        <v>407988</v>
      </c>
      <c r="M53" s="91">
        <f t="shared" si="5"/>
        <v>158662</v>
      </c>
      <c r="N53" s="159">
        <f t="shared" si="6"/>
        <v>14</v>
      </c>
      <c r="O53" s="159"/>
      <c r="P53" s="97"/>
      <c r="Q53" s="11"/>
    </row>
    <row r="54" spans="1:17" s="114" customFormat="1">
      <c r="A54" s="180"/>
      <c r="B54" s="293" t="s">
        <v>1170</v>
      </c>
      <c r="C54" s="96">
        <v>49</v>
      </c>
      <c r="D54" s="123" t="s">
        <v>1171</v>
      </c>
      <c r="E54" s="123"/>
      <c r="F54" s="16">
        <v>500000</v>
      </c>
      <c r="G54" s="16">
        <v>66650</v>
      </c>
      <c r="H54" s="41">
        <f>SUM(F54:G54)</f>
        <v>566650</v>
      </c>
      <c r="I54" s="327">
        <v>11333</v>
      </c>
      <c r="J54" s="159">
        <v>50</v>
      </c>
      <c r="K54" s="159">
        <v>12</v>
      </c>
      <c r="L54" s="16">
        <f t="shared" si="4"/>
        <v>135996</v>
      </c>
      <c r="M54" s="94">
        <f t="shared" si="5"/>
        <v>430654</v>
      </c>
      <c r="N54" s="159">
        <f t="shared" si="6"/>
        <v>38</v>
      </c>
      <c r="O54" s="159"/>
      <c r="P54" s="159"/>
      <c r="Q54" s="8"/>
    </row>
    <row r="55" spans="1:17" s="114" customFormat="1">
      <c r="A55" s="180"/>
      <c r="B55" s="292" t="s">
        <v>596</v>
      </c>
      <c r="C55" s="96">
        <v>50</v>
      </c>
      <c r="D55" s="11" t="s">
        <v>597</v>
      </c>
      <c r="E55" s="11"/>
      <c r="F55" s="19">
        <v>500000</v>
      </c>
      <c r="G55" s="19">
        <v>66650</v>
      </c>
      <c r="H55" s="19">
        <v>566650</v>
      </c>
      <c r="I55" s="318">
        <v>11333</v>
      </c>
      <c r="J55" s="159">
        <v>50</v>
      </c>
      <c r="K55" s="97">
        <v>37</v>
      </c>
      <c r="L55" s="91">
        <f t="shared" si="4"/>
        <v>419321</v>
      </c>
      <c r="M55" s="91">
        <f t="shared" si="5"/>
        <v>147329</v>
      </c>
      <c r="N55" s="159">
        <f t="shared" si="6"/>
        <v>13</v>
      </c>
      <c r="O55" s="159"/>
      <c r="P55" s="97"/>
      <c r="Q55" s="11"/>
    </row>
    <row r="56" spans="1:17" s="114" customFormat="1">
      <c r="A56" s="180"/>
      <c r="B56" s="293" t="s">
        <v>1205</v>
      </c>
      <c r="C56" s="96">
        <v>51</v>
      </c>
      <c r="D56" s="11" t="s">
        <v>1206</v>
      </c>
      <c r="E56" s="11"/>
      <c r="F56" s="16">
        <v>500000</v>
      </c>
      <c r="G56" s="16">
        <v>66650</v>
      </c>
      <c r="H56" s="41">
        <f>SUM(F56:G56)</f>
        <v>566650</v>
      </c>
      <c r="I56" s="327">
        <v>11333</v>
      </c>
      <c r="J56" s="159">
        <v>50</v>
      </c>
      <c r="K56" s="96">
        <v>13</v>
      </c>
      <c r="L56" s="91">
        <f t="shared" si="4"/>
        <v>147329</v>
      </c>
      <c r="M56" s="94">
        <f t="shared" si="5"/>
        <v>419321</v>
      </c>
      <c r="N56" s="159">
        <f t="shared" si="6"/>
        <v>37</v>
      </c>
      <c r="O56" s="159"/>
      <c r="P56" s="97"/>
      <c r="Q56" s="11"/>
    </row>
    <row r="57" spans="1:17" s="114" customFormat="1">
      <c r="A57" s="180"/>
      <c r="B57" s="293" t="s">
        <v>1239</v>
      </c>
      <c r="C57" s="96">
        <v>52</v>
      </c>
      <c r="D57" s="123" t="s">
        <v>1240</v>
      </c>
      <c r="E57" s="123"/>
      <c r="F57" s="19">
        <v>150000</v>
      </c>
      <c r="G57" s="19">
        <v>19995</v>
      </c>
      <c r="H57" s="19">
        <f>SUM(F57:G57)</f>
        <v>169995</v>
      </c>
      <c r="I57" s="327">
        <v>4149.8999999999996</v>
      </c>
      <c r="J57" s="159">
        <v>40</v>
      </c>
      <c r="K57" s="159">
        <v>12</v>
      </c>
      <c r="L57" s="16">
        <f t="shared" si="4"/>
        <v>49798.799999999996</v>
      </c>
      <c r="M57" s="94">
        <f t="shared" si="5"/>
        <v>120196.20000000001</v>
      </c>
      <c r="N57" s="159">
        <f t="shared" si="6"/>
        <v>28</v>
      </c>
      <c r="O57" s="159"/>
      <c r="P57" s="159"/>
      <c r="Q57" s="11"/>
    </row>
    <row r="58" spans="1:17" s="114" customFormat="1">
      <c r="A58" s="180"/>
      <c r="B58" s="292" t="s">
        <v>668</v>
      </c>
      <c r="C58" s="96">
        <v>53</v>
      </c>
      <c r="D58" s="11" t="s">
        <v>669</v>
      </c>
      <c r="E58" s="11"/>
      <c r="F58" s="16">
        <v>450000</v>
      </c>
      <c r="G58" s="16">
        <v>59985</v>
      </c>
      <c r="H58" s="16">
        <v>509985</v>
      </c>
      <c r="I58" s="318">
        <v>10199.700000000001</v>
      </c>
      <c r="J58" s="159">
        <v>50</v>
      </c>
      <c r="K58" s="97">
        <v>36</v>
      </c>
      <c r="L58" s="91">
        <f t="shared" si="4"/>
        <v>367189.2</v>
      </c>
      <c r="M58" s="91">
        <f t="shared" si="5"/>
        <v>142795.79999999999</v>
      </c>
      <c r="N58" s="159">
        <f t="shared" si="6"/>
        <v>14</v>
      </c>
      <c r="O58" s="159"/>
      <c r="P58" s="97"/>
      <c r="Q58" s="11"/>
    </row>
    <row r="59" spans="1:17" s="114" customFormat="1">
      <c r="A59" s="180"/>
      <c r="B59" s="293" t="s">
        <v>901</v>
      </c>
      <c r="C59" s="96">
        <v>54</v>
      </c>
      <c r="D59" s="123" t="s">
        <v>924</v>
      </c>
      <c r="E59" s="123"/>
      <c r="F59" s="19">
        <v>330000</v>
      </c>
      <c r="G59" s="19">
        <v>43989</v>
      </c>
      <c r="H59" s="19">
        <f>SUM(F59:G59)</f>
        <v>373989</v>
      </c>
      <c r="I59" s="327">
        <v>7479.78</v>
      </c>
      <c r="J59" s="159">
        <v>50</v>
      </c>
      <c r="K59" s="159">
        <v>20</v>
      </c>
      <c r="L59" s="16">
        <f t="shared" si="4"/>
        <v>149595.6</v>
      </c>
      <c r="M59" s="94">
        <f t="shared" si="5"/>
        <v>224393.4</v>
      </c>
      <c r="N59" s="159">
        <f t="shared" si="6"/>
        <v>30</v>
      </c>
      <c r="O59" s="159"/>
      <c r="P59" s="159"/>
      <c r="Q59" s="11"/>
    </row>
    <row r="60" spans="1:17" s="114" customFormat="1">
      <c r="A60" s="180"/>
      <c r="B60" s="293" t="s">
        <v>1178</v>
      </c>
      <c r="C60" s="96">
        <v>55</v>
      </c>
      <c r="D60" s="11" t="s">
        <v>1179</v>
      </c>
      <c r="E60" s="11"/>
      <c r="F60" s="12">
        <v>150000</v>
      </c>
      <c r="G60" s="12">
        <v>19995</v>
      </c>
      <c r="H60" s="15">
        <f>SUM(F60:G60)</f>
        <v>169995</v>
      </c>
      <c r="I60" s="327">
        <v>3399.9</v>
      </c>
      <c r="J60" s="14">
        <v>50</v>
      </c>
      <c r="K60" s="96">
        <v>13</v>
      </c>
      <c r="L60" s="91">
        <f t="shared" si="4"/>
        <v>44198.700000000004</v>
      </c>
      <c r="M60" s="94">
        <f t="shared" si="5"/>
        <v>125796.29999999999</v>
      </c>
      <c r="N60" s="159">
        <f t="shared" si="6"/>
        <v>37</v>
      </c>
      <c r="O60" s="159"/>
      <c r="P60" s="97"/>
      <c r="Q60" s="11"/>
    </row>
    <row r="61" spans="1:17" s="114" customFormat="1">
      <c r="A61" s="180"/>
      <c r="B61" s="11" t="s">
        <v>1154</v>
      </c>
      <c r="C61" s="96">
        <v>56</v>
      </c>
      <c r="D61" s="11" t="s">
        <v>1155</v>
      </c>
      <c r="E61" s="11"/>
      <c r="F61" s="19">
        <v>330000</v>
      </c>
      <c r="G61" s="19">
        <v>43989</v>
      </c>
      <c r="H61" s="19">
        <f>SUM(F61:G61)</f>
        <v>373989</v>
      </c>
      <c r="I61" s="254">
        <v>7479.78</v>
      </c>
      <c r="J61" s="159">
        <v>50</v>
      </c>
      <c r="K61" s="159">
        <v>3</v>
      </c>
      <c r="L61" s="16">
        <f t="shared" si="4"/>
        <v>22439.34</v>
      </c>
      <c r="M61" s="94">
        <f t="shared" si="5"/>
        <v>351549.66</v>
      </c>
      <c r="N61" s="159">
        <f t="shared" si="6"/>
        <v>47</v>
      </c>
      <c r="O61" s="11"/>
      <c r="P61" s="11"/>
      <c r="Q61" s="8"/>
    </row>
    <row r="62" spans="1:17" s="114" customFormat="1">
      <c r="A62" s="180"/>
      <c r="B62" s="293" t="s">
        <v>1229</v>
      </c>
      <c r="C62" s="96">
        <v>57</v>
      </c>
      <c r="D62" s="123" t="s">
        <v>1230</v>
      </c>
      <c r="E62" s="123"/>
      <c r="F62" s="19">
        <v>150000</v>
      </c>
      <c r="G62" s="19">
        <v>19995</v>
      </c>
      <c r="H62" s="19">
        <f>SUM(F62:G62)</f>
        <v>169995</v>
      </c>
      <c r="I62" s="327">
        <v>4149.8999999999996</v>
      </c>
      <c r="J62" s="159">
        <v>40</v>
      </c>
      <c r="K62" s="159">
        <v>12</v>
      </c>
      <c r="L62" s="16">
        <f t="shared" si="4"/>
        <v>49798.799999999996</v>
      </c>
      <c r="M62" s="94">
        <f t="shared" si="5"/>
        <v>120196.20000000001</v>
      </c>
      <c r="N62" s="159">
        <f t="shared" si="6"/>
        <v>28</v>
      </c>
      <c r="O62" s="159"/>
      <c r="P62" s="159"/>
      <c r="Q62" s="11"/>
    </row>
    <row r="63" spans="1:17" s="114" customFormat="1">
      <c r="A63" s="180"/>
      <c r="B63" s="292" t="s">
        <v>638</v>
      </c>
      <c r="C63" s="96">
        <v>58</v>
      </c>
      <c r="D63" s="11" t="s">
        <v>639</v>
      </c>
      <c r="E63" s="11"/>
      <c r="F63" s="16">
        <v>500000</v>
      </c>
      <c r="G63" s="16">
        <v>66650</v>
      </c>
      <c r="H63" s="41">
        <f>SUM(F63:G63)</f>
        <v>566650</v>
      </c>
      <c r="I63" s="318">
        <v>11333</v>
      </c>
      <c r="J63" s="159">
        <v>50</v>
      </c>
      <c r="K63" s="97">
        <v>29</v>
      </c>
      <c r="L63" s="91">
        <f>(1*11333)</f>
        <v>11333</v>
      </c>
      <c r="M63" s="91">
        <f t="shared" si="5"/>
        <v>555317</v>
      </c>
      <c r="N63" s="159">
        <f t="shared" si="6"/>
        <v>21</v>
      </c>
      <c r="O63" s="159"/>
      <c r="P63" s="97"/>
      <c r="Q63" s="11"/>
    </row>
    <row r="64" spans="1:17" s="114" customFormat="1">
      <c r="A64" s="180"/>
      <c r="B64" s="292" t="s">
        <v>522</v>
      </c>
      <c r="C64" s="96">
        <v>59</v>
      </c>
      <c r="D64" s="11" t="s">
        <v>523</v>
      </c>
      <c r="E64" s="11"/>
      <c r="F64" s="19">
        <v>500000</v>
      </c>
      <c r="G64" s="19">
        <v>66650</v>
      </c>
      <c r="H64" s="19">
        <v>566650</v>
      </c>
      <c r="I64" s="318">
        <v>11333</v>
      </c>
      <c r="J64" s="159">
        <v>50</v>
      </c>
      <c r="K64" s="97">
        <v>37</v>
      </c>
      <c r="L64" s="91">
        <f t="shared" ref="L64:L95" si="7">K64*I64</f>
        <v>419321</v>
      </c>
      <c r="M64" s="91">
        <f t="shared" si="5"/>
        <v>147329</v>
      </c>
      <c r="N64" s="159">
        <f t="shared" si="6"/>
        <v>13</v>
      </c>
      <c r="O64" s="159"/>
      <c r="P64" s="97"/>
      <c r="Q64" s="11"/>
    </row>
    <row r="65" spans="1:17" s="114" customFormat="1">
      <c r="A65" s="180"/>
      <c r="B65" s="8" t="s">
        <v>1158</v>
      </c>
      <c r="C65" s="96">
        <v>60</v>
      </c>
      <c r="D65" s="8" t="s">
        <v>1159</v>
      </c>
      <c r="E65" s="8"/>
      <c r="F65" s="19">
        <v>450000</v>
      </c>
      <c r="G65" s="19">
        <v>59985</v>
      </c>
      <c r="H65" s="19">
        <v>509985</v>
      </c>
      <c r="I65" s="34">
        <v>10199.700000000001</v>
      </c>
      <c r="J65" s="159">
        <v>50</v>
      </c>
      <c r="K65" s="323">
        <v>5</v>
      </c>
      <c r="L65" s="16">
        <f t="shared" si="7"/>
        <v>50998.5</v>
      </c>
      <c r="M65" s="94">
        <f t="shared" si="5"/>
        <v>458986.5</v>
      </c>
      <c r="N65" s="159">
        <f t="shared" si="6"/>
        <v>45</v>
      </c>
      <c r="O65" s="34"/>
      <c r="P65" s="34"/>
      <c r="Q65" s="11"/>
    </row>
    <row r="66" spans="1:17" s="114" customFormat="1">
      <c r="A66" s="180"/>
      <c r="B66" s="11" t="s">
        <v>520</v>
      </c>
      <c r="C66" s="96">
        <v>61</v>
      </c>
      <c r="D66" s="11" t="s">
        <v>521</v>
      </c>
      <c r="E66" s="11"/>
      <c r="F66" s="16">
        <v>500000</v>
      </c>
      <c r="G66" s="16">
        <v>66650</v>
      </c>
      <c r="H66" s="41">
        <f>SUM(F66:G66)</f>
        <v>566650</v>
      </c>
      <c r="I66" s="254">
        <v>11333</v>
      </c>
      <c r="J66" s="159">
        <v>50</v>
      </c>
      <c r="K66" s="159">
        <v>2</v>
      </c>
      <c r="L66" s="16">
        <f t="shared" si="7"/>
        <v>22666</v>
      </c>
      <c r="M66" s="94">
        <f t="shared" si="5"/>
        <v>543984</v>
      </c>
      <c r="N66" s="159">
        <f t="shared" si="6"/>
        <v>48</v>
      </c>
      <c r="O66" s="11"/>
      <c r="P66" s="11"/>
      <c r="Q66" s="11"/>
    </row>
    <row r="67" spans="1:17" s="114" customFormat="1">
      <c r="A67" s="180"/>
      <c r="B67" s="8" t="s">
        <v>1184</v>
      </c>
      <c r="C67" s="96">
        <v>62</v>
      </c>
      <c r="D67" s="8" t="s">
        <v>1185</v>
      </c>
      <c r="E67" s="8"/>
      <c r="F67" s="16">
        <v>500000</v>
      </c>
      <c r="G67" s="16">
        <v>66650</v>
      </c>
      <c r="H67" s="41">
        <f>SUM(F67:G67)</f>
        <v>566650</v>
      </c>
      <c r="I67" s="34">
        <v>11333</v>
      </c>
      <c r="J67" s="159">
        <v>50</v>
      </c>
      <c r="K67" s="323">
        <v>5</v>
      </c>
      <c r="L67" s="16">
        <f t="shared" si="7"/>
        <v>56665</v>
      </c>
      <c r="M67" s="94">
        <f t="shared" si="5"/>
        <v>509985</v>
      </c>
      <c r="N67" s="159">
        <f t="shared" si="6"/>
        <v>45</v>
      </c>
      <c r="O67" s="34"/>
      <c r="P67" s="34"/>
      <c r="Q67" s="11"/>
    </row>
    <row r="68" spans="1:17" s="114" customFormat="1">
      <c r="A68" s="180"/>
      <c r="B68" s="292" t="s">
        <v>501</v>
      </c>
      <c r="C68" s="96">
        <v>63</v>
      </c>
      <c r="D68" s="11" t="s">
        <v>502</v>
      </c>
      <c r="E68" s="11"/>
      <c r="F68" s="16">
        <v>500000</v>
      </c>
      <c r="G68" s="16">
        <v>66650</v>
      </c>
      <c r="H68" s="16">
        <v>566650</v>
      </c>
      <c r="I68" s="146">
        <v>11333</v>
      </c>
      <c r="J68" s="159">
        <v>50</v>
      </c>
      <c r="K68" s="159">
        <v>25</v>
      </c>
      <c r="L68" s="91">
        <f t="shared" si="7"/>
        <v>283325</v>
      </c>
      <c r="M68" s="94">
        <f t="shared" si="5"/>
        <v>283325</v>
      </c>
      <c r="N68" s="159">
        <f t="shared" si="6"/>
        <v>25</v>
      </c>
      <c r="O68" s="159"/>
      <c r="P68" s="97"/>
      <c r="Q68" s="11"/>
    </row>
    <row r="69" spans="1:17" s="114" customFormat="1">
      <c r="A69" s="180"/>
      <c r="B69" s="292" t="s">
        <v>600</v>
      </c>
      <c r="C69" s="96">
        <v>64</v>
      </c>
      <c r="D69" s="11" t="s">
        <v>601</v>
      </c>
      <c r="E69" s="11"/>
      <c r="F69" s="16">
        <v>450000</v>
      </c>
      <c r="G69" s="16">
        <v>59985</v>
      </c>
      <c r="H69" s="41">
        <f>SUM(F69:G69)</f>
        <v>509985</v>
      </c>
      <c r="I69" s="318">
        <v>10199.700000000001</v>
      </c>
      <c r="J69" s="159">
        <v>50</v>
      </c>
      <c r="K69" s="97">
        <v>50</v>
      </c>
      <c r="L69" s="91">
        <f t="shared" si="7"/>
        <v>509985.00000000006</v>
      </c>
      <c r="M69" s="94">
        <f t="shared" si="5"/>
        <v>0</v>
      </c>
      <c r="N69" s="159">
        <f t="shared" si="6"/>
        <v>0</v>
      </c>
      <c r="O69" s="159"/>
      <c r="P69" s="97"/>
      <c r="Q69" s="8"/>
    </row>
    <row r="70" spans="1:17" s="114" customFormat="1">
      <c r="A70" s="180"/>
      <c r="B70" s="293" t="s">
        <v>887</v>
      </c>
      <c r="C70" s="96">
        <v>65</v>
      </c>
      <c r="D70" s="123" t="s">
        <v>909</v>
      </c>
      <c r="E70" s="123"/>
      <c r="F70" s="16">
        <v>500000</v>
      </c>
      <c r="G70" s="16">
        <v>66650</v>
      </c>
      <c r="H70" s="41">
        <f>SUM(F70:G70)</f>
        <v>566650</v>
      </c>
      <c r="I70" s="327">
        <v>11333</v>
      </c>
      <c r="J70" s="159">
        <v>50</v>
      </c>
      <c r="K70" s="159">
        <v>20</v>
      </c>
      <c r="L70" s="16">
        <f t="shared" si="7"/>
        <v>226660</v>
      </c>
      <c r="M70" s="94">
        <f t="shared" ref="M70:M101" si="8">H70-L70</f>
        <v>339990</v>
      </c>
      <c r="N70" s="159">
        <f t="shared" ref="N70:N101" si="9">J70-K70</f>
        <v>30</v>
      </c>
      <c r="O70" s="159"/>
      <c r="P70" s="159"/>
      <c r="Q70" s="11"/>
    </row>
    <row r="71" spans="1:17" s="114" customFormat="1">
      <c r="A71" s="180"/>
      <c r="B71" s="292" t="s">
        <v>883</v>
      </c>
      <c r="C71" s="96">
        <v>66</v>
      </c>
      <c r="D71" s="11" t="s">
        <v>905</v>
      </c>
      <c r="E71" s="11"/>
      <c r="F71" s="16">
        <v>500000</v>
      </c>
      <c r="G71" s="16">
        <v>66650</v>
      </c>
      <c r="H71" s="41">
        <f>SUM(F71:G71)</f>
        <v>566650</v>
      </c>
      <c r="I71" s="318">
        <v>11333</v>
      </c>
      <c r="J71" s="159">
        <v>50</v>
      </c>
      <c r="K71" s="97">
        <v>59</v>
      </c>
      <c r="L71" s="91">
        <f t="shared" si="7"/>
        <v>668647</v>
      </c>
      <c r="M71" s="94">
        <f t="shared" si="8"/>
        <v>-101997</v>
      </c>
      <c r="N71" s="159">
        <f t="shared" si="9"/>
        <v>-9</v>
      </c>
      <c r="O71" s="159"/>
      <c r="P71" s="97"/>
      <c r="Q71" s="11"/>
    </row>
    <row r="72" spans="1:17" s="114" customFormat="1">
      <c r="A72" s="180"/>
      <c r="B72" s="11" t="s">
        <v>1194</v>
      </c>
      <c r="C72" s="96">
        <v>67</v>
      </c>
      <c r="D72" s="11" t="s">
        <v>1195</v>
      </c>
      <c r="E72" s="11"/>
      <c r="F72" s="16">
        <v>500000</v>
      </c>
      <c r="G72" s="16">
        <v>66650</v>
      </c>
      <c r="H72" s="41">
        <f>SUM(F72:G72)</f>
        <v>566650</v>
      </c>
      <c r="I72" s="16">
        <v>11333</v>
      </c>
      <c r="J72" s="159">
        <v>50</v>
      </c>
      <c r="K72" s="159">
        <v>10</v>
      </c>
      <c r="L72" s="16">
        <f t="shared" si="7"/>
        <v>113330</v>
      </c>
      <c r="M72" s="94">
        <f t="shared" si="8"/>
        <v>453320</v>
      </c>
      <c r="N72" s="159">
        <f t="shared" si="9"/>
        <v>40</v>
      </c>
      <c r="O72" s="159"/>
      <c r="P72" s="159"/>
      <c r="Q72" s="11"/>
    </row>
    <row r="73" spans="1:17" s="114" customFormat="1">
      <c r="A73" s="180"/>
      <c r="B73" s="292" t="s">
        <v>724</v>
      </c>
      <c r="C73" s="96">
        <v>68</v>
      </c>
      <c r="D73" s="11" t="s">
        <v>725</v>
      </c>
      <c r="E73" s="11"/>
      <c r="F73" s="19">
        <v>500000</v>
      </c>
      <c r="G73" s="19">
        <v>66650</v>
      </c>
      <c r="H73" s="19">
        <v>566650</v>
      </c>
      <c r="I73" s="318">
        <v>11333</v>
      </c>
      <c r="J73" s="159">
        <v>50</v>
      </c>
      <c r="K73" s="97">
        <v>36</v>
      </c>
      <c r="L73" s="91">
        <f t="shared" si="7"/>
        <v>407988</v>
      </c>
      <c r="M73" s="91">
        <f t="shared" si="8"/>
        <v>158662</v>
      </c>
      <c r="N73" s="159">
        <f t="shared" si="9"/>
        <v>14</v>
      </c>
      <c r="O73" s="159"/>
      <c r="P73" s="97"/>
      <c r="Q73" s="11"/>
    </row>
    <row r="74" spans="1:17" s="114" customFormat="1">
      <c r="A74" s="180"/>
      <c r="B74" s="295" t="s">
        <v>937</v>
      </c>
      <c r="C74" s="96">
        <v>69</v>
      </c>
      <c r="D74" s="11" t="s">
        <v>938</v>
      </c>
      <c r="E74" s="8"/>
      <c r="F74" s="19">
        <v>150000</v>
      </c>
      <c r="G74" s="19">
        <v>19995</v>
      </c>
      <c r="H74" s="19">
        <f t="shared" ref="H74:H79" si="10">SUM(F74:G74)</f>
        <v>169995</v>
      </c>
      <c r="I74" s="319">
        <v>3399.9</v>
      </c>
      <c r="J74" s="159">
        <v>50</v>
      </c>
      <c r="K74" s="159">
        <v>17</v>
      </c>
      <c r="L74" s="16">
        <f t="shared" si="7"/>
        <v>57798.3</v>
      </c>
      <c r="M74" s="94">
        <f t="shared" si="8"/>
        <v>112196.7</v>
      </c>
      <c r="N74" s="159">
        <f t="shared" si="9"/>
        <v>33</v>
      </c>
      <c r="O74" s="159"/>
      <c r="P74" s="159"/>
      <c r="Q74" s="11"/>
    </row>
    <row r="75" spans="1:17" s="114" customFormat="1">
      <c r="A75" s="180"/>
      <c r="B75" s="293" t="s">
        <v>1213</v>
      </c>
      <c r="C75" s="96">
        <v>70</v>
      </c>
      <c r="D75" s="123" t="s">
        <v>1214</v>
      </c>
      <c r="E75" s="123"/>
      <c r="F75" s="19">
        <v>330000</v>
      </c>
      <c r="G75" s="19">
        <v>43989</v>
      </c>
      <c r="H75" s="19">
        <f t="shared" si="10"/>
        <v>373989</v>
      </c>
      <c r="I75" s="327">
        <v>7479.78</v>
      </c>
      <c r="J75" s="159">
        <v>50</v>
      </c>
      <c r="K75" s="159">
        <v>12</v>
      </c>
      <c r="L75" s="16">
        <f t="shared" si="7"/>
        <v>89757.36</v>
      </c>
      <c r="M75" s="94">
        <f t="shared" si="8"/>
        <v>284231.64</v>
      </c>
      <c r="N75" s="159">
        <f t="shared" si="9"/>
        <v>38</v>
      </c>
      <c r="O75" s="159"/>
      <c r="P75" s="159"/>
      <c r="Q75" s="11"/>
    </row>
    <row r="76" spans="1:17" s="114" customFormat="1">
      <c r="A76" s="180"/>
      <c r="B76" s="294" t="s">
        <v>663</v>
      </c>
      <c r="C76" s="96">
        <v>71</v>
      </c>
      <c r="D76" s="11" t="s">
        <v>953</v>
      </c>
      <c r="E76" s="11"/>
      <c r="F76" s="19">
        <v>330000</v>
      </c>
      <c r="G76" s="19">
        <v>43989</v>
      </c>
      <c r="H76" s="19">
        <f t="shared" si="10"/>
        <v>373989</v>
      </c>
      <c r="I76" s="327">
        <v>7479.78</v>
      </c>
      <c r="J76" s="159">
        <v>50</v>
      </c>
      <c r="K76" s="159">
        <v>18</v>
      </c>
      <c r="L76" s="91">
        <f t="shared" si="7"/>
        <v>134636.04</v>
      </c>
      <c r="M76" s="94">
        <f t="shared" si="8"/>
        <v>239352.95999999999</v>
      </c>
      <c r="N76" s="159">
        <f t="shared" si="9"/>
        <v>32</v>
      </c>
      <c r="O76" s="159"/>
      <c r="P76" s="97"/>
      <c r="Q76" s="11"/>
    </row>
    <row r="77" spans="1:17" s="114" customFormat="1">
      <c r="A77" s="180"/>
      <c r="B77" s="293" t="s">
        <v>1237</v>
      </c>
      <c r="C77" s="96">
        <v>72</v>
      </c>
      <c r="D77" s="123" t="s">
        <v>1238</v>
      </c>
      <c r="E77" s="123"/>
      <c r="F77" s="16">
        <v>500000</v>
      </c>
      <c r="G77" s="16">
        <v>66650</v>
      </c>
      <c r="H77" s="41">
        <f t="shared" si="10"/>
        <v>566650</v>
      </c>
      <c r="I77" s="327">
        <v>11333</v>
      </c>
      <c r="J77" s="159">
        <v>50</v>
      </c>
      <c r="K77" s="159">
        <v>12</v>
      </c>
      <c r="L77" s="16">
        <f t="shared" si="7"/>
        <v>135996</v>
      </c>
      <c r="M77" s="94">
        <f t="shared" si="8"/>
        <v>430654</v>
      </c>
      <c r="N77" s="159">
        <f t="shared" si="9"/>
        <v>38</v>
      </c>
      <c r="O77" s="159"/>
      <c r="P77" s="159"/>
      <c r="Q77" s="8"/>
    </row>
    <row r="78" spans="1:17" s="114" customFormat="1">
      <c r="A78" s="180"/>
      <c r="B78" s="293" t="s">
        <v>1166</v>
      </c>
      <c r="C78" s="96">
        <v>73</v>
      </c>
      <c r="D78" s="11" t="s">
        <v>1167</v>
      </c>
      <c r="E78" s="11"/>
      <c r="F78" s="16">
        <v>500000</v>
      </c>
      <c r="G78" s="16">
        <v>66650</v>
      </c>
      <c r="H78" s="41">
        <f t="shared" si="10"/>
        <v>566650</v>
      </c>
      <c r="I78" s="327">
        <v>11333</v>
      </c>
      <c r="J78" s="159">
        <v>50</v>
      </c>
      <c r="K78" s="96">
        <v>13</v>
      </c>
      <c r="L78" s="91">
        <f t="shared" si="7"/>
        <v>147329</v>
      </c>
      <c r="M78" s="94">
        <f t="shared" si="8"/>
        <v>419321</v>
      </c>
      <c r="N78" s="159">
        <f t="shared" si="9"/>
        <v>37</v>
      </c>
      <c r="O78" s="159"/>
      <c r="P78" s="97"/>
      <c r="Q78" s="8"/>
    </row>
    <row r="79" spans="1:17" s="114" customFormat="1">
      <c r="A79" s="180"/>
      <c r="B79" s="293" t="s">
        <v>1172</v>
      </c>
      <c r="C79" s="96">
        <v>74</v>
      </c>
      <c r="D79" s="11" t="s">
        <v>1173</v>
      </c>
      <c r="E79" s="11"/>
      <c r="F79" s="19">
        <v>330000</v>
      </c>
      <c r="G79" s="19">
        <v>43989</v>
      </c>
      <c r="H79" s="19">
        <f t="shared" si="10"/>
        <v>373989</v>
      </c>
      <c r="I79" s="327">
        <v>7479.78</v>
      </c>
      <c r="J79" s="159">
        <v>50</v>
      </c>
      <c r="K79" s="96">
        <v>13</v>
      </c>
      <c r="L79" s="91">
        <f t="shared" si="7"/>
        <v>97237.14</v>
      </c>
      <c r="M79" s="94">
        <f t="shared" si="8"/>
        <v>276751.86</v>
      </c>
      <c r="N79" s="159">
        <f t="shared" si="9"/>
        <v>37</v>
      </c>
      <c r="O79" s="159"/>
      <c r="P79" s="97"/>
      <c r="Q79" s="8"/>
    </row>
    <row r="80" spans="1:17" s="114" customFormat="1">
      <c r="A80" s="180"/>
      <c r="B80" s="295" t="s">
        <v>1199</v>
      </c>
      <c r="C80" s="96">
        <v>75</v>
      </c>
      <c r="D80" s="8" t="s">
        <v>1200</v>
      </c>
      <c r="E80" s="8"/>
      <c r="F80" s="19">
        <v>450000</v>
      </c>
      <c r="G80" s="19">
        <v>59985</v>
      </c>
      <c r="H80" s="19">
        <v>509985</v>
      </c>
      <c r="I80" s="13">
        <v>10199.700000000001</v>
      </c>
      <c r="J80" s="159">
        <v>50</v>
      </c>
      <c r="K80" s="101">
        <v>5</v>
      </c>
      <c r="L80" s="16">
        <f t="shared" si="7"/>
        <v>50998.5</v>
      </c>
      <c r="M80" s="94">
        <f t="shared" si="8"/>
        <v>458986.5</v>
      </c>
      <c r="N80" s="159">
        <f t="shared" si="9"/>
        <v>45</v>
      </c>
      <c r="O80" s="101"/>
      <c r="P80" s="101"/>
      <c r="Q80" s="11"/>
    </row>
    <row r="81" spans="1:17" s="114" customFormat="1">
      <c r="A81" s="180"/>
      <c r="B81" s="11" t="s">
        <v>884</v>
      </c>
      <c r="C81" s="96">
        <v>76</v>
      </c>
      <c r="D81" s="11" t="s">
        <v>906</v>
      </c>
      <c r="E81" s="11"/>
      <c r="F81" s="16">
        <v>500000</v>
      </c>
      <c r="G81" s="16">
        <v>66650</v>
      </c>
      <c r="H81" s="41">
        <f>SUM(F81:G81)</f>
        <v>566650</v>
      </c>
      <c r="I81" s="254">
        <v>11333</v>
      </c>
      <c r="J81" s="159">
        <v>50</v>
      </c>
      <c r="K81" s="159">
        <v>5</v>
      </c>
      <c r="L81" s="16">
        <f t="shared" si="7"/>
        <v>56665</v>
      </c>
      <c r="M81" s="94">
        <f t="shared" si="8"/>
        <v>509985</v>
      </c>
      <c r="N81" s="159">
        <f t="shared" si="9"/>
        <v>45</v>
      </c>
      <c r="O81" s="11"/>
      <c r="P81" s="11"/>
      <c r="Q81" s="11"/>
    </row>
    <row r="82" spans="1:17" s="114" customFormat="1">
      <c r="A82" s="180"/>
      <c r="B82" s="295" t="s">
        <v>1150</v>
      </c>
      <c r="C82" s="96">
        <v>77</v>
      </c>
      <c r="D82" s="126" t="s">
        <v>1151</v>
      </c>
      <c r="E82" s="8"/>
      <c r="F82" s="16">
        <v>500000</v>
      </c>
      <c r="G82" s="16">
        <v>66650</v>
      </c>
      <c r="H82" s="41">
        <f>SUM(F82:G82)</f>
        <v>566650</v>
      </c>
      <c r="I82" s="13">
        <v>11333</v>
      </c>
      <c r="J82" s="159">
        <v>50</v>
      </c>
      <c r="K82" s="101">
        <v>3</v>
      </c>
      <c r="L82" s="16">
        <f t="shared" si="7"/>
        <v>33999</v>
      </c>
      <c r="M82" s="94">
        <f t="shared" si="8"/>
        <v>532651</v>
      </c>
      <c r="N82" s="159">
        <f t="shared" si="9"/>
        <v>47</v>
      </c>
      <c r="O82" s="101"/>
      <c r="P82" s="101"/>
      <c r="Q82" s="11"/>
    </row>
    <row r="83" spans="1:17" s="114" customFormat="1">
      <c r="A83" s="180"/>
      <c r="B83" s="292" t="s">
        <v>702</v>
      </c>
      <c r="C83" s="96">
        <v>78</v>
      </c>
      <c r="D83" s="11" t="s">
        <v>703</v>
      </c>
      <c r="E83" s="11"/>
      <c r="F83" s="16">
        <v>450000</v>
      </c>
      <c r="G83" s="16">
        <v>59985</v>
      </c>
      <c r="H83" s="16">
        <v>509985</v>
      </c>
      <c r="I83" s="318">
        <v>10199.700000000001</v>
      </c>
      <c r="J83" s="159">
        <v>50</v>
      </c>
      <c r="K83" s="97">
        <v>36</v>
      </c>
      <c r="L83" s="91">
        <f t="shared" si="7"/>
        <v>367189.2</v>
      </c>
      <c r="M83" s="91">
        <f t="shared" si="8"/>
        <v>142795.79999999999</v>
      </c>
      <c r="N83" s="159">
        <f t="shared" si="9"/>
        <v>14</v>
      </c>
      <c r="O83" s="159"/>
      <c r="P83" s="97"/>
      <c r="Q83" s="11"/>
    </row>
    <row r="84" spans="1:17" s="114" customFormat="1">
      <c r="A84" s="180"/>
      <c r="B84" s="294" t="s">
        <v>723</v>
      </c>
      <c r="C84" s="96">
        <v>79</v>
      </c>
      <c r="D84" s="11" t="s">
        <v>955</v>
      </c>
      <c r="E84" s="11"/>
      <c r="F84" s="16">
        <v>500000</v>
      </c>
      <c r="G84" s="16">
        <v>66650</v>
      </c>
      <c r="H84" s="41">
        <f>SUM(F84:G84)</f>
        <v>566650</v>
      </c>
      <c r="I84" s="327">
        <v>11333</v>
      </c>
      <c r="J84" s="159">
        <v>50</v>
      </c>
      <c r="K84" s="159">
        <v>18</v>
      </c>
      <c r="L84" s="91">
        <f t="shared" si="7"/>
        <v>203994</v>
      </c>
      <c r="M84" s="94">
        <f t="shared" si="8"/>
        <v>362656</v>
      </c>
      <c r="N84" s="159">
        <f t="shared" si="9"/>
        <v>32</v>
      </c>
      <c r="O84" s="159"/>
      <c r="P84" s="97"/>
      <c r="Q84" s="8"/>
    </row>
    <row r="85" spans="1:17" s="114" customFormat="1">
      <c r="A85" s="180"/>
      <c r="B85" s="11" t="s">
        <v>1176</v>
      </c>
      <c r="C85" s="96">
        <v>80</v>
      </c>
      <c r="D85" s="11" t="s">
        <v>1177</v>
      </c>
      <c r="E85" s="11"/>
      <c r="F85" s="16">
        <v>500000</v>
      </c>
      <c r="G85" s="16">
        <v>66650</v>
      </c>
      <c r="H85" s="41">
        <f>SUM(F85:G85)</f>
        <v>566650</v>
      </c>
      <c r="I85" s="16">
        <v>11333</v>
      </c>
      <c r="J85" s="159">
        <v>50</v>
      </c>
      <c r="K85" s="159">
        <v>10</v>
      </c>
      <c r="L85" s="16">
        <f t="shared" si="7"/>
        <v>113330</v>
      </c>
      <c r="M85" s="94">
        <f t="shared" si="8"/>
        <v>453320</v>
      </c>
      <c r="N85" s="159">
        <f t="shared" si="9"/>
        <v>40</v>
      </c>
      <c r="O85" s="159"/>
      <c r="P85" s="159"/>
      <c r="Q85" s="11"/>
    </row>
    <row r="86" spans="1:17" s="114" customFormat="1">
      <c r="A86" s="180"/>
      <c r="B86" s="11" t="s">
        <v>1201</v>
      </c>
      <c r="C86" s="96">
        <v>81</v>
      </c>
      <c r="D86" s="11" t="s">
        <v>1202</v>
      </c>
      <c r="E86" s="11"/>
      <c r="F86" s="19">
        <v>450000</v>
      </c>
      <c r="G86" s="19">
        <v>59985</v>
      </c>
      <c r="H86" s="19">
        <v>509985</v>
      </c>
      <c r="I86" s="254">
        <v>10199.700000000001</v>
      </c>
      <c r="J86" s="159">
        <v>50</v>
      </c>
      <c r="K86" s="159">
        <v>3</v>
      </c>
      <c r="L86" s="16">
        <f t="shared" si="7"/>
        <v>30599.100000000002</v>
      </c>
      <c r="M86" s="94">
        <f t="shared" si="8"/>
        <v>479385.9</v>
      </c>
      <c r="N86" s="159">
        <f t="shared" si="9"/>
        <v>47</v>
      </c>
      <c r="O86" s="11"/>
      <c r="P86" s="11"/>
      <c r="Q86" s="11"/>
    </row>
    <row r="87" spans="1:17" s="114" customFormat="1">
      <c r="A87" s="180"/>
      <c r="B87" s="292" t="s">
        <v>559</v>
      </c>
      <c r="C87" s="96">
        <v>82</v>
      </c>
      <c r="D87" s="11" t="s">
        <v>560</v>
      </c>
      <c r="E87" s="11"/>
      <c r="F87" s="16">
        <v>500000</v>
      </c>
      <c r="G87" s="16">
        <v>66650</v>
      </c>
      <c r="H87" s="16">
        <v>566650</v>
      </c>
      <c r="I87" s="146">
        <v>11333</v>
      </c>
      <c r="J87" s="159">
        <v>50</v>
      </c>
      <c r="K87" s="96">
        <v>25</v>
      </c>
      <c r="L87" s="91">
        <f t="shared" si="7"/>
        <v>283325</v>
      </c>
      <c r="M87" s="94">
        <f t="shared" si="8"/>
        <v>283325</v>
      </c>
      <c r="N87" s="159">
        <f t="shared" si="9"/>
        <v>25</v>
      </c>
      <c r="O87" s="159"/>
      <c r="P87" s="97"/>
      <c r="Q87" s="8"/>
    </row>
    <row r="88" spans="1:17" s="114" customFormat="1">
      <c r="A88" s="180"/>
      <c r="B88" s="292" t="s">
        <v>676</v>
      </c>
      <c r="C88" s="96">
        <v>83</v>
      </c>
      <c r="D88" s="11" t="s">
        <v>677</v>
      </c>
      <c r="E88" s="11"/>
      <c r="F88" s="19">
        <v>150000</v>
      </c>
      <c r="G88" s="19">
        <v>19995</v>
      </c>
      <c r="H88" s="19">
        <f t="shared" ref="H88:H93" si="11">SUM(F88:G88)</f>
        <v>169995</v>
      </c>
      <c r="I88" s="318">
        <v>3399.9</v>
      </c>
      <c r="J88" s="159">
        <v>50</v>
      </c>
      <c r="K88" s="97">
        <v>37</v>
      </c>
      <c r="L88" s="91">
        <f t="shared" si="7"/>
        <v>125796.3</v>
      </c>
      <c r="M88" s="91">
        <f t="shared" si="8"/>
        <v>44198.7</v>
      </c>
      <c r="N88" s="159">
        <f t="shared" si="9"/>
        <v>13</v>
      </c>
      <c r="O88" s="159"/>
      <c r="P88" s="97"/>
      <c r="Q88" s="11"/>
    </row>
    <row r="89" spans="1:17" s="114" customFormat="1">
      <c r="A89" s="180"/>
      <c r="B89" s="293" t="s">
        <v>1180</v>
      </c>
      <c r="C89" s="96">
        <v>84</v>
      </c>
      <c r="D89" s="123" t="s">
        <v>1181</v>
      </c>
      <c r="E89" s="123"/>
      <c r="F89" s="16">
        <v>500000</v>
      </c>
      <c r="G89" s="16">
        <v>66650</v>
      </c>
      <c r="H89" s="41">
        <f t="shared" si="11"/>
        <v>566650</v>
      </c>
      <c r="I89" s="327">
        <v>11333</v>
      </c>
      <c r="J89" s="159">
        <v>50</v>
      </c>
      <c r="K89" s="159">
        <v>20</v>
      </c>
      <c r="L89" s="16">
        <f t="shared" si="7"/>
        <v>226660</v>
      </c>
      <c r="M89" s="94">
        <f t="shared" si="8"/>
        <v>339990</v>
      </c>
      <c r="N89" s="159">
        <f t="shared" si="9"/>
        <v>30</v>
      </c>
      <c r="O89" s="159"/>
      <c r="P89" s="159"/>
      <c r="Q89" s="11"/>
    </row>
    <row r="90" spans="1:17" s="114" customFormat="1">
      <c r="A90" s="180"/>
      <c r="B90" s="292" t="s">
        <v>686</v>
      </c>
      <c r="C90" s="96">
        <v>85</v>
      </c>
      <c r="D90" s="11" t="s">
        <v>687</v>
      </c>
      <c r="E90" s="11"/>
      <c r="F90" s="16">
        <v>500000</v>
      </c>
      <c r="G90" s="16">
        <v>66650</v>
      </c>
      <c r="H90" s="41">
        <f t="shared" si="11"/>
        <v>566650</v>
      </c>
      <c r="I90" s="318">
        <v>11333</v>
      </c>
      <c r="J90" s="159">
        <v>50</v>
      </c>
      <c r="K90" s="97">
        <v>50</v>
      </c>
      <c r="L90" s="91">
        <f t="shared" si="7"/>
        <v>566650</v>
      </c>
      <c r="M90" s="94">
        <f t="shared" si="8"/>
        <v>0</v>
      </c>
      <c r="N90" s="159">
        <f t="shared" si="9"/>
        <v>0</v>
      </c>
      <c r="O90" s="159"/>
      <c r="P90" s="97"/>
      <c r="Q90" s="8"/>
    </row>
    <row r="91" spans="1:17" s="114" customFormat="1">
      <c r="A91" s="180"/>
      <c r="B91" s="295" t="s">
        <v>1233</v>
      </c>
      <c r="C91" s="96">
        <v>86</v>
      </c>
      <c r="D91" s="11" t="s">
        <v>1234</v>
      </c>
      <c r="E91" s="8"/>
      <c r="F91" s="16">
        <v>500000</v>
      </c>
      <c r="G91" s="16">
        <v>66650</v>
      </c>
      <c r="H91" s="41">
        <f t="shared" si="11"/>
        <v>566650</v>
      </c>
      <c r="I91" s="34">
        <v>11333</v>
      </c>
      <c r="J91" s="159">
        <v>50</v>
      </c>
      <c r="K91" s="323">
        <v>10</v>
      </c>
      <c r="L91" s="16">
        <f t="shared" si="7"/>
        <v>113330</v>
      </c>
      <c r="M91" s="94">
        <f t="shared" si="8"/>
        <v>453320</v>
      </c>
      <c r="N91" s="159">
        <f t="shared" si="9"/>
        <v>40</v>
      </c>
      <c r="O91" s="159"/>
      <c r="P91" s="159"/>
      <c r="Q91" s="11"/>
    </row>
    <row r="92" spans="1:17" s="114" customFormat="1">
      <c r="A92" s="180"/>
      <c r="B92" s="8" t="s">
        <v>1152</v>
      </c>
      <c r="C92" s="96">
        <v>87</v>
      </c>
      <c r="D92" s="11" t="s">
        <v>1153</v>
      </c>
      <c r="E92" s="8"/>
      <c r="F92" s="16">
        <v>500000</v>
      </c>
      <c r="G92" s="16">
        <v>66650</v>
      </c>
      <c r="H92" s="41">
        <f t="shared" si="11"/>
        <v>566650</v>
      </c>
      <c r="I92" s="34">
        <v>11333</v>
      </c>
      <c r="J92" s="159">
        <v>50</v>
      </c>
      <c r="K92" s="323">
        <v>10</v>
      </c>
      <c r="L92" s="16">
        <f t="shared" si="7"/>
        <v>113330</v>
      </c>
      <c r="M92" s="94">
        <f t="shared" si="8"/>
        <v>453320</v>
      </c>
      <c r="N92" s="159">
        <f t="shared" si="9"/>
        <v>40</v>
      </c>
      <c r="O92" s="159"/>
      <c r="P92" s="159"/>
      <c r="Q92" s="11"/>
    </row>
    <row r="93" spans="1:17" s="114" customFormat="1">
      <c r="A93" s="180"/>
      <c r="B93" s="11" t="s">
        <v>1308</v>
      </c>
      <c r="C93" s="96">
        <v>88</v>
      </c>
      <c r="D93" s="11" t="s">
        <v>1309</v>
      </c>
      <c r="E93" s="11"/>
      <c r="F93" s="19">
        <v>330000</v>
      </c>
      <c r="G93" s="19">
        <v>43989</v>
      </c>
      <c r="H93" s="19">
        <f t="shared" si="11"/>
        <v>373989</v>
      </c>
      <c r="I93" s="254">
        <v>7479.78</v>
      </c>
      <c r="J93" s="159">
        <v>50</v>
      </c>
      <c r="K93" s="159">
        <v>2</v>
      </c>
      <c r="L93" s="16">
        <f t="shared" si="7"/>
        <v>14959.56</v>
      </c>
      <c r="M93" s="94">
        <f t="shared" si="8"/>
        <v>359029.44</v>
      </c>
      <c r="N93" s="159">
        <f t="shared" si="9"/>
        <v>48</v>
      </c>
      <c r="O93" s="11"/>
      <c r="P93" s="11"/>
      <c r="Q93" s="11"/>
    </row>
    <row r="94" spans="1:17" s="114" customFormat="1">
      <c r="A94" s="180"/>
      <c r="B94" s="293" t="s">
        <v>1255</v>
      </c>
      <c r="C94" s="96">
        <v>89</v>
      </c>
      <c r="D94" s="123" t="s">
        <v>1256</v>
      </c>
      <c r="E94" s="123"/>
      <c r="F94" s="19">
        <v>450000</v>
      </c>
      <c r="G94" s="19">
        <v>59985</v>
      </c>
      <c r="H94" s="19">
        <v>509985</v>
      </c>
      <c r="I94" s="327">
        <v>10199.700000000001</v>
      </c>
      <c r="J94" s="159">
        <v>50</v>
      </c>
      <c r="K94" s="159">
        <v>12</v>
      </c>
      <c r="L94" s="16">
        <f t="shared" si="7"/>
        <v>122396.40000000001</v>
      </c>
      <c r="M94" s="94">
        <f t="shared" si="8"/>
        <v>387588.6</v>
      </c>
      <c r="N94" s="159">
        <f t="shared" si="9"/>
        <v>38</v>
      </c>
      <c r="O94" s="159"/>
      <c r="P94" s="159"/>
      <c r="Q94" s="11"/>
    </row>
    <row r="95" spans="1:17" s="114" customFormat="1">
      <c r="A95" s="180"/>
      <c r="B95" s="295" t="s">
        <v>947</v>
      </c>
      <c r="C95" s="96">
        <v>90</v>
      </c>
      <c r="D95" s="11" t="s">
        <v>948</v>
      </c>
      <c r="E95" s="8"/>
      <c r="F95" s="16">
        <v>500000</v>
      </c>
      <c r="G95" s="16">
        <v>66650</v>
      </c>
      <c r="H95" s="41">
        <f>SUM(F95:G95)</f>
        <v>566650</v>
      </c>
      <c r="I95" s="319">
        <v>11333</v>
      </c>
      <c r="J95" s="159">
        <v>50</v>
      </c>
      <c r="K95" s="159">
        <v>17</v>
      </c>
      <c r="L95" s="16">
        <f t="shared" si="7"/>
        <v>192661</v>
      </c>
      <c r="M95" s="94">
        <f t="shared" si="8"/>
        <v>373989</v>
      </c>
      <c r="N95" s="159">
        <f t="shared" si="9"/>
        <v>33</v>
      </c>
      <c r="O95" s="159"/>
      <c r="P95" s="159"/>
      <c r="Q95" s="11"/>
    </row>
    <row r="96" spans="1:17" s="114" customFormat="1">
      <c r="A96" s="180"/>
      <c r="B96" s="293" t="s">
        <v>1259</v>
      </c>
      <c r="C96" s="96">
        <v>91</v>
      </c>
      <c r="D96" s="123" t="s">
        <v>1260</v>
      </c>
      <c r="E96" s="123"/>
      <c r="F96" s="16">
        <v>500000</v>
      </c>
      <c r="G96" s="16">
        <v>66650</v>
      </c>
      <c r="H96" s="41">
        <f>SUM(F96:G96)</f>
        <v>566650</v>
      </c>
      <c r="I96" s="327">
        <v>11333</v>
      </c>
      <c r="J96" s="159">
        <v>50</v>
      </c>
      <c r="K96" s="159">
        <v>12</v>
      </c>
      <c r="L96" s="16">
        <f t="shared" ref="L96:L127" si="12">K96*I96</f>
        <v>135996</v>
      </c>
      <c r="M96" s="94">
        <f t="shared" si="8"/>
        <v>430654</v>
      </c>
      <c r="N96" s="159">
        <f t="shared" si="9"/>
        <v>38</v>
      </c>
      <c r="O96" s="159"/>
      <c r="P96" s="159"/>
      <c r="Q96" s="11"/>
    </row>
    <row r="97" spans="1:17" s="114" customFormat="1">
      <c r="A97" s="180"/>
      <c r="B97" s="8" t="s">
        <v>1223</v>
      </c>
      <c r="C97" s="96">
        <v>92</v>
      </c>
      <c r="D97" s="8" t="s">
        <v>1224</v>
      </c>
      <c r="E97" s="8"/>
      <c r="F97" s="19">
        <v>330000</v>
      </c>
      <c r="G97" s="19">
        <v>43989</v>
      </c>
      <c r="H97" s="19">
        <f>SUM(F97:G97)</f>
        <v>373989</v>
      </c>
      <c r="I97" s="34">
        <v>7479.78</v>
      </c>
      <c r="J97" s="159">
        <v>50</v>
      </c>
      <c r="K97" s="323">
        <v>5</v>
      </c>
      <c r="L97" s="16">
        <f t="shared" si="12"/>
        <v>37398.9</v>
      </c>
      <c r="M97" s="94">
        <f t="shared" si="8"/>
        <v>336590.1</v>
      </c>
      <c r="N97" s="159">
        <f t="shared" si="9"/>
        <v>45</v>
      </c>
      <c r="O97" s="34"/>
      <c r="P97" s="34"/>
      <c r="Q97" s="11"/>
    </row>
    <row r="98" spans="1:17" s="114" customFormat="1">
      <c r="A98" s="180"/>
      <c r="B98" s="292" t="s">
        <v>886</v>
      </c>
      <c r="C98" s="96">
        <v>93</v>
      </c>
      <c r="D98" s="11" t="s">
        <v>908</v>
      </c>
      <c r="E98" s="11"/>
      <c r="F98" s="16">
        <v>500000</v>
      </c>
      <c r="G98" s="16">
        <v>66650</v>
      </c>
      <c r="H98" s="41">
        <f>SUM(F98:G98)</f>
        <v>566650</v>
      </c>
      <c r="I98" s="318">
        <v>11333</v>
      </c>
      <c r="J98" s="159">
        <v>50</v>
      </c>
      <c r="K98" s="97">
        <v>51</v>
      </c>
      <c r="L98" s="91">
        <f t="shared" si="12"/>
        <v>577983</v>
      </c>
      <c r="M98" s="94">
        <f t="shared" si="8"/>
        <v>-11333</v>
      </c>
      <c r="N98" s="159">
        <f t="shared" si="9"/>
        <v>-1</v>
      </c>
      <c r="O98" s="159"/>
      <c r="P98" s="97"/>
      <c r="Q98" s="8"/>
    </row>
    <row r="99" spans="1:17" s="114" customFormat="1">
      <c r="A99" s="180"/>
      <c r="B99" s="292" t="s">
        <v>542</v>
      </c>
      <c r="C99" s="96">
        <v>94</v>
      </c>
      <c r="D99" s="11" t="s">
        <v>543</v>
      </c>
      <c r="E99" s="11"/>
      <c r="F99" s="16">
        <v>500000</v>
      </c>
      <c r="G99" s="16">
        <v>66650</v>
      </c>
      <c r="H99" s="41">
        <f>SUM(F99:G99)</f>
        <v>566650</v>
      </c>
      <c r="I99" s="318">
        <v>11333</v>
      </c>
      <c r="J99" s="159">
        <v>50</v>
      </c>
      <c r="K99" s="97">
        <v>50</v>
      </c>
      <c r="L99" s="91">
        <f t="shared" si="12"/>
        <v>566650</v>
      </c>
      <c r="M99" s="94">
        <f t="shared" si="8"/>
        <v>0</v>
      </c>
      <c r="N99" s="159">
        <f t="shared" si="9"/>
        <v>0</v>
      </c>
      <c r="O99" s="159"/>
      <c r="P99" s="97"/>
      <c r="Q99" s="8"/>
    </row>
    <row r="100" spans="1:17" s="114" customFormat="1">
      <c r="A100" s="180"/>
      <c r="B100" s="292" t="s">
        <v>680</v>
      </c>
      <c r="C100" s="96">
        <v>95</v>
      </c>
      <c r="D100" s="11" t="s">
        <v>681</v>
      </c>
      <c r="E100" s="11"/>
      <c r="F100" s="19">
        <v>500000</v>
      </c>
      <c r="G100" s="19">
        <v>66650</v>
      </c>
      <c r="H100" s="19">
        <v>566650</v>
      </c>
      <c r="I100" s="318">
        <v>11333</v>
      </c>
      <c r="J100" s="159">
        <v>50</v>
      </c>
      <c r="K100" s="97">
        <v>37</v>
      </c>
      <c r="L100" s="91">
        <f t="shared" si="12"/>
        <v>419321</v>
      </c>
      <c r="M100" s="91">
        <f t="shared" si="8"/>
        <v>147329</v>
      </c>
      <c r="N100" s="159">
        <f t="shared" si="9"/>
        <v>13</v>
      </c>
      <c r="O100" s="159"/>
      <c r="P100" s="97"/>
      <c r="Q100" s="11"/>
    </row>
    <row r="101" spans="1:17" s="114" customFormat="1">
      <c r="A101" s="180"/>
      <c r="B101" s="292" t="s">
        <v>684</v>
      </c>
      <c r="C101" s="96">
        <v>96</v>
      </c>
      <c r="D101" s="11" t="s">
        <v>685</v>
      </c>
      <c r="E101" s="11"/>
      <c r="F101" s="19">
        <v>500000</v>
      </c>
      <c r="G101" s="19">
        <v>66650</v>
      </c>
      <c r="H101" s="19">
        <v>566650</v>
      </c>
      <c r="I101" s="318">
        <v>11333</v>
      </c>
      <c r="J101" s="159">
        <v>50</v>
      </c>
      <c r="K101" s="97">
        <v>37</v>
      </c>
      <c r="L101" s="91">
        <f t="shared" si="12"/>
        <v>419321</v>
      </c>
      <c r="M101" s="91">
        <f t="shared" si="8"/>
        <v>147329</v>
      </c>
      <c r="N101" s="159">
        <f t="shared" si="9"/>
        <v>13</v>
      </c>
      <c r="O101" s="159"/>
      <c r="P101" s="97"/>
      <c r="Q101" s="11"/>
    </row>
    <row r="102" spans="1:17" s="114" customFormat="1">
      <c r="A102" s="180"/>
      <c r="B102" s="292" t="s">
        <v>730</v>
      </c>
      <c r="C102" s="96">
        <v>97</v>
      </c>
      <c r="D102" s="11" t="s">
        <v>731</v>
      </c>
      <c r="E102" s="11"/>
      <c r="F102" s="16">
        <v>500000</v>
      </c>
      <c r="G102" s="16">
        <v>66650</v>
      </c>
      <c r="H102" s="41">
        <f t="shared" ref="H102:H111" si="13">SUM(F102:G102)</f>
        <v>566650</v>
      </c>
      <c r="I102" s="318">
        <v>11333</v>
      </c>
      <c r="J102" s="159">
        <v>50</v>
      </c>
      <c r="K102" s="159">
        <v>27</v>
      </c>
      <c r="L102" s="91">
        <f t="shared" si="12"/>
        <v>305991</v>
      </c>
      <c r="M102" s="94">
        <f t="shared" ref="M102:M130" si="14">H102-L102</f>
        <v>260659</v>
      </c>
      <c r="N102" s="159">
        <f t="shared" ref="N102:N130" si="15">J102-K102</f>
        <v>23</v>
      </c>
      <c r="O102" s="159"/>
      <c r="P102" s="159"/>
      <c r="Q102" s="11"/>
    </row>
    <row r="103" spans="1:17" s="114" customFormat="1">
      <c r="A103" s="180"/>
      <c r="B103" s="11" t="s">
        <v>1186</v>
      </c>
      <c r="C103" s="96">
        <v>98</v>
      </c>
      <c r="D103" s="11" t="s">
        <v>1187</v>
      </c>
      <c r="E103" s="11"/>
      <c r="F103" s="16">
        <v>500000</v>
      </c>
      <c r="G103" s="16">
        <v>66650</v>
      </c>
      <c r="H103" s="41">
        <f t="shared" si="13"/>
        <v>566650</v>
      </c>
      <c r="I103" s="254">
        <v>11333</v>
      </c>
      <c r="J103" s="159">
        <v>50</v>
      </c>
      <c r="K103" s="159">
        <v>5</v>
      </c>
      <c r="L103" s="16">
        <f t="shared" si="12"/>
        <v>56665</v>
      </c>
      <c r="M103" s="94">
        <f t="shared" si="14"/>
        <v>509985</v>
      </c>
      <c r="N103" s="159">
        <f t="shared" si="15"/>
        <v>45</v>
      </c>
      <c r="O103" s="11"/>
      <c r="P103" s="11"/>
      <c r="Q103" s="11"/>
    </row>
    <row r="104" spans="1:17" s="114" customFormat="1">
      <c r="A104" s="180"/>
      <c r="B104" s="293" t="s">
        <v>888</v>
      </c>
      <c r="C104" s="96">
        <v>99</v>
      </c>
      <c r="D104" s="123" t="s">
        <v>910</v>
      </c>
      <c r="E104" s="123"/>
      <c r="F104" s="16">
        <v>500000</v>
      </c>
      <c r="G104" s="16">
        <v>66650</v>
      </c>
      <c r="H104" s="41">
        <f t="shared" si="13"/>
        <v>566650</v>
      </c>
      <c r="I104" s="327">
        <v>11333</v>
      </c>
      <c r="J104" s="159">
        <v>50</v>
      </c>
      <c r="K104" s="159">
        <v>20</v>
      </c>
      <c r="L104" s="16">
        <f t="shared" si="12"/>
        <v>226660</v>
      </c>
      <c r="M104" s="94">
        <f t="shared" si="14"/>
        <v>339990</v>
      </c>
      <c r="N104" s="159">
        <f t="shared" si="15"/>
        <v>30</v>
      </c>
      <c r="O104" s="159"/>
      <c r="P104" s="159"/>
      <c r="Q104" s="11"/>
    </row>
    <row r="105" spans="1:17" s="114" customFormat="1">
      <c r="A105" s="180"/>
      <c r="B105" s="292" t="s">
        <v>949</v>
      </c>
      <c r="C105" s="96">
        <v>100</v>
      </c>
      <c r="D105" s="11" t="s">
        <v>950</v>
      </c>
      <c r="E105" s="11"/>
      <c r="F105" s="16">
        <v>500000</v>
      </c>
      <c r="G105" s="16">
        <v>66650</v>
      </c>
      <c r="H105" s="41">
        <f t="shared" si="13"/>
        <v>566650</v>
      </c>
      <c r="I105" s="318">
        <v>11333</v>
      </c>
      <c r="J105" s="159">
        <v>50</v>
      </c>
      <c r="K105" s="97">
        <v>50</v>
      </c>
      <c r="L105" s="91">
        <f t="shared" si="12"/>
        <v>566650</v>
      </c>
      <c r="M105" s="94">
        <f t="shared" si="14"/>
        <v>0</v>
      </c>
      <c r="N105" s="159">
        <f t="shared" si="15"/>
        <v>0</v>
      </c>
      <c r="O105" s="159"/>
      <c r="P105" s="97"/>
      <c r="Q105" s="8"/>
    </row>
    <row r="106" spans="1:17" s="114" customFormat="1">
      <c r="A106" s="180"/>
      <c r="B106" s="292" t="s">
        <v>711</v>
      </c>
      <c r="C106" s="96">
        <v>101</v>
      </c>
      <c r="D106" s="11" t="s">
        <v>712</v>
      </c>
      <c r="E106" s="11"/>
      <c r="F106" s="16">
        <v>500000</v>
      </c>
      <c r="G106" s="16">
        <v>66650</v>
      </c>
      <c r="H106" s="41">
        <f t="shared" si="13"/>
        <v>566650</v>
      </c>
      <c r="I106" s="318">
        <v>11333</v>
      </c>
      <c r="J106" s="159">
        <v>50</v>
      </c>
      <c r="K106" s="97">
        <v>50</v>
      </c>
      <c r="L106" s="91">
        <f t="shared" si="12"/>
        <v>566650</v>
      </c>
      <c r="M106" s="94">
        <f t="shared" si="14"/>
        <v>0</v>
      </c>
      <c r="N106" s="159">
        <f t="shared" si="15"/>
        <v>0</v>
      </c>
      <c r="O106" s="159"/>
      <c r="P106" s="97"/>
      <c r="Q106" s="11"/>
    </row>
    <row r="107" spans="1:17" s="114" customFormat="1">
      <c r="A107" s="180"/>
      <c r="B107" s="295" t="s">
        <v>1221</v>
      </c>
      <c r="C107" s="96">
        <v>102</v>
      </c>
      <c r="D107" s="126" t="s">
        <v>1222</v>
      </c>
      <c r="E107" s="8"/>
      <c r="F107" s="16">
        <v>500000</v>
      </c>
      <c r="G107" s="16">
        <v>66650</v>
      </c>
      <c r="H107" s="41">
        <f t="shared" si="13"/>
        <v>566650</v>
      </c>
      <c r="I107" s="13">
        <v>11333</v>
      </c>
      <c r="J107" s="159">
        <v>50</v>
      </c>
      <c r="K107" s="101">
        <v>3</v>
      </c>
      <c r="L107" s="16">
        <f t="shared" si="12"/>
        <v>33999</v>
      </c>
      <c r="M107" s="94">
        <f t="shared" si="14"/>
        <v>532651</v>
      </c>
      <c r="N107" s="159">
        <f t="shared" si="15"/>
        <v>47</v>
      </c>
      <c r="O107" s="101"/>
      <c r="P107" s="101"/>
      <c r="Q107" s="11"/>
    </row>
    <row r="108" spans="1:17" s="114" customFormat="1">
      <c r="A108" s="180"/>
      <c r="B108" s="295" t="s">
        <v>1257</v>
      </c>
      <c r="C108" s="96">
        <v>103</v>
      </c>
      <c r="D108" s="126" t="s">
        <v>1258</v>
      </c>
      <c r="E108" s="8"/>
      <c r="F108" s="16">
        <v>500000</v>
      </c>
      <c r="G108" s="16">
        <v>66650</v>
      </c>
      <c r="H108" s="41">
        <f t="shared" si="13"/>
        <v>566650</v>
      </c>
      <c r="I108" s="13">
        <v>11333</v>
      </c>
      <c r="J108" s="159">
        <v>50</v>
      </c>
      <c r="K108" s="101">
        <v>3</v>
      </c>
      <c r="L108" s="16">
        <f t="shared" si="12"/>
        <v>33999</v>
      </c>
      <c r="M108" s="94">
        <f t="shared" si="14"/>
        <v>532651</v>
      </c>
      <c r="N108" s="159">
        <f t="shared" si="15"/>
        <v>47</v>
      </c>
      <c r="O108" s="101"/>
      <c r="P108" s="101"/>
      <c r="Q108" s="8"/>
    </row>
    <row r="109" spans="1:17" s="114" customFormat="1">
      <c r="A109" s="180"/>
      <c r="B109" s="295" t="s">
        <v>1164</v>
      </c>
      <c r="C109" s="96">
        <v>104</v>
      </c>
      <c r="D109" s="126" t="s">
        <v>1165</v>
      </c>
      <c r="E109" s="8"/>
      <c r="F109" s="16">
        <v>500000</v>
      </c>
      <c r="G109" s="16">
        <v>66650</v>
      </c>
      <c r="H109" s="41">
        <f t="shared" si="13"/>
        <v>566650</v>
      </c>
      <c r="I109" s="13">
        <v>11333</v>
      </c>
      <c r="J109" s="159">
        <v>50</v>
      </c>
      <c r="K109" s="101">
        <v>3</v>
      </c>
      <c r="L109" s="16">
        <f t="shared" si="12"/>
        <v>33999</v>
      </c>
      <c r="M109" s="94">
        <f t="shared" si="14"/>
        <v>532651</v>
      </c>
      <c r="N109" s="159">
        <f t="shared" si="15"/>
        <v>47</v>
      </c>
      <c r="O109" s="101"/>
      <c r="P109" s="101"/>
      <c r="Q109" s="11"/>
    </row>
    <row r="110" spans="1:17" s="114" customFormat="1">
      <c r="A110" s="180"/>
      <c r="B110" s="295" t="s">
        <v>939</v>
      </c>
      <c r="C110" s="96">
        <v>105</v>
      </c>
      <c r="D110" s="11" t="s">
        <v>940</v>
      </c>
      <c r="E110" s="8"/>
      <c r="F110" s="19">
        <v>330000</v>
      </c>
      <c r="G110" s="19">
        <v>43989</v>
      </c>
      <c r="H110" s="19">
        <f t="shared" si="13"/>
        <v>373989</v>
      </c>
      <c r="I110" s="319">
        <v>7479.78</v>
      </c>
      <c r="J110" s="159">
        <v>50</v>
      </c>
      <c r="K110" s="159">
        <v>17</v>
      </c>
      <c r="L110" s="16">
        <f t="shared" si="12"/>
        <v>127156.26</v>
      </c>
      <c r="M110" s="94">
        <f t="shared" si="14"/>
        <v>246832.74</v>
      </c>
      <c r="N110" s="159">
        <f t="shared" si="15"/>
        <v>33</v>
      </c>
      <c r="O110" s="159"/>
      <c r="P110" s="159"/>
      <c r="Q110" s="11"/>
    </row>
    <row r="111" spans="1:17" s="114" customFormat="1">
      <c r="A111" s="180"/>
      <c r="B111" s="295" t="s">
        <v>1188</v>
      </c>
      <c r="C111" s="96">
        <v>106</v>
      </c>
      <c r="D111" s="8" t="s">
        <v>1189</v>
      </c>
      <c r="E111" s="8"/>
      <c r="F111" s="19">
        <v>330000</v>
      </c>
      <c r="G111" s="19">
        <v>43989</v>
      </c>
      <c r="H111" s="19">
        <f t="shared" si="13"/>
        <v>373989</v>
      </c>
      <c r="I111" s="13">
        <v>7479.78</v>
      </c>
      <c r="J111" s="159">
        <v>50</v>
      </c>
      <c r="K111" s="101">
        <v>5</v>
      </c>
      <c r="L111" s="16">
        <f t="shared" si="12"/>
        <v>37398.9</v>
      </c>
      <c r="M111" s="94">
        <f t="shared" si="14"/>
        <v>336590.1</v>
      </c>
      <c r="N111" s="159">
        <f t="shared" si="15"/>
        <v>45</v>
      </c>
      <c r="O111" s="101"/>
      <c r="P111" s="101"/>
      <c r="Q111" s="8"/>
    </row>
    <row r="112" spans="1:17" s="114" customFormat="1">
      <c r="A112" s="180"/>
      <c r="B112" s="293" t="s">
        <v>1215</v>
      </c>
      <c r="C112" s="96">
        <v>107</v>
      </c>
      <c r="D112" s="11" t="s">
        <v>1216</v>
      </c>
      <c r="E112" s="11"/>
      <c r="F112" s="16">
        <v>450000</v>
      </c>
      <c r="G112" s="16">
        <v>59985</v>
      </c>
      <c r="H112" s="16">
        <v>509985</v>
      </c>
      <c r="I112" s="327">
        <v>10199.700000000001</v>
      </c>
      <c r="J112" s="159">
        <v>50</v>
      </c>
      <c r="K112" s="96">
        <v>13</v>
      </c>
      <c r="L112" s="91">
        <f t="shared" si="12"/>
        <v>132596.1</v>
      </c>
      <c r="M112" s="94">
        <f t="shared" si="14"/>
        <v>377388.9</v>
      </c>
      <c r="N112" s="159">
        <f t="shared" si="15"/>
        <v>37</v>
      </c>
      <c r="O112" s="159"/>
      <c r="P112" s="97"/>
      <c r="Q112" s="11"/>
    </row>
    <row r="113" spans="1:17" s="114" customFormat="1">
      <c r="A113" s="180"/>
      <c r="B113" s="293" t="s">
        <v>602</v>
      </c>
      <c r="C113" s="96">
        <v>108</v>
      </c>
      <c r="D113" s="11" t="s">
        <v>603</v>
      </c>
      <c r="E113" s="11"/>
      <c r="F113" s="19">
        <v>330000</v>
      </c>
      <c r="G113" s="19">
        <v>43989</v>
      </c>
      <c r="H113" s="19">
        <f>SUM(F113:G113)</f>
        <v>373989</v>
      </c>
      <c r="I113" s="327">
        <v>7479.78</v>
      </c>
      <c r="J113" s="159">
        <v>50</v>
      </c>
      <c r="K113" s="96">
        <v>13</v>
      </c>
      <c r="L113" s="91">
        <f t="shared" si="12"/>
        <v>97237.14</v>
      </c>
      <c r="M113" s="94">
        <f t="shared" si="14"/>
        <v>276751.86</v>
      </c>
      <c r="N113" s="159">
        <f t="shared" si="15"/>
        <v>37</v>
      </c>
      <c r="O113" s="159"/>
      <c r="P113" s="97"/>
      <c r="Q113" s="11"/>
    </row>
    <row r="114" spans="1:17" s="114" customFormat="1">
      <c r="A114" s="180"/>
      <c r="B114" s="293" t="s">
        <v>1219</v>
      </c>
      <c r="C114" s="96">
        <v>109</v>
      </c>
      <c r="D114" s="11" t="s">
        <v>1220</v>
      </c>
      <c r="E114" s="11"/>
      <c r="F114" s="19">
        <v>330000</v>
      </c>
      <c r="G114" s="19">
        <v>43989</v>
      </c>
      <c r="H114" s="19">
        <f>SUM(F114:G114)</f>
        <v>373989</v>
      </c>
      <c r="I114" s="327">
        <v>7479.78</v>
      </c>
      <c r="J114" s="159">
        <v>50</v>
      </c>
      <c r="K114" s="96">
        <v>13</v>
      </c>
      <c r="L114" s="91">
        <f t="shared" si="12"/>
        <v>97237.14</v>
      </c>
      <c r="M114" s="94">
        <f t="shared" si="14"/>
        <v>276751.86</v>
      </c>
      <c r="N114" s="159">
        <f t="shared" si="15"/>
        <v>37</v>
      </c>
      <c r="O114" s="159"/>
      <c r="P114" s="97"/>
      <c r="Q114" s="11"/>
    </row>
    <row r="115" spans="1:17" s="114" customFormat="1">
      <c r="A115" s="180"/>
      <c r="B115" s="293" t="s">
        <v>1156</v>
      </c>
      <c r="C115" s="96">
        <v>110</v>
      </c>
      <c r="D115" s="11" t="s">
        <v>1157</v>
      </c>
      <c r="E115" s="11"/>
      <c r="F115" s="19"/>
      <c r="G115" s="19"/>
      <c r="H115" s="19">
        <v>200000</v>
      </c>
      <c r="I115" s="327">
        <v>5099.8500000000004</v>
      </c>
      <c r="J115" s="159">
        <v>50</v>
      </c>
      <c r="K115" s="96">
        <v>13</v>
      </c>
      <c r="L115" s="91">
        <f t="shared" si="12"/>
        <v>66298.05</v>
      </c>
      <c r="M115" s="94">
        <f t="shared" si="14"/>
        <v>133701.95000000001</v>
      </c>
      <c r="N115" s="159">
        <f t="shared" si="15"/>
        <v>37</v>
      </c>
      <c r="O115" s="159"/>
      <c r="P115" s="97"/>
      <c r="Q115" s="11"/>
    </row>
    <row r="116" spans="1:17" s="114" customFormat="1">
      <c r="A116" s="180"/>
      <c r="B116" s="293" t="s">
        <v>1225</v>
      </c>
      <c r="C116" s="96">
        <v>111</v>
      </c>
      <c r="D116" s="11" t="s">
        <v>1226</v>
      </c>
      <c r="E116" s="11"/>
      <c r="F116" s="16">
        <v>500000</v>
      </c>
      <c r="G116" s="16">
        <v>66650</v>
      </c>
      <c r="H116" s="41">
        <f>SUM(F116:G116)</f>
        <v>566650</v>
      </c>
      <c r="I116" s="327">
        <v>11333</v>
      </c>
      <c r="J116" s="159">
        <v>50</v>
      </c>
      <c r="K116" s="96">
        <v>13</v>
      </c>
      <c r="L116" s="91">
        <f t="shared" si="12"/>
        <v>147329</v>
      </c>
      <c r="M116" s="94">
        <f t="shared" si="14"/>
        <v>419321</v>
      </c>
      <c r="N116" s="159">
        <f t="shared" si="15"/>
        <v>37</v>
      </c>
      <c r="O116" s="159"/>
      <c r="P116" s="97"/>
      <c r="Q116" s="11"/>
    </row>
    <row r="117" spans="1:17" s="114" customFormat="1">
      <c r="A117" s="180"/>
      <c r="B117" s="294" t="s">
        <v>606</v>
      </c>
      <c r="C117" s="96">
        <v>112</v>
      </c>
      <c r="D117" s="123" t="s">
        <v>952</v>
      </c>
      <c r="E117" s="123"/>
      <c r="F117" s="19">
        <v>150000</v>
      </c>
      <c r="G117" s="19">
        <v>19995</v>
      </c>
      <c r="H117" s="19">
        <f>SUM(F117:G117)</f>
        <v>169995</v>
      </c>
      <c r="I117" s="327">
        <v>3399.9</v>
      </c>
      <c r="J117" s="159">
        <v>50</v>
      </c>
      <c r="K117" s="159">
        <v>18</v>
      </c>
      <c r="L117" s="91">
        <f t="shared" si="12"/>
        <v>61198.200000000004</v>
      </c>
      <c r="M117" s="94">
        <f t="shared" si="14"/>
        <v>108796.79999999999</v>
      </c>
      <c r="N117" s="159">
        <f t="shared" si="15"/>
        <v>32</v>
      </c>
      <c r="O117" s="159"/>
      <c r="P117" s="97"/>
      <c r="Q117" s="11"/>
    </row>
    <row r="118" spans="1:17" s="114" customFormat="1">
      <c r="A118" s="180"/>
      <c r="B118" s="292" t="s">
        <v>649</v>
      </c>
      <c r="C118" s="96">
        <v>113</v>
      </c>
      <c r="D118" s="11" t="s">
        <v>650</v>
      </c>
      <c r="E118" s="11"/>
      <c r="F118" s="16">
        <v>450000</v>
      </c>
      <c r="G118" s="16">
        <v>59985</v>
      </c>
      <c r="H118" s="16">
        <v>509985</v>
      </c>
      <c r="I118" s="318">
        <v>10199.700000000001</v>
      </c>
      <c r="J118" s="159">
        <v>50</v>
      </c>
      <c r="K118" s="97">
        <v>36</v>
      </c>
      <c r="L118" s="91">
        <f t="shared" si="12"/>
        <v>367189.2</v>
      </c>
      <c r="M118" s="91">
        <f t="shared" si="14"/>
        <v>142795.79999999999</v>
      </c>
      <c r="N118" s="159">
        <f t="shared" si="15"/>
        <v>14</v>
      </c>
      <c r="O118" s="159"/>
      <c r="P118" s="97"/>
      <c r="Q118" s="11"/>
    </row>
    <row r="119" spans="1:17" s="114" customFormat="1">
      <c r="A119" s="180"/>
      <c r="B119" s="293" t="s">
        <v>890</v>
      </c>
      <c r="C119" s="96">
        <v>114</v>
      </c>
      <c r="D119" s="123" t="s">
        <v>912</v>
      </c>
      <c r="E119" s="123"/>
      <c r="F119" s="16">
        <v>500000</v>
      </c>
      <c r="G119" s="16">
        <v>66650</v>
      </c>
      <c r="H119" s="41">
        <f>SUM(F119:G119)</f>
        <v>566650</v>
      </c>
      <c r="I119" s="327">
        <v>11333</v>
      </c>
      <c r="J119" s="159">
        <v>50</v>
      </c>
      <c r="K119" s="159">
        <v>20</v>
      </c>
      <c r="L119" s="16">
        <f t="shared" si="12"/>
        <v>226660</v>
      </c>
      <c r="M119" s="94">
        <f t="shared" si="14"/>
        <v>339990</v>
      </c>
      <c r="N119" s="159">
        <f t="shared" si="15"/>
        <v>30</v>
      </c>
      <c r="O119" s="159"/>
      <c r="P119" s="159"/>
      <c r="Q119" s="11"/>
    </row>
    <row r="120" spans="1:17" s="114" customFormat="1">
      <c r="A120" s="180"/>
      <c r="B120" s="8" t="s">
        <v>1196</v>
      </c>
      <c r="C120" s="96">
        <v>115</v>
      </c>
      <c r="D120" s="8" t="s">
        <v>1197</v>
      </c>
      <c r="E120" s="8"/>
      <c r="F120" s="16">
        <v>500000</v>
      </c>
      <c r="G120" s="16">
        <v>66650</v>
      </c>
      <c r="H120" s="41">
        <f>SUM(F120:G120)</f>
        <v>566650</v>
      </c>
      <c r="I120" s="34">
        <v>11333</v>
      </c>
      <c r="J120" s="159">
        <v>50</v>
      </c>
      <c r="K120" s="323">
        <v>5</v>
      </c>
      <c r="L120" s="16">
        <f t="shared" si="12"/>
        <v>56665</v>
      </c>
      <c r="M120" s="94">
        <f t="shared" si="14"/>
        <v>509985</v>
      </c>
      <c r="N120" s="159">
        <f t="shared" si="15"/>
        <v>45</v>
      </c>
      <c r="O120" s="34"/>
      <c r="P120" s="34"/>
      <c r="Q120" s="8"/>
    </row>
    <row r="121" spans="1:17" s="114" customFormat="1">
      <c r="A121" s="180"/>
      <c r="B121" s="292" t="s">
        <v>609</v>
      </c>
      <c r="C121" s="96">
        <v>116</v>
      </c>
      <c r="D121" s="11" t="s">
        <v>610</v>
      </c>
      <c r="E121" s="11"/>
      <c r="F121" s="16">
        <v>500000</v>
      </c>
      <c r="G121" s="16">
        <v>66650</v>
      </c>
      <c r="H121" s="41">
        <f>SUM(F121:G121)</f>
        <v>566650</v>
      </c>
      <c r="I121" s="318">
        <v>11333</v>
      </c>
      <c r="J121" s="159">
        <v>50</v>
      </c>
      <c r="K121" s="97">
        <v>50</v>
      </c>
      <c r="L121" s="91">
        <f t="shared" si="12"/>
        <v>566650</v>
      </c>
      <c r="M121" s="94">
        <f t="shared" si="14"/>
        <v>0</v>
      </c>
      <c r="N121" s="159">
        <f t="shared" si="15"/>
        <v>0</v>
      </c>
      <c r="O121" s="159"/>
      <c r="P121" s="97"/>
      <c r="Q121" s="8"/>
    </row>
    <row r="122" spans="1:17" s="114" customFormat="1">
      <c r="A122" s="180"/>
      <c r="B122" s="293" t="s">
        <v>1241</v>
      </c>
      <c r="C122" s="96">
        <v>117</v>
      </c>
      <c r="D122" s="123" t="s">
        <v>1242</v>
      </c>
      <c r="E122" s="123"/>
      <c r="F122" s="19">
        <v>450000</v>
      </c>
      <c r="G122" s="19">
        <v>59985</v>
      </c>
      <c r="H122" s="19">
        <v>509985</v>
      </c>
      <c r="I122" s="327">
        <v>10199.700000000001</v>
      </c>
      <c r="J122" s="159">
        <v>50</v>
      </c>
      <c r="K122" s="159">
        <v>12</v>
      </c>
      <c r="L122" s="16">
        <f t="shared" si="12"/>
        <v>122396.40000000001</v>
      </c>
      <c r="M122" s="94">
        <f t="shared" si="14"/>
        <v>387588.6</v>
      </c>
      <c r="N122" s="159">
        <f t="shared" si="15"/>
        <v>38</v>
      </c>
      <c r="O122" s="159"/>
      <c r="P122" s="159"/>
      <c r="Q122" s="8"/>
    </row>
    <row r="123" spans="1:17" s="114" customFormat="1">
      <c r="A123" s="180"/>
      <c r="B123" s="292" t="s">
        <v>524</v>
      </c>
      <c r="C123" s="96">
        <v>118</v>
      </c>
      <c r="D123" s="11" t="s">
        <v>525</v>
      </c>
      <c r="E123" s="11"/>
      <c r="F123" s="19">
        <v>330000</v>
      </c>
      <c r="G123" s="19">
        <v>43989</v>
      </c>
      <c r="H123" s="19">
        <f>SUM(F123:G123)</f>
        <v>373989</v>
      </c>
      <c r="I123" s="146">
        <v>7479.78</v>
      </c>
      <c r="J123" s="159">
        <v>50</v>
      </c>
      <c r="K123" s="159">
        <v>25</v>
      </c>
      <c r="L123" s="91">
        <f t="shared" si="12"/>
        <v>186994.5</v>
      </c>
      <c r="M123" s="94">
        <f t="shared" si="14"/>
        <v>186994.5</v>
      </c>
      <c r="N123" s="159">
        <f t="shared" si="15"/>
        <v>25</v>
      </c>
      <c r="O123" s="159"/>
      <c r="P123" s="97"/>
      <c r="Q123" s="8"/>
    </row>
    <row r="124" spans="1:17" s="114" customFormat="1">
      <c r="A124" s="180"/>
      <c r="B124" s="292" t="s">
        <v>576</v>
      </c>
      <c r="C124" s="96">
        <v>119</v>
      </c>
      <c r="D124" s="11" t="s">
        <v>927</v>
      </c>
      <c r="E124" s="11"/>
      <c r="F124" s="16">
        <v>60000</v>
      </c>
      <c r="G124" s="16">
        <v>7998</v>
      </c>
      <c r="H124" s="41">
        <f>SUM(F124:G124)</f>
        <v>67998</v>
      </c>
      <c r="I124" s="318">
        <v>1699.95</v>
      </c>
      <c r="J124" s="159">
        <v>40</v>
      </c>
      <c r="K124" s="97">
        <v>26</v>
      </c>
      <c r="L124" s="91">
        <f t="shared" si="12"/>
        <v>44198.700000000004</v>
      </c>
      <c r="M124" s="94">
        <f t="shared" si="14"/>
        <v>23799.299999999996</v>
      </c>
      <c r="N124" s="159">
        <f t="shared" si="15"/>
        <v>14</v>
      </c>
      <c r="O124" s="159"/>
      <c r="P124" s="97"/>
      <c r="Q124" s="8"/>
    </row>
    <row r="125" spans="1:17" s="114" customFormat="1">
      <c r="A125" s="180"/>
      <c r="B125" s="8" t="s">
        <v>1168</v>
      </c>
      <c r="C125" s="96">
        <v>120</v>
      </c>
      <c r="D125" s="11" t="s">
        <v>1169</v>
      </c>
      <c r="E125" s="8"/>
      <c r="F125" s="19">
        <v>330000</v>
      </c>
      <c r="G125" s="19">
        <v>43989</v>
      </c>
      <c r="H125" s="19">
        <f>SUM(F125:G125)</f>
        <v>373989</v>
      </c>
      <c r="I125" s="34">
        <v>7479.78</v>
      </c>
      <c r="J125" s="159">
        <v>50</v>
      </c>
      <c r="K125" s="323">
        <v>10</v>
      </c>
      <c r="L125" s="16">
        <f t="shared" si="12"/>
        <v>74797.8</v>
      </c>
      <c r="M125" s="94">
        <f t="shared" si="14"/>
        <v>299191.2</v>
      </c>
      <c r="N125" s="159">
        <f t="shared" si="15"/>
        <v>40</v>
      </c>
      <c r="O125" s="159"/>
      <c r="P125" s="159"/>
      <c r="Q125" s="8"/>
    </row>
    <row r="126" spans="1:17" s="114" customFormat="1">
      <c r="A126" s="180"/>
      <c r="B126" s="293" t="s">
        <v>1160</v>
      </c>
      <c r="C126" s="96">
        <v>121</v>
      </c>
      <c r="D126" s="123" t="s">
        <v>1161</v>
      </c>
      <c r="E126" s="123"/>
      <c r="F126" s="19">
        <v>450000</v>
      </c>
      <c r="G126" s="19">
        <v>59985</v>
      </c>
      <c r="H126" s="19">
        <v>509985</v>
      </c>
      <c r="I126" s="327">
        <v>10199.700000000001</v>
      </c>
      <c r="J126" s="159">
        <v>50</v>
      </c>
      <c r="K126" s="159">
        <v>20</v>
      </c>
      <c r="L126" s="16">
        <f t="shared" si="12"/>
        <v>203994</v>
      </c>
      <c r="M126" s="94">
        <f t="shared" si="14"/>
        <v>305991</v>
      </c>
      <c r="N126" s="159">
        <f t="shared" si="15"/>
        <v>30</v>
      </c>
      <c r="O126" s="159"/>
      <c r="P126" s="159"/>
      <c r="Q126" s="8"/>
    </row>
    <row r="127" spans="1:17" s="114" customFormat="1">
      <c r="A127" s="180"/>
      <c r="B127" s="293"/>
      <c r="C127" s="96">
        <v>122</v>
      </c>
      <c r="D127" s="123" t="s">
        <v>1270</v>
      </c>
      <c r="E127" s="123"/>
      <c r="F127" s="19">
        <v>150000</v>
      </c>
      <c r="G127" s="19">
        <v>19995</v>
      </c>
      <c r="H127" s="19">
        <f>SUM(F127:G127)</f>
        <v>169995</v>
      </c>
      <c r="I127" s="317">
        <v>3399.9</v>
      </c>
      <c r="J127" s="159">
        <v>50</v>
      </c>
      <c r="K127" s="159">
        <v>36</v>
      </c>
      <c r="L127" s="16">
        <f t="shared" si="12"/>
        <v>122396.40000000001</v>
      </c>
      <c r="M127" s="94">
        <f t="shared" si="14"/>
        <v>47598.599999999991</v>
      </c>
      <c r="N127" s="159">
        <f t="shared" si="15"/>
        <v>14</v>
      </c>
      <c r="O127" s="159"/>
      <c r="P127" s="159"/>
      <c r="Q127" s="11"/>
    </row>
    <row r="128" spans="1:17" s="114" customFormat="1">
      <c r="B128" s="293"/>
      <c r="C128" s="96">
        <v>123</v>
      </c>
      <c r="D128" s="123" t="s">
        <v>1272</v>
      </c>
      <c r="E128" s="123"/>
      <c r="F128" s="19">
        <v>450000</v>
      </c>
      <c r="G128" s="19">
        <v>59985</v>
      </c>
      <c r="H128" s="19">
        <v>509985</v>
      </c>
      <c r="I128" s="317">
        <v>10199.700000000001</v>
      </c>
      <c r="J128" s="159">
        <v>50</v>
      </c>
      <c r="K128" s="159">
        <v>10</v>
      </c>
      <c r="L128" s="16">
        <f>K128*I128</f>
        <v>101997</v>
      </c>
      <c r="M128" s="94">
        <f t="shared" si="14"/>
        <v>407988</v>
      </c>
      <c r="N128" s="159">
        <f t="shared" si="15"/>
        <v>40</v>
      </c>
      <c r="O128" s="159"/>
      <c r="P128" s="159"/>
      <c r="Q128" s="11"/>
    </row>
    <row r="129" spans="2:17" s="114" customFormat="1">
      <c r="B129" s="293"/>
      <c r="C129" s="96">
        <v>124</v>
      </c>
      <c r="D129" s="123" t="s">
        <v>1268</v>
      </c>
      <c r="E129" s="123"/>
      <c r="F129" s="16">
        <v>500000</v>
      </c>
      <c r="G129" s="16">
        <v>66650</v>
      </c>
      <c r="H129" s="41">
        <f>SUM(F129:G129)</f>
        <v>566650</v>
      </c>
      <c r="I129" s="317">
        <v>11749.67</v>
      </c>
      <c r="J129" s="159">
        <v>50</v>
      </c>
      <c r="K129" s="159">
        <v>25</v>
      </c>
      <c r="L129" s="16">
        <f>K129*I129</f>
        <v>293741.75</v>
      </c>
      <c r="M129" s="94">
        <f t="shared" si="14"/>
        <v>272908.25</v>
      </c>
      <c r="N129" s="159">
        <f t="shared" si="15"/>
        <v>25</v>
      </c>
      <c r="O129" s="159"/>
      <c r="P129" s="159"/>
      <c r="Q129" s="11"/>
    </row>
    <row r="130" spans="2:17" s="114" customFormat="1">
      <c r="B130" s="293"/>
      <c r="C130" s="96">
        <v>125</v>
      </c>
      <c r="D130" s="123" t="s">
        <v>1269</v>
      </c>
      <c r="E130" s="123"/>
      <c r="F130" s="19">
        <v>450000</v>
      </c>
      <c r="G130" s="19">
        <v>59985</v>
      </c>
      <c r="H130" s="19">
        <v>509985</v>
      </c>
      <c r="I130" s="317">
        <v>10199.700000000001</v>
      </c>
      <c r="J130" s="159">
        <v>50</v>
      </c>
      <c r="K130" s="159">
        <v>32</v>
      </c>
      <c r="L130" s="16">
        <f>K130*I130</f>
        <v>326390.40000000002</v>
      </c>
      <c r="M130" s="94">
        <f t="shared" si="14"/>
        <v>183594.59999999998</v>
      </c>
      <c r="N130" s="159">
        <f t="shared" si="15"/>
        <v>18</v>
      </c>
      <c r="O130" s="159"/>
      <c r="P130" s="159"/>
      <c r="Q130" s="11"/>
    </row>
    <row r="131" spans="2:17" s="114" customFormat="1">
      <c r="B131" s="295"/>
      <c r="C131" s="126"/>
      <c r="D131" s="8"/>
      <c r="E131" s="8"/>
      <c r="F131" s="34">
        <f>SUM(F6:F130)</f>
        <v>52650000</v>
      </c>
      <c r="G131" s="34">
        <f>SUM(G6:G130)</f>
        <v>7005928.2000000002</v>
      </c>
      <c r="H131" s="34">
        <f>SUM(H6:H130)</f>
        <v>59855928.200000003</v>
      </c>
      <c r="I131" s="34">
        <f>SUM(I6:I130)</f>
        <v>1213288.0799999998</v>
      </c>
      <c r="J131" s="34"/>
      <c r="K131" s="34"/>
      <c r="L131" s="34">
        <f>SUM(L6:L130)</f>
        <v>23963682.780000001</v>
      </c>
      <c r="M131" s="34">
        <f>SUM(M6:M130)</f>
        <v>35892245.420000009</v>
      </c>
      <c r="N131" s="34"/>
      <c r="O131" s="34"/>
      <c r="P131" s="34"/>
      <c r="Q131" s="8"/>
    </row>
    <row r="132" spans="2:17" s="114" customFormat="1">
      <c r="B132" s="298"/>
      <c r="C132" s="44"/>
      <c r="D132" s="44"/>
      <c r="E132" s="184"/>
      <c r="F132"/>
      <c r="G132"/>
      <c r="H132"/>
      <c r="I132"/>
      <c r="J132" s="43"/>
      <c r="K132" s="99"/>
      <c r="L132"/>
      <c r="M132"/>
      <c r="N132" s="99"/>
      <c r="O132" s="99"/>
      <c r="P132" s="99"/>
      <c r="Q132"/>
    </row>
    <row r="133" spans="2:17" s="114" customFormat="1">
      <c r="B133" s="298"/>
      <c r="C133" s="44"/>
      <c r="D133" s="44"/>
      <c r="E133" s="184"/>
      <c r="F133"/>
      <c r="G133"/>
      <c r="H133"/>
      <c r="I133" s="39"/>
      <c r="J133" s="43"/>
      <c r="K133" s="99"/>
      <c r="L133"/>
      <c r="M133"/>
      <c r="N133" s="99"/>
      <c r="O133" s="99"/>
      <c r="P133" s="99"/>
      <c r="Q133"/>
    </row>
    <row r="134" spans="2:17" s="114" customFormat="1">
      <c r="B134" s="298"/>
      <c r="C134" s="44"/>
      <c r="D134" s="44"/>
      <c r="E134" s="184"/>
      <c r="F134"/>
      <c r="G134"/>
      <c r="H134"/>
      <c r="I134"/>
      <c r="J134" s="43"/>
      <c r="K134" s="99"/>
      <c r="L134"/>
      <c r="M134"/>
      <c r="N134" s="99"/>
      <c r="O134" s="99"/>
      <c r="P134" s="99"/>
      <c r="Q134"/>
    </row>
    <row r="135" spans="2:17" s="114" customFormat="1">
      <c r="B135" s="298"/>
      <c r="C135" s="44"/>
      <c r="D135" s="44"/>
      <c r="E135" s="184"/>
      <c r="F135"/>
      <c r="G135"/>
      <c r="H135"/>
      <c r="I135"/>
      <c r="J135" s="43"/>
      <c r="K135" s="99"/>
      <c r="L135"/>
      <c r="M135"/>
      <c r="N135" s="99"/>
      <c r="O135" s="99"/>
      <c r="P135" s="99"/>
      <c r="Q135"/>
    </row>
    <row r="136" spans="2:17">
      <c r="D136" s="44"/>
    </row>
    <row r="137" spans="2:17" s="184" customFormat="1">
      <c r="B137" s="298"/>
      <c r="C137" s="44"/>
      <c r="D137" s="44"/>
      <c r="F137"/>
      <c r="G137"/>
      <c r="H137"/>
      <c r="I137"/>
      <c r="J137" s="43"/>
      <c r="K137" s="99"/>
      <c r="L137"/>
      <c r="M137"/>
      <c r="N137" s="99"/>
      <c r="O137" s="99"/>
      <c r="P137" s="99"/>
      <c r="Q137"/>
    </row>
    <row r="138" spans="2:17" s="184" customFormat="1">
      <c r="B138" s="298"/>
      <c r="C138" s="44"/>
      <c r="D138" s="44"/>
      <c r="F138"/>
      <c r="G138"/>
      <c r="H138"/>
      <c r="I138"/>
      <c r="J138" s="43"/>
      <c r="K138" s="99"/>
      <c r="L138"/>
      <c r="M138"/>
      <c r="N138" s="99"/>
      <c r="O138" s="99"/>
      <c r="P138" s="99"/>
      <c r="Q138"/>
    </row>
    <row r="139" spans="2:17" s="184" customFormat="1">
      <c r="B139" s="298"/>
      <c r="C139" s="44"/>
      <c r="D139" s="44"/>
      <c r="F139"/>
      <c r="G139"/>
      <c r="H139"/>
      <c r="I139"/>
      <c r="J139" s="43"/>
      <c r="K139" s="99"/>
      <c r="L139"/>
      <c r="M139"/>
      <c r="N139" s="99"/>
      <c r="O139" s="99"/>
      <c r="P139" s="99"/>
      <c r="Q139"/>
    </row>
    <row r="140" spans="2:17" s="184" customFormat="1">
      <c r="B140" s="298"/>
      <c r="C140" s="44"/>
      <c r="D140" s="44"/>
      <c r="F140"/>
      <c r="G140"/>
      <c r="H140"/>
      <c r="I140"/>
      <c r="J140" s="43"/>
      <c r="K140" s="99"/>
      <c r="L140"/>
      <c r="M140"/>
      <c r="N140" s="99"/>
      <c r="O140" s="99"/>
      <c r="P140" s="99"/>
      <c r="Q140"/>
    </row>
    <row r="141" spans="2:17" s="184" customFormat="1">
      <c r="B141" s="298"/>
      <c r="C141" s="44"/>
      <c r="D141" s="44"/>
      <c r="F141"/>
      <c r="G141"/>
      <c r="H141"/>
      <c r="I141"/>
      <c r="J141" s="43"/>
      <c r="K141" s="99"/>
      <c r="L141"/>
      <c r="M141"/>
      <c r="N141" s="99"/>
      <c r="O141" s="99"/>
      <c r="P141" s="99"/>
      <c r="Q141"/>
    </row>
    <row r="142" spans="2:17" s="184" customFormat="1">
      <c r="B142" s="298"/>
      <c r="C142" s="44"/>
      <c r="D142" s="44"/>
      <c r="F142"/>
      <c r="G142"/>
      <c r="H142"/>
      <c r="I142"/>
      <c r="J142" s="43"/>
      <c r="K142" s="99"/>
      <c r="L142"/>
      <c r="M142"/>
      <c r="N142" s="99"/>
      <c r="O142" s="99"/>
      <c r="P142" s="99"/>
      <c r="Q142"/>
    </row>
    <row r="143" spans="2:17" s="184" customFormat="1">
      <c r="B143" s="298"/>
      <c r="C143" s="44"/>
      <c r="D143" s="44"/>
      <c r="F143"/>
      <c r="G143"/>
      <c r="H143"/>
      <c r="I143"/>
      <c r="J143" s="43"/>
      <c r="K143" s="99"/>
      <c r="L143"/>
      <c r="M143"/>
      <c r="N143" s="99"/>
      <c r="O143" s="99"/>
      <c r="P143" s="99"/>
      <c r="Q143"/>
    </row>
    <row r="144" spans="2:17" s="184" customFormat="1">
      <c r="B144" s="298"/>
      <c r="C144" s="44"/>
      <c r="D144" s="44"/>
      <c r="F144"/>
      <c r="G144"/>
      <c r="H144"/>
      <c r="I144"/>
      <c r="J144" s="43"/>
      <c r="K144" s="99"/>
      <c r="L144"/>
      <c r="M144"/>
      <c r="N144" s="99"/>
      <c r="O144" s="99"/>
      <c r="P144" s="99"/>
      <c r="Q144"/>
    </row>
    <row r="145" spans="2:17" s="184" customFormat="1">
      <c r="B145" s="298"/>
      <c r="C145" s="44"/>
      <c r="D145" s="44"/>
      <c r="F145"/>
      <c r="G145"/>
      <c r="H145"/>
      <c r="I145"/>
      <c r="J145" s="43"/>
      <c r="K145" s="99"/>
      <c r="L145"/>
      <c r="M145"/>
      <c r="N145" s="99"/>
      <c r="O145" s="99"/>
      <c r="P145" s="99"/>
      <c r="Q145"/>
    </row>
    <row r="146" spans="2:17" s="184" customFormat="1">
      <c r="B146" s="298"/>
      <c r="C146" s="44"/>
      <c r="D146" s="44"/>
      <c r="F146"/>
      <c r="G146"/>
      <c r="H146"/>
      <c r="I146"/>
      <c r="J146" s="43"/>
      <c r="K146" s="99"/>
      <c r="L146"/>
      <c r="M146"/>
      <c r="N146" s="99"/>
      <c r="O146" s="99"/>
      <c r="P146" s="99"/>
      <c r="Q146"/>
    </row>
    <row r="147" spans="2:17" s="184" customFormat="1">
      <c r="B147" s="298"/>
      <c r="C147" s="44"/>
      <c r="D147" s="44"/>
      <c r="F147"/>
      <c r="G147"/>
      <c r="H147"/>
      <c r="I147"/>
      <c r="J147" s="43"/>
      <c r="K147" s="99"/>
      <c r="L147"/>
      <c r="M147"/>
      <c r="N147" s="99"/>
      <c r="O147" s="99"/>
      <c r="P147" s="99"/>
      <c r="Q147"/>
    </row>
    <row r="148" spans="2:17" s="184" customFormat="1">
      <c r="B148" s="298"/>
      <c r="C148" s="44"/>
      <c r="D148" s="44"/>
      <c r="F148"/>
      <c r="G148"/>
      <c r="H148"/>
      <c r="I148"/>
      <c r="J148" s="43"/>
      <c r="K148" s="99"/>
      <c r="L148"/>
      <c r="M148"/>
      <c r="N148" s="99"/>
      <c r="O148" s="99"/>
      <c r="P148" s="99"/>
      <c r="Q148"/>
    </row>
    <row r="149" spans="2:17" s="184" customFormat="1">
      <c r="B149" s="298"/>
      <c r="C149" s="44"/>
      <c r="D149" s="44"/>
      <c r="F149"/>
      <c r="G149"/>
      <c r="H149"/>
      <c r="I149"/>
      <c r="J149" s="43"/>
      <c r="K149" s="99"/>
      <c r="L149"/>
      <c r="M149"/>
      <c r="N149" s="99"/>
      <c r="O149" s="99"/>
      <c r="P149" s="99"/>
      <c r="Q149"/>
    </row>
  </sheetData>
  <sortState ref="B6:Q127">
    <sortCondition ref="B6:B127"/>
  </sortState>
  <mergeCells count="2">
    <mergeCell ref="C3:Q3"/>
    <mergeCell ref="C4:Q4"/>
  </mergeCells>
  <conditionalFormatting sqref="D3:E3">
    <cfRule type="duplicateValues" dxfId="65" priority="17"/>
  </conditionalFormatting>
  <conditionalFormatting sqref="D101:E102">
    <cfRule type="duplicateValues" dxfId="64" priority="16"/>
  </conditionalFormatting>
  <conditionalFormatting sqref="B101:B102">
    <cfRule type="duplicateValues" dxfId="63" priority="15"/>
  </conditionalFormatting>
  <conditionalFormatting sqref="D101:E102">
    <cfRule type="duplicateValues" dxfId="62" priority="13"/>
    <cfRule type="duplicateValues" dxfId="61" priority="14"/>
  </conditionalFormatting>
  <conditionalFormatting sqref="D150:D1048576 D110:D111 D1:E5 E110:E112 E118:E124 E132:E1048576">
    <cfRule type="duplicateValues" dxfId="60" priority="12"/>
  </conditionalFormatting>
  <conditionalFormatting sqref="D150:D1048576 D110:D111 D4:E5 D1:E2 E110:E112 E118:E124 E132:E1048576">
    <cfRule type="duplicateValues" dxfId="59" priority="11"/>
  </conditionalFormatting>
  <conditionalFormatting sqref="D150:D1048576 D110:D111 E110:E112 E118:E124 E132:E1048576">
    <cfRule type="duplicateValues" dxfId="58" priority="10"/>
  </conditionalFormatting>
  <conditionalFormatting sqref="D150:D1048576 D127:E131 D109:D111 D99:E102 D108:E108 D1:E93 E109:E112 E118:E124 E132:E1048576">
    <cfRule type="duplicateValues" dxfId="57" priority="9"/>
  </conditionalFormatting>
  <conditionalFormatting sqref="D150:D1048576 D127:E131 D109:D111 D99:E102 D108:E108 D1:E93 E109:E112 E118:E124 E132:E1048576">
    <cfRule type="duplicateValues" dxfId="56" priority="7"/>
    <cfRule type="duplicateValues" dxfId="55" priority="8"/>
  </conditionalFormatting>
  <conditionalFormatting sqref="D127:E130">
    <cfRule type="duplicateValues" dxfId="54" priority="5"/>
    <cfRule type="duplicateValues" dxfId="53" priority="6"/>
  </conditionalFormatting>
  <conditionalFormatting sqref="D127:E130">
    <cfRule type="duplicateValues" dxfId="52" priority="4"/>
  </conditionalFormatting>
  <conditionalFormatting sqref="B127:B130">
    <cfRule type="duplicateValues" dxfId="51" priority="3"/>
  </conditionalFormatting>
  <conditionalFormatting sqref="B108:B112 B1:B93 B99:B102 B118:B124 B127:B1048576">
    <cfRule type="duplicateValues" dxfId="50" priority="2"/>
  </conditionalFormatting>
  <conditionalFormatting sqref="D108:D112 D1:D102 D118:D124 D127:D1048576">
    <cfRule type="duplicateValues" dxfId="49" priority="1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3:R151"/>
  <sheetViews>
    <sheetView topLeftCell="A116" workbookViewId="0">
      <selection activeCell="F144" sqref="F144"/>
    </sheetView>
  </sheetViews>
  <sheetFormatPr defaultRowHeight="15"/>
  <cols>
    <col min="1" max="1" width="12" customWidth="1"/>
    <col min="2" max="2" width="17" style="298" customWidth="1"/>
    <col min="3" max="3" width="4.5703125" style="44" customWidth="1"/>
    <col min="4" max="4" width="37" style="184" customWidth="1"/>
    <col min="5" max="5" width="10.85546875" style="184" customWidth="1"/>
    <col min="6" max="6" width="14" bestFit="1" customWidth="1"/>
    <col min="7" max="7" width="12.85546875" bestFit="1" customWidth="1"/>
    <col min="8" max="8" width="14.42578125" customWidth="1"/>
    <col min="9" max="9" width="13.28515625" bestFit="1" customWidth="1"/>
    <col min="10" max="10" width="10.140625" style="43" customWidth="1"/>
    <col min="11" max="11" width="9.5703125" style="99" customWidth="1"/>
    <col min="12" max="12" width="14" customWidth="1"/>
    <col min="13" max="13" width="14" bestFit="1" customWidth="1"/>
    <col min="14" max="14" width="11.28515625" style="99" customWidth="1"/>
    <col min="15" max="15" width="8.28515625" style="99" customWidth="1"/>
    <col min="16" max="16" width="8.85546875" style="99" customWidth="1"/>
    <col min="17" max="17" width="7.85546875" customWidth="1"/>
    <col min="18" max="18" width="11.5703125" bestFit="1" customWidth="1"/>
  </cols>
  <sheetData>
    <row r="3" spans="1:17" ht="20.25">
      <c r="B3" s="260"/>
      <c r="C3" s="419" t="s">
        <v>245</v>
      </c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1:17" ht="18">
      <c r="B4" s="324"/>
      <c r="C4" s="424" t="s">
        <v>1311</v>
      </c>
      <c r="D4" s="424"/>
      <c r="E4" s="424"/>
      <c r="F4" s="424"/>
      <c r="G4" s="424"/>
      <c r="H4" s="424"/>
      <c r="I4" s="424"/>
      <c r="J4" s="424"/>
      <c r="K4" s="424"/>
      <c r="L4" s="424"/>
      <c r="M4" s="424"/>
      <c r="N4" s="424"/>
      <c r="O4" s="424"/>
      <c r="P4" s="424"/>
      <c r="Q4" s="424"/>
    </row>
    <row r="5" spans="1:17" s="44" customFormat="1" ht="51">
      <c r="B5" s="291" t="s">
        <v>869</v>
      </c>
      <c r="C5" s="5" t="s">
        <v>0</v>
      </c>
      <c r="D5" s="5" t="s">
        <v>1</v>
      </c>
      <c r="E5" s="325" t="s">
        <v>1275</v>
      </c>
      <c r="F5" s="7" t="s">
        <v>2</v>
      </c>
      <c r="G5" s="7" t="s">
        <v>3</v>
      </c>
      <c r="H5" s="5" t="s">
        <v>4</v>
      </c>
      <c r="I5" s="6" t="s">
        <v>6</v>
      </c>
      <c r="J5" s="7" t="s">
        <v>5</v>
      </c>
      <c r="K5" s="326" t="s">
        <v>7</v>
      </c>
      <c r="L5" s="7" t="s">
        <v>9</v>
      </c>
      <c r="M5" s="6" t="s">
        <v>10</v>
      </c>
      <c r="N5" s="7" t="s">
        <v>8</v>
      </c>
      <c r="O5" s="326" t="s">
        <v>1277</v>
      </c>
      <c r="P5" s="6" t="s">
        <v>11</v>
      </c>
      <c r="Q5" s="325" t="s">
        <v>1276</v>
      </c>
    </row>
    <row r="6" spans="1:17" s="114" customFormat="1">
      <c r="A6" s="180"/>
      <c r="B6" s="11" t="s">
        <v>1369</v>
      </c>
      <c r="C6" s="96">
        <v>1</v>
      </c>
      <c r="D6" s="11" t="s">
        <v>1282</v>
      </c>
      <c r="E6" s="11"/>
      <c r="F6" s="19">
        <v>330000</v>
      </c>
      <c r="G6" s="19">
        <v>43989</v>
      </c>
      <c r="H6" s="19">
        <f>SUM(F6:G6)</f>
        <v>373989</v>
      </c>
      <c r="I6" s="254">
        <v>7479.78</v>
      </c>
      <c r="J6" s="159">
        <v>50</v>
      </c>
      <c r="K6" s="159">
        <v>6</v>
      </c>
      <c r="L6" s="16">
        <f t="shared" ref="L6:L25" si="0">K6*I6</f>
        <v>44878.68</v>
      </c>
      <c r="M6" s="94">
        <f t="shared" ref="M6:M37" si="1">H6-L6</f>
        <v>329110.32</v>
      </c>
      <c r="N6" s="159">
        <f t="shared" ref="N6:N37" si="2">J6-K6</f>
        <v>44</v>
      </c>
      <c r="O6" s="11"/>
      <c r="P6" s="11"/>
      <c r="Q6" s="11"/>
    </row>
    <row r="7" spans="1:17" s="114" customFormat="1">
      <c r="A7" s="180"/>
      <c r="B7" s="11" t="s">
        <v>1396</v>
      </c>
      <c r="C7" s="96">
        <v>2</v>
      </c>
      <c r="D7" s="11" t="s">
        <v>1397</v>
      </c>
      <c r="E7" s="11"/>
      <c r="F7" s="19">
        <v>150000</v>
      </c>
      <c r="G7" s="19">
        <v>19995</v>
      </c>
      <c r="H7" s="19">
        <f>SUM(F7:G7)</f>
        <v>169995</v>
      </c>
      <c r="I7" s="254">
        <v>3399.9</v>
      </c>
      <c r="J7" s="159">
        <v>50</v>
      </c>
      <c r="K7" s="159">
        <v>8</v>
      </c>
      <c r="L7" s="16">
        <f t="shared" si="0"/>
        <v>27199.200000000001</v>
      </c>
      <c r="M7" s="94">
        <f t="shared" si="1"/>
        <v>142795.79999999999</v>
      </c>
      <c r="N7" s="159">
        <f t="shared" si="2"/>
        <v>42</v>
      </c>
      <c r="O7" s="11"/>
      <c r="P7" s="11"/>
      <c r="Q7" s="11"/>
    </row>
    <row r="8" spans="1:17" s="114" customFormat="1">
      <c r="A8" s="180"/>
      <c r="B8" s="293" t="s">
        <v>1047</v>
      </c>
      <c r="C8" s="96">
        <v>3</v>
      </c>
      <c r="D8" s="123" t="s">
        <v>873</v>
      </c>
      <c r="E8" s="123"/>
      <c r="F8" s="19">
        <v>450000</v>
      </c>
      <c r="G8" s="19">
        <v>59985</v>
      </c>
      <c r="H8" s="19">
        <v>509985</v>
      </c>
      <c r="I8" s="327">
        <v>10199.700000000001</v>
      </c>
      <c r="J8" s="159">
        <v>50</v>
      </c>
      <c r="K8" s="159">
        <v>21</v>
      </c>
      <c r="L8" s="16">
        <f t="shared" si="0"/>
        <v>214193.7</v>
      </c>
      <c r="M8" s="94">
        <f t="shared" si="1"/>
        <v>295791.3</v>
      </c>
      <c r="N8" s="159">
        <f t="shared" si="2"/>
        <v>29</v>
      </c>
      <c r="O8" s="159"/>
      <c r="P8" s="159"/>
      <c r="Q8" s="11"/>
    </row>
    <row r="9" spans="1:17" s="114" customFormat="1">
      <c r="A9" s="180"/>
      <c r="B9" s="295" t="s">
        <v>1034</v>
      </c>
      <c r="C9" s="96">
        <v>4</v>
      </c>
      <c r="D9" s="11" t="s">
        <v>1035</v>
      </c>
      <c r="E9" s="8"/>
      <c r="F9" s="16">
        <v>500000</v>
      </c>
      <c r="G9" s="16">
        <v>66650</v>
      </c>
      <c r="H9" s="41">
        <f>SUM(F9:G9)</f>
        <v>566650</v>
      </c>
      <c r="I9" s="319">
        <v>11333</v>
      </c>
      <c r="J9" s="159">
        <v>50</v>
      </c>
      <c r="K9" s="159">
        <v>21</v>
      </c>
      <c r="L9" s="16">
        <f t="shared" si="0"/>
        <v>237993</v>
      </c>
      <c r="M9" s="94">
        <f t="shared" si="1"/>
        <v>328657</v>
      </c>
      <c r="N9" s="159">
        <f t="shared" si="2"/>
        <v>29</v>
      </c>
      <c r="O9" s="159"/>
      <c r="P9" s="97"/>
      <c r="Q9" s="11"/>
    </row>
    <row r="10" spans="1:17" s="114" customFormat="1">
      <c r="A10" s="180"/>
      <c r="B10" s="293" t="s">
        <v>978</v>
      </c>
      <c r="C10" s="96">
        <v>5</v>
      </c>
      <c r="D10" s="11" t="s">
        <v>979</v>
      </c>
      <c r="E10" s="11"/>
      <c r="F10" s="16">
        <v>500000</v>
      </c>
      <c r="G10" s="16">
        <v>66650</v>
      </c>
      <c r="H10" s="41">
        <f>SUM(F10:G10)</f>
        <v>566650</v>
      </c>
      <c r="I10" s="327">
        <v>11333</v>
      </c>
      <c r="J10" s="159">
        <v>50</v>
      </c>
      <c r="K10" s="159">
        <v>51</v>
      </c>
      <c r="L10" s="16">
        <f t="shared" si="0"/>
        <v>577983</v>
      </c>
      <c r="M10" s="94">
        <f t="shared" si="1"/>
        <v>-11333</v>
      </c>
      <c r="N10" s="159">
        <f t="shared" si="2"/>
        <v>-1</v>
      </c>
      <c r="O10" s="159"/>
      <c r="P10" s="159"/>
      <c r="Q10" s="11"/>
    </row>
    <row r="11" spans="1:17" s="114" customFormat="1">
      <c r="A11" s="180"/>
      <c r="B11" s="293" t="s">
        <v>1382</v>
      </c>
      <c r="C11" s="96">
        <v>6</v>
      </c>
      <c r="D11" s="123" t="s">
        <v>1130</v>
      </c>
      <c r="E11" s="123"/>
      <c r="F11" s="19">
        <v>330000</v>
      </c>
      <c r="G11" s="19">
        <v>43989</v>
      </c>
      <c r="H11" s="19">
        <f>SUM(F11:G11)</f>
        <v>373989</v>
      </c>
      <c r="I11" s="327">
        <v>7479.78</v>
      </c>
      <c r="J11" s="159">
        <v>50</v>
      </c>
      <c r="K11" s="159">
        <v>13</v>
      </c>
      <c r="L11" s="16">
        <f t="shared" si="0"/>
        <v>97237.14</v>
      </c>
      <c r="M11" s="94">
        <f t="shared" si="1"/>
        <v>276751.86</v>
      </c>
      <c r="N11" s="159">
        <f t="shared" si="2"/>
        <v>37</v>
      </c>
      <c r="O11" s="159"/>
      <c r="P11" s="159"/>
      <c r="Q11" s="11"/>
    </row>
    <row r="12" spans="1:17" s="114" customFormat="1">
      <c r="A12" s="180"/>
      <c r="B12" s="292" t="s">
        <v>1071</v>
      </c>
      <c r="C12" s="96">
        <v>7</v>
      </c>
      <c r="D12" s="11" t="s">
        <v>496</v>
      </c>
      <c r="E12" s="11"/>
      <c r="F12" s="16">
        <v>500000</v>
      </c>
      <c r="G12" s="16">
        <v>66650</v>
      </c>
      <c r="H12" s="41">
        <f>SUM(F12:G12)</f>
        <v>566650</v>
      </c>
      <c r="I12" s="318">
        <v>11333</v>
      </c>
      <c r="J12" s="159">
        <v>50</v>
      </c>
      <c r="K12" s="159">
        <v>24</v>
      </c>
      <c r="L12" s="91">
        <f t="shared" si="0"/>
        <v>271992</v>
      </c>
      <c r="M12" s="94">
        <f t="shared" si="1"/>
        <v>294658</v>
      </c>
      <c r="N12" s="159">
        <f t="shared" si="2"/>
        <v>26</v>
      </c>
      <c r="O12" s="159"/>
      <c r="P12" s="97"/>
      <c r="Q12" s="8"/>
    </row>
    <row r="13" spans="1:17" s="114" customFormat="1">
      <c r="A13" s="180"/>
      <c r="B13" s="293" t="s">
        <v>1350</v>
      </c>
      <c r="C13" s="96">
        <v>8</v>
      </c>
      <c r="D13" s="123" t="s">
        <v>1117</v>
      </c>
      <c r="E13" s="123"/>
      <c r="F13" s="16">
        <v>500000</v>
      </c>
      <c r="G13" s="16">
        <v>66650</v>
      </c>
      <c r="H13" s="41">
        <f>SUM(F13:G13)</f>
        <v>566650</v>
      </c>
      <c r="I13" s="327">
        <v>11333</v>
      </c>
      <c r="J13" s="159">
        <v>50</v>
      </c>
      <c r="K13" s="159">
        <v>13</v>
      </c>
      <c r="L13" s="16">
        <f t="shared" si="0"/>
        <v>147329</v>
      </c>
      <c r="M13" s="94">
        <f t="shared" si="1"/>
        <v>419321</v>
      </c>
      <c r="N13" s="159">
        <f t="shared" si="2"/>
        <v>37</v>
      </c>
      <c r="O13" s="159"/>
      <c r="P13" s="159"/>
      <c r="Q13" s="11"/>
    </row>
    <row r="14" spans="1:17" s="114" customFormat="1">
      <c r="A14" s="180"/>
      <c r="B14" s="295" t="s">
        <v>1363</v>
      </c>
      <c r="C14" s="96">
        <v>9</v>
      </c>
      <c r="D14" s="126" t="s">
        <v>1364</v>
      </c>
      <c r="E14" s="8"/>
      <c r="F14" s="19">
        <v>450000</v>
      </c>
      <c r="G14" s="19">
        <v>59985</v>
      </c>
      <c r="H14" s="19">
        <v>509985</v>
      </c>
      <c r="I14" s="13">
        <v>10199.700000000001</v>
      </c>
      <c r="J14" s="159">
        <v>50</v>
      </c>
      <c r="K14" s="101">
        <v>4</v>
      </c>
      <c r="L14" s="16">
        <f t="shared" si="0"/>
        <v>40798.800000000003</v>
      </c>
      <c r="M14" s="94">
        <f t="shared" si="1"/>
        <v>469186.2</v>
      </c>
      <c r="N14" s="159">
        <f t="shared" si="2"/>
        <v>46</v>
      </c>
      <c r="O14" s="101"/>
      <c r="P14" s="101"/>
      <c r="Q14" s="11"/>
    </row>
    <row r="15" spans="1:17" s="114" customFormat="1">
      <c r="A15" s="180"/>
      <c r="B15" s="11" t="s">
        <v>1343</v>
      </c>
      <c r="C15" s="96">
        <v>10</v>
      </c>
      <c r="D15" s="11" t="s">
        <v>451</v>
      </c>
      <c r="E15" s="11"/>
      <c r="F15" s="16">
        <v>500000</v>
      </c>
      <c r="G15" s="16">
        <v>66650</v>
      </c>
      <c r="H15" s="41">
        <f t="shared" ref="H15:H20" si="3">SUM(F15:G15)</f>
        <v>566650</v>
      </c>
      <c r="I15" s="16">
        <v>11333</v>
      </c>
      <c r="J15" s="159">
        <v>50</v>
      </c>
      <c r="K15" s="159">
        <v>11</v>
      </c>
      <c r="L15" s="16">
        <f t="shared" si="0"/>
        <v>124663</v>
      </c>
      <c r="M15" s="94">
        <f t="shared" si="1"/>
        <v>441987</v>
      </c>
      <c r="N15" s="159">
        <f t="shared" si="2"/>
        <v>39</v>
      </c>
      <c r="O15" s="159"/>
      <c r="P15" s="159"/>
      <c r="Q15" s="11"/>
    </row>
    <row r="16" spans="1:17" s="114" customFormat="1">
      <c r="A16" s="180"/>
      <c r="B16" s="295" t="s">
        <v>1344</v>
      </c>
      <c r="C16" s="96">
        <v>11</v>
      </c>
      <c r="D16" s="126" t="s">
        <v>1345</v>
      </c>
      <c r="E16" s="8"/>
      <c r="F16" s="16">
        <v>500000</v>
      </c>
      <c r="G16" s="16">
        <v>66650</v>
      </c>
      <c r="H16" s="41">
        <f t="shared" si="3"/>
        <v>566650</v>
      </c>
      <c r="I16" s="13">
        <v>11333</v>
      </c>
      <c r="J16" s="159">
        <v>50</v>
      </c>
      <c r="K16" s="101">
        <v>4</v>
      </c>
      <c r="L16" s="16">
        <f t="shared" si="0"/>
        <v>45332</v>
      </c>
      <c r="M16" s="94">
        <f t="shared" si="1"/>
        <v>521318</v>
      </c>
      <c r="N16" s="159">
        <f t="shared" si="2"/>
        <v>46</v>
      </c>
      <c r="O16" s="101"/>
      <c r="P16" s="101"/>
      <c r="Q16" s="11"/>
    </row>
    <row r="17" spans="1:17" s="114" customFormat="1">
      <c r="A17" s="180"/>
      <c r="B17" s="292" t="s">
        <v>1100</v>
      </c>
      <c r="C17" s="96">
        <v>12</v>
      </c>
      <c r="D17" s="11" t="s">
        <v>351</v>
      </c>
      <c r="E17" s="11"/>
      <c r="F17" s="16">
        <v>500000</v>
      </c>
      <c r="G17" s="16">
        <v>66650</v>
      </c>
      <c r="H17" s="41">
        <f t="shared" si="3"/>
        <v>566650</v>
      </c>
      <c r="I17" s="318">
        <v>11333</v>
      </c>
      <c r="J17" s="159">
        <v>50</v>
      </c>
      <c r="K17" s="97">
        <v>51</v>
      </c>
      <c r="L17" s="91">
        <f t="shared" si="0"/>
        <v>577983</v>
      </c>
      <c r="M17" s="94">
        <f t="shared" si="1"/>
        <v>-11333</v>
      </c>
      <c r="N17" s="159">
        <f t="shared" si="2"/>
        <v>-1</v>
      </c>
      <c r="O17" s="159"/>
      <c r="P17" s="97"/>
      <c r="Q17" s="123"/>
    </row>
    <row r="18" spans="1:17" s="114" customFormat="1">
      <c r="A18" s="180"/>
      <c r="B18" s="293" t="s">
        <v>989</v>
      </c>
      <c r="C18" s="96">
        <v>13</v>
      </c>
      <c r="D18" s="123" t="s">
        <v>864</v>
      </c>
      <c r="E18" s="123"/>
      <c r="F18" s="16">
        <v>500000</v>
      </c>
      <c r="G18" s="16">
        <v>66650</v>
      </c>
      <c r="H18" s="41">
        <f t="shared" si="3"/>
        <v>566650</v>
      </c>
      <c r="I18" s="327">
        <v>11333</v>
      </c>
      <c r="J18" s="159">
        <v>50</v>
      </c>
      <c r="K18" s="159">
        <v>21</v>
      </c>
      <c r="L18" s="16">
        <f t="shared" si="0"/>
        <v>237993</v>
      </c>
      <c r="M18" s="94">
        <f t="shared" si="1"/>
        <v>328657</v>
      </c>
      <c r="N18" s="159">
        <f t="shared" si="2"/>
        <v>29</v>
      </c>
      <c r="O18" s="159"/>
      <c r="P18" s="159"/>
      <c r="Q18" s="11"/>
    </row>
    <row r="19" spans="1:17" s="114" customFormat="1">
      <c r="A19" s="180"/>
      <c r="B19" s="295" t="s">
        <v>991</v>
      </c>
      <c r="C19" s="96">
        <v>14</v>
      </c>
      <c r="D19" s="11" t="s">
        <v>992</v>
      </c>
      <c r="E19" s="8"/>
      <c r="F19" s="19">
        <v>330000</v>
      </c>
      <c r="G19" s="19">
        <v>31672.200000000012</v>
      </c>
      <c r="H19" s="19">
        <f t="shared" si="3"/>
        <v>361672.2</v>
      </c>
      <c r="I19" s="319">
        <v>10046.450000000001</v>
      </c>
      <c r="J19" s="159">
        <v>36</v>
      </c>
      <c r="K19" s="159">
        <v>25</v>
      </c>
      <c r="L19" s="16">
        <f t="shared" si="0"/>
        <v>251161.25000000003</v>
      </c>
      <c r="M19" s="94">
        <f t="shared" si="1"/>
        <v>110510.94999999998</v>
      </c>
      <c r="N19" s="159">
        <f t="shared" si="2"/>
        <v>11</v>
      </c>
      <c r="O19" s="159"/>
      <c r="P19" s="159"/>
      <c r="Q19" s="11"/>
    </row>
    <row r="20" spans="1:17" s="114" customFormat="1">
      <c r="A20" s="180"/>
      <c r="B20" s="293" t="s">
        <v>1141</v>
      </c>
      <c r="C20" s="96">
        <v>15</v>
      </c>
      <c r="D20" s="11" t="s">
        <v>1142</v>
      </c>
      <c r="E20" s="11"/>
      <c r="F20" s="19">
        <v>330000</v>
      </c>
      <c r="G20" s="19">
        <v>43989</v>
      </c>
      <c r="H20" s="19">
        <f t="shared" si="3"/>
        <v>373989</v>
      </c>
      <c r="I20" s="327">
        <v>7479.78</v>
      </c>
      <c r="J20" s="159">
        <v>50</v>
      </c>
      <c r="K20" s="96">
        <v>14</v>
      </c>
      <c r="L20" s="91">
        <f t="shared" si="0"/>
        <v>104716.92</v>
      </c>
      <c r="M20" s="94">
        <f t="shared" si="1"/>
        <v>269272.08</v>
      </c>
      <c r="N20" s="159">
        <f t="shared" si="2"/>
        <v>36</v>
      </c>
      <c r="O20" s="159"/>
      <c r="P20" s="97"/>
      <c r="Q20" s="11"/>
    </row>
    <row r="21" spans="1:17" s="114" customFormat="1">
      <c r="A21" s="180"/>
      <c r="B21" s="292" t="s">
        <v>966</v>
      </c>
      <c r="C21" s="96">
        <v>16</v>
      </c>
      <c r="D21" s="11" t="s">
        <v>29</v>
      </c>
      <c r="E21" s="11"/>
      <c r="F21" s="19">
        <v>450000</v>
      </c>
      <c r="G21" s="19">
        <v>59985</v>
      </c>
      <c r="H21" s="19">
        <v>509985</v>
      </c>
      <c r="I21" s="318">
        <v>10199.700000000001</v>
      </c>
      <c r="J21" s="159">
        <v>50</v>
      </c>
      <c r="K21" s="97">
        <v>38</v>
      </c>
      <c r="L21" s="91">
        <f t="shared" si="0"/>
        <v>387588.60000000003</v>
      </c>
      <c r="M21" s="91">
        <f t="shared" si="1"/>
        <v>122396.39999999997</v>
      </c>
      <c r="N21" s="159">
        <f t="shared" si="2"/>
        <v>12</v>
      </c>
      <c r="O21" s="159"/>
      <c r="P21" s="97"/>
      <c r="Q21" s="11"/>
    </row>
    <row r="22" spans="1:17" s="114" customFormat="1">
      <c r="A22" s="180"/>
      <c r="B22" s="293" t="s">
        <v>993</v>
      </c>
      <c r="C22" s="96">
        <v>17</v>
      </c>
      <c r="D22" s="123" t="s">
        <v>994</v>
      </c>
      <c r="E22" s="123"/>
      <c r="F22" s="19">
        <v>150000</v>
      </c>
      <c r="G22" s="19">
        <v>19995</v>
      </c>
      <c r="H22" s="19">
        <f>SUM(F22:G22)</f>
        <v>169995</v>
      </c>
      <c r="I22" s="327">
        <v>3399.9</v>
      </c>
      <c r="J22" s="159">
        <v>50</v>
      </c>
      <c r="K22" s="159">
        <v>21</v>
      </c>
      <c r="L22" s="16">
        <f t="shared" si="0"/>
        <v>71397.900000000009</v>
      </c>
      <c r="M22" s="94">
        <f t="shared" si="1"/>
        <v>98597.099999999991</v>
      </c>
      <c r="N22" s="159">
        <f t="shared" si="2"/>
        <v>29</v>
      </c>
      <c r="O22" s="159"/>
      <c r="P22" s="159"/>
      <c r="Q22" s="11"/>
    </row>
    <row r="23" spans="1:17" s="114" customFormat="1">
      <c r="A23" s="180"/>
      <c r="B23" s="292" t="s">
        <v>1099</v>
      </c>
      <c r="C23" s="96">
        <v>18</v>
      </c>
      <c r="D23" s="11" t="s">
        <v>487</v>
      </c>
      <c r="E23" s="11"/>
      <c r="F23" s="16">
        <v>500000</v>
      </c>
      <c r="G23" s="16">
        <v>66650</v>
      </c>
      <c r="H23" s="16">
        <v>566650</v>
      </c>
      <c r="I23" s="318">
        <v>11333</v>
      </c>
      <c r="J23" s="159">
        <v>50</v>
      </c>
      <c r="K23" s="101">
        <v>26</v>
      </c>
      <c r="L23" s="91">
        <f t="shared" si="0"/>
        <v>294658</v>
      </c>
      <c r="M23" s="94">
        <f t="shared" si="1"/>
        <v>271992</v>
      </c>
      <c r="N23" s="159">
        <f t="shared" si="2"/>
        <v>24</v>
      </c>
      <c r="O23" s="159"/>
      <c r="P23" s="97"/>
      <c r="Q23" s="11"/>
    </row>
    <row r="24" spans="1:17" s="114" customFormat="1">
      <c r="A24" s="180"/>
      <c r="B24" s="292" t="s">
        <v>1069</v>
      </c>
      <c r="C24" s="96">
        <v>19</v>
      </c>
      <c r="D24" s="11" t="s">
        <v>358</v>
      </c>
      <c r="E24" s="11"/>
      <c r="F24" s="16">
        <v>500000</v>
      </c>
      <c r="G24" s="16">
        <v>66650</v>
      </c>
      <c r="H24" s="16">
        <v>566650</v>
      </c>
      <c r="I24" s="318">
        <v>11333</v>
      </c>
      <c r="J24" s="159">
        <v>50</v>
      </c>
      <c r="K24" s="97">
        <v>38</v>
      </c>
      <c r="L24" s="91">
        <f t="shared" si="0"/>
        <v>430654</v>
      </c>
      <c r="M24" s="91">
        <f t="shared" si="1"/>
        <v>135996</v>
      </c>
      <c r="N24" s="159">
        <f t="shared" si="2"/>
        <v>12</v>
      </c>
      <c r="O24" s="159"/>
      <c r="P24" s="97"/>
      <c r="Q24" s="11"/>
    </row>
    <row r="25" spans="1:17" s="114" customFormat="1">
      <c r="A25" s="180"/>
      <c r="B25" s="292" t="s">
        <v>1106</v>
      </c>
      <c r="C25" s="96">
        <v>20</v>
      </c>
      <c r="D25" s="11" t="s">
        <v>314</v>
      </c>
      <c r="E25" s="11"/>
      <c r="F25" s="19">
        <v>500000</v>
      </c>
      <c r="G25" s="19">
        <v>66650</v>
      </c>
      <c r="H25" s="19">
        <v>566650</v>
      </c>
      <c r="I25" s="318">
        <v>11333</v>
      </c>
      <c r="J25" s="159">
        <v>50</v>
      </c>
      <c r="K25" s="97">
        <v>38</v>
      </c>
      <c r="L25" s="91">
        <f t="shared" si="0"/>
        <v>430654</v>
      </c>
      <c r="M25" s="91">
        <f t="shared" si="1"/>
        <v>135996</v>
      </c>
      <c r="N25" s="159">
        <f t="shared" si="2"/>
        <v>12</v>
      </c>
      <c r="O25" s="159"/>
      <c r="P25" s="97"/>
      <c r="Q25" s="11"/>
    </row>
    <row r="26" spans="1:17" s="114" customFormat="1">
      <c r="A26" s="180"/>
      <c r="B26" s="292" t="s">
        <v>1046</v>
      </c>
      <c r="C26" s="96">
        <v>21</v>
      </c>
      <c r="D26" s="11" t="s">
        <v>349</v>
      </c>
      <c r="E26" s="11"/>
      <c r="F26" s="16">
        <v>500000</v>
      </c>
      <c r="G26" s="16">
        <v>66650</v>
      </c>
      <c r="H26" s="41">
        <f>SUM(F26:G26)</f>
        <v>566650</v>
      </c>
      <c r="I26" s="318">
        <v>11333</v>
      </c>
      <c r="J26" s="159">
        <v>50</v>
      </c>
      <c r="K26" s="97">
        <v>30</v>
      </c>
      <c r="L26" s="91">
        <f>(1*11333)</f>
        <v>11333</v>
      </c>
      <c r="M26" s="91">
        <f t="shared" si="1"/>
        <v>555317</v>
      </c>
      <c r="N26" s="159">
        <f t="shared" si="2"/>
        <v>20</v>
      </c>
      <c r="O26" s="159"/>
      <c r="P26" s="97"/>
      <c r="Q26" s="11"/>
    </row>
    <row r="27" spans="1:17" s="114" customFormat="1">
      <c r="A27" s="180"/>
      <c r="B27" s="292" t="s">
        <v>1009</v>
      </c>
      <c r="C27" s="96">
        <v>22</v>
      </c>
      <c r="D27" s="11" t="s">
        <v>332</v>
      </c>
      <c r="E27" s="11"/>
      <c r="F27" s="19">
        <v>500000</v>
      </c>
      <c r="G27" s="19">
        <v>66650</v>
      </c>
      <c r="H27" s="19">
        <v>566650</v>
      </c>
      <c r="I27" s="318">
        <v>11333</v>
      </c>
      <c r="J27" s="159">
        <v>50</v>
      </c>
      <c r="K27" s="97">
        <v>38</v>
      </c>
      <c r="L27" s="91">
        <f>K27*I27</f>
        <v>430654</v>
      </c>
      <c r="M27" s="91">
        <f t="shared" si="1"/>
        <v>135996</v>
      </c>
      <c r="N27" s="159">
        <f t="shared" si="2"/>
        <v>12</v>
      </c>
      <c r="O27" s="159"/>
      <c r="P27" s="97"/>
      <c r="Q27" s="8"/>
    </row>
    <row r="28" spans="1:17" s="114" customFormat="1">
      <c r="A28" s="180"/>
      <c r="B28" s="11" t="s">
        <v>1342</v>
      </c>
      <c r="C28" s="96">
        <v>23</v>
      </c>
      <c r="D28" s="11" t="s">
        <v>1290</v>
      </c>
      <c r="E28" s="11"/>
      <c r="F28" s="16">
        <v>500000</v>
      </c>
      <c r="G28" s="16">
        <v>66650</v>
      </c>
      <c r="H28" s="41">
        <f>SUM(F28:G28)</f>
        <v>566650</v>
      </c>
      <c r="I28" s="16">
        <v>11333</v>
      </c>
      <c r="J28" s="159">
        <v>50</v>
      </c>
      <c r="K28" s="159">
        <v>11</v>
      </c>
      <c r="L28" s="16">
        <f>K28*I28</f>
        <v>124663</v>
      </c>
      <c r="M28" s="94">
        <f t="shared" si="1"/>
        <v>441987</v>
      </c>
      <c r="N28" s="159">
        <f t="shared" si="2"/>
        <v>39</v>
      </c>
      <c r="O28" s="159"/>
      <c r="P28" s="159"/>
      <c r="Q28" s="11"/>
    </row>
    <row r="29" spans="1:17" s="114" customFormat="1">
      <c r="A29" s="180"/>
      <c r="B29" s="292" t="s">
        <v>995</v>
      </c>
      <c r="C29" s="96">
        <v>24</v>
      </c>
      <c r="D29" s="11" t="s">
        <v>339</v>
      </c>
      <c r="E29" s="11"/>
      <c r="F29" s="19">
        <v>500000</v>
      </c>
      <c r="G29" s="19">
        <v>66650</v>
      </c>
      <c r="H29" s="19">
        <v>566650</v>
      </c>
      <c r="I29" s="318">
        <v>11333</v>
      </c>
      <c r="J29" s="159">
        <v>50</v>
      </c>
      <c r="K29" s="97">
        <v>38</v>
      </c>
      <c r="L29" s="91">
        <f>K29*I29</f>
        <v>430654</v>
      </c>
      <c r="M29" s="91">
        <f t="shared" si="1"/>
        <v>135996</v>
      </c>
      <c r="N29" s="159">
        <f t="shared" si="2"/>
        <v>12</v>
      </c>
      <c r="O29" s="159"/>
      <c r="P29" s="97"/>
      <c r="Q29" s="8"/>
    </row>
    <row r="30" spans="1:17" s="114" customFormat="1">
      <c r="A30" s="180"/>
      <c r="B30" s="293" t="s">
        <v>1366</v>
      </c>
      <c r="C30" s="96">
        <v>25</v>
      </c>
      <c r="D30" s="123" t="s">
        <v>1138</v>
      </c>
      <c r="E30" s="123"/>
      <c r="F30" s="19">
        <v>450000</v>
      </c>
      <c r="G30" s="19">
        <v>59985</v>
      </c>
      <c r="H30" s="19">
        <v>509985</v>
      </c>
      <c r="I30" s="327">
        <v>10199.700000000001</v>
      </c>
      <c r="J30" s="159">
        <v>50</v>
      </c>
      <c r="K30" s="159">
        <v>13</v>
      </c>
      <c r="L30" s="16">
        <f>K30*I30</f>
        <v>132596.1</v>
      </c>
      <c r="M30" s="94">
        <f t="shared" si="1"/>
        <v>377388.9</v>
      </c>
      <c r="N30" s="159">
        <f t="shared" si="2"/>
        <v>37</v>
      </c>
      <c r="O30" s="159"/>
      <c r="P30" s="159"/>
      <c r="Q30" s="11"/>
    </row>
    <row r="31" spans="1:17" s="114" customFormat="1">
      <c r="A31" s="180"/>
      <c r="B31" s="292" t="s">
        <v>998</v>
      </c>
      <c r="C31" s="96">
        <v>26</v>
      </c>
      <c r="D31" s="11" t="s">
        <v>363</v>
      </c>
      <c r="E31" s="11"/>
      <c r="F31" s="16">
        <v>450000</v>
      </c>
      <c r="G31" s="16">
        <v>59985</v>
      </c>
      <c r="H31" s="16">
        <v>509985</v>
      </c>
      <c r="I31" s="318">
        <v>10199.700000000001</v>
      </c>
      <c r="J31" s="159">
        <v>50</v>
      </c>
      <c r="K31" s="97">
        <v>30</v>
      </c>
      <c r="L31" s="91">
        <f>(1*10199.7)</f>
        <v>10199.700000000001</v>
      </c>
      <c r="M31" s="94">
        <f t="shared" si="1"/>
        <v>499785.3</v>
      </c>
      <c r="N31" s="159">
        <f t="shared" si="2"/>
        <v>20</v>
      </c>
      <c r="O31" s="159"/>
      <c r="P31" s="97"/>
      <c r="Q31" s="11"/>
    </row>
    <row r="32" spans="1:17" s="114" customFormat="1">
      <c r="A32" s="180"/>
      <c r="B32" s="295" t="s">
        <v>1348</v>
      </c>
      <c r="C32" s="96">
        <v>27</v>
      </c>
      <c r="D32" s="126" t="s">
        <v>1349</v>
      </c>
      <c r="E32" s="8"/>
      <c r="F32" s="16">
        <v>500000</v>
      </c>
      <c r="G32" s="16">
        <v>66650</v>
      </c>
      <c r="H32" s="41">
        <f>SUM(F32:G32)</f>
        <v>566650</v>
      </c>
      <c r="I32" s="13">
        <v>11333</v>
      </c>
      <c r="J32" s="159">
        <v>50</v>
      </c>
      <c r="K32" s="101">
        <v>4</v>
      </c>
      <c r="L32" s="16">
        <f t="shared" ref="L32:L62" si="4">K32*I32</f>
        <v>45332</v>
      </c>
      <c r="M32" s="94">
        <f t="shared" si="1"/>
        <v>521318</v>
      </c>
      <c r="N32" s="159">
        <f t="shared" si="2"/>
        <v>46</v>
      </c>
      <c r="O32" s="101"/>
      <c r="P32" s="101"/>
      <c r="Q32" s="11"/>
    </row>
    <row r="33" spans="1:17" s="114" customFormat="1">
      <c r="A33" s="180"/>
      <c r="B33" s="293" t="s">
        <v>1012</v>
      </c>
      <c r="C33" s="96">
        <v>28</v>
      </c>
      <c r="D33" s="123" t="s">
        <v>852</v>
      </c>
      <c r="E33" s="123"/>
      <c r="F33" s="19">
        <v>330000</v>
      </c>
      <c r="G33" s="19">
        <v>43989</v>
      </c>
      <c r="H33" s="19">
        <f>SUM(F33:G33)</f>
        <v>373989</v>
      </c>
      <c r="I33" s="327">
        <v>7479.78</v>
      </c>
      <c r="J33" s="159">
        <v>50</v>
      </c>
      <c r="K33" s="159">
        <v>21</v>
      </c>
      <c r="L33" s="16">
        <f t="shared" si="4"/>
        <v>157075.38</v>
      </c>
      <c r="M33" s="94">
        <f t="shared" si="1"/>
        <v>216913.62</v>
      </c>
      <c r="N33" s="159">
        <f t="shared" si="2"/>
        <v>29</v>
      </c>
      <c r="O33" s="159"/>
      <c r="P33" s="159"/>
      <c r="Q33" s="11"/>
    </row>
    <row r="34" spans="1:17" s="114" customFormat="1">
      <c r="A34" s="180"/>
      <c r="B34" s="295" t="s">
        <v>1065</v>
      </c>
      <c r="C34" s="96">
        <v>29</v>
      </c>
      <c r="D34" s="11" t="s">
        <v>1066</v>
      </c>
      <c r="E34" s="8"/>
      <c r="F34" s="19">
        <v>330000</v>
      </c>
      <c r="G34" s="19">
        <v>43989</v>
      </c>
      <c r="H34" s="19">
        <f>SUM(F34:G34)</f>
        <v>373989</v>
      </c>
      <c r="I34" s="319">
        <v>7479.78</v>
      </c>
      <c r="J34" s="159">
        <v>50</v>
      </c>
      <c r="K34" s="159">
        <v>18</v>
      </c>
      <c r="L34" s="16">
        <f t="shared" si="4"/>
        <v>134636.04</v>
      </c>
      <c r="M34" s="94">
        <f t="shared" si="1"/>
        <v>239352.95999999999</v>
      </c>
      <c r="N34" s="159">
        <f t="shared" si="2"/>
        <v>32</v>
      </c>
      <c r="O34" s="159"/>
      <c r="P34" s="159"/>
      <c r="Q34" s="11"/>
    </row>
    <row r="35" spans="1:17" s="114" customFormat="1">
      <c r="A35" s="180"/>
      <c r="B35" s="292" t="s">
        <v>1029</v>
      </c>
      <c r="C35" s="96">
        <v>30</v>
      </c>
      <c r="D35" s="123" t="s">
        <v>1030</v>
      </c>
      <c r="E35" s="123"/>
      <c r="F35" s="19">
        <v>450000</v>
      </c>
      <c r="G35" s="19">
        <v>59985</v>
      </c>
      <c r="H35" s="19">
        <v>509985</v>
      </c>
      <c r="I35" s="327">
        <v>10199.700000000001</v>
      </c>
      <c r="J35" s="159">
        <v>50</v>
      </c>
      <c r="K35" s="159">
        <v>18</v>
      </c>
      <c r="L35" s="91">
        <f t="shared" si="4"/>
        <v>183594.6</v>
      </c>
      <c r="M35" s="94">
        <f t="shared" si="1"/>
        <v>326390.40000000002</v>
      </c>
      <c r="N35" s="159">
        <f t="shared" si="2"/>
        <v>32</v>
      </c>
      <c r="O35" s="159"/>
      <c r="P35" s="97"/>
      <c r="Q35" s="11"/>
    </row>
    <row r="36" spans="1:17" s="114" customFormat="1">
      <c r="A36" s="180"/>
      <c r="B36" s="11" t="s">
        <v>1377</v>
      </c>
      <c r="C36" s="96">
        <v>31</v>
      </c>
      <c r="D36" s="11" t="s">
        <v>1378</v>
      </c>
      <c r="E36" s="11"/>
      <c r="F36" s="19">
        <v>330000</v>
      </c>
      <c r="G36" s="19">
        <v>43989</v>
      </c>
      <c r="H36" s="19">
        <f>SUM(F36:G36)</f>
        <v>373989</v>
      </c>
      <c r="I36" s="254">
        <v>7479.78</v>
      </c>
      <c r="J36" s="159">
        <v>50</v>
      </c>
      <c r="K36" s="159">
        <v>4</v>
      </c>
      <c r="L36" s="16">
        <f t="shared" si="4"/>
        <v>29919.119999999999</v>
      </c>
      <c r="M36" s="94">
        <f t="shared" si="1"/>
        <v>344069.88</v>
      </c>
      <c r="N36" s="159">
        <f t="shared" si="2"/>
        <v>46</v>
      </c>
      <c r="O36" s="11"/>
      <c r="P36" s="11"/>
      <c r="Q36" s="8"/>
    </row>
    <row r="37" spans="1:17" s="114" customFormat="1">
      <c r="A37" s="180"/>
      <c r="B37" s="11" t="s">
        <v>1370</v>
      </c>
      <c r="C37" s="96">
        <v>32</v>
      </c>
      <c r="D37" s="11" t="s">
        <v>1371</v>
      </c>
      <c r="E37" s="11"/>
      <c r="F37" s="19">
        <v>330000</v>
      </c>
      <c r="G37" s="19">
        <v>43989</v>
      </c>
      <c r="H37" s="19">
        <f>SUM(F37:G37)</f>
        <v>373989</v>
      </c>
      <c r="I37" s="254">
        <v>7479.78</v>
      </c>
      <c r="J37" s="159">
        <v>50</v>
      </c>
      <c r="K37" s="159">
        <v>4</v>
      </c>
      <c r="L37" s="16">
        <f t="shared" si="4"/>
        <v>29919.119999999999</v>
      </c>
      <c r="M37" s="94">
        <f t="shared" si="1"/>
        <v>344069.88</v>
      </c>
      <c r="N37" s="159">
        <f t="shared" si="2"/>
        <v>46</v>
      </c>
      <c r="O37" s="11"/>
      <c r="P37" s="11"/>
      <c r="Q37" s="11"/>
    </row>
    <row r="38" spans="1:17" s="114" customFormat="1">
      <c r="A38" s="180"/>
      <c r="B38" s="11" t="s">
        <v>1400</v>
      </c>
      <c r="C38" s="96">
        <v>33</v>
      </c>
      <c r="D38" s="11" t="s">
        <v>1401</v>
      </c>
      <c r="E38" s="11"/>
      <c r="F38" s="19">
        <v>150000</v>
      </c>
      <c r="G38" s="19">
        <v>19995</v>
      </c>
      <c r="H38" s="19">
        <f>SUM(F38:G38)</f>
        <v>169995</v>
      </c>
      <c r="I38" s="254">
        <v>3399.9</v>
      </c>
      <c r="J38" s="159">
        <v>50</v>
      </c>
      <c r="K38" s="159">
        <v>6</v>
      </c>
      <c r="L38" s="16">
        <f t="shared" si="4"/>
        <v>20399.400000000001</v>
      </c>
      <c r="M38" s="94">
        <f t="shared" ref="M38:M69" si="5">H38-L38</f>
        <v>149595.6</v>
      </c>
      <c r="N38" s="159">
        <f t="shared" ref="N38:N69" si="6">J38-K38</f>
        <v>44</v>
      </c>
      <c r="O38" s="11"/>
      <c r="P38" s="11"/>
      <c r="Q38" s="11"/>
    </row>
    <row r="39" spans="1:17" s="114" customFormat="1">
      <c r="A39" s="180"/>
      <c r="B39" s="293" t="s">
        <v>1386</v>
      </c>
      <c r="C39" s="96">
        <v>34</v>
      </c>
      <c r="D39" s="123" t="s">
        <v>1387</v>
      </c>
      <c r="E39" s="123"/>
      <c r="F39" s="19">
        <v>330000</v>
      </c>
      <c r="G39" s="19">
        <v>43989</v>
      </c>
      <c r="H39" s="19">
        <f>SUM(F39:G39)</f>
        <v>373989</v>
      </c>
      <c r="I39" s="327">
        <v>7479.78</v>
      </c>
      <c r="J39" s="159">
        <v>50</v>
      </c>
      <c r="K39" s="159">
        <v>13</v>
      </c>
      <c r="L39" s="16">
        <f t="shared" si="4"/>
        <v>97237.14</v>
      </c>
      <c r="M39" s="94">
        <f t="shared" si="5"/>
        <v>276751.86</v>
      </c>
      <c r="N39" s="159">
        <f t="shared" si="6"/>
        <v>37</v>
      </c>
      <c r="O39" s="159"/>
      <c r="P39" s="159"/>
      <c r="Q39" s="11"/>
    </row>
    <row r="40" spans="1:17" s="114" customFormat="1">
      <c r="A40" s="180"/>
      <c r="B40" s="293" t="s">
        <v>975</v>
      </c>
      <c r="C40" s="96">
        <v>35</v>
      </c>
      <c r="D40" s="123" t="s">
        <v>875</v>
      </c>
      <c r="E40" s="123"/>
      <c r="F40" s="19">
        <v>450000</v>
      </c>
      <c r="G40" s="19">
        <v>59985</v>
      </c>
      <c r="H40" s="19">
        <v>509985</v>
      </c>
      <c r="I40" s="327">
        <v>10199.700000000001</v>
      </c>
      <c r="J40" s="159">
        <v>50</v>
      </c>
      <c r="K40" s="159">
        <v>21</v>
      </c>
      <c r="L40" s="16">
        <f t="shared" si="4"/>
        <v>214193.7</v>
      </c>
      <c r="M40" s="94">
        <f t="shared" si="5"/>
        <v>295791.3</v>
      </c>
      <c r="N40" s="159">
        <f t="shared" si="6"/>
        <v>29</v>
      </c>
      <c r="O40" s="159"/>
      <c r="P40" s="159"/>
      <c r="Q40" s="11"/>
    </row>
    <row r="41" spans="1:17" s="114" customFormat="1">
      <c r="A41" s="180"/>
      <c r="B41" s="293" t="s">
        <v>1357</v>
      </c>
      <c r="C41" s="96">
        <v>36</v>
      </c>
      <c r="D41" s="123" t="s">
        <v>858</v>
      </c>
      <c r="E41" s="123"/>
      <c r="F41" s="19">
        <v>450000</v>
      </c>
      <c r="G41" s="19">
        <v>59985</v>
      </c>
      <c r="H41" s="19">
        <v>509985</v>
      </c>
      <c r="I41" s="327">
        <v>10199.700000000001</v>
      </c>
      <c r="J41" s="159">
        <v>50</v>
      </c>
      <c r="K41" s="159">
        <v>13</v>
      </c>
      <c r="L41" s="16">
        <f t="shared" si="4"/>
        <v>132596.1</v>
      </c>
      <c r="M41" s="94">
        <f t="shared" si="5"/>
        <v>377388.9</v>
      </c>
      <c r="N41" s="159">
        <f t="shared" si="6"/>
        <v>37</v>
      </c>
      <c r="O41" s="159"/>
      <c r="P41" s="159"/>
      <c r="Q41" s="11"/>
    </row>
    <row r="42" spans="1:17" s="114" customFormat="1">
      <c r="A42" s="180"/>
      <c r="B42" s="292" t="s">
        <v>1097</v>
      </c>
      <c r="C42" s="96">
        <v>37</v>
      </c>
      <c r="D42" s="11" t="s">
        <v>286</v>
      </c>
      <c r="E42" s="11"/>
      <c r="F42" s="16">
        <v>450000</v>
      </c>
      <c r="G42" s="16">
        <v>59985</v>
      </c>
      <c r="H42" s="16">
        <v>509985</v>
      </c>
      <c r="I42" s="318">
        <v>10199.700000000001</v>
      </c>
      <c r="J42" s="159">
        <v>50</v>
      </c>
      <c r="K42" s="97">
        <v>40</v>
      </c>
      <c r="L42" s="91">
        <f t="shared" si="4"/>
        <v>407988</v>
      </c>
      <c r="M42" s="94">
        <f t="shared" si="5"/>
        <v>101997</v>
      </c>
      <c r="N42" s="159">
        <f t="shared" si="6"/>
        <v>10</v>
      </c>
      <c r="O42" s="159"/>
      <c r="P42" s="97"/>
      <c r="Q42" s="8"/>
    </row>
    <row r="43" spans="1:17" s="114" customFormat="1">
      <c r="A43" s="180"/>
      <c r="B43" s="295" t="s">
        <v>1346</v>
      </c>
      <c r="C43" s="96">
        <v>38</v>
      </c>
      <c r="D43" s="126" t="s">
        <v>1347</v>
      </c>
      <c r="E43" s="8"/>
      <c r="F43" s="16">
        <v>500000</v>
      </c>
      <c r="G43" s="16">
        <v>66650</v>
      </c>
      <c r="H43" s="41">
        <f>SUM(F43:G43)</f>
        <v>566650</v>
      </c>
      <c r="I43" s="13">
        <v>11333</v>
      </c>
      <c r="J43" s="159">
        <v>50</v>
      </c>
      <c r="K43" s="101">
        <v>6</v>
      </c>
      <c r="L43" s="16">
        <f t="shared" si="4"/>
        <v>67998</v>
      </c>
      <c r="M43" s="94">
        <f t="shared" si="5"/>
        <v>498652</v>
      </c>
      <c r="N43" s="159">
        <f t="shared" si="6"/>
        <v>44</v>
      </c>
      <c r="O43" s="101"/>
      <c r="P43" s="101"/>
      <c r="Q43" s="11"/>
    </row>
    <row r="44" spans="1:17" s="114" customFormat="1">
      <c r="A44" s="180"/>
      <c r="B44" s="11" t="s">
        <v>1356</v>
      </c>
      <c r="C44" s="96">
        <v>39</v>
      </c>
      <c r="D44" s="11" t="s">
        <v>1286</v>
      </c>
      <c r="E44" s="11"/>
      <c r="F44" s="19">
        <v>450000</v>
      </c>
      <c r="G44" s="19">
        <v>59985</v>
      </c>
      <c r="H44" s="19">
        <v>509985</v>
      </c>
      <c r="I44" s="254">
        <v>10199.700000000001</v>
      </c>
      <c r="J44" s="159">
        <v>50</v>
      </c>
      <c r="K44" s="159">
        <v>6</v>
      </c>
      <c r="L44" s="16">
        <f t="shared" si="4"/>
        <v>61198.200000000004</v>
      </c>
      <c r="M44" s="94">
        <f t="shared" si="5"/>
        <v>448786.8</v>
      </c>
      <c r="N44" s="159">
        <f t="shared" si="6"/>
        <v>44</v>
      </c>
      <c r="O44" s="11"/>
      <c r="P44" s="11"/>
      <c r="Q44" s="11"/>
    </row>
    <row r="45" spans="1:17" s="114" customFormat="1">
      <c r="A45" s="180"/>
      <c r="B45" s="292" t="s">
        <v>964</v>
      </c>
      <c r="C45" s="96">
        <v>40</v>
      </c>
      <c r="D45" s="11" t="s">
        <v>341</v>
      </c>
      <c r="E45" s="11"/>
      <c r="F45" s="19">
        <v>500000</v>
      </c>
      <c r="G45" s="19">
        <v>66650</v>
      </c>
      <c r="H45" s="19">
        <v>566650</v>
      </c>
      <c r="I45" s="318">
        <v>11333</v>
      </c>
      <c r="J45" s="159">
        <v>50</v>
      </c>
      <c r="K45" s="97">
        <v>38</v>
      </c>
      <c r="L45" s="91">
        <f t="shared" si="4"/>
        <v>430654</v>
      </c>
      <c r="M45" s="91">
        <f t="shared" si="5"/>
        <v>135996</v>
      </c>
      <c r="N45" s="159">
        <f t="shared" si="6"/>
        <v>12</v>
      </c>
      <c r="O45" s="159"/>
      <c r="P45" s="97"/>
      <c r="Q45" s="11"/>
    </row>
    <row r="46" spans="1:17" s="114" customFormat="1">
      <c r="A46" s="180"/>
      <c r="B46" s="292" t="s">
        <v>1103</v>
      </c>
      <c r="C46" s="96">
        <v>41</v>
      </c>
      <c r="D46" s="11" t="s">
        <v>310</v>
      </c>
      <c r="E46" s="11"/>
      <c r="F46" s="19">
        <v>500000</v>
      </c>
      <c r="G46" s="19">
        <v>66650</v>
      </c>
      <c r="H46" s="19">
        <v>566650</v>
      </c>
      <c r="I46" s="318">
        <v>11333</v>
      </c>
      <c r="J46" s="159">
        <v>50</v>
      </c>
      <c r="K46" s="96">
        <v>38</v>
      </c>
      <c r="L46" s="16">
        <f t="shared" si="4"/>
        <v>430654</v>
      </c>
      <c r="M46" s="16">
        <f t="shared" si="5"/>
        <v>135996</v>
      </c>
      <c r="N46" s="159">
        <f t="shared" si="6"/>
        <v>12</v>
      </c>
      <c r="O46" s="159"/>
      <c r="P46" s="96"/>
      <c r="Q46" s="11"/>
    </row>
    <row r="47" spans="1:17" s="114" customFormat="1">
      <c r="A47" s="180"/>
      <c r="B47" s="292" t="s">
        <v>1043</v>
      </c>
      <c r="C47" s="96">
        <v>42</v>
      </c>
      <c r="D47" s="11" t="s">
        <v>444</v>
      </c>
      <c r="E47" s="11"/>
      <c r="F47" s="16">
        <v>500000</v>
      </c>
      <c r="G47" s="16">
        <v>66650</v>
      </c>
      <c r="H47" s="16">
        <v>566650</v>
      </c>
      <c r="I47" s="252">
        <v>11333</v>
      </c>
      <c r="J47" s="159">
        <v>50</v>
      </c>
      <c r="K47" s="101">
        <v>26</v>
      </c>
      <c r="L47" s="91">
        <f t="shared" si="4"/>
        <v>294658</v>
      </c>
      <c r="M47" s="94">
        <f t="shared" si="5"/>
        <v>271992</v>
      </c>
      <c r="N47" s="159">
        <f t="shared" si="6"/>
        <v>24</v>
      </c>
      <c r="O47" s="159"/>
      <c r="P47" s="97"/>
      <c r="Q47" s="11"/>
    </row>
    <row r="48" spans="1:17" s="114" customFormat="1">
      <c r="A48" s="180"/>
      <c r="B48" s="292" t="s">
        <v>1001</v>
      </c>
      <c r="C48" s="96">
        <v>43</v>
      </c>
      <c r="D48" s="11" t="s">
        <v>834</v>
      </c>
      <c r="E48" s="11"/>
      <c r="F48" s="19">
        <v>330000</v>
      </c>
      <c r="G48" s="19">
        <v>43989</v>
      </c>
      <c r="H48" s="19">
        <f>SUM(F48:G48)</f>
        <v>373989</v>
      </c>
      <c r="I48" s="252">
        <v>7479.78</v>
      </c>
      <c r="J48" s="159">
        <v>50</v>
      </c>
      <c r="K48" s="101">
        <v>26</v>
      </c>
      <c r="L48" s="91">
        <f t="shared" si="4"/>
        <v>194474.28</v>
      </c>
      <c r="M48" s="94">
        <f t="shared" si="5"/>
        <v>179514.72</v>
      </c>
      <c r="N48" s="159">
        <f t="shared" si="6"/>
        <v>24</v>
      </c>
      <c r="O48" s="159"/>
      <c r="P48" s="97"/>
      <c r="Q48" s="11"/>
    </row>
    <row r="49" spans="1:17" s="114" customFormat="1">
      <c r="A49" s="180"/>
      <c r="B49" s="11" t="s">
        <v>1335</v>
      </c>
      <c r="C49" s="96">
        <v>44</v>
      </c>
      <c r="D49" s="11" t="s">
        <v>1336</v>
      </c>
      <c r="E49" s="11"/>
      <c r="F49" s="16">
        <v>500000</v>
      </c>
      <c r="G49" s="16">
        <v>66650</v>
      </c>
      <c r="H49" s="41">
        <f>SUM(F49:G49)</f>
        <v>566650</v>
      </c>
      <c r="I49" s="254">
        <v>11333</v>
      </c>
      <c r="J49" s="159">
        <v>50</v>
      </c>
      <c r="K49" s="159">
        <v>8</v>
      </c>
      <c r="L49" s="16">
        <f t="shared" si="4"/>
        <v>90664</v>
      </c>
      <c r="M49" s="94">
        <f t="shared" si="5"/>
        <v>475986</v>
      </c>
      <c r="N49" s="159">
        <f t="shared" si="6"/>
        <v>42</v>
      </c>
      <c r="O49" s="11"/>
      <c r="P49" s="11"/>
      <c r="Q49" s="11"/>
    </row>
    <row r="50" spans="1:17" s="114" customFormat="1">
      <c r="A50" s="180"/>
      <c r="B50" s="11" t="s">
        <v>1312</v>
      </c>
      <c r="C50" s="96">
        <v>45</v>
      </c>
      <c r="D50" s="11" t="s">
        <v>436</v>
      </c>
      <c r="E50" s="11"/>
      <c r="F50" s="16">
        <v>500000</v>
      </c>
      <c r="G50" s="16">
        <v>66650</v>
      </c>
      <c r="H50" s="41">
        <f>SUM(F50:G50)</f>
        <v>566650</v>
      </c>
      <c r="I50" s="254">
        <v>21333</v>
      </c>
      <c r="J50" s="159">
        <v>25</v>
      </c>
      <c r="K50" s="159">
        <v>6</v>
      </c>
      <c r="L50" s="16">
        <f t="shared" si="4"/>
        <v>127998</v>
      </c>
      <c r="M50" s="94">
        <f t="shared" si="5"/>
        <v>438652</v>
      </c>
      <c r="N50" s="159">
        <f t="shared" si="6"/>
        <v>19</v>
      </c>
      <c r="O50" s="11"/>
      <c r="P50" s="11"/>
      <c r="Q50" s="11"/>
    </row>
    <row r="51" spans="1:17" s="114" customFormat="1">
      <c r="A51" s="180"/>
      <c r="B51" s="292" t="s">
        <v>1044</v>
      </c>
      <c r="C51" s="96">
        <v>46</v>
      </c>
      <c r="D51" s="11" t="s">
        <v>844</v>
      </c>
      <c r="E51" s="11"/>
      <c r="F51" s="19">
        <v>150000</v>
      </c>
      <c r="G51" s="19">
        <v>19995</v>
      </c>
      <c r="H51" s="19">
        <f>SUM(F51:G51)</f>
        <v>169995</v>
      </c>
      <c r="I51" s="252">
        <v>3399.9</v>
      </c>
      <c r="J51" s="159">
        <v>50</v>
      </c>
      <c r="K51" s="101">
        <v>26</v>
      </c>
      <c r="L51" s="91">
        <f t="shared" si="4"/>
        <v>88397.400000000009</v>
      </c>
      <c r="M51" s="94">
        <f t="shared" si="5"/>
        <v>81597.599999999991</v>
      </c>
      <c r="N51" s="159">
        <f t="shared" si="6"/>
        <v>24</v>
      </c>
      <c r="O51" s="159"/>
      <c r="P51" s="97"/>
      <c r="Q51" s="11"/>
    </row>
    <row r="52" spans="1:17" s="114" customFormat="1">
      <c r="A52" s="180"/>
      <c r="B52" s="11" t="s">
        <v>1328</v>
      </c>
      <c r="C52" s="96">
        <v>47</v>
      </c>
      <c r="D52" s="11" t="s">
        <v>433</v>
      </c>
      <c r="E52" s="11"/>
      <c r="F52" s="16">
        <v>500000</v>
      </c>
      <c r="G52" s="16">
        <v>66650</v>
      </c>
      <c r="H52" s="41">
        <f>SUM(F52:G52)</f>
        <v>566650</v>
      </c>
      <c r="I52" s="16">
        <v>11333</v>
      </c>
      <c r="J52" s="159">
        <v>50</v>
      </c>
      <c r="K52" s="159">
        <v>11</v>
      </c>
      <c r="L52" s="16">
        <f t="shared" si="4"/>
        <v>124663</v>
      </c>
      <c r="M52" s="94">
        <f t="shared" si="5"/>
        <v>441987</v>
      </c>
      <c r="N52" s="159">
        <f t="shared" si="6"/>
        <v>39</v>
      </c>
      <c r="O52" s="159"/>
      <c r="P52" s="159"/>
      <c r="Q52" s="11"/>
    </row>
    <row r="53" spans="1:17" s="114" customFormat="1">
      <c r="A53" s="180"/>
      <c r="B53" s="292" t="s">
        <v>1058</v>
      </c>
      <c r="C53" s="96">
        <v>48</v>
      </c>
      <c r="D53" s="11" t="s">
        <v>346</v>
      </c>
      <c r="E53" s="11"/>
      <c r="F53" s="19">
        <v>500000</v>
      </c>
      <c r="G53" s="19">
        <v>66650</v>
      </c>
      <c r="H53" s="19">
        <v>566650</v>
      </c>
      <c r="I53" s="318">
        <v>11333</v>
      </c>
      <c r="J53" s="159">
        <v>50</v>
      </c>
      <c r="K53" s="97">
        <v>37</v>
      </c>
      <c r="L53" s="91">
        <f t="shared" si="4"/>
        <v>419321</v>
      </c>
      <c r="M53" s="91">
        <f t="shared" si="5"/>
        <v>147329</v>
      </c>
      <c r="N53" s="159">
        <f t="shared" si="6"/>
        <v>13</v>
      </c>
      <c r="O53" s="159"/>
      <c r="P53" s="97"/>
      <c r="Q53" s="11"/>
    </row>
    <row r="54" spans="1:17" s="114" customFormat="1">
      <c r="A54" s="180"/>
      <c r="B54" s="293" t="s">
        <v>1322</v>
      </c>
      <c r="C54" s="96">
        <v>49</v>
      </c>
      <c r="D54" s="123" t="s">
        <v>1122</v>
      </c>
      <c r="E54" s="123"/>
      <c r="F54" s="16">
        <v>500000</v>
      </c>
      <c r="G54" s="16">
        <v>66650</v>
      </c>
      <c r="H54" s="41">
        <f>SUM(F54:G54)</f>
        <v>566650</v>
      </c>
      <c r="I54" s="327">
        <v>11333</v>
      </c>
      <c r="J54" s="159">
        <v>50</v>
      </c>
      <c r="K54" s="159">
        <v>13</v>
      </c>
      <c r="L54" s="16">
        <f t="shared" si="4"/>
        <v>147329</v>
      </c>
      <c r="M54" s="94">
        <f t="shared" si="5"/>
        <v>419321</v>
      </c>
      <c r="N54" s="159">
        <f t="shared" si="6"/>
        <v>37</v>
      </c>
      <c r="O54" s="159"/>
      <c r="P54" s="159"/>
      <c r="Q54" s="8"/>
    </row>
    <row r="55" spans="1:17" s="114" customFormat="1">
      <c r="A55" s="180"/>
      <c r="B55" s="292" t="s">
        <v>1098</v>
      </c>
      <c r="C55" s="96">
        <v>50</v>
      </c>
      <c r="D55" s="11" t="s">
        <v>345</v>
      </c>
      <c r="E55" s="11"/>
      <c r="F55" s="19">
        <v>500000</v>
      </c>
      <c r="G55" s="19">
        <v>66650</v>
      </c>
      <c r="H55" s="19">
        <v>566650</v>
      </c>
      <c r="I55" s="318">
        <v>11333</v>
      </c>
      <c r="J55" s="159">
        <v>50</v>
      </c>
      <c r="K55" s="97">
        <v>38</v>
      </c>
      <c r="L55" s="91">
        <f t="shared" si="4"/>
        <v>430654</v>
      </c>
      <c r="M55" s="91">
        <f t="shared" si="5"/>
        <v>135996</v>
      </c>
      <c r="N55" s="159">
        <f t="shared" si="6"/>
        <v>12</v>
      </c>
      <c r="O55" s="159"/>
      <c r="P55" s="97"/>
      <c r="Q55" s="11"/>
    </row>
    <row r="56" spans="1:17" s="114" customFormat="1">
      <c r="A56" s="180"/>
      <c r="B56" s="293" t="s">
        <v>1125</v>
      </c>
      <c r="C56" s="96">
        <v>51</v>
      </c>
      <c r="D56" s="11" t="s">
        <v>452</v>
      </c>
      <c r="E56" s="11"/>
      <c r="F56" s="16">
        <v>500000</v>
      </c>
      <c r="G56" s="16">
        <v>66650</v>
      </c>
      <c r="H56" s="41">
        <f>SUM(F56:G56)</f>
        <v>566650</v>
      </c>
      <c r="I56" s="327">
        <v>11333</v>
      </c>
      <c r="J56" s="159">
        <v>50</v>
      </c>
      <c r="K56" s="96">
        <v>14</v>
      </c>
      <c r="L56" s="91">
        <f t="shared" si="4"/>
        <v>158662</v>
      </c>
      <c r="M56" s="94">
        <f t="shared" si="5"/>
        <v>407988</v>
      </c>
      <c r="N56" s="159">
        <f t="shared" si="6"/>
        <v>36</v>
      </c>
      <c r="O56" s="159"/>
      <c r="P56" s="97"/>
      <c r="Q56" s="11"/>
    </row>
    <row r="57" spans="1:17" s="114" customFormat="1">
      <c r="A57" s="180"/>
      <c r="B57" s="293" t="s">
        <v>1390</v>
      </c>
      <c r="C57" s="96">
        <v>52</v>
      </c>
      <c r="D57" s="123" t="s">
        <v>1391</v>
      </c>
      <c r="E57" s="123"/>
      <c r="F57" s="19">
        <v>150000</v>
      </c>
      <c r="G57" s="19">
        <v>19995</v>
      </c>
      <c r="H57" s="19">
        <f>SUM(F57:G57)</f>
        <v>169995</v>
      </c>
      <c r="I57" s="327">
        <v>4149.8999999999996</v>
      </c>
      <c r="J57" s="159">
        <v>40</v>
      </c>
      <c r="K57" s="159">
        <v>13</v>
      </c>
      <c r="L57" s="16">
        <f t="shared" si="4"/>
        <v>53948.7</v>
      </c>
      <c r="M57" s="94">
        <f t="shared" si="5"/>
        <v>116046.3</v>
      </c>
      <c r="N57" s="159">
        <f t="shared" si="6"/>
        <v>27</v>
      </c>
      <c r="O57" s="159"/>
      <c r="P57" s="159"/>
      <c r="Q57" s="11"/>
    </row>
    <row r="58" spans="1:17" s="114" customFormat="1">
      <c r="A58" s="180"/>
      <c r="B58" s="292" t="s">
        <v>1067</v>
      </c>
      <c r="C58" s="96">
        <v>53</v>
      </c>
      <c r="D58" s="11" t="s">
        <v>368</v>
      </c>
      <c r="E58" s="11"/>
      <c r="F58" s="16">
        <v>450000</v>
      </c>
      <c r="G58" s="16">
        <v>59985</v>
      </c>
      <c r="H58" s="16">
        <v>509985</v>
      </c>
      <c r="I58" s="318">
        <v>10199.700000000001</v>
      </c>
      <c r="J58" s="159">
        <v>50</v>
      </c>
      <c r="K58" s="97">
        <v>37</v>
      </c>
      <c r="L58" s="91">
        <f t="shared" si="4"/>
        <v>377388.9</v>
      </c>
      <c r="M58" s="91">
        <f t="shared" si="5"/>
        <v>132596.09999999998</v>
      </c>
      <c r="N58" s="159">
        <f t="shared" si="6"/>
        <v>13</v>
      </c>
      <c r="O58" s="159"/>
      <c r="P58" s="97"/>
      <c r="Q58" s="11"/>
    </row>
    <row r="59" spans="1:17" s="114" customFormat="1">
      <c r="A59" s="180"/>
      <c r="B59" s="293" t="s">
        <v>1078</v>
      </c>
      <c r="C59" s="96">
        <v>54</v>
      </c>
      <c r="D59" s="123" t="s">
        <v>446</v>
      </c>
      <c r="E59" s="123"/>
      <c r="F59" s="19">
        <v>330000</v>
      </c>
      <c r="G59" s="19">
        <v>43989</v>
      </c>
      <c r="H59" s="19">
        <f>SUM(F59:G59)</f>
        <v>373989</v>
      </c>
      <c r="I59" s="327">
        <v>7479.78</v>
      </c>
      <c r="J59" s="159">
        <v>50</v>
      </c>
      <c r="K59" s="159">
        <v>21</v>
      </c>
      <c r="L59" s="16">
        <f t="shared" si="4"/>
        <v>157075.38</v>
      </c>
      <c r="M59" s="94">
        <f t="shared" si="5"/>
        <v>216913.62</v>
      </c>
      <c r="N59" s="159">
        <f t="shared" si="6"/>
        <v>29</v>
      </c>
      <c r="O59" s="159"/>
      <c r="P59" s="159"/>
      <c r="Q59" s="11"/>
    </row>
    <row r="60" spans="1:17" s="114" customFormat="1">
      <c r="A60" s="180"/>
      <c r="B60" s="293" t="s">
        <v>1120</v>
      </c>
      <c r="C60" s="96">
        <v>55</v>
      </c>
      <c r="D60" s="11" t="s">
        <v>1121</v>
      </c>
      <c r="E60" s="11"/>
      <c r="F60" s="12">
        <v>150000</v>
      </c>
      <c r="G60" s="12">
        <v>19995</v>
      </c>
      <c r="H60" s="15">
        <f>SUM(F60:G60)</f>
        <v>169995</v>
      </c>
      <c r="I60" s="327">
        <v>3399.9</v>
      </c>
      <c r="J60" s="14">
        <v>50</v>
      </c>
      <c r="K60" s="96">
        <v>14</v>
      </c>
      <c r="L60" s="91">
        <f t="shared" si="4"/>
        <v>47598.6</v>
      </c>
      <c r="M60" s="94">
        <f t="shared" si="5"/>
        <v>122396.4</v>
      </c>
      <c r="N60" s="159">
        <f t="shared" si="6"/>
        <v>36</v>
      </c>
      <c r="O60" s="159"/>
      <c r="P60" s="97"/>
      <c r="Q60" s="11"/>
    </row>
    <row r="61" spans="1:17" s="114" customFormat="1">
      <c r="A61" s="180"/>
      <c r="B61" s="11" t="s">
        <v>1375</v>
      </c>
      <c r="C61" s="96">
        <v>56</v>
      </c>
      <c r="D61" s="11" t="s">
        <v>1376</v>
      </c>
      <c r="E61" s="11"/>
      <c r="F61" s="19">
        <v>330000</v>
      </c>
      <c r="G61" s="19">
        <v>43989</v>
      </c>
      <c r="H61" s="19">
        <f>SUM(F61:G61)</f>
        <v>373989</v>
      </c>
      <c r="I61" s="254">
        <v>7479.78</v>
      </c>
      <c r="J61" s="159">
        <v>50</v>
      </c>
      <c r="K61" s="159">
        <v>4</v>
      </c>
      <c r="L61" s="16">
        <f t="shared" si="4"/>
        <v>29919.119999999999</v>
      </c>
      <c r="M61" s="94">
        <f t="shared" si="5"/>
        <v>344069.88</v>
      </c>
      <c r="N61" s="159">
        <f t="shared" si="6"/>
        <v>46</v>
      </c>
      <c r="O61" s="11"/>
      <c r="P61" s="11"/>
      <c r="Q61" s="8"/>
    </row>
    <row r="62" spans="1:17" s="114" customFormat="1">
      <c r="A62" s="180"/>
      <c r="B62" s="293" t="s">
        <v>1392</v>
      </c>
      <c r="C62" s="96">
        <v>57</v>
      </c>
      <c r="D62" s="123" t="s">
        <v>1393</v>
      </c>
      <c r="E62" s="123"/>
      <c r="F62" s="19">
        <v>150000</v>
      </c>
      <c r="G62" s="19">
        <v>19995</v>
      </c>
      <c r="H62" s="19">
        <f>SUM(F62:G62)</f>
        <v>169995</v>
      </c>
      <c r="I62" s="327">
        <v>4149.8999999999996</v>
      </c>
      <c r="J62" s="159">
        <v>40</v>
      </c>
      <c r="K62" s="159">
        <v>13</v>
      </c>
      <c r="L62" s="16">
        <f t="shared" si="4"/>
        <v>53948.7</v>
      </c>
      <c r="M62" s="94">
        <f t="shared" si="5"/>
        <v>116046.3</v>
      </c>
      <c r="N62" s="159">
        <f t="shared" si="6"/>
        <v>27</v>
      </c>
      <c r="O62" s="159"/>
      <c r="P62" s="159"/>
      <c r="Q62" s="11"/>
    </row>
    <row r="63" spans="1:17" s="114" customFormat="1">
      <c r="A63" s="180"/>
      <c r="B63" s="292" t="s">
        <v>982</v>
      </c>
      <c r="C63" s="96">
        <v>58</v>
      </c>
      <c r="D63" s="11" t="s">
        <v>350</v>
      </c>
      <c r="E63" s="11"/>
      <c r="F63" s="16">
        <v>500000</v>
      </c>
      <c r="G63" s="16">
        <v>66650</v>
      </c>
      <c r="H63" s="41">
        <f>SUM(F63:G63)</f>
        <v>566650</v>
      </c>
      <c r="I63" s="318">
        <v>11333</v>
      </c>
      <c r="J63" s="159">
        <v>50</v>
      </c>
      <c r="K63" s="97">
        <v>30</v>
      </c>
      <c r="L63" s="91">
        <f>(1*11333)</f>
        <v>11333</v>
      </c>
      <c r="M63" s="91">
        <f t="shared" si="5"/>
        <v>555317</v>
      </c>
      <c r="N63" s="159">
        <f t="shared" si="6"/>
        <v>20</v>
      </c>
      <c r="O63" s="159"/>
      <c r="P63" s="97"/>
      <c r="Q63" s="11"/>
    </row>
    <row r="64" spans="1:17" s="114" customFormat="1">
      <c r="A64" s="180"/>
      <c r="B64" s="292" t="s">
        <v>965</v>
      </c>
      <c r="C64" s="96">
        <v>59</v>
      </c>
      <c r="D64" s="11" t="s">
        <v>334</v>
      </c>
      <c r="E64" s="11"/>
      <c r="F64" s="19">
        <v>500000</v>
      </c>
      <c r="G64" s="19">
        <v>66650</v>
      </c>
      <c r="H64" s="19">
        <v>566650</v>
      </c>
      <c r="I64" s="318">
        <v>11333</v>
      </c>
      <c r="J64" s="159">
        <v>50</v>
      </c>
      <c r="K64" s="97">
        <v>38</v>
      </c>
      <c r="L64" s="91">
        <f t="shared" ref="L64:L95" si="7">K64*I64</f>
        <v>430654</v>
      </c>
      <c r="M64" s="91">
        <f t="shared" si="5"/>
        <v>135996</v>
      </c>
      <c r="N64" s="159">
        <f t="shared" si="6"/>
        <v>12</v>
      </c>
      <c r="O64" s="159"/>
      <c r="P64" s="97"/>
      <c r="Q64" s="11"/>
    </row>
    <row r="65" spans="1:17" s="114" customFormat="1">
      <c r="A65" s="180"/>
      <c r="B65" s="8" t="s">
        <v>1355</v>
      </c>
      <c r="C65" s="96">
        <v>60</v>
      </c>
      <c r="D65" s="8" t="s">
        <v>1287</v>
      </c>
      <c r="E65" s="8"/>
      <c r="F65" s="19">
        <v>450000</v>
      </c>
      <c r="G65" s="19">
        <v>59985</v>
      </c>
      <c r="H65" s="19">
        <v>509985</v>
      </c>
      <c r="I65" s="34">
        <v>10199.700000000001</v>
      </c>
      <c r="J65" s="159">
        <v>50</v>
      </c>
      <c r="K65" s="323">
        <v>6</v>
      </c>
      <c r="L65" s="16">
        <f t="shared" si="7"/>
        <v>61198.200000000004</v>
      </c>
      <c r="M65" s="94">
        <f t="shared" si="5"/>
        <v>448786.8</v>
      </c>
      <c r="N65" s="159">
        <f t="shared" si="6"/>
        <v>44</v>
      </c>
      <c r="O65" s="34"/>
      <c r="P65" s="34"/>
      <c r="Q65" s="11"/>
    </row>
    <row r="66" spans="1:17" s="114" customFormat="1">
      <c r="A66" s="180"/>
      <c r="B66" s="11" t="s">
        <v>1102</v>
      </c>
      <c r="C66" s="96">
        <v>61</v>
      </c>
      <c r="D66" s="11" t="s">
        <v>485</v>
      </c>
      <c r="E66" s="11"/>
      <c r="F66" s="16">
        <v>500000</v>
      </c>
      <c r="G66" s="16">
        <v>66650</v>
      </c>
      <c r="H66" s="41">
        <f>SUM(F66:G66)</f>
        <v>566650</v>
      </c>
      <c r="I66" s="254">
        <v>11333</v>
      </c>
      <c r="J66" s="159">
        <v>50</v>
      </c>
      <c r="K66" s="159">
        <v>3</v>
      </c>
      <c r="L66" s="16">
        <f t="shared" si="7"/>
        <v>33999</v>
      </c>
      <c r="M66" s="94">
        <f t="shared" si="5"/>
        <v>532651</v>
      </c>
      <c r="N66" s="159">
        <f t="shared" si="6"/>
        <v>47</v>
      </c>
      <c r="O66" s="11"/>
      <c r="P66" s="11"/>
      <c r="Q66" s="11"/>
    </row>
    <row r="67" spans="1:17" s="114" customFormat="1">
      <c r="A67" s="180"/>
      <c r="B67" s="8" t="s">
        <v>1351</v>
      </c>
      <c r="C67" s="96">
        <v>62</v>
      </c>
      <c r="D67" s="8" t="s">
        <v>1285</v>
      </c>
      <c r="E67" s="8"/>
      <c r="F67" s="16">
        <v>500000</v>
      </c>
      <c r="G67" s="16">
        <v>66650</v>
      </c>
      <c r="H67" s="41">
        <f>SUM(F67:G67)</f>
        <v>566650</v>
      </c>
      <c r="I67" s="34">
        <v>11333</v>
      </c>
      <c r="J67" s="159">
        <v>50</v>
      </c>
      <c r="K67" s="323">
        <v>6</v>
      </c>
      <c r="L67" s="16">
        <f t="shared" si="7"/>
        <v>67998</v>
      </c>
      <c r="M67" s="94">
        <f t="shared" si="5"/>
        <v>498652</v>
      </c>
      <c r="N67" s="159">
        <f t="shared" si="6"/>
        <v>44</v>
      </c>
      <c r="O67" s="34"/>
      <c r="P67" s="34"/>
      <c r="Q67" s="11"/>
    </row>
    <row r="68" spans="1:17" s="114" customFormat="1">
      <c r="A68" s="180"/>
      <c r="B68" s="292" t="s">
        <v>960</v>
      </c>
      <c r="C68" s="96">
        <v>63</v>
      </c>
      <c r="D68" s="11" t="s">
        <v>488</v>
      </c>
      <c r="E68" s="11"/>
      <c r="F68" s="16">
        <v>500000</v>
      </c>
      <c r="G68" s="16">
        <v>66650</v>
      </c>
      <c r="H68" s="16">
        <v>566650</v>
      </c>
      <c r="I68" s="146">
        <v>11333</v>
      </c>
      <c r="J68" s="159">
        <v>50</v>
      </c>
      <c r="K68" s="159">
        <v>26</v>
      </c>
      <c r="L68" s="91">
        <f t="shared" si="7"/>
        <v>294658</v>
      </c>
      <c r="M68" s="94">
        <f t="shared" si="5"/>
        <v>271992</v>
      </c>
      <c r="N68" s="159">
        <f t="shared" si="6"/>
        <v>24</v>
      </c>
      <c r="O68" s="159"/>
      <c r="P68" s="97"/>
      <c r="Q68" s="11"/>
    </row>
    <row r="69" spans="1:17" s="114" customFormat="1">
      <c r="A69" s="180"/>
      <c r="B69" s="292" t="s">
        <v>1024</v>
      </c>
      <c r="C69" s="96">
        <v>64</v>
      </c>
      <c r="D69" s="11" t="s">
        <v>810</v>
      </c>
      <c r="E69" s="11"/>
      <c r="F69" s="16">
        <v>450000</v>
      </c>
      <c r="G69" s="16">
        <v>59985</v>
      </c>
      <c r="H69" s="41">
        <f>SUM(F69:G69)</f>
        <v>509985</v>
      </c>
      <c r="I69" s="318">
        <v>10199.700000000001</v>
      </c>
      <c r="J69" s="159">
        <v>50</v>
      </c>
      <c r="K69" s="97">
        <v>51</v>
      </c>
      <c r="L69" s="91">
        <f t="shared" si="7"/>
        <v>520184.7</v>
      </c>
      <c r="M69" s="94">
        <f t="shared" si="5"/>
        <v>-10199.700000000012</v>
      </c>
      <c r="N69" s="159">
        <f t="shared" si="6"/>
        <v>-1</v>
      </c>
      <c r="O69" s="159"/>
      <c r="P69" s="97"/>
      <c r="Q69" s="8"/>
    </row>
    <row r="70" spans="1:17" s="114" customFormat="1">
      <c r="A70" s="180"/>
      <c r="B70" s="293" t="s">
        <v>1011</v>
      </c>
      <c r="C70" s="96">
        <v>65</v>
      </c>
      <c r="D70" s="123" t="s">
        <v>863</v>
      </c>
      <c r="E70" s="123"/>
      <c r="F70" s="16">
        <v>500000</v>
      </c>
      <c r="G70" s="16">
        <v>66650</v>
      </c>
      <c r="H70" s="41">
        <f>SUM(F70:G70)</f>
        <v>566650</v>
      </c>
      <c r="I70" s="327">
        <v>11333</v>
      </c>
      <c r="J70" s="159">
        <v>50</v>
      </c>
      <c r="K70" s="159">
        <v>21</v>
      </c>
      <c r="L70" s="16">
        <f t="shared" si="7"/>
        <v>237993</v>
      </c>
      <c r="M70" s="94">
        <f t="shared" ref="M70:M101" si="8">H70-L70</f>
        <v>328657</v>
      </c>
      <c r="N70" s="159">
        <f t="shared" ref="N70:N101" si="9">J70-K70</f>
        <v>29</v>
      </c>
      <c r="O70" s="159"/>
      <c r="P70" s="159"/>
      <c r="Q70" s="11"/>
    </row>
    <row r="71" spans="1:17" s="114" customFormat="1">
      <c r="A71" s="180"/>
      <c r="B71" s="292" t="s">
        <v>1045</v>
      </c>
      <c r="C71" s="96">
        <v>66</v>
      </c>
      <c r="D71" s="11" t="s">
        <v>867</v>
      </c>
      <c r="E71" s="11"/>
      <c r="F71" s="16">
        <v>500000</v>
      </c>
      <c r="G71" s="16">
        <v>66650</v>
      </c>
      <c r="H71" s="41">
        <f>SUM(F71:G71)</f>
        <v>566650</v>
      </c>
      <c r="I71" s="318">
        <v>11333</v>
      </c>
      <c r="J71" s="159">
        <v>50</v>
      </c>
      <c r="K71" s="97">
        <v>60</v>
      </c>
      <c r="L71" s="91">
        <f t="shared" si="7"/>
        <v>679980</v>
      </c>
      <c r="M71" s="94">
        <f t="shared" si="8"/>
        <v>-113330</v>
      </c>
      <c r="N71" s="159">
        <f t="shared" si="9"/>
        <v>-10</v>
      </c>
      <c r="O71" s="159"/>
      <c r="P71" s="97"/>
      <c r="Q71" s="11"/>
    </row>
    <row r="72" spans="1:17" s="114" customFormat="1">
      <c r="A72" s="180"/>
      <c r="B72" s="11" t="s">
        <v>1323</v>
      </c>
      <c r="C72" s="96">
        <v>67</v>
      </c>
      <c r="D72" s="11" t="s">
        <v>448</v>
      </c>
      <c r="E72" s="11"/>
      <c r="F72" s="16">
        <v>500000</v>
      </c>
      <c r="G72" s="16">
        <v>66650</v>
      </c>
      <c r="H72" s="41">
        <f>SUM(F72:G72)</f>
        <v>566650</v>
      </c>
      <c r="I72" s="16">
        <v>11333</v>
      </c>
      <c r="J72" s="159">
        <v>50</v>
      </c>
      <c r="K72" s="159">
        <v>11</v>
      </c>
      <c r="L72" s="16">
        <f t="shared" si="7"/>
        <v>124663</v>
      </c>
      <c r="M72" s="94">
        <f t="shared" si="8"/>
        <v>441987</v>
      </c>
      <c r="N72" s="159">
        <f t="shared" si="9"/>
        <v>39</v>
      </c>
      <c r="O72" s="159"/>
      <c r="P72" s="159"/>
      <c r="Q72" s="11"/>
    </row>
    <row r="73" spans="1:17" s="114" customFormat="1">
      <c r="A73" s="180"/>
      <c r="B73" s="292" t="s">
        <v>1037</v>
      </c>
      <c r="C73" s="96">
        <v>68</v>
      </c>
      <c r="D73" s="11" t="s">
        <v>326</v>
      </c>
      <c r="E73" s="11"/>
      <c r="F73" s="19">
        <v>500000</v>
      </c>
      <c r="G73" s="19">
        <v>66650</v>
      </c>
      <c r="H73" s="19">
        <v>566650</v>
      </c>
      <c r="I73" s="318">
        <v>11333</v>
      </c>
      <c r="J73" s="159">
        <v>50</v>
      </c>
      <c r="K73" s="97">
        <v>37</v>
      </c>
      <c r="L73" s="91">
        <f t="shared" si="7"/>
        <v>419321</v>
      </c>
      <c r="M73" s="91">
        <f t="shared" si="8"/>
        <v>147329</v>
      </c>
      <c r="N73" s="159">
        <f t="shared" si="9"/>
        <v>13</v>
      </c>
      <c r="O73" s="159"/>
      <c r="P73" s="97"/>
      <c r="Q73" s="11"/>
    </row>
    <row r="74" spans="1:17" s="114" customFormat="1">
      <c r="A74" s="180"/>
      <c r="B74" s="295" t="s">
        <v>1002</v>
      </c>
      <c r="C74" s="96">
        <v>69</v>
      </c>
      <c r="D74" s="11" t="s">
        <v>1003</v>
      </c>
      <c r="E74" s="8"/>
      <c r="F74" s="19">
        <v>150000</v>
      </c>
      <c r="G74" s="19">
        <v>19995</v>
      </c>
      <c r="H74" s="19">
        <f t="shared" ref="H74:H79" si="10">SUM(F74:G74)</f>
        <v>169995</v>
      </c>
      <c r="I74" s="319">
        <v>3399.9</v>
      </c>
      <c r="J74" s="159">
        <v>50</v>
      </c>
      <c r="K74" s="159">
        <v>18</v>
      </c>
      <c r="L74" s="16">
        <f t="shared" si="7"/>
        <v>61198.200000000004</v>
      </c>
      <c r="M74" s="94">
        <f t="shared" si="8"/>
        <v>108796.79999999999</v>
      </c>
      <c r="N74" s="159">
        <f t="shared" si="9"/>
        <v>32</v>
      </c>
      <c r="O74" s="159"/>
      <c r="P74" s="159"/>
      <c r="Q74" s="11"/>
    </row>
    <row r="75" spans="1:17" s="114" customFormat="1">
      <c r="A75" s="180"/>
      <c r="B75" s="293" t="s">
        <v>1381</v>
      </c>
      <c r="C75" s="96">
        <v>70</v>
      </c>
      <c r="D75" s="123" t="s">
        <v>1129</v>
      </c>
      <c r="E75" s="123"/>
      <c r="F75" s="19">
        <v>330000</v>
      </c>
      <c r="G75" s="19">
        <v>43989</v>
      </c>
      <c r="H75" s="19">
        <f t="shared" si="10"/>
        <v>373989</v>
      </c>
      <c r="I75" s="327">
        <v>7479.78</v>
      </c>
      <c r="J75" s="159">
        <v>50</v>
      </c>
      <c r="K75" s="159">
        <v>13</v>
      </c>
      <c r="L75" s="16">
        <f t="shared" si="7"/>
        <v>97237.14</v>
      </c>
      <c r="M75" s="94">
        <f t="shared" si="8"/>
        <v>276751.86</v>
      </c>
      <c r="N75" s="159">
        <f t="shared" si="9"/>
        <v>37</v>
      </c>
      <c r="O75" s="159"/>
      <c r="P75" s="159"/>
      <c r="Q75" s="11"/>
    </row>
    <row r="76" spans="1:17" s="114" customFormat="1">
      <c r="A76" s="180"/>
      <c r="B76" s="294" t="s">
        <v>1061</v>
      </c>
      <c r="C76" s="96">
        <v>71</v>
      </c>
      <c r="D76" s="11" t="s">
        <v>854</v>
      </c>
      <c r="E76" s="11"/>
      <c r="F76" s="19">
        <v>330000</v>
      </c>
      <c r="G76" s="19">
        <v>43989</v>
      </c>
      <c r="H76" s="19">
        <f t="shared" si="10"/>
        <v>373989</v>
      </c>
      <c r="I76" s="327">
        <v>7479.78</v>
      </c>
      <c r="J76" s="159">
        <v>50</v>
      </c>
      <c r="K76" s="159">
        <v>19</v>
      </c>
      <c r="L76" s="91">
        <f t="shared" si="7"/>
        <v>142115.82</v>
      </c>
      <c r="M76" s="94">
        <f t="shared" si="8"/>
        <v>231873.18</v>
      </c>
      <c r="N76" s="159">
        <f t="shared" si="9"/>
        <v>31</v>
      </c>
      <c r="O76" s="159"/>
      <c r="P76" s="97"/>
      <c r="Q76" s="11"/>
    </row>
    <row r="77" spans="1:17" s="114" customFormat="1">
      <c r="A77" s="180"/>
      <c r="B77" s="293" t="s">
        <v>1341</v>
      </c>
      <c r="C77" s="96">
        <v>72</v>
      </c>
      <c r="D77" s="123" t="s">
        <v>1139</v>
      </c>
      <c r="E77" s="123"/>
      <c r="F77" s="16">
        <v>500000</v>
      </c>
      <c r="G77" s="16">
        <v>66650</v>
      </c>
      <c r="H77" s="41">
        <f t="shared" si="10"/>
        <v>566650</v>
      </c>
      <c r="I77" s="327">
        <v>11333</v>
      </c>
      <c r="J77" s="159">
        <v>50</v>
      </c>
      <c r="K77" s="159">
        <v>13</v>
      </c>
      <c r="L77" s="16">
        <f t="shared" si="7"/>
        <v>147329</v>
      </c>
      <c r="M77" s="94">
        <f t="shared" si="8"/>
        <v>419321</v>
      </c>
      <c r="N77" s="159">
        <f t="shared" si="9"/>
        <v>37</v>
      </c>
      <c r="O77" s="159"/>
      <c r="P77" s="159"/>
      <c r="Q77" s="8"/>
    </row>
    <row r="78" spans="1:17" s="114" customFormat="1">
      <c r="A78" s="180"/>
      <c r="B78" s="293" t="s">
        <v>1118</v>
      </c>
      <c r="C78" s="96">
        <v>73</v>
      </c>
      <c r="D78" s="11" t="s">
        <v>1119</v>
      </c>
      <c r="E78" s="11"/>
      <c r="F78" s="16">
        <v>500000</v>
      </c>
      <c r="G78" s="16">
        <v>66650</v>
      </c>
      <c r="H78" s="41">
        <f t="shared" si="10"/>
        <v>566650</v>
      </c>
      <c r="I78" s="327">
        <v>11333</v>
      </c>
      <c r="J78" s="159">
        <v>50</v>
      </c>
      <c r="K78" s="96">
        <v>14</v>
      </c>
      <c r="L78" s="91">
        <f t="shared" si="7"/>
        <v>158662</v>
      </c>
      <c r="M78" s="94">
        <f t="shared" si="8"/>
        <v>407988</v>
      </c>
      <c r="N78" s="159">
        <f t="shared" si="9"/>
        <v>36</v>
      </c>
      <c r="O78" s="159"/>
      <c r="P78" s="97"/>
      <c r="Q78" s="8"/>
    </row>
    <row r="79" spans="1:17" s="114" customFormat="1">
      <c r="A79" s="180"/>
      <c r="B79" s="293" t="s">
        <v>1123</v>
      </c>
      <c r="C79" s="96">
        <v>74</v>
      </c>
      <c r="D79" s="11" t="s">
        <v>439</v>
      </c>
      <c r="E79" s="11"/>
      <c r="F79" s="19">
        <v>330000</v>
      </c>
      <c r="G79" s="19">
        <v>43989</v>
      </c>
      <c r="H79" s="19">
        <f t="shared" si="10"/>
        <v>373989</v>
      </c>
      <c r="I79" s="327">
        <v>7479.78</v>
      </c>
      <c r="J79" s="159">
        <v>50</v>
      </c>
      <c r="K79" s="96">
        <v>14</v>
      </c>
      <c r="L79" s="91">
        <f t="shared" si="7"/>
        <v>104716.92</v>
      </c>
      <c r="M79" s="94">
        <f t="shared" si="8"/>
        <v>269272.08</v>
      </c>
      <c r="N79" s="159">
        <f t="shared" si="9"/>
        <v>36</v>
      </c>
      <c r="O79" s="159"/>
      <c r="P79" s="97"/>
      <c r="Q79" s="8"/>
    </row>
    <row r="80" spans="1:17" s="114" customFormat="1">
      <c r="A80" s="180"/>
      <c r="B80" s="295" t="s">
        <v>1365</v>
      </c>
      <c r="C80" s="96">
        <v>75</v>
      </c>
      <c r="D80" s="8" t="s">
        <v>449</v>
      </c>
      <c r="E80" s="8"/>
      <c r="F80" s="19">
        <v>450000</v>
      </c>
      <c r="G80" s="19">
        <v>59985</v>
      </c>
      <c r="H80" s="19">
        <v>509985</v>
      </c>
      <c r="I80" s="13">
        <v>10199.700000000001</v>
      </c>
      <c r="J80" s="159">
        <v>50</v>
      </c>
      <c r="K80" s="101">
        <v>6</v>
      </c>
      <c r="L80" s="16">
        <f t="shared" si="7"/>
        <v>61198.200000000004</v>
      </c>
      <c r="M80" s="94">
        <f t="shared" si="8"/>
        <v>448786.8</v>
      </c>
      <c r="N80" s="159">
        <f t="shared" si="9"/>
        <v>44</v>
      </c>
      <c r="O80" s="101"/>
      <c r="P80" s="101"/>
      <c r="Q80" s="11"/>
    </row>
    <row r="81" spans="1:17" s="114" customFormat="1">
      <c r="A81" s="180"/>
      <c r="B81" s="11" t="s">
        <v>987</v>
      </c>
      <c r="C81" s="96">
        <v>76</v>
      </c>
      <c r="D81" s="11" t="s">
        <v>866</v>
      </c>
      <c r="E81" s="11"/>
      <c r="F81" s="16">
        <v>500000</v>
      </c>
      <c r="G81" s="16">
        <v>66650</v>
      </c>
      <c r="H81" s="41">
        <f>SUM(F81:G81)</f>
        <v>566650</v>
      </c>
      <c r="I81" s="254">
        <v>11333</v>
      </c>
      <c r="J81" s="159">
        <v>50</v>
      </c>
      <c r="K81" s="159">
        <v>6</v>
      </c>
      <c r="L81" s="16">
        <f t="shared" si="7"/>
        <v>67998</v>
      </c>
      <c r="M81" s="94">
        <f t="shared" si="8"/>
        <v>498652</v>
      </c>
      <c r="N81" s="159">
        <f t="shared" si="9"/>
        <v>44</v>
      </c>
      <c r="O81" s="11"/>
      <c r="P81" s="11"/>
      <c r="Q81" s="11"/>
    </row>
    <row r="82" spans="1:17" s="114" customFormat="1">
      <c r="A82" s="180"/>
      <c r="B82" s="295" t="s">
        <v>1321</v>
      </c>
      <c r="C82" s="96">
        <v>77</v>
      </c>
      <c r="D82" s="126" t="s">
        <v>403</v>
      </c>
      <c r="E82" s="8"/>
      <c r="F82" s="16">
        <v>500000</v>
      </c>
      <c r="G82" s="16">
        <v>66650</v>
      </c>
      <c r="H82" s="41">
        <f>SUM(F82:G82)</f>
        <v>566650</v>
      </c>
      <c r="I82" s="13">
        <v>11333</v>
      </c>
      <c r="J82" s="159">
        <v>50</v>
      </c>
      <c r="K82" s="101">
        <v>4</v>
      </c>
      <c r="L82" s="16">
        <f t="shared" si="7"/>
        <v>45332</v>
      </c>
      <c r="M82" s="94">
        <f t="shared" si="8"/>
        <v>521318</v>
      </c>
      <c r="N82" s="159">
        <f t="shared" si="9"/>
        <v>46</v>
      </c>
      <c r="O82" s="101"/>
      <c r="P82" s="101"/>
      <c r="Q82" s="11"/>
    </row>
    <row r="83" spans="1:17" s="114" customFormat="1">
      <c r="A83" s="180"/>
      <c r="B83" s="292" t="s">
        <v>1093</v>
      </c>
      <c r="C83" s="96">
        <v>78</v>
      </c>
      <c r="D83" s="11" t="s">
        <v>364</v>
      </c>
      <c r="E83" s="11"/>
      <c r="F83" s="16">
        <v>450000</v>
      </c>
      <c r="G83" s="16">
        <v>59985</v>
      </c>
      <c r="H83" s="16">
        <v>509985</v>
      </c>
      <c r="I83" s="318">
        <v>10199.700000000001</v>
      </c>
      <c r="J83" s="159">
        <v>50</v>
      </c>
      <c r="K83" s="97">
        <v>37</v>
      </c>
      <c r="L83" s="91">
        <f t="shared" si="7"/>
        <v>377388.9</v>
      </c>
      <c r="M83" s="91">
        <f t="shared" si="8"/>
        <v>132596.09999999998</v>
      </c>
      <c r="N83" s="159">
        <f t="shared" si="9"/>
        <v>13</v>
      </c>
      <c r="O83" s="159"/>
      <c r="P83" s="97"/>
      <c r="Q83" s="11"/>
    </row>
    <row r="84" spans="1:17" s="114" customFormat="1">
      <c r="A84" s="180"/>
      <c r="B84" s="294" t="s">
        <v>1105</v>
      </c>
      <c r="C84" s="96">
        <v>79</v>
      </c>
      <c r="D84" s="11" t="s">
        <v>861</v>
      </c>
      <c r="E84" s="11"/>
      <c r="F84" s="16">
        <v>500000</v>
      </c>
      <c r="G84" s="16">
        <v>66650</v>
      </c>
      <c r="H84" s="41">
        <f>SUM(F84:G84)</f>
        <v>566650</v>
      </c>
      <c r="I84" s="327">
        <v>11333</v>
      </c>
      <c r="J84" s="159">
        <v>50</v>
      </c>
      <c r="K84" s="159">
        <v>19</v>
      </c>
      <c r="L84" s="91">
        <f t="shared" si="7"/>
        <v>215327</v>
      </c>
      <c r="M84" s="94">
        <f t="shared" si="8"/>
        <v>351323</v>
      </c>
      <c r="N84" s="159">
        <f t="shared" si="9"/>
        <v>31</v>
      </c>
      <c r="O84" s="159"/>
      <c r="P84" s="97"/>
      <c r="Q84" s="8"/>
    </row>
    <row r="85" spans="1:17" s="114" customFormat="1">
      <c r="A85" s="180"/>
      <c r="B85" s="11" t="s">
        <v>1326</v>
      </c>
      <c r="C85" s="96">
        <v>80</v>
      </c>
      <c r="D85" s="11" t="s">
        <v>1327</v>
      </c>
      <c r="E85" s="11"/>
      <c r="F85" s="16">
        <v>500000</v>
      </c>
      <c r="G85" s="16">
        <v>66650</v>
      </c>
      <c r="H85" s="41">
        <f>SUM(F85:G85)</f>
        <v>566650</v>
      </c>
      <c r="I85" s="16">
        <v>11333</v>
      </c>
      <c r="J85" s="159">
        <v>50</v>
      </c>
      <c r="K85" s="159">
        <v>11</v>
      </c>
      <c r="L85" s="16">
        <f t="shared" si="7"/>
        <v>124663</v>
      </c>
      <c r="M85" s="94">
        <f t="shared" si="8"/>
        <v>441987</v>
      </c>
      <c r="N85" s="159">
        <f t="shared" si="9"/>
        <v>39</v>
      </c>
      <c r="O85" s="159"/>
      <c r="P85" s="159"/>
      <c r="Q85" s="11"/>
    </row>
    <row r="86" spans="1:17" s="114" customFormat="1">
      <c r="A86" s="180"/>
      <c r="B86" s="11" t="s">
        <v>1361</v>
      </c>
      <c r="C86" s="96">
        <v>81</v>
      </c>
      <c r="D86" s="11" t="s">
        <v>1362</v>
      </c>
      <c r="E86" s="11"/>
      <c r="F86" s="19">
        <v>450000</v>
      </c>
      <c r="G86" s="19">
        <v>59985</v>
      </c>
      <c r="H86" s="19">
        <v>509985</v>
      </c>
      <c r="I86" s="254">
        <v>10199.700000000001</v>
      </c>
      <c r="J86" s="159">
        <v>50</v>
      </c>
      <c r="K86" s="159">
        <v>4</v>
      </c>
      <c r="L86" s="16">
        <f t="shared" si="7"/>
        <v>40798.800000000003</v>
      </c>
      <c r="M86" s="94">
        <f t="shared" si="8"/>
        <v>469186.2</v>
      </c>
      <c r="N86" s="159">
        <f t="shared" si="9"/>
        <v>46</v>
      </c>
      <c r="O86" s="11"/>
      <c r="P86" s="11"/>
      <c r="Q86" s="11"/>
    </row>
    <row r="87" spans="1:17" s="114" customFormat="1">
      <c r="A87" s="180"/>
      <c r="B87" s="292" t="s">
        <v>999</v>
      </c>
      <c r="C87" s="96">
        <v>82</v>
      </c>
      <c r="D87" s="11" t="s">
        <v>441</v>
      </c>
      <c r="E87" s="11"/>
      <c r="F87" s="16">
        <v>500000</v>
      </c>
      <c r="G87" s="16">
        <v>66650</v>
      </c>
      <c r="H87" s="16">
        <v>566650</v>
      </c>
      <c r="I87" s="146">
        <v>11333</v>
      </c>
      <c r="J87" s="159">
        <v>50</v>
      </c>
      <c r="K87" s="96">
        <v>26</v>
      </c>
      <c r="L87" s="91">
        <f t="shared" si="7"/>
        <v>294658</v>
      </c>
      <c r="M87" s="94">
        <f t="shared" si="8"/>
        <v>271992</v>
      </c>
      <c r="N87" s="159">
        <f t="shared" si="9"/>
        <v>24</v>
      </c>
      <c r="O87" s="159"/>
      <c r="P87" s="97"/>
      <c r="Q87" s="8"/>
    </row>
    <row r="88" spans="1:17" s="114" customFormat="1">
      <c r="A88" s="180"/>
      <c r="B88" s="292" t="s">
        <v>1053</v>
      </c>
      <c r="C88" s="96">
        <v>83</v>
      </c>
      <c r="D88" s="11" t="s">
        <v>845</v>
      </c>
      <c r="E88" s="11"/>
      <c r="F88" s="19">
        <v>150000</v>
      </c>
      <c r="G88" s="19">
        <v>19995</v>
      </c>
      <c r="H88" s="19">
        <f t="shared" ref="H88:H93" si="11">SUM(F88:G88)</f>
        <v>169995</v>
      </c>
      <c r="I88" s="318">
        <v>3399.9</v>
      </c>
      <c r="J88" s="159">
        <v>50</v>
      </c>
      <c r="K88" s="97">
        <v>38</v>
      </c>
      <c r="L88" s="91">
        <f t="shared" si="7"/>
        <v>129196.2</v>
      </c>
      <c r="M88" s="91">
        <f t="shared" si="8"/>
        <v>40798.800000000003</v>
      </c>
      <c r="N88" s="159">
        <f t="shared" si="9"/>
        <v>12</v>
      </c>
      <c r="O88" s="159"/>
      <c r="P88" s="97"/>
      <c r="Q88" s="11"/>
    </row>
    <row r="89" spans="1:17" s="114" customFormat="1">
      <c r="A89" s="180"/>
      <c r="B89" s="293" t="s">
        <v>1332</v>
      </c>
      <c r="C89" s="96">
        <v>84</v>
      </c>
      <c r="D89" s="123" t="s">
        <v>1284</v>
      </c>
      <c r="E89" s="123"/>
      <c r="F89" s="16">
        <v>500000</v>
      </c>
      <c r="G89" s="16">
        <v>66650</v>
      </c>
      <c r="H89" s="41">
        <f t="shared" si="11"/>
        <v>566650</v>
      </c>
      <c r="I89" s="327">
        <v>11333</v>
      </c>
      <c r="J89" s="159">
        <v>50</v>
      </c>
      <c r="K89" s="159">
        <v>21</v>
      </c>
      <c r="L89" s="16">
        <f t="shared" si="7"/>
        <v>237993</v>
      </c>
      <c r="M89" s="94">
        <f t="shared" si="8"/>
        <v>328657</v>
      </c>
      <c r="N89" s="159">
        <f t="shared" si="9"/>
        <v>29</v>
      </c>
      <c r="O89" s="159"/>
      <c r="P89" s="159"/>
      <c r="Q89" s="11"/>
    </row>
    <row r="90" spans="1:17" s="114" customFormat="1">
      <c r="A90" s="180"/>
      <c r="B90" s="292" t="s">
        <v>1062</v>
      </c>
      <c r="C90" s="96">
        <v>85</v>
      </c>
      <c r="D90" s="11" t="s">
        <v>335</v>
      </c>
      <c r="E90" s="11"/>
      <c r="F90" s="16">
        <v>500000</v>
      </c>
      <c r="G90" s="16">
        <v>66650</v>
      </c>
      <c r="H90" s="41">
        <f t="shared" si="11"/>
        <v>566650</v>
      </c>
      <c r="I90" s="318">
        <v>11333</v>
      </c>
      <c r="J90" s="159">
        <v>50</v>
      </c>
      <c r="K90" s="97">
        <v>51</v>
      </c>
      <c r="L90" s="91">
        <f t="shared" si="7"/>
        <v>577983</v>
      </c>
      <c r="M90" s="94">
        <f t="shared" si="8"/>
        <v>-11333</v>
      </c>
      <c r="N90" s="159">
        <f t="shared" si="9"/>
        <v>-1</v>
      </c>
      <c r="O90" s="159"/>
      <c r="P90" s="97"/>
      <c r="Q90" s="8"/>
    </row>
    <row r="91" spans="1:17" s="114" customFormat="1">
      <c r="A91" s="180"/>
      <c r="B91" s="295" t="s">
        <v>1329</v>
      </c>
      <c r="C91" s="96">
        <v>86</v>
      </c>
      <c r="D91" s="11" t="s">
        <v>463</v>
      </c>
      <c r="E91" s="8"/>
      <c r="F91" s="16">
        <v>500000</v>
      </c>
      <c r="G91" s="16">
        <v>66650</v>
      </c>
      <c r="H91" s="41">
        <f t="shared" si="11"/>
        <v>566650</v>
      </c>
      <c r="I91" s="34">
        <v>11333</v>
      </c>
      <c r="J91" s="159">
        <v>50</v>
      </c>
      <c r="K91" s="323">
        <v>11</v>
      </c>
      <c r="L91" s="16">
        <f t="shared" si="7"/>
        <v>124663</v>
      </c>
      <c r="M91" s="94">
        <f t="shared" si="8"/>
        <v>441987</v>
      </c>
      <c r="N91" s="159">
        <f t="shared" si="9"/>
        <v>39</v>
      </c>
      <c r="O91" s="159"/>
      <c r="P91" s="159"/>
      <c r="Q91" s="11"/>
    </row>
    <row r="92" spans="1:17" s="114" customFormat="1">
      <c r="A92" s="180"/>
      <c r="B92" s="8" t="s">
        <v>1334</v>
      </c>
      <c r="C92" s="96">
        <v>87</v>
      </c>
      <c r="D92" s="11" t="s">
        <v>1294</v>
      </c>
      <c r="E92" s="8"/>
      <c r="F92" s="16">
        <v>500000</v>
      </c>
      <c r="G92" s="16">
        <v>66650</v>
      </c>
      <c r="H92" s="41">
        <f t="shared" si="11"/>
        <v>566650</v>
      </c>
      <c r="I92" s="34">
        <v>11333</v>
      </c>
      <c r="J92" s="159">
        <v>50</v>
      </c>
      <c r="K92" s="323">
        <v>11</v>
      </c>
      <c r="L92" s="16">
        <f t="shared" si="7"/>
        <v>124663</v>
      </c>
      <c r="M92" s="94">
        <f t="shared" si="8"/>
        <v>441987</v>
      </c>
      <c r="N92" s="159">
        <f t="shared" si="9"/>
        <v>39</v>
      </c>
      <c r="O92" s="159"/>
      <c r="P92" s="159"/>
      <c r="Q92" s="11"/>
    </row>
    <row r="93" spans="1:17" s="114" customFormat="1">
      <c r="A93" s="180"/>
      <c r="B93" s="11" t="s">
        <v>1388</v>
      </c>
      <c r="C93" s="96">
        <v>88</v>
      </c>
      <c r="D93" s="11" t="s">
        <v>1389</v>
      </c>
      <c r="E93" s="11"/>
      <c r="F93" s="19">
        <v>330000</v>
      </c>
      <c r="G93" s="19">
        <v>43989</v>
      </c>
      <c r="H93" s="19">
        <f t="shared" si="11"/>
        <v>373989</v>
      </c>
      <c r="I93" s="254">
        <v>7479.78</v>
      </c>
      <c r="J93" s="159">
        <v>50</v>
      </c>
      <c r="K93" s="159">
        <v>3</v>
      </c>
      <c r="L93" s="16">
        <f t="shared" si="7"/>
        <v>22439.34</v>
      </c>
      <c r="M93" s="94">
        <f t="shared" si="8"/>
        <v>351549.66</v>
      </c>
      <c r="N93" s="159">
        <f t="shared" si="9"/>
        <v>47</v>
      </c>
      <c r="O93" s="11"/>
      <c r="P93" s="11"/>
      <c r="Q93" s="11"/>
    </row>
    <row r="94" spans="1:17" s="114" customFormat="1">
      <c r="A94" s="180"/>
      <c r="B94" s="293" t="s">
        <v>1360</v>
      </c>
      <c r="C94" s="96">
        <v>89</v>
      </c>
      <c r="D94" s="123" t="s">
        <v>293</v>
      </c>
      <c r="E94" s="123"/>
      <c r="F94" s="19">
        <v>450000</v>
      </c>
      <c r="G94" s="19">
        <v>59985</v>
      </c>
      <c r="H94" s="19">
        <v>509985</v>
      </c>
      <c r="I94" s="327">
        <v>10199.700000000001</v>
      </c>
      <c r="J94" s="159">
        <v>50</v>
      </c>
      <c r="K94" s="159">
        <v>13</v>
      </c>
      <c r="L94" s="16">
        <f t="shared" si="7"/>
        <v>132596.1</v>
      </c>
      <c r="M94" s="94">
        <f t="shared" si="8"/>
        <v>377388.9</v>
      </c>
      <c r="N94" s="159">
        <f t="shared" si="9"/>
        <v>37</v>
      </c>
      <c r="O94" s="159"/>
      <c r="P94" s="159"/>
      <c r="Q94" s="11"/>
    </row>
    <row r="95" spans="1:17" s="114" customFormat="1">
      <c r="A95" s="180"/>
      <c r="B95" s="295" t="s">
        <v>1094</v>
      </c>
      <c r="C95" s="96">
        <v>90</v>
      </c>
      <c r="D95" s="11" t="s">
        <v>1095</v>
      </c>
      <c r="E95" s="8"/>
      <c r="F95" s="16">
        <v>500000</v>
      </c>
      <c r="G95" s="16">
        <v>66650</v>
      </c>
      <c r="H95" s="41">
        <f>SUM(F95:G95)</f>
        <v>566650</v>
      </c>
      <c r="I95" s="319">
        <v>11333</v>
      </c>
      <c r="J95" s="159">
        <v>50</v>
      </c>
      <c r="K95" s="159">
        <v>18</v>
      </c>
      <c r="L95" s="16">
        <f t="shared" si="7"/>
        <v>203994</v>
      </c>
      <c r="M95" s="94">
        <f t="shared" si="8"/>
        <v>362656</v>
      </c>
      <c r="N95" s="159">
        <f t="shared" si="9"/>
        <v>32</v>
      </c>
      <c r="O95" s="159"/>
      <c r="P95" s="159"/>
      <c r="Q95" s="11"/>
    </row>
    <row r="96" spans="1:17" s="114" customFormat="1">
      <c r="A96" s="180"/>
      <c r="B96" s="293" t="s">
        <v>1330</v>
      </c>
      <c r="C96" s="96">
        <v>91</v>
      </c>
      <c r="D96" s="123" t="s">
        <v>1331</v>
      </c>
      <c r="E96" s="123"/>
      <c r="F96" s="16">
        <v>500000</v>
      </c>
      <c r="G96" s="16">
        <v>66650</v>
      </c>
      <c r="H96" s="41">
        <f>SUM(F96:G96)</f>
        <v>566650</v>
      </c>
      <c r="I96" s="327">
        <v>11333</v>
      </c>
      <c r="J96" s="159">
        <v>50</v>
      </c>
      <c r="K96" s="159">
        <v>13</v>
      </c>
      <c r="L96" s="16">
        <f t="shared" ref="L96:L126" si="12">K96*I96</f>
        <v>147329</v>
      </c>
      <c r="M96" s="94">
        <f t="shared" si="8"/>
        <v>419321</v>
      </c>
      <c r="N96" s="159">
        <f t="shared" si="9"/>
        <v>37</v>
      </c>
      <c r="O96" s="159"/>
      <c r="P96" s="159"/>
      <c r="Q96" s="11"/>
    </row>
    <row r="97" spans="1:17" s="114" customFormat="1">
      <c r="A97" s="180"/>
      <c r="B97" s="8" t="s">
        <v>1368</v>
      </c>
      <c r="C97" s="96">
        <v>92</v>
      </c>
      <c r="D97" s="8" t="s">
        <v>443</v>
      </c>
      <c r="E97" s="8"/>
      <c r="F97" s="19">
        <v>330000</v>
      </c>
      <c r="G97" s="19">
        <v>43989</v>
      </c>
      <c r="H97" s="19">
        <f>SUM(F97:G97)</f>
        <v>373989</v>
      </c>
      <c r="I97" s="34">
        <v>7479.78</v>
      </c>
      <c r="J97" s="159">
        <v>50</v>
      </c>
      <c r="K97" s="323">
        <v>6</v>
      </c>
      <c r="L97" s="16">
        <f t="shared" si="12"/>
        <v>44878.68</v>
      </c>
      <c r="M97" s="94">
        <f t="shared" si="8"/>
        <v>329110.32</v>
      </c>
      <c r="N97" s="159">
        <f t="shared" si="9"/>
        <v>44</v>
      </c>
      <c r="O97" s="34"/>
      <c r="P97" s="34"/>
      <c r="Q97" s="11"/>
    </row>
    <row r="98" spans="1:17" s="114" customFormat="1">
      <c r="A98" s="180"/>
      <c r="B98" s="292" t="s">
        <v>1006</v>
      </c>
      <c r="C98" s="96">
        <v>93</v>
      </c>
      <c r="D98" s="11" t="s">
        <v>865</v>
      </c>
      <c r="E98" s="11"/>
      <c r="F98" s="16">
        <v>500000</v>
      </c>
      <c r="G98" s="16">
        <v>66650</v>
      </c>
      <c r="H98" s="41">
        <f>SUM(F98:G98)</f>
        <v>566650</v>
      </c>
      <c r="I98" s="318">
        <v>11333</v>
      </c>
      <c r="J98" s="159">
        <v>50</v>
      </c>
      <c r="K98" s="97">
        <v>52</v>
      </c>
      <c r="L98" s="91">
        <f t="shared" si="12"/>
        <v>589316</v>
      </c>
      <c r="M98" s="94">
        <f t="shared" si="8"/>
        <v>-22666</v>
      </c>
      <c r="N98" s="159">
        <f t="shared" si="9"/>
        <v>-2</v>
      </c>
      <c r="O98" s="159"/>
      <c r="P98" s="97"/>
      <c r="Q98" s="8"/>
    </row>
    <row r="99" spans="1:17" s="114" customFormat="1">
      <c r="A99" s="180"/>
      <c r="B99" s="292" t="s">
        <v>983</v>
      </c>
      <c r="C99" s="96">
        <v>94</v>
      </c>
      <c r="D99" s="11" t="s">
        <v>323</v>
      </c>
      <c r="E99" s="11"/>
      <c r="F99" s="16">
        <v>500000</v>
      </c>
      <c r="G99" s="16">
        <v>66650</v>
      </c>
      <c r="H99" s="41">
        <f>SUM(F99:G99)</f>
        <v>566650</v>
      </c>
      <c r="I99" s="318">
        <v>11333</v>
      </c>
      <c r="J99" s="159">
        <v>50</v>
      </c>
      <c r="K99" s="97">
        <v>51</v>
      </c>
      <c r="L99" s="91">
        <f t="shared" si="12"/>
        <v>577983</v>
      </c>
      <c r="M99" s="94">
        <f t="shared" si="8"/>
        <v>-11333</v>
      </c>
      <c r="N99" s="159">
        <f t="shared" si="9"/>
        <v>-1</v>
      </c>
      <c r="O99" s="159"/>
      <c r="P99" s="97"/>
      <c r="Q99" s="8"/>
    </row>
    <row r="100" spans="1:17" s="114" customFormat="1">
      <c r="A100" s="180"/>
      <c r="B100" s="292" t="s">
        <v>1080</v>
      </c>
      <c r="C100" s="96">
        <v>95</v>
      </c>
      <c r="D100" s="11" t="s">
        <v>315</v>
      </c>
      <c r="E100" s="11"/>
      <c r="F100" s="19">
        <v>500000</v>
      </c>
      <c r="G100" s="19">
        <v>66650</v>
      </c>
      <c r="H100" s="19">
        <v>566650</v>
      </c>
      <c r="I100" s="318">
        <v>11333</v>
      </c>
      <c r="J100" s="159">
        <v>50</v>
      </c>
      <c r="K100" s="97">
        <v>38</v>
      </c>
      <c r="L100" s="91">
        <f t="shared" si="12"/>
        <v>430654</v>
      </c>
      <c r="M100" s="91">
        <f t="shared" si="8"/>
        <v>135996</v>
      </c>
      <c r="N100" s="159">
        <f t="shared" si="9"/>
        <v>12</v>
      </c>
      <c r="O100" s="159"/>
      <c r="P100" s="97"/>
      <c r="Q100" s="11"/>
    </row>
    <row r="101" spans="1:17" s="114" customFormat="1">
      <c r="A101" s="180"/>
      <c r="B101" s="292" t="s">
        <v>1084</v>
      </c>
      <c r="C101" s="96">
        <v>96</v>
      </c>
      <c r="D101" s="11" t="s">
        <v>353</v>
      </c>
      <c r="E101" s="11"/>
      <c r="F101" s="19">
        <v>500000</v>
      </c>
      <c r="G101" s="19">
        <v>66650</v>
      </c>
      <c r="H101" s="19">
        <v>566650</v>
      </c>
      <c r="I101" s="318">
        <v>11333</v>
      </c>
      <c r="J101" s="159">
        <v>50</v>
      </c>
      <c r="K101" s="97">
        <v>38</v>
      </c>
      <c r="L101" s="91">
        <f t="shared" si="12"/>
        <v>430654</v>
      </c>
      <c r="M101" s="91">
        <f t="shared" si="8"/>
        <v>135996</v>
      </c>
      <c r="N101" s="159">
        <f t="shared" si="9"/>
        <v>12</v>
      </c>
      <c r="O101" s="159"/>
      <c r="P101" s="97"/>
      <c r="Q101" s="11"/>
    </row>
    <row r="102" spans="1:17" s="114" customFormat="1">
      <c r="A102" s="180"/>
      <c r="B102" s="292" t="s">
        <v>1108</v>
      </c>
      <c r="C102" s="96">
        <v>97</v>
      </c>
      <c r="D102" s="11" t="s">
        <v>802</v>
      </c>
      <c r="E102" s="11"/>
      <c r="F102" s="16">
        <v>500000</v>
      </c>
      <c r="G102" s="16">
        <v>66650</v>
      </c>
      <c r="H102" s="41">
        <f t="shared" ref="H102:H110" si="13">SUM(F102:G102)</f>
        <v>566650</v>
      </c>
      <c r="I102" s="318">
        <v>11333</v>
      </c>
      <c r="J102" s="159">
        <v>50</v>
      </c>
      <c r="K102" s="159">
        <v>28</v>
      </c>
      <c r="L102" s="91">
        <f t="shared" si="12"/>
        <v>317324</v>
      </c>
      <c r="M102" s="94">
        <f t="shared" ref="M102:M133" si="14">H102-L102</f>
        <v>249326</v>
      </c>
      <c r="N102" s="159">
        <f t="shared" ref="N102:N126" si="15">J102-K102</f>
        <v>22</v>
      </c>
      <c r="O102" s="159"/>
      <c r="P102" s="159"/>
      <c r="Q102" s="11"/>
    </row>
    <row r="103" spans="1:17" s="114" customFormat="1">
      <c r="A103" s="180"/>
      <c r="B103" s="11" t="s">
        <v>1333</v>
      </c>
      <c r="C103" s="96">
        <v>98</v>
      </c>
      <c r="D103" s="11" t="s">
        <v>1281</v>
      </c>
      <c r="E103" s="11"/>
      <c r="F103" s="16">
        <v>500000</v>
      </c>
      <c r="G103" s="16">
        <v>66650</v>
      </c>
      <c r="H103" s="41">
        <f t="shared" si="13"/>
        <v>566650</v>
      </c>
      <c r="I103" s="254">
        <v>11333</v>
      </c>
      <c r="J103" s="159">
        <v>50</v>
      </c>
      <c r="K103" s="159">
        <v>6</v>
      </c>
      <c r="L103" s="16">
        <f t="shared" si="12"/>
        <v>67998</v>
      </c>
      <c r="M103" s="94">
        <f t="shared" si="14"/>
        <v>498652</v>
      </c>
      <c r="N103" s="159">
        <f t="shared" si="15"/>
        <v>44</v>
      </c>
      <c r="O103" s="11"/>
      <c r="P103" s="11"/>
      <c r="Q103" s="11"/>
    </row>
    <row r="104" spans="1:17" s="114" customFormat="1">
      <c r="A104" s="180"/>
      <c r="B104" s="293" t="s">
        <v>1057</v>
      </c>
      <c r="C104" s="96">
        <v>99</v>
      </c>
      <c r="D104" s="123" t="s">
        <v>412</v>
      </c>
      <c r="E104" s="123"/>
      <c r="F104" s="16">
        <v>500000</v>
      </c>
      <c r="G104" s="16">
        <v>66650</v>
      </c>
      <c r="H104" s="41">
        <f t="shared" si="13"/>
        <v>566650</v>
      </c>
      <c r="I104" s="327">
        <v>11333</v>
      </c>
      <c r="J104" s="159">
        <v>50</v>
      </c>
      <c r="K104" s="159">
        <v>21</v>
      </c>
      <c r="L104" s="16">
        <f t="shared" si="12"/>
        <v>237993</v>
      </c>
      <c r="M104" s="94">
        <f t="shared" si="14"/>
        <v>328657</v>
      </c>
      <c r="N104" s="159">
        <f t="shared" si="15"/>
        <v>29</v>
      </c>
      <c r="O104" s="159"/>
      <c r="P104" s="159"/>
      <c r="Q104" s="11"/>
    </row>
    <row r="105" spans="1:17" s="114" customFormat="1">
      <c r="A105" s="180"/>
      <c r="B105" s="292" t="s">
        <v>1091</v>
      </c>
      <c r="C105" s="96">
        <v>100</v>
      </c>
      <c r="D105" s="11" t="s">
        <v>1092</v>
      </c>
      <c r="E105" s="11"/>
      <c r="F105" s="16">
        <v>500000</v>
      </c>
      <c r="G105" s="16">
        <v>66650</v>
      </c>
      <c r="H105" s="41">
        <f t="shared" si="13"/>
        <v>566650</v>
      </c>
      <c r="I105" s="318">
        <v>11333</v>
      </c>
      <c r="J105" s="159">
        <v>50</v>
      </c>
      <c r="K105" s="97">
        <v>51</v>
      </c>
      <c r="L105" s="91">
        <f t="shared" si="12"/>
        <v>577983</v>
      </c>
      <c r="M105" s="94">
        <f t="shared" si="14"/>
        <v>-11333</v>
      </c>
      <c r="N105" s="159">
        <f t="shared" si="15"/>
        <v>-1</v>
      </c>
      <c r="O105" s="159"/>
      <c r="P105" s="97"/>
      <c r="Q105" s="8"/>
    </row>
    <row r="106" spans="1:17" s="114" customFormat="1">
      <c r="A106" s="180"/>
      <c r="B106" s="292" t="s">
        <v>1087</v>
      </c>
      <c r="C106" s="96">
        <v>101</v>
      </c>
      <c r="D106" s="11" t="s">
        <v>1088</v>
      </c>
      <c r="E106" s="11"/>
      <c r="F106" s="16">
        <v>500000</v>
      </c>
      <c r="G106" s="16">
        <v>66650</v>
      </c>
      <c r="H106" s="41">
        <f t="shared" si="13"/>
        <v>566650</v>
      </c>
      <c r="I106" s="318">
        <v>11333</v>
      </c>
      <c r="J106" s="159">
        <v>50</v>
      </c>
      <c r="K106" s="97">
        <v>51</v>
      </c>
      <c r="L106" s="91">
        <f t="shared" si="12"/>
        <v>577983</v>
      </c>
      <c r="M106" s="94">
        <f t="shared" si="14"/>
        <v>-11333</v>
      </c>
      <c r="N106" s="159">
        <f t="shared" si="15"/>
        <v>-1</v>
      </c>
      <c r="O106" s="159"/>
      <c r="P106" s="97"/>
      <c r="Q106" s="11"/>
    </row>
    <row r="107" spans="1:17" s="114" customFormat="1">
      <c r="A107" s="180"/>
      <c r="B107" s="295" t="s">
        <v>1324</v>
      </c>
      <c r="C107" s="96">
        <v>102</v>
      </c>
      <c r="D107" s="126" t="s">
        <v>1325</v>
      </c>
      <c r="E107" s="8"/>
      <c r="F107" s="16">
        <v>500000</v>
      </c>
      <c r="G107" s="16">
        <v>66650</v>
      </c>
      <c r="H107" s="41">
        <f t="shared" si="13"/>
        <v>566650</v>
      </c>
      <c r="I107" s="13">
        <v>11333</v>
      </c>
      <c r="J107" s="159">
        <v>50</v>
      </c>
      <c r="K107" s="101">
        <v>4</v>
      </c>
      <c r="L107" s="16">
        <f t="shared" si="12"/>
        <v>45332</v>
      </c>
      <c r="M107" s="94">
        <f t="shared" si="14"/>
        <v>521318</v>
      </c>
      <c r="N107" s="159">
        <f t="shared" si="15"/>
        <v>46</v>
      </c>
      <c r="O107" s="101"/>
      <c r="P107" s="101"/>
      <c r="Q107" s="11"/>
    </row>
    <row r="108" spans="1:17" s="114" customFormat="1">
      <c r="A108" s="180"/>
      <c r="B108" s="295" t="s">
        <v>1340</v>
      </c>
      <c r="C108" s="96">
        <v>103</v>
      </c>
      <c r="D108" s="126" t="s">
        <v>410</v>
      </c>
      <c r="E108" s="8"/>
      <c r="F108" s="16">
        <v>500000</v>
      </c>
      <c r="G108" s="16">
        <v>66650</v>
      </c>
      <c r="H108" s="41">
        <f t="shared" si="13"/>
        <v>566650</v>
      </c>
      <c r="I108" s="13">
        <v>11333</v>
      </c>
      <c r="J108" s="159">
        <v>50</v>
      </c>
      <c r="K108" s="101">
        <v>4</v>
      </c>
      <c r="L108" s="16">
        <f t="shared" si="12"/>
        <v>45332</v>
      </c>
      <c r="M108" s="94">
        <f t="shared" si="14"/>
        <v>521318</v>
      </c>
      <c r="N108" s="159">
        <f t="shared" si="15"/>
        <v>46</v>
      </c>
      <c r="O108" s="101"/>
      <c r="P108" s="101"/>
      <c r="Q108" s="11"/>
    </row>
    <row r="109" spans="1:17" s="114" customFormat="1">
      <c r="A109" s="180"/>
      <c r="B109" s="295" t="s">
        <v>1021</v>
      </c>
      <c r="C109" s="96">
        <v>104</v>
      </c>
      <c r="D109" s="11" t="s">
        <v>1022</v>
      </c>
      <c r="E109" s="8"/>
      <c r="F109" s="19">
        <v>330000</v>
      </c>
      <c r="G109" s="19">
        <v>43989</v>
      </c>
      <c r="H109" s="19">
        <f t="shared" si="13"/>
        <v>373989</v>
      </c>
      <c r="I109" s="319">
        <v>7479.78</v>
      </c>
      <c r="J109" s="159">
        <v>50</v>
      </c>
      <c r="K109" s="159">
        <v>18</v>
      </c>
      <c r="L109" s="16">
        <f t="shared" si="12"/>
        <v>134636.04</v>
      </c>
      <c r="M109" s="94">
        <f t="shared" si="14"/>
        <v>239352.95999999999</v>
      </c>
      <c r="N109" s="159">
        <f t="shared" si="15"/>
        <v>32</v>
      </c>
      <c r="O109" s="159"/>
      <c r="P109" s="159"/>
      <c r="Q109" s="11"/>
    </row>
    <row r="110" spans="1:17" s="114" customFormat="1">
      <c r="A110" s="180"/>
      <c r="B110" s="295" t="s">
        <v>1385</v>
      </c>
      <c r="C110" s="96">
        <v>105</v>
      </c>
      <c r="D110" s="8" t="s">
        <v>1295</v>
      </c>
      <c r="E110" s="8"/>
      <c r="F110" s="19">
        <v>330000</v>
      </c>
      <c r="G110" s="19">
        <v>43989</v>
      </c>
      <c r="H110" s="19">
        <f t="shared" si="13"/>
        <v>373989</v>
      </c>
      <c r="I110" s="13">
        <v>7479.78</v>
      </c>
      <c r="J110" s="159">
        <v>50</v>
      </c>
      <c r="K110" s="101">
        <v>6</v>
      </c>
      <c r="L110" s="16">
        <f t="shared" si="12"/>
        <v>44878.68</v>
      </c>
      <c r="M110" s="94">
        <f t="shared" si="14"/>
        <v>329110.32</v>
      </c>
      <c r="N110" s="159">
        <f t="shared" si="15"/>
        <v>44</v>
      </c>
      <c r="O110" s="101"/>
      <c r="P110" s="101"/>
      <c r="Q110" s="8"/>
    </row>
    <row r="111" spans="1:17" s="114" customFormat="1">
      <c r="A111" s="180"/>
      <c r="B111" s="293" t="s">
        <v>1128</v>
      </c>
      <c r="C111" s="96">
        <v>106</v>
      </c>
      <c r="D111" s="11" t="s">
        <v>462</v>
      </c>
      <c r="E111" s="11"/>
      <c r="F111" s="16">
        <v>450000</v>
      </c>
      <c r="G111" s="16">
        <v>59985</v>
      </c>
      <c r="H111" s="16">
        <v>509985</v>
      </c>
      <c r="I111" s="327">
        <v>10199.700000000001</v>
      </c>
      <c r="J111" s="159">
        <v>50</v>
      </c>
      <c r="K111" s="96">
        <v>14</v>
      </c>
      <c r="L111" s="91">
        <f t="shared" si="12"/>
        <v>142795.80000000002</v>
      </c>
      <c r="M111" s="94">
        <f t="shared" si="14"/>
        <v>367189.19999999995</v>
      </c>
      <c r="N111" s="159">
        <f t="shared" si="15"/>
        <v>36</v>
      </c>
      <c r="O111" s="159"/>
      <c r="P111" s="97"/>
      <c r="Q111" s="11"/>
    </row>
    <row r="112" spans="1:17" s="114" customFormat="1">
      <c r="A112" s="180"/>
      <c r="B112" s="293" t="s">
        <v>1140</v>
      </c>
      <c r="C112" s="96">
        <v>107</v>
      </c>
      <c r="D112" s="11" t="s">
        <v>372</v>
      </c>
      <c r="E112" s="11"/>
      <c r="F112" s="19">
        <v>330000</v>
      </c>
      <c r="G112" s="19">
        <v>43989</v>
      </c>
      <c r="H112" s="19">
        <f>SUM(F112:G112)</f>
        <v>373989</v>
      </c>
      <c r="I112" s="327">
        <v>7479.78</v>
      </c>
      <c r="J112" s="159">
        <v>50</v>
      </c>
      <c r="K112" s="96">
        <v>14</v>
      </c>
      <c r="L112" s="91">
        <f t="shared" si="12"/>
        <v>104716.92</v>
      </c>
      <c r="M112" s="94">
        <f t="shared" si="14"/>
        <v>269272.08</v>
      </c>
      <c r="N112" s="159">
        <f t="shared" si="15"/>
        <v>36</v>
      </c>
      <c r="O112" s="159"/>
      <c r="P112" s="97"/>
      <c r="Q112" s="11"/>
    </row>
    <row r="113" spans="1:17" s="114" customFormat="1">
      <c r="A113" s="180"/>
      <c r="B113" s="293" t="s">
        <v>1136</v>
      </c>
      <c r="C113" s="96">
        <v>108</v>
      </c>
      <c r="D113" s="11" t="s">
        <v>1137</v>
      </c>
      <c r="E113" s="11"/>
      <c r="F113" s="19">
        <v>330000</v>
      </c>
      <c r="G113" s="19">
        <v>43989</v>
      </c>
      <c r="H113" s="19">
        <f>SUM(F113:G113)</f>
        <v>373989</v>
      </c>
      <c r="I113" s="327">
        <v>7479.78</v>
      </c>
      <c r="J113" s="159">
        <v>50</v>
      </c>
      <c r="K113" s="96">
        <v>14</v>
      </c>
      <c r="L113" s="91">
        <f t="shared" si="12"/>
        <v>104716.92</v>
      </c>
      <c r="M113" s="94">
        <f t="shared" si="14"/>
        <v>269272.08</v>
      </c>
      <c r="N113" s="159">
        <f t="shared" si="15"/>
        <v>36</v>
      </c>
      <c r="O113" s="159"/>
      <c r="P113" s="97"/>
      <c r="Q113" s="11"/>
    </row>
    <row r="114" spans="1:17" s="114" customFormat="1">
      <c r="A114" s="180"/>
      <c r="B114" s="293" t="s">
        <v>1115</v>
      </c>
      <c r="C114" s="96">
        <v>109</v>
      </c>
      <c r="D114" s="11" t="s">
        <v>1116</v>
      </c>
      <c r="E114" s="11"/>
      <c r="F114" s="19"/>
      <c r="G114" s="19"/>
      <c r="H114" s="19">
        <v>200000</v>
      </c>
      <c r="I114" s="327">
        <v>5099.8500000000004</v>
      </c>
      <c r="J114" s="159">
        <v>50</v>
      </c>
      <c r="K114" s="96">
        <v>14</v>
      </c>
      <c r="L114" s="91">
        <f t="shared" si="12"/>
        <v>71397.900000000009</v>
      </c>
      <c r="M114" s="94">
        <f t="shared" si="14"/>
        <v>128602.09999999999</v>
      </c>
      <c r="N114" s="159">
        <f t="shared" si="15"/>
        <v>36</v>
      </c>
      <c r="O114" s="159"/>
      <c r="P114" s="97"/>
      <c r="Q114" s="11"/>
    </row>
    <row r="115" spans="1:17" s="114" customFormat="1">
      <c r="A115" s="180"/>
      <c r="B115" s="293" t="s">
        <v>1134</v>
      </c>
      <c r="C115" s="96">
        <v>110</v>
      </c>
      <c r="D115" s="11" t="s">
        <v>1135</v>
      </c>
      <c r="E115" s="11"/>
      <c r="F115" s="16">
        <v>500000</v>
      </c>
      <c r="G115" s="16">
        <v>66650</v>
      </c>
      <c r="H115" s="41">
        <f>SUM(F115:G115)</f>
        <v>566650</v>
      </c>
      <c r="I115" s="327">
        <v>11333</v>
      </c>
      <c r="J115" s="159">
        <v>50</v>
      </c>
      <c r="K115" s="96">
        <v>14</v>
      </c>
      <c r="L115" s="91">
        <f t="shared" si="12"/>
        <v>158662</v>
      </c>
      <c r="M115" s="94">
        <f t="shared" si="14"/>
        <v>407988</v>
      </c>
      <c r="N115" s="159">
        <f t="shared" si="15"/>
        <v>36</v>
      </c>
      <c r="O115" s="159"/>
      <c r="P115" s="97"/>
      <c r="Q115" s="11"/>
    </row>
    <row r="116" spans="1:17" s="114" customFormat="1">
      <c r="A116" s="180"/>
      <c r="B116" s="294" t="s">
        <v>1018</v>
      </c>
      <c r="C116" s="96">
        <v>111</v>
      </c>
      <c r="D116" s="123" t="s">
        <v>1019</v>
      </c>
      <c r="E116" s="123"/>
      <c r="F116" s="19">
        <v>150000</v>
      </c>
      <c r="G116" s="19">
        <v>19995</v>
      </c>
      <c r="H116" s="19">
        <f>SUM(F116:G116)</f>
        <v>169995</v>
      </c>
      <c r="I116" s="327">
        <v>3399.9</v>
      </c>
      <c r="J116" s="159">
        <v>50</v>
      </c>
      <c r="K116" s="159">
        <v>19</v>
      </c>
      <c r="L116" s="91">
        <f t="shared" si="12"/>
        <v>64598.1</v>
      </c>
      <c r="M116" s="94">
        <f t="shared" si="14"/>
        <v>105396.9</v>
      </c>
      <c r="N116" s="159">
        <f t="shared" si="15"/>
        <v>31</v>
      </c>
      <c r="O116" s="159"/>
      <c r="P116" s="97"/>
      <c r="Q116" s="11"/>
    </row>
    <row r="117" spans="1:17" s="114" customFormat="1">
      <c r="A117" s="180"/>
      <c r="B117" s="292" t="s">
        <v>1048</v>
      </c>
      <c r="C117" s="96">
        <v>112</v>
      </c>
      <c r="D117" s="11" t="s">
        <v>1049</v>
      </c>
      <c r="E117" s="11"/>
      <c r="F117" s="16">
        <v>450000</v>
      </c>
      <c r="G117" s="16">
        <v>59985</v>
      </c>
      <c r="H117" s="16">
        <v>509985</v>
      </c>
      <c r="I117" s="318">
        <v>10199.700000000001</v>
      </c>
      <c r="J117" s="159">
        <v>50</v>
      </c>
      <c r="K117" s="97">
        <v>37</v>
      </c>
      <c r="L117" s="91">
        <f t="shared" si="12"/>
        <v>377388.9</v>
      </c>
      <c r="M117" s="91">
        <f t="shared" si="14"/>
        <v>132596.09999999998</v>
      </c>
      <c r="N117" s="159">
        <f t="shared" si="15"/>
        <v>13</v>
      </c>
      <c r="O117" s="159"/>
      <c r="P117" s="97"/>
      <c r="Q117" s="11"/>
    </row>
    <row r="118" spans="1:17" s="114" customFormat="1">
      <c r="A118" s="180"/>
      <c r="B118" s="293" t="s">
        <v>1090</v>
      </c>
      <c r="C118" s="96">
        <v>113</v>
      </c>
      <c r="D118" s="123" t="s">
        <v>295</v>
      </c>
      <c r="E118" s="123"/>
      <c r="F118" s="16">
        <v>500000</v>
      </c>
      <c r="G118" s="16">
        <v>66650</v>
      </c>
      <c r="H118" s="41">
        <f>SUM(F118:G118)</f>
        <v>566650</v>
      </c>
      <c r="I118" s="327">
        <v>11333</v>
      </c>
      <c r="J118" s="159">
        <v>50</v>
      </c>
      <c r="K118" s="159">
        <v>21</v>
      </c>
      <c r="L118" s="16">
        <f t="shared" si="12"/>
        <v>237993</v>
      </c>
      <c r="M118" s="94">
        <f t="shared" si="14"/>
        <v>328657</v>
      </c>
      <c r="N118" s="159">
        <f t="shared" si="15"/>
        <v>29</v>
      </c>
      <c r="O118" s="159"/>
      <c r="P118" s="159"/>
      <c r="Q118" s="11"/>
    </row>
    <row r="119" spans="1:17" s="114" customFormat="1">
      <c r="A119" s="180"/>
      <c r="B119" s="8" t="s">
        <v>1337</v>
      </c>
      <c r="C119" s="96">
        <v>114</v>
      </c>
      <c r="D119" s="8" t="s">
        <v>1280</v>
      </c>
      <c r="E119" s="8"/>
      <c r="F119" s="16">
        <v>500000</v>
      </c>
      <c r="G119" s="16">
        <v>66650</v>
      </c>
      <c r="H119" s="41">
        <f>SUM(F119:G119)</f>
        <v>566650</v>
      </c>
      <c r="I119" s="34">
        <v>11333</v>
      </c>
      <c r="J119" s="159">
        <v>50</v>
      </c>
      <c r="K119" s="323">
        <v>6</v>
      </c>
      <c r="L119" s="16">
        <f t="shared" si="12"/>
        <v>67998</v>
      </c>
      <c r="M119" s="94">
        <f t="shared" si="14"/>
        <v>498652</v>
      </c>
      <c r="N119" s="159">
        <f t="shared" si="15"/>
        <v>44</v>
      </c>
      <c r="O119" s="34"/>
      <c r="P119" s="34"/>
      <c r="Q119" s="8"/>
    </row>
    <row r="120" spans="1:17" s="114" customFormat="1">
      <c r="A120" s="180"/>
      <c r="B120" s="292" t="s">
        <v>1023</v>
      </c>
      <c r="C120" s="96">
        <v>115</v>
      </c>
      <c r="D120" s="11" t="s">
        <v>321</v>
      </c>
      <c r="E120" s="11"/>
      <c r="F120" s="16">
        <v>500000</v>
      </c>
      <c r="G120" s="16">
        <v>66650</v>
      </c>
      <c r="H120" s="41">
        <f>SUM(F120:G120)</f>
        <v>566650</v>
      </c>
      <c r="I120" s="318">
        <v>11333</v>
      </c>
      <c r="J120" s="159">
        <v>50</v>
      </c>
      <c r="K120" s="97">
        <v>51</v>
      </c>
      <c r="L120" s="91">
        <f t="shared" si="12"/>
        <v>577983</v>
      </c>
      <c r="M120" s="94">
        <f t="shared" si="14"/>
        <v>-11333</v>
      </c>
      <c r="N120" s="159">
        <f t="shared" si="15"/>
        <v>-1</v>
      </c>
      <c r="O120" s="159"/>
      <c r="P120" s="97"/>
      <c r="Q120" s="8"/>
    </row>
    <row r="121" spans="1:17" s="114" customFormat="1">
      <c r="A121" s="180"/>
      <c r="B121" s="293" t="s">
        <v>1354</v>
      </c>
      <c r="C121" s="96">
        <v>116</v>
      </c>
      <c r="D121" s="123" t="s">
        <v>450</v>
      </c>
      <c r="E121" s="123"/>
      <c r="F121" s="19">
        <v>450000</v>
      </c>
      <c r="G121" s="19">
        <v>59985</v>
      </c>
      <c r="H121" s="19">
        <v>509985</v>
      </c>
      <c r="I121" s="327">
        <v>10199.700000000001</v>
      </c>
      <c r="J121" s="159">
        <v>50</v>
      </c>
      <c r="K121" s="159">
        <v>13</v>
      </c>
      <c r="L121" s="16">
        <f t="shared" si="12"/>
        <v>132596.1</v>
      </c>
      <c r="M121" s="94">
        <f t="shared" si="14"/>
        <v>377388.9</v>
      </c>
      <c r="N121" s="159">
        <f t="shared" si="15"/>
        <v>37</v>
      </c>
      <c r="O121" s="159"/>
      <c r="P121" s="159"/>
      <c r="Q121" s="8"/>
    </row>
    <row r="122" spans="1:17" s="114" customFormat="1">
      <c r="A122" s="180"/>
      <c r="B122" s="292" t="s">
        <v>968</v>
      </c>
      <c r="C122" s="96">
        <v>117</v>
      </c>
      <c r="D122" s="11" t="s">
        <v>490</v>
      </c>
      <c r="E122" s="11"/>
      <c r="F122" s="19">
        <v>330000</v>
      </c>
      <c r="G122" s="19">
        <v>43989</v>
      </c>
      <c r="H122" s="19">
        <f>SUM(F122:G122)</f>
        <v>373989</v>
      </c>
      <c r="I122" s="146">
        <v>7479.78</v>
      </c>
      <c r="J122" s="159">
        <v>50</v>
      </c>
      <c r="K122" s="159">
        <v>26</v>
      </c>
      <c r="L122" s="91">
        <f t="shared" si="12"/>
        <v>194474.28</v>
      </c>
      <c r="M122" s="94">
        <f t="shared" si="14"/>
        <v>179514.72</v>
      </c>
      <c r="N122" s="159">
        <f t="shared" si="15"/>
        <v>24</v>
      </c>
      <c r="O122" s="159"/>
      <c r="P122" s="97"/>
      <c r="Q122" s="8"/>
    </row>
    <row r="123" spans="1:17" s="114" customFormat="1">
      <c r="A123" s="180"/>
      <c r="B123" s="292" t="s">
        <v>1036</v>
      </c>
      <c r="C123" s="96">
        <v>118</v>
      </c>
      <c r="D123" s="11" t="s">
        <v>216</v>
      </c>
      <c r="E123" s="11"/>
      <c r="F123" s="16">
        <v>60000</v>
      </c>
      <c r="G123" s="16">
        <v>7998</v>
      </c>
      <c r="H123" s="41">
        <f>SUM(F123:G123)</f>
        <v>67998</v>
      </c>
      <c r="I123" s="318">
        <v>1699.95</v>
      </c>
      <c r="J123" s="159">
        <v>40</v>
      </c>
      <c r="K123" s="97">
        <v>27</v>
      </c>
      <c r="L123" s="91">
        <f t="shared" si="12"/>
        <v>45898.65</v>
      </c>
      <c r="M123" s="94">
        <f t="shared" si="14"/>
        <v>22099.35</v>
      </c>
      <c r="N123" s="159">
        <f t="shared" si="15"/>
        <v>13</v>
      </c>
      <c r="O123" s="159"/>
      <c r="P123" s="97"/>
      <c r="Q123" s="8"/>
    </row>
    <row r="124" spans="1:17" s="114" customFormat="1">
      <c r="A124" s="180"/>
      <c r="B124" s="8" t="s">
        <v>1372</v>
      </c>
      <c r="C124" s="96">
        <v>119</v>
      </c>
      <c r="D124" s="11" t="s">
        <v>1297</v>
      </c>
      <c r="E124" s="8"/>
      <c r="F124" s="19">
        <v>330000</v>
      </c>
      <c r="G124" s="19">
        <v>43989</v>
      </c>
      <c r="H124" s="19">
        <f>SUM(F124:G124)</f>
        <v>373989</v>
      </c>
      <c r="I124" s="34">
        <v>7479.78</v>
      </c>
      <c r="J124" s="159">
        <v>50</v>
      </c>
      <c r="K124" s="323">
        <v>11</v>
      </c>
      <c r="L124" s="16">
        <f t="shared" si="12"/>
        <v>82277.58</v>
      </c>
      <c r="M124" s="94">
        <f t="shared" si="14"/>
        <v>291711.42</v>
      </c>
      <c r="N124" s="159">
        <f t="shared" si="15"/>
        <v>39</v>
      </c>
      <c r="O124" s="159"/>
      <c r="P124" s="159"/>
      <c r="Q124" s="8"/>
    </row>
    <row r="125" spans="1:17" s="114" customFormat="1">
      <c r="A125" s="180"/>
      <c r="B125" s="293" t="s">
        <v>1367</v>
      </c>
      <c r="C125" s="96">
        <v>120</v>
      </c>
      <c r="D125" s="123" t="s">
        <v>465</v>
      </c>
      <c r="E125" s="123"/>
      <c r="F125" s="19">
        <v>450000</v>
      </c>
      <c r="G125" s="19">
        <v>59985</v>
      </c>
      <c r="H125" s="19">
        <v>509985</v>
      </c>
      <c r="I125" s="327">
        <v>10199.700000000001</v>
      </c>
      <c r="J125" s="159">
        <v>50</v>
      </c>
      <c r="K125" s="159">
        <v>21</v>
      </c>
      <c r="L125" s="16">
        <f t="shared" si="12"/>
        <v>214193.7</v>
      </c>
      <c r="M125" s="94">
        <f t="shared" si="14"/>
        <v>295791.3</v>
      </c>
      <c r="N125" s="159">
        <f t="shared" si="15"/>
        <v>29</v>
      </c>
      <c r="O125" s="159"/>
      <c r="P125" s="159"/>
      <c r="Q125" s="8"/>
    </row>
    <row r="126" spans="1:17" s="114" customFormat="1">
      <c r="A126" s="180"/>
      <c r="B126" s="11" t="s">
        <v>1317</v>
      </c>
      <c r="C126" s="96">
        <v>121</v>
      </c>
      <c r="D126" s="11" t="s">
        <v>1318</v>
      </c>
      <c r="E126" s="11"/>
      <c r="F126" s="19">
        <v>450000</v>
      </c>
      <c r="G126" s="19">
        <v>59985</v>
      </c>
      <c r="H126" s="19">
        <v>509985</v>
      </c>
      <c r="I126" s="254">
        <v>14153.05</v>
      </c>
      <c r="J126" s="159">
        <v>39</v>
      </c>
      <c r="K126" s="159">
        <v>20</v>
      </c>
      <c r="L126" s="16">
        <f t="shared" si="12"/>
        <v>283061</v>
      </c>
      <c r="M126" s="16">
        <f t="shared" si="14"/>
        <v>226924</v>
      </c>
      <c r="N126" s="159">
        <f t="shared" si="15"/>
        <v>19</v>
      </c>
      <c r="O126" s="11"/>
      <c r="P126" s="159" t="s">
        <v>1410</v>
      </c>
      <c r="Q126" s="11"/>
    </row>
    <row r="127" spans="1:17" s="114" customFormat="1">
      <c r="B127" s="11" t="s">
        <v>1320</v>
      </c>
      <c r="C127" s="96">
        <v>122</v>
      </c>
      <c r="D127" s="11" t="s">
        <v>464</v>
      </c>
      <c r="E127" s="335">
        <v>43525</v>
      </c>
      <c r="F127" s="16">
        <v>500000</v>
      </c>
      <c r="G127" s="16">
        <v>66650</v>
      </c>
      <c r="H127" s="41">
        <f>SUM(F127:G127)</f>
        <v>566650</v>
      </c>
      <c r="I127" s="254">
        <v>13833</v>
      </c>
      <c r="J127" s="159">
        <v>40</v>
      </c>
      <c r="K127" s="159">
        <v>1</v>
      </c>
      <c r="L127" s="16">
        <f t="shared" ref="L127:L145" si="16">K127*I127</f>
        <v>13833</v>
      </c>
      <c r="M127" s="16">
        <f t="shared" si="14"/>
        <v>552817</v>
      </c>
      <c r="N127" s="159">
        <f t="shared" ref="N127:N145" si="17">J127-K127</f>
        <v>39</v>
      </c>
      <c r="O127" s="11"/>
      <c r="P127" s="11"/>
      <c r="Q127" s="11"/>
    </row>
    <row r="128" spans="1:17" s="114" customFormat="1">
      <c r="B128" s="11" t="s">
        <v>1339</v>
      </c>
      <c r="C128" s="96">
        <v>123</v>
      </c>
      <c r="D128" s="11" t="s">
        <v>408</v>
      </c>
      <c r="E128" s="335">
        <v>43525</v>
      </c>
      <c r="F128" s="16">
        <v>500000</v>
      </c>
      <c r="G128" s="16">
        <v>66650</v>
      </c>
      <c r="H128" s="41">
        <f t="shared" ref="H128:H133" si="18">SUM(F128:G128)</f>
        <v>566650</v>
      </c>
      <c r="I128" s="254">
        <v>11333</v>
      </c>
      <c r="J128" s="159">
        <v>50</v>
      </c>
      <c r="K128" s="159">
        <v>1</v>
      </c>
      <c r="L128" s="16">
        <f t="shared" si="16"/>
        <v>11333</v>
      </c>
      <c r="M128" s="16">
        <f t="shared" si="14"/>
        <v>555317</v>
      </c>
      <c r="N128" s="159">
        <f t="shared" si="17"/>
        <v>49</v>
      </c>
      <c r="O128" s="11"/>
      <c r="P128" s="11"/>
      <c r="Q128" s="11"/>
    </row>
    <row r="129" spans="1:18" s="114" customFormat="1">
      <c r="B129" s="11" t="s">
        <v>1319</v>
      </c>
      <c r="C129" s="96">
        <v>124</v>
      </c>
      <c r="D129" s="11" t="s">
        <v>305</v>
      </c>
      <c r="E129" s="335">
        <v>43525</v>
      </c>
      <c r="F129" s="16">
        <v>500000</v>
      </c>
      <c r="G129" s="16">
        <v>66650</v>
      </c>
      <c r="H129" s="41">
        <f t="shared" si="18"/>
        <v>566650</v>
      </c>
      <c r="I129" s="254">
        <v>13833</v>
      </c>
      <c r="J129" s="159">
        <v>40</v>
      </c>
      <c r="K129" s="159">
        <v>1</v>
      </c>
      <c r="L129" s="16">
        <f t="shared" si="16"/>
        <v>13833</v>
      </c>
      <c r="M129" s="16">
        <f t="shared" si="14"/>
        <v>552817</v>
      </c>
      <c r="N129" s="159">
        <f t="shared" si="17"/>
        <v>39</v>
      </c>
      <c r="O129" s="11"/>
      <c r="P129" s="11"/>
      <c r="Q129" s="11"/>
    </row>
    <row r="130" spans="1:18" s="114" customFormat="1">
      <c r="B130" s="11" t="s">
        <v>1338</v>
      </c>
      <c r="C130" s="96">
        <v>125</v>
      </c>
      <c r="D130" s="11" t="s">
        <v>438</v>
      </c>
      <c r="E130" s="335">
        <v>43525</v>
      </c>
      <c r="F130" s="16">
        <v>500000</v>
      </c>
      <c r="G130" s="16">
        <v>66650</v>
      </c>
      <c r="H130" s="41">
        <f t="shared" si="18"/>
        <v>566650</v>
      </c>
      <c r="I130" s="254">
        <v>11333</v>
      </c>
      <c r="J130" s="159">
        <v>50</v>
      </c>
      <c r="K130" s="159">
        <v>1</v>
      </c>
      <c r="L130" s="16">
        <f t="shared" si="16"/>
        <v>11333</v>
      </c>
      <c r="M130" s="16">
        <f t="shared" si="14"/>
        <v>555317</v>
      </c>
      <c r="N130" s="159">
        <f t="shared" si="17"/>
        <v>49</v>
      </c>
      <c r="O130" s="11"/>
      <c r="P130" s="11"/>
      <c r="Q130" s="11"/>
    </row>
    <row r="131" spans="1:18" s="114" customFormat="1">
      <c r="B131" s="295" t="s">
        <v>996</v>
      </c>
      <c r="C131" s="96">
        <v>126</v>
      </c>
      <c r="D131" s="126" t="s">
        <v>338</v>
      </c>
      <c r="E131" s="335">
        <v>43525</v>
      </c>
      <c r="F131" s="16">
        <v>500000</v>
      </c>
      <c r="G131" s="16">
        <v>66650</v>
      </c>
      <c r="H131" s="41">
        <f t="shared" si="18"/>
        <v>566650</v>
      </c>
      <c r="I131" s="13">
        <v>13833</v>
      </c>
      <c r="J131" s="14">
        <v>40</v>
      </c>
      <c r="K131" s="101">
        <v>1</v>
      </c>
      <c r="L131" s="16">
        <f t="shared" si="16"/>
        <v>13833</v>
      </c>
      <c r="M131" s="16">
        <f t="shared" si="14"/>
        <v>552817</v>
      </c>
      <c r="N131" s="159">
        <f t="shared" si="17"/>
        <v>39</v>
      </c>
      <c r="O131" s="101"/>
      <c r="P131" s="101"/>
      <c r="Q131" s="8"/>
    </row>
    <row r="132" spans="1:18" s="114" customFormat="1">
      <c r="B132" s="295" t="s">
        <v>1042</v>
      </c>
      <c r="C132" s="96">
        <v>127</v>
      </c>
      <c r="D132" s="126" t="s">
        <v>359</v>
      </c>
      <c r="E132" s="335">
        <v>43525</v>
      </c>
      <c r="F132" s="16">
        <v>500000</v>
      </c>
      <c r="G132" s="16">
        <v>66650</v>
      </c>
      <c r="H132" s="41">
        <f t="shared" si="18"/>
        <v>566650</v>
      </c>
      <c r="I132" s="13">
        <v>11333</v>
      </c>
      <c r="J132" s="159">
        <v>50</v>
      </c>
      <c r="K132" s="101">
        <v>1</v>
      </c>
      <c r="L132" s="16">
        <f t="shared" si="16"/>
        <v>11333</v>
      </c>
      <c r="M132" s="16">
        <f t="shared" si="14"/>
        <v>555317</v>
      </c>
      <c r="N132" s="159">
        <f t="shared" si="17"/>
        <v>49</v>
      </c>
      <c r="O132" s="101"/>
      <c r="P132" s="101"/>
      <c r="Q132" s="8"/>
    </row>
    <row r="133" spans="1:18" s="114" customFormat="1">
      <c r="B133" s="295" t="s">
        <v>1107</v>
      </c>
      <c r="C133" s="96">
        <v>128</v>
      </c>
      <c r="D133" s="126" t="s">
        <v>734</v>
      </c>
      <c r="E133" s="335">
        <v>43525</v>
      </c>
      <c r="F133" s="16">
        <v>500000</v>
      </c>
      <c r="G133" s="16">
        <v>66650</v>
      </c>
      <c r="H133" s="41">
        <f t="shared" si="18"/>
        <v>566650</v>
      </c>
      <c r="I133" s="13">
        <v>11333</v>
      </c>
      <c r="J133" s="159">
        <v>50</v>
      </c>
      <c r="K133" s="101">
        <v>1</v>
      </c>
      <c r="L133" s="16">
        <f t="shared" si="16"/>
        <v>11333</v>
      </c>
      <c r="M133" s="16">
        <f t="shared" si="14"/>
        <v>555317</v>
      </c>
      <c r="N133" s="159">
        <f t="shared" si="17"/>
        <v>49</v>
      </c>
      <c r="O133" s="101"/>
      <c r="P133" s="101"/>
      <c r="Q133" s="8"/>
    </row>
    <row r="134" spans="1:18" s="114" customFormat="1">
      <c r="B134" s="295" t="s">
        <v>1358</v>
      </c>
      <c r="C134" s="96">
        <v>129</v>
      </c>
      <c r="D134" s="126" t="s">
        <v>1359</v>
      </c>
      <c r="E134" s="335">
        <v>43525</v>
      </c>
      <c r="F134" s="19">
        <v>450000</v>
      </c>
      <c r="G134" s="19">
        <v>59985</v>
      </c>
      <c r="H134" s="19">
        <v>509985</v>
      </c>
      <c r="I134" s="13">
        <v>10199.700000000001</v>
      </c>
      <c r="J134" s="159">
        <v>50</v>
      </c>
      <c r="K134" s="101">
        <v>1</v>
      </c>
      <c r="L134" s="16">
        <f t="shared" si="16"/>
        <v>10199.700000000001</v>
      </c>
      <c r="M134" s="16">
        <f t="shared" ref="M134:M145" si="19">H134-L134</f>
        <v>499785.3</v>
      </c>
      <c r="N134" s="159">
        <f t="shared" si="17"/>
        <v>49</v>
      </c>
      <c r="O134" s="101"/>
      <c r="P134" s="101"/>
      <c r="Q134" s="8"/>
    </row>
    <row r="135" spans="1:18" s="114" customFormat="1">
      <c r="A135"/>
      <c r="B135" s="295" t="s">
        <v>1313</v>
      </c>
      <c r="C135" s="96">
        <v>130</v>
      </c>
      <c r="D135" s="126" t="s">
        <v>1314</v>
      </c>
      <c r="E135" s="335">
        <v>43525</v>
      </c>
      <c r="F135" s="19">
        <v>450000</v>
      </c>
      <c r="G135" s="19">
        <v>59985</v>
      </c>
      <c r="H135" s="19">
        <v>509985</v>
      </c>
      <c r="I135" s="13">
        <v>19949.7</v>
      </c>
      <c r="J135" s="14">
        <v>24</v>
      </c>
      <c r="K135" s="101">
        <v>1</v>
      </c>
      <c r="L135" s="16">
        <f t="shared" si="16"/>
        <v>19949.7</v>
      </c>
      <c r="M135" s="16">
        <f t="shared" si="19"/>
        <v>490035.3</v>
      </c>
      <c r="N135" s="159">
        <f t="shared" si="17"/>
        <v>23</v>
      </c>
      <c r="O135" s="101"/>
      <c r="P135" s="101"/>
      <c r="Q135" s="8"/>
    </row>
    <row r="136" spans="1:18">
      <c r="A136" s="184"/>
      <c r="B136" s="295" t="s">
        <v>1315</v>
      </c>
      <c r="C136" s="96">
        <v>131</v>
      </c>
      <c r="D136" s="126" t="s">
        <v>1316</v>
      </c>
      <c r="E136" s="335">
        <v>43525</v>
      </c>
      <c r="F136" s="19">
        <v>450000</v>
      </c>
      <c r="G136" s="19">
        <v>59985</v>
      </c>
      <c r="H136" s="19">
        <v>509985</v>
      </c>
      <c r="I136" s="13">
        <v>19949.7</v>
      </c>
      <c r="J136" s="14">
        <v>24</v>
      </c>
      <c r="K136" s="101">
        <v>1</v>
      </c>
      <c r="L136" s="16">
        <f t="shared" si="16"/>
        <v>19949.7</v>
      </c>
      <c r="M136" s="16">
        <f t="shared" si="19"/>
        <v>490035.3</v>
      </c>
      <c r="N136" s="159">
        <f t="shared" si="17"/>
        <v>23</v>
      </c>
      <c r="O136" s="101"/>
      <c r="P136" s="101"/>
      <c r="Q136" s="8"/>
      <c r="R136" s="39"/>
    </row>
    <row r="137" spans="1:18" s="184" customFormat="1" ht="12.75">
      <c r="B137" s="295" t="s">
        <v>1373</v>
      </c>
      <c r="C137" s="96">
        <v>132</v>
      </c>
      <c r="D137" s="126" t="s">
        <v>1374</v>
      </c>
      <c r="E137" s="335">
        <v>43525</v>
      </c>
      <c r="F137" s="19">
        <v>330000</v>
      </c>
      <c r="G137" s="19">
        <v>43989</v>
      </c>
      <c r="H137" s="19">
        <f t="shared" ref="H137:H146" si="20">SUM(F137:G137)</f>
        <v>373989</v>
      </c>
      <c r="I137" s="13">
        <v>7479.78</v>
      </c>
      <c r="J137" s="159">
        <v>50</v>
      </c>
      <c r="K137" s="101">
        <v>1</v>
      </c>
      <c r="L137" s="16">
        <f t="shared" si="16"/>
        <v>7479.78</v>
      </c>
      <c r="M137" s="16">
        <f t="shared" si="19"/>
        <v>366509.22</v>
      </c>
      <c r="N137" s="159">
        <f t="shared" si="17"/>
        <v>49</v>
      </c>
      <c r="O137" s="101"/>
      <c r="P137" s="101"/>
      <c r="Q137" s="8"/>
    </row>
    <row r="138" spans="1:18" s="184" customFormat="1" ht="12.75">
      <c r="B138" s="295" t="s">
        <v>969</v>
      </c>
      <c r="C138" s="96">
        <v>133</v>
      </c>
      <c r="D138" s="126" t="s">
        <v>851</v>
      </c>
      <c r="E138" s="335">
        <v>43525</v>
      </c>
      <c r="F138" s="19">
        <v>150000</v>
      </c>
      <c r="G138" s="19">
        <v>19995</v>
      </c>
      <c r="H138" s="19">
        <f t="shared" si="20"/>
        <v>169995</v>
      </c>
      <c r="I138" s="13">
        <v>3399.9</v>
      </c>
      <c r="J138" s="159">
        <v>50</v>
      </c>
      <c r="K138" s="101">
        <v>1</v>
      </c>
      <c r="L138" s="16">
        <f t="shared" si="16"/>
        <v>3399.9</v>
      </c>
      <c r="M138" s="16">
        <f t="shared" si="19"/>
        <v>166595.1</v>
      </c>
      <c r="N138" s="159">
        <f t="shared" si="17"/>
        <v>49</v>
      </c>
      <c r="O138" s="101"/>
      <c r="P138" s="101"/>
      <c r="Q138" s="8"/>
    </row>
    <row r="139" spans="1:18" s="184" customFormat="1" ht="12.75">
      <c r="B139" s="295" t="s">
        <v>1402</v>
      </c>
      <c r="C139" s="96">
        <v>134</v>
      </c>
      <c r="D139" s="126" t="s">
        <v>1403</v>
      </c>
      <c r="E139" s="335">
        <v>43525</v>
      </c>
      <c r="F139" s="19">
        <v>150000</v>
      </c>
      <c r="G139" s="19">
        <v>19995</v>
      </c>
      <c r="H139" s="19">
        <f t="shared" si="20"/>
        <v>169995</v>
      </c>
      <c r="I139" s="13">
        <v>3399.9</v>
      </c>
      <c r="J139" s="159">
        <v>50</v>
      </c>
      <c r="K139" s="101">
        <v>1</v>
      </c>
      <c r="L139" s="16">
        <f t="shared" si="16"/>
        <v>3399.9</v>
      </c>
      <c r="M139" s="16">
        <f t="shared" si="19"/>
        <v>166595.1</v>
      </c>
      <c r="N139" s="159">
        <f t="shared" si="17"/>
        <v>49</v>
      </c>
      <c r="O139" s="101"/>
      <c r="P139" s="101"/>
      <c r="Q139" s="8"/>
    </row>
    <row r="140" spans="1:18" s="184" customFormat="1" ht="12.75">
      <c r="B140" s="295" t="s">
        <v>1404</v>
      </c>
      <c r="C140" s="96">
        <v>135</v>
      </c>
      <c r="D140" s="126" t="s">
        <v>1405</v>
      </c>
      <c r="E140" s="335">
        <v>43525</v>
      </c>
      <c r="F140" s="19">
        <v>150000</v>
      </c>
      <c r="G140" s="19">
        <v>19995</v>
      </c>
      <c r="H140" s="19">
        <f t="shared" si="20"/>
        <v>169995</v>
      </c>
      <c r="I140" s="13">
        <v>3399.9</v>
      </c>
      <c r="J140" s="159">
        <v>50</v>
      </c>
      <c r="K140" s="101">
        <v>1</v>
      </c>
      <c r="L140" s="16">
        <f t="shared" si="16"/>
        <v>3399.9</v>
      </c>
      <c r="M140" s="16">
        <f t="shared" si="19"/>
        <v>166595.1</v>
      </c>
      <c r="N140" s="159">
        <f t="shared" si="17"/>
        <v>49</v>
      </c>
      <c r="O140" s="101"/>
      <c r="P140" s="101"/>
      <c r="Q140" s="8"/>
    </row>
    <row r="141" spans="1:18" s="184" customFormat="1" ht="12.75">
      <c r="B141" s="295" t="s">
        <v>1394</v>
      </c>
      <c r="C141" s="96">
        <v>136</v>
      </c>
      <c r="D141" s="126" t="s">
        <v>1395</v>
      </c>
      <c r="E141" s="335">
        <v>43525</v>
      </c>
      <c r="F141" s="19">
        <v>150000</v>
      </c>
      <c r="G141" s="19">
        <v>19995</v>
      </c>
      <c r="H141" s="19">
        <f t="shared" si="20"/>
        <v>169995</v>
      </c>
      <c r="I141" s="13">
        <v>4149.8999999999996</v>
      </c>
      <c r="J141" s="14">
        <v>40</v>
      </c>
      <c r="K141" s="101">
        <v>1</v>
      </c>
      <c r="L141" s="16">
        <f t="shared" si="16"/>
        <v>4149.8999999999996</v>
      </c>
      <c r="M141" s="16">
        <f t="shared" si="19"/>
        <v>165845.1</v>
      </c>
      <c r="N141" s="159">
        <f t="shared" si="17"/>
        <v>39</v>
      </c>
      <c r="O141" s="101"/>
      <c r="P141" s="101"/>
      <c r="Q141" s="8"/>
    </row>
    <row r="142" spans="1:18" s="184" customFormat="1" ht="12.75">
      <c r="B142" s="295" t="s">
        <v>1352</v>
      </c>
      <c r="C142" s="96">
        <v>137</v>
      </c>
      <c r="D142" s="126" t="s">
        <v>1353</v>
      </c>
      <c r="E142" s="335">
        <v>43525</v>
      </c>
      <c r="F142" s="16">
        <v>500000</v>
      </c>
      <c r="G142" s="16">
        <v>66650</v>
      </c>
      <c r="H142" s="41">
        <f t="shared" si="20"/>
        <v>566650</v>
      </c>
      <c r="I142" s="13">
        <v>11333</v>
      </c>
      <c r="J142" s="159">
        <v>50</v>
      </c>
      <c r="K142" s="101">
        <v>1</v>
      </c>
      <c r="L142" s="16">
        <f t="shared" si="16"/>
        <v>11333</v>
      </c>
      <c r="M142" s="16">
        <f t="shared" si="19"/>
        <v>555317</v>
      </c>
      <c r="N142" s="159">
        <f t="shared" si="17"/>
        <v>49</v>
      </c>
      <c r="O142" s="101"/>
      <c r="P142" s="101"/>
      <c r="Q142" s="8"/>
    </row>
    <row r="143" spans="1:18" s="184" customFormat="1" ht="12.75">
      <c r="B143" s="295" t="s">
        <v>1379</v>
      </c>
      <c r="C143" s="96">
        <v>138</v>
      </c>
      <c r="D143" s="126" t="s">
        <v>1380</v>
      </c>
      <c r="E143" s="335">
        <v>43525</v>
      </c>
      <c r="F143" s="19">
        <v>330000</v>
      </c>
      <c r="G143" s="19">
        <v>43989</v>
      </c>
      <c r="H143" s="19">
        <f t="shared" si="20"/>
        <v>373989</v>
      </c>
      <c r="I143" s="13">
        <v>7479.78</v>
      </c>
      <c r="J143" s="159">
        <v>50</v>
      </c>
      <c r="K143" s="101">
        <v>1</v>
      </c>
      <c r="L143" s="16">
        <f t="shared" si="16"/>
        <v>7479.78</v>
      </c>
      <c r="M143" s="16">
        <f t="shared" si="19"/>
        <v>366509.22</v>
      </c>
      <c r="N143" s="159">
        <f t="shared" si="17"/>
        <v>49</v>
      </c>
      <c r="O143" s="101"/>
      <c r="P143" s="101"/>
      <c r="Q143" s="8"/>
    </row>
    <row r="144" spans="1:18" s="184" customFormat="1" ht="12.75">
      <c r="B144" s="295" t="s">
        <v>1383</v>
      </c>
      <c r="C144" s="96">
        <v>139</v>
      </c>
      <c r="D144" s="126" t="s">
        <v>1384</v>
      </c>
      <c r="E144" s="335">
        <v>43525</v>
      </c>
      <c r="F144" s="19">
        <v>330000</v>
      </c>
      <c r="G144" s="19">
        <v>43989</v>
      </c>
      <c r="H144" s="19">
        <f t="shared" si="20"/>
        <v>373989</v>
      </c>
      <c r="I144" s="13">
        <v>7479.78</v>
      </c>
      <c r="J144" s="159">
        <v>50</v>
      </c>
      <c r="K144" s="101">
        <v>1</v>
      </c>
      <c r="L144" s="16">
        <f t="shared" si="16"/>
        <v>7479.78</v>
      </c>
      <c r="M144" s="16">
        <f t="shared" si="19"/>
        <v>366509.22</v>
      </c>
      <c r="N144" s="159">
        <f t="shared" si="17"/>
        <v>49</v>
      </c>
      <c r="O144" s="101"/>
      <c r="P144" s="101"/>
      <c r="Q144" s="8"/>
    </row>
    <row r="145" spans="1:17" s="184" customFormat="1" ht="12.75">
      <c r="B145" s="295" t="s">
        <v>1398</v>
      </c>
      <c r="C145" s="96">
        <v>140</v>
      </c>
      <c r="D145" s="126" t="s">
        <v>1399</v>
      </c>
      <c r="E145" s="335">
        <v>43525</v>
      </c>
      <c r="F145" s="19">
        <v>150000</v>
      </c>
      <c r="G145" s="19">
        <v>19995</v>
      </c>
      <c r="H145" s="19">
        <f t="shared" si="20"/>
        <v>169995</v>
      </c>
      <c r="I145" s="13">
        <v>3399.9</v>
      </c>
      <c r="J145" s="159">
        <v>50</v>
      </c>
      <c r="K145" s="101">
        <v>1</v>
      </c>
      <c r="L145" s="16">
        <f t="shared" si="16"/>
        <v>3399.9</v>
      </c>
      <c r="M145" s="16">
        <f t="shared" si="19"/>
        <v>166595.1</v>
      </c>
      <c r="N145" s="159">
        <f t="shared" si="17"/>
        <v>49</v>
      </c>
      <c r="O145" s="101"/>
      <c r="P145" s="101"/>
      <c r="Q145" s="8"/>
    </row>
    <row r="146" spans="1:17" s="184" customFormat="1" ht="12.75">
      <c r="B146" s="293"/>
      <c r="C146" s="96">
        <v>141</v>
      </c>
      <c r="D146" s="123" t="s">
        <v>1270</v>
      </c>
      <c r="E146" s="123"/>
      <c r="F146" s="19">
        <v>150000</v>
      </c>
      <c r="G146" s="19">
        <v>19995</v>
      </c>
      <c r="H146" s="19">
        <f t="shared" si="20"/>
        <v>169995</v>
      </c>
      <c r="I146" s="317">
        <v>3399.9</v>
      </c>
      <c r="J146" s="159">
        <v>50</v>
      </c>
      <c r="K146" s="159">
        <v>37</v>
      </c>
      <c r="L146" s="16">
        <f>K146*I146</f>
        <v>125796.3</v>
      </c>
      <c r="M146" s="94">
        <f>H146-L146</f>
        <v>44198.7</v>
      </c>
      <c r="N146" s="159">
        <f>J146-K146</f>
        <v>13</v>
      </c>
      <c r="O146" s="159"/>
      <c r="P146" s="159"/>
      <c r="Q146" s="11"/>
    </row>
    <row r="147" spans="1:17" s="184" customFormat="1" ht="12.75">
      <c r="B147" s="293"/>
      <c r="C147" s="96">
        <v>142</v>
      </c>
      <c r="D147" s="123" t="s">
        <v>1272</v>
      </c>
      <c r="E147" s="123"/>
      <c r="F147" s="19">
        <v>450000</v>
      </c>
      <c r="G147" s="19">
        <v>59985</v>
      </c>
      <c r="H147" s="19">
        <v>509985</v>
      </c>
      <c r="I147" s="317">
        <v>10199.700000000001</v>
      </c>
      <c r="J147" s="159">
        <v>50</v>
      </c>
      <c r="K147" s="159">
        <v>11</v>
      </c>
      <c r="L147" s="16">
        <f>K147*I147</f>
        <v>112196.70000000001</v>
      </c>
      <c r="M147" s="94">
        <f>H147-L147</f>
        <v>397788.3</v>
      </c>
      <c r="N147" s="159">
        <f>J147-K147</f>
        <v>39</v>
      </c>
      <c r="O147" s="159"/>
      <c r="P147" s="159"/>
      <c r="Q147" s="11"/>
    </row>
    <row r="148" spans="1:17" s="184" customFormat="1" ht="12.75">
      <c r="B148" s="293"/>
      <c r="C148" s="96">
        <v>143</v>
      </c>
      <c r="D148" s="123" t="s">
        <v>1268</v>
      </c>
      <c r="E148" s="123"/>
      <c r="F148" s="16">
        <v>500000</v>
      </c>
      <c r="G148" s="16">
        <v>66650</v>
      </c>
      <c r="H148" s="41">
        <f>SUM(F148:G148)</f>
        <v>566650</v>
      </c>
      <c r="I148" s="317">
        <v>11749.67</v>
      </c>
      <c r="J148" s="159">
        <v>50</v>
      </c>
      <c r="K148" s="159">
        <v>26</v>
      </c>
      <c r="L148" s="16">
        <f>K148*I148</f>
        <v>305491.42</v>
      </c>
      <c r="M148" s="94">
        <f>H148-L148</f>
        <v>261158.58000000002</v>
      </c>
      <c r="N148" s="159">
        <f>J148-K148</f>
        <v>24</v>
      </c>
      <c r="O148" s="159"/>
      <c r="P148" s="159"/>
      <c r="Q148" s="11"/>
    </row>
    <row r="149" spans="1:17" s="184" customFormat="1">
      <c r="A149"/>
      <c r="B149" s="293"/>
      <c r="C149" s="96">
        <v>144</v>
      </c>
      <c r="D149" s="123" t="s">
        <v>1420</v>
      </c>
      <c r="E149" s="335">
        <v>43525</v>
      </c>
      <c r="F149" s="19">
        <v>450000</v>
      </c>
      <c r="G149" s="19">
        <v>59985</v>
      </c>
      <c r="H149" s="19">
        <v>509985</v>
      </c>
      <c r="I149" s="317">
        <v>10199.700000000001</v>
      </c>
      <c r="J149" s="159">
        <v>50</v>
      </c>
      <c r="K149" s="159">
        <v>1</v>
      </c>
      <c r="L149" s="16">
        <f>K149*I149</f>
        <v>10199.700000000001</v>
      </c>
      <c r="M149" s="94">
        <f>H149-L149</f>
        <v>499785.3</v>
      </c>
      <c r="N149" s="159">
        <f>J149-K149</f>
        <v>49</v>
      </c>
      <c r="O149" s="159"/>
      <c r="P149" s="159"/>
      <c r="Q149" s="11"/>
    </row>
    <row r="150" spans="1:17" s="184" customFormat="1">
      <c r="A150"/>
      <c r="B150" s="293"/>
      <c r="C150" s="96">
        <v>145</v>
      </c>
      <c r="D150" s="123" t="s">
        <v>1269</v>
      </c>
      <c r="E150" s="123"/>
      <c r="F150" s="19">
        <v>450000</v>
      </c>
      <c r="G150" s="19">
        <v>59985</v>
      </c>
      <c r="H150" s="19">
        <v>509985</v>
      </c>
      <c r="I150" s="317">
        <v>10199.700000000001</v>
      </c>
      <c r="J150" s="159">
        <v>50</v>
      </c>
      <c r="K150" s="159">
        <v>33</v>
      </c>
      <c r="L150" s="16">
        <f>K150*I150</f>
        <v>336590.10000000003</v>
      </c>
      <c r="M150" s="94">
        <f>H150-L150</f>
        <v>173394.89999999997</v>
      </c>
      <c r="N150" s="159">
        <f>J150-K150</f>
        <v>17</v>
      </c>
      <c r="O150" s="159"/>
      <c r="P150" s="159"/>
      <c r="Q150" s="11"/>
    </row>
    <row r="151" spans="1:17">
      <c r="B151" s="295"/>
      <c r="C151" s="126"/>
      <c r="D151" s="8"/>
      <c r="E151" s="8"/>
      <c r="F151" s="34">
        <f>SUM(F6:F150)</f>
        <v>60140000</v>
      </c>
      <c r="G151" s="34">
        <f>SUM(G6:G150)</f>
        <v>8004345.2000000002</v>
      </c>
      <c r="H151" s="34">
        <f>SUM(H6:H150)</f>
        <v>68344345.200000003</v>
      </c>
      <c r="I151" s="34">
        <f>SUM(I6:I150)</f>
        <v>1414759.7699999996</v>
      </c>
      <c r="J151" s="34"/>
      <c r="K151" s="34"/>
      <c r="L151" s="34">
        <f>SUM(L6:L150)</f>
        <v>25580485.799999993</v>
      </c>
      <c r="M151" s="34">
        <f>SUM(M6:M150)</f>
        <v>42763859.399999991</v>
      </c>
      <c r="N151" s="34"/>
      <c r="O151" s="34"/>
      <c r="P151" s="34"/>
      <c r="Q151" s="8"/>
    </row>
  </sheetData>
  <sortState ref="D146:Q150">
    <sortCondition ref="D146:D150"/>
  </sortState>
  <mergeCells count="2">
    <mergeCell ref="C3:Q3"/>
    <mergeCell ref="C4:Q4"/>
  </mergeCells>
  <conditionalFormatting sqref="D3:E3">
    <cfRule type="duplicateValues" dxfId="48" priority="17"/>
  </conditionalFormatting>
  <conditionalFormatting sqref="D101:E102">
    <cfRule type="duplicateValues" dxfId="47" priority="16"/>
  </conditionalFormatting>
  <conditionalFormatting sqref="B101:B102">
    <cfRule type="duplicateValues" dxfId="46" priority="15"/>
  </conditionalFormatting>
  <conditionalFormatting sqref="D101:E102">
    <cfRule type="duplicateValues" dxfId="45" priority="13"/>
    <cfRule type="duplicateValues" dxfId="44" priority="14"/>
  </conditionalFormatting>
  <conditionalFormatting sqref="D152:E1048576 D109:D110 D1:E5 E109:E111 E117:E123">
    <cfRule type="duplicateValues" dxfId="43" priority="12"/>
  </conditionalFormatting>
  <conditionalFormatting sqref="D152:E1048576 D109:D110 D4:E5 D1:E2 E109:E111 E117:E123">
    <cfRule type="duplicateValues" dxfId="42" priority="11"/>
  </conditionalFormatting>
  <conditionalFormatting sqref="D152:E1048576 D109:D110 E109:E111 E117:E123">
    <cfRule type="duplicateValues" dxfId="41" priority="10"/>
  </conditionalFormatting>
  <conditionalFormatting sqref="E117:E123 D108:D110 D99:E102 D1:E93 E108:E111 D146:D1048576 E146:E149 E151:E1048576">
    <cfRule type="duplicateValues" dxfId="40" priority="9"/>
  </conditionalFormatting>
  <conditionalFormatting sqref="E117:E123 D108:D110 D99:E102 D1:E93 E108:E111 D146:D1048576 E146:E149 E151:E1048576">
    <cfRule type="duplicateValues" dxfId="39" priority="7"/>
    <cfRule type="duplicateValues" dxfId="38" priority="8"/>
  </conditionalFormatting>
  <conditionalFormatting sqref="D146:D150 E146:E149">
    <cfRule type="duplicateValues" dxfId="37" priority="5"/>
    <cfRule type="duplicateValues" dxfId="36" priority="6"/>
  </conditionalFormatting>
  <conditionalFormatting sqref="D146:D150 E146:E149">
    <cfRule type="duplicateValues" dxfId="35" priority="4"/>
  </conditionalFormatting>
  <conditionalFormatting sqref="B146:B150">
    <cfRule type="duplicateValues" dxfId="34" priority="3"/>
  </conditionalFormatting>
  <conditionalFormatting sqref="B108:B111 B1:B93 B99:B102 B117:B123 B131:B1048576">
    <cfRule type="duplicateValues" dxfId="33" priority="2"/>
  </conditionalFormatting>
  <conditionalFormatting sqref="D108:D111 D1:D102 D117:D123 D131:D1048576">
    <cfRule type="duplicateValues" dxfId="32" priority="1"/>
  </conditionalFormatting>
  <pageMargins left="0.1" right="0.25" top="7.8740157480315001E-2" bottom="0.118110236220472" header="0.31496062992126" footer="0.31496062992126"/>
  <pageSetup paperSize="9" scale="7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B1:S153"/>
  <sheetViews>
    <sheetView topLeftCell="A121" zoomScale="90" zoomScaleNormal="90" workbookViewId="0">
      <selection activeCell="E36" sqref="E36"/>
    </sheetView>
  </sheetViews>
  <sheetFormatPr defaultRowHeight="15.75"/>
  <cols>
    <col min="1" max="1" width="9.140625" style="336"/>
    <col min="2" max="2" width="18.7109375" style="336" customWidth="1"/>
    <col min="3" max="3" width="7.5703125" style="336" customWidth="1"/>
    <col min="4" max="4" width="13.5703125" style="336" customWidth="1"/>
    <col min="5" max="5" width="39.42578125" style="336" customWidth="1"/>
    <col min="6" max="7" width="16.85546875" style="342" customWidth="1"/>
    <col min="8" max="8" width="17.42578125" style="342" customWidth="1"/>
    <col min="9" max="9" width="8.28515625" style="343" customWidth="1"/>
    <col min="10" max="10" width="16.5703125" style="342" customWidth="1"/>
    <col min="11" max="11" width="14.140625" style="355" customWidth="1"/>
    <col min="12" max="12" width="16.85546875" style="355" customWidth="1"/>
    <col min="13" max="13" width="16.5703125" style="355" customWidth="1"/>
    <col min="14" max="14" width="15.85546875" style="355" customWidth="1"/>
    <col min="15" max="15" width="10.140625" style="344" customWidth="1"/>
    <col min="16" max="16" width="12.140625" style="344" customWidth="1"/>
    <col min="17" max="17" width="17" style="342" customWidth="1"/>
    <col min="18" max="18" width="16.85546875" style="342" customWidth="1"/>
    <col min="19" max="19" width="15" style="336" customWidth="1"/>
    <col min="20" max="16384" width="9.140625" style="336"/>
  </cols>
  <sheetData>
    <row r="1" spans="2:19" ht="22.5">
      <c r="C1" s="425" t="s">
        <v>1421</v>
      </c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</row>
    <row r="2" spans="2:19" customFormat="1" ht="20.25">
      <c r="B2" s="360"/>
      <c r="C2" s="419" t="s">
        <v>245</v>
      </c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</row>
    <row r="3" spans="2:19" customFormat="1" ht="18">
      <c r="B3" s="360"/>
      <c r="C3" s="426" t="s">
        <v>1406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</row>
    <row r="4" spans="2:19" s="372" customFormat="1" ht="68.25" customHeight="1">
      <c r="B4" s="117" t="s">
        <v>869</v>
      </c>
      <c r="C4" s="369" t="s">
        <v>0</v>
      </c>
      <c r="D4" s="370" t="s">
        <v>1422</v>
      </c>
      <c r="E4" s="370" t="s">
        <v>292</v>
      </c>
      <c r="F4" s="370" t="s">
        <v>1423</v>
      </c>
      <c r="G4" s="370" t="s">
        <v>1424</v>
      </c>
      <c r="H4" s="370" t="s">
        <v>1425</v>
      </c>
      <c r="I4" s="370" t="s">
        <v>1426</v>
      </c>
      <c r="J4" s="370" t="s">
        <v>1427</v>
      </c>
      <c r="K4" s="371" t="s">
        <v>1428</v>
      </c>
      <c r="L4" s="371" t="s">
        <v>1429</v>
      </c>
      <c r="M4" s="371" t="s">
        <v>1430</v>
      </c>
      <c r="N4" s="371" t="s">
        <v>1431</v>
      </c>
      <c r="O4" s="368" t="s">
        <v>1432</v>
      </c>
      <c r="P4" s="373" t="s">
        <v>1433</v>
      </c>
      <c r="Q4" s="370" t="s">
        <v>1434</v>
      </c>
      <c r="R4" s="370" t="s">
        <v>1435</v>
      </c>
      <c r="S4" s="370" t="s">
        <v>1436</v>
      </c>
    </row>
    <row r="5" spans="2:19">
      <c r="B5" s="361" t="s">
        <v>1369</v>
      </c>
      <c r="C5" s="367">
        <v>1</v>
      </c>
      <c r="D5" s="337" t="s">
        <v>1437</v>
      </c>
      <c r="E5" s="338" t="s">
        <v>1282</v>
      </c>
      <c r="F5" s="339">
        <v>330000</v>
      </c>
      <c r="G5" s="339">
        <v>43989</v>
      </c>
      <c r="H5" s="340">
        <v>373989</v>
      </c>
      <c r="I5" s="347">
        <v>50</v>
      </c>
      <c r="J5" s="349">
        <v>7479.78</v>
      </c>
      <c r="K5" s="356">
        <f>G5/50</f>
        <v>879.78</v>
      </c>
      <c r="L5" s="356">
        <f>F5/50</f>
        <v>6600</v>
      </c>
      <c r="M5" s="356">
        <f t="shared" ref="M5:M36" si="0">K5*O5</f>
        <v>6158.46</v>
      </c>
      <c r="N5" s="356">
        <f t="shared" ref="N5:N36" si="1">K5*P5</f>
        <v>37830.54</v>
      </c>
      <c r="O5" s="352">
        <v>7</v>
      </c>
      <c r="P5" s="354">
        <v>43</v>
      </c>
      <c r="Q5" s="345">
        <f t="shared" ref="Q5:Q36" si="2">J5*O5</f>
        <v>52358.46</v>
      </c>
      <c r="R5" s="339">
        <f t="shared" ref="R5:R36" si="3">H5-Q5</f>
        <v>321630.53999999998</v>
      </c>
      <c r="S5" s="341"/>
    </row>
    <row r="6" spans="2:19">
      <c r="B6" s="361" t="s">
        <v>1396</v>
      </c>
      <c r="C6" s="367">
        <v>2</v>
      </c>
      <c r="D6" s="337" t="s">
        <v>1437</v>
      </c>
      <c r="E6" s="341" t="s">
        <v>1397</v>
      </c>
      <c r="F6" s="339">
        <v>150000</v>
      </c>
      <c r="G6" s="339">
        <v>19995</v>
      </c>
      <c r="H6" s="340">
        <v>169995</v>
      </c>
      <c r="I6" s="347">
        <v>50</v>
      </c>
      <c r="J6" s="349">
        <v>3399.9</v>
      </c>
      <c r="K6" s="356">
        <f t="shared" ref="K6:K69" si="4">G6/50</f>
        <v>399.9</v>
      </c>
      <c r="L6" s="356">
        <f t="shared" ref="L6:L69" si="5">F6/50</f>
        <v>3000</v>
      </c>
      <c r="M6" s="356">
        <f t="shared" si="0"/>
        <v>3599.1</v>
      </c>
      <c r="N6" s="356">
        <f t="shared" si="1"/>
        <v>16395.899999999998</v>
      </c>
      <c r="O6" s="352">
        <v>9</v>
      </c>
      <c r="P6" s="354">
        <v>41</v>
      </c>
      <c r="Q6" s="345">
        <f t="shared" si="2"/>
        <v>30599.100000000002</v>
      </c>
      <c r="R6" s="339">
        <f t="shared" si="3"/>
        <v>139395.9</v>
      </c>
      <c r="S6" s="341"/>
    </row>
    <row r="7" spans="2:19">
      <c r="B7" s="362" t="s">
        <v>1047</v>
      </c>
      <c r="C7" s="367">
        <v>3</v>
      </c>
      <c r="D7" s="337" t="s">
        <v>1437</v>
      </c>
      <c r="E7" s="338" t="s">
        <v>873</v>
      </c>
      <c r="F7" s="339">
        <v>450000</v>
      </c>
      <c r="G7" s="339">
        <v>59985</v>
      </c>
      <c r="H7" s="340">
        <v>509985</v>
      </c>
      <c r="I7" s="347">
        <v>50</v>
      </c>
      <c r="J7" s="349">
        <v>10199.700000000001</v>
      </c>
      <c r="K7" s="356">
        <f t="shared" si="4"/>
        <v>1199.7</v>
      </c>
      <c r="L7" s="356">
        <f t="shared" si="5"/>
        <v>9000</v>
      </c>
      <c r="M7" s="356">
        <f t="shared" si="0"/>
        <v>26393.4</v>
      </c>
      <c r="N7" s="356">
        <f t="shared" si="1"/>
        <v>33591.599999999999</v>
      </c>
      <c r="O7" s="352">
        <v>22</v>
      </c>
      <c r="P7" s="354">
        <v>28</v>
      </c>
      <c r="Q7" s="345">
        <f t="shared" si="2"/>
        <v>224393.40000000002</v>
      </c>
      <c r="R7" s="339">
        <f t="shared" si="3"/>
        <v>285591.59999999998</v>
      </c>
      <c r="S7" s="341"/>
    </row>
    <row r="8" spans="2:19">
      <c r="B8" s="363" t="s">
        <v>1034</v>
      </c>
      <c r="C8" s="367">
        <v>4</v>
      </c>
      <c r="D8" s="337" t="s">
        <v>1437</v>
      </c>
      <c r="E8" s="341" t="s">
        <v>1035</v>
      </c>
      <c r="F8" s="339">
        <v>500000</v>
      </c>
      <c r="G8" s="339">
        <v>66650</v>
      </c>
      <c r="H8" s="340">
        <v>566650</v>
      </c>
      <c r="I8" s="347">
        <v>50</v>
      </c>
      <c r="J8" s="349">
        <v>11333</v>
      </c>
      <c r="K8" s="356">
        <f t="shared" si="4"/>
        <v>1333</v>
      </c>
      <c r="L8" s="356">
        <f t="shared" si="5"/>
        <v>10000</v>
      </c>
      <c r="M8" s="356">
        <f t="shared" si="0"/>
        <v>29326</v>
      </c>
      <c r="N8" s="356">
        <f t="shared" si="1"/>
        <v>37324</v>
      </c>
      <c r="O8" s="347">
        <v>22</v>
      </c>
      <c r="P8" s="354">
        <v>28</v>
      </c>
      <c r="Q8" s="345">
        <f t="shared" si="2"/>
        <v>249326</v>
      </c>
      <c r="R8" s="339">
        <f t="shared" si="3"/>
        <v>317324</v>
      </c>
      <c r="S8" s="341"/>
    </row>
    <row r="9" spans="2:19">
      <c r="B9" s="362" t="s">
        <v>978</v>
      </c>
      <c r="C9" s="367">
        <v>5</v>
      </c>
      <c r="D9" s="337" t="s">
        <v>1437</v>
      </c>
      <c r="E9" s="341" t="s">
        <v>979</v>
      </c>
      <c r="F9" s="339">
        <v>500000</v>
      </c>
      <c r="G9" s="339">
        <v>66650</v>
      </c>
      <c r="H9" s="340">
        <v>566650</v>
      </c>
      <c r="I9" s="347">
        <v>50</v>
      </c>
      <c r="J9" s="349">
        <v>11333</v>
      </c>
      <c r="K9" s="356">
        <f t="shared" si="4"/>
        <v>1333</v>
      </c>
      <c r="L9" s="356">
        <f t="shared" si="5"/>
        <v>10000</v>
      </c>
      <c r="M9" s="356">
        <f t="shared" si="0"/>
        <v>69316</v>
      </c>
      <c r="N9" s="356">
        <f t="shared" si="1"/>
        <v>-2666</v>
      </c>
      <c r="O9" s="352">
        <v>52</v>
      </c>
      <c r="P9" s="354">
        <v>-2</v>
      </c>
      <c r="Q9" s="345">
        <f t="shared" si="2"/>
        <v>589316</v>
      </c>
      <c r="R9" s="339">
        <f t="shared" si="3"/>
        <v>-22666</v>
      </c>
      <c r="S9" s="341"/>
    </row>
    <row r="10" spans="2:19">
      <c r="B10" s="362" t="s">
        <v>1382</v>
      </c>
      <c r="C10" s="367">
        <v>6</v>
      </c>
      <c r="D10" s="337" t="s">
        <v>1437</v>
      </c>
      <c r="E10" s="341" t="s">
        <v>1130</v>
      </c>
      <c r="F10" s="339">
        <v>330000</v>
      </c>
      <c r="G10" s="339">
        <v>43989</v>
      </c>
      <c r="H10" s="340">
        <v>373989</v>
      </c>
      <c r="I10" s="347">
        <v>50</v>
      </c>
      <c r="J10" s="349">
        <v>7479.78</v>
      </c>
      <c r="K10" s="356">
        <f t="shared" si="4"/>
        <v>879.78</v>
      </c>
      <c r="L10" s="356">
        <f t="shared" si="5"/>
        <v>6600</v>
      </c>
      <c r="M10" s="356">
        <f t="shared" si="0"/>
        <v>12316.92</v>
      </c>
      <c r="N10" s="356">
        <f t="shared" si="1"/>
        <v>31672.079999999998</v>
      </c>
      <c r="O10" s="353">
        <v>14</v>
      </c>
      <c r="P10" s="354">
        <v>36</v>
      </c>
      <c r="Q10" s="345">
        <f t="shared" si="2"/>
        <v>104716.92</v>
      </c>
      <c r="R10" s="339">
        <f t="shared" si="3"/>
        <v>269272.08</v>
      </c>
      <c r="S10" s="341"/>
    </row>
    <row r="11" spans="2:19">
      <c r="B11" s="364" t="s">
        <v>1071</v>
      </c>
      <c r="C11" s="367">
        <v>7</v>
      </c>
      <c r="D11" s="337" t="s">
        <v>1437</v>
      </c>
      <c r="E11" s="338" t="s">
        <v>496</v>
      </c>
      <c r="F11" s="340">
        <v>500000</v>
      </c>
      <c r="G11" s="339">
        <v>66650</v>
      </c>
      <c r="H11" s="340">
        <v>566650</v>
      </c>
      <c r="I11" s="347">
        <v>50</v>
      </c>
      <c r="J11" s="350">
        <v>11333</v>
      </c>
      <c r="K11" s="356">
        <f t="shared" si="4"/>
        <v>1333</v>
      </c>
      <c r="L11" s="356">
        <f t="shared" si="5"/>
        <v>10000</v>
      </c>
      <c r="M11" s="356">
        <f t="shared" si="0"/>
        <v>33325</v>
      </c>
      <c r="N11" s="356">
        <f t="shared" si="1"/>
        <v>33325</v>
      </c>
      <c r="O11" s="352">
        <v>25</v>
      </c>
      <c r="P11" s="354">
        <v>25</v>
      </c>
      <c r="Q11" s="345">
        <f t="shared" si="2"/>
        <v>283325</v>
      </c>
      <c r="R11" s="339">
        <f t="shared" si="3"/>
        <v>283325</v>
      </c>
      <c r="S11" s="341"/>
    </row>
    <row r="12" spans="2:19">
      <c r="B12" s="362" t="s">
        <v>1350</v>
      </c>
      <c r="C12" s="367">
        <v>8</v>
      </c>
      <c r="D12" s="337" t="s">
        <v>1437</v>
      </c>
      <c r="E12" s="338" t="s">
        <v>1117</v>
      </c>
      <c r="F12" s="339">
        <v>500000</v>
      </c>
      <c r="G12" s="339">
        <v>66650</v>
      </c>
      <c r="H12" s="340">
        <v>566650</v>
      </c>
      <c r="I12" s="347">
        <v>50</v>
      </c>
      <c r="J12" s="349">
        <v>11333</v>
      </c>
      <c r="K12" s="356">
        <f t="shared" si="4"/>
        <v>1333</v>
      </c>
      <c r="L12" s="356">
        <f t="shared" si="5"/>
        <v>10000</v>
      </c>
      <c r="M12" s="356">
        <f t="shared" si="0"/>
        <v>18662</v>
      </c>
      <c r="N12" s="356">
        <f t="shared" si="1"/>
        <v>47988</v>
      </c>
      <c r="O12" s="352">
        <v>14</v>
      </c>
      <c r="P12" s="354">
        <v>36</v>
      </c>
      <c r="Q12" s="345">
        <f t="shared" si="2"/>
        <v>158662</v>
      </c>
      <c r="R12" s="339">
        <f t="shared" si="3"/>
        <v>407988</v>
      </c>
      <c r="S12" s="341"/>
    </row>
    <row r="13" spans="2:19">
      <c r="B13" s="361" t="s">
        <v>1338</v>
      </c>
      <c r="C13" s="367">
        <v>9</v>
      </c>
      <c r="D13" s="337" t="s">
        <v>1437</v>
      </c>
      <c r="E13" s="341" t="s">
        <v>438</v>
      </c>
      <c r="F13" s="339">
        <v>500000</v>
      </c>
      <c r="G13" s="339">
        <v>66650</v>
      </c>
      <c r="H13" s="340">
        <v>566650</v>
      </c>
      <c r="I13" s="347">
        <v>50</v>
      </c>
      <c r="J13" s="349">
        <v>11333</v>
      </c>
      <c r="K13" s="356">
        <f t="shared" si="4"/>
        <v>1333</v>
      </c>
      <c r="L13" s="356">
        <f t="shared" si="5"/>
        <v>10000</v>
      </c>
      <c r="M13" s="356">
        <f t="shared" si="0"/>
        <v>2666</v>
      </c>
      <c r="N13" s="356">
        <f t="shared" si="1"/>
        <v>63984</v>
      </c>
      <c r="O13" s="352">
        <v>2</v>
      </c>
      <c r="P13" s="354">
        <v>48</v>
      </c>
      <c r="Q13" s="345">
        <f t="shared" si="2"/>
        <v>22666</v>
      </c>
      <c r="R13" s="339">
        <f t="shared" si="3"/>
        <v>543984</v>
      </c>
      <c r="S13" s="341"/>
    </row>
    <row r="14" spans="2:19">
      <c r="B14" s="363" t="s">
        <v>1363</v>
      </c>
      <c r="C14" s="367">
        <v>10</v>
      </c>
      <c r="D14" s="337" t="s">
        <v>1437</v>
      </c>
      <c r="E14" s="341" t="s">
        <v>1364</v>
      </c>
      <c r="F14" s="339">
        <v>450000</v>
      </c>
      <c r="G14" s="339">
        <v>59985</v>
      </c>
      <c r="H14" s="340">
        <v>509985</v>
      </c>
      <c r="I14" s="347">
        <v>50</v>
      </c>
      <c r="J14" s="349">
        <v>10199.700000000001</v>
      </c>
      <c r="K14" s="356">
        <f t="shared" si="4"/>
        <v>1199.7</v>
      </c>
      <c r="L14" s="356">
        <f t="shared" si="5"/>
        <v>9000</v>
      </c>
      <c r="M14" s="356">
        <f t="shared" si="0"/>
        <v>5998.5</v>
      </c>
      <c r="N14" s="356">
        <f t="shared" si="1"/>
        <v>53986.5</v>
      </c>
      <c r="O14" s="353">
        <v>5</v>
      </c>
      <c r="P14" s="354">
        <v>45</v>
      </c>
      <c r="Q14" s="345">
        <f t="shared" si="2"/>
        <v>50998.5</v>
      </c>
      <c r="R14" s="339">
        <f t="shared" si="3"/>
        <v>458986.5</v>
      </c>
      <c r="S14" s="341"/>
    </row>
    <row r="15" spans="2:19">
      <c r="B15" s="361" t="s">
        <v>1343</v>
      </c>
      <c r="C15" s="367">
        <v>11</v>
      </c>
      <c r="D15" s="337" t="s">
        <v>1437</v>
      </c>
      <c r="E15" s="341" t="s">
        <v>451</v>
      </c>
      <c r="F15" s="339">
        <v>500000</v>
      </c>
      <c r="G15" s="339">
        <v>66650</v>
      </c>
      <c r="H15" s="340">
        <v>566650</v>
      </c>
      <c r="I15" s="347">
        <v>50</v>
      </c>
      <c r="J15" s="349">
        <v>11333</v>
      </c>
      <c r="K15" s="356">
        <f t="shared" si="4"/>
        <v>1333</v>
      </c>
      <c r="L15" s="356">
        <f t="shared" si="5"/>
        <v>10000</v>
      </c>
      <c r="M15" s="356">
        <f t="shared" si="0"/>
        <v>15996</v>
      </c>
      <c r="N15" s="356">
        <f t="shared" si="1"/>
        <v>50654</v>
      </c>
      <c r="O15" s="353">
        <v>12</v>
      </c>
      <c r="P15" s="354">
        <v>38</v>
      </c>
      <c r="Q15" s="345">
        <f t="shared" si="2"/>
        <v>135996</v>
      </c>
      <c r="R15" s="339">
        <f t="shared" si="3"/>
        <v>430654</v>
      </c>
      <c r="S15" s="341"/>
    </row>
    <row r="16" spans="2:19">
      <c r="B16" s="363" t="s">
        <v>1107</v>
      </c>
      <c r="C16" s="367">
        <v>12</v>
      </c>
      <c r="D16" s="337" t="s">
        <v>1437</v>
      </c>
      <c r="E16" s="341" t="s">
        <v>734</v>
      </c>
      <c r="F16" s="339">
        <v>500000</v>
      </c>
      <c r="G16" s="339">
        <v>66650</v>
      </c>
      <c r="H16" s="340">
        <v>566650</v>
      </c>
      <c r="I16" s="347">
        <v>50</v>
      </c>
      <c r="J16" s="349">
        <v>11333</v>
      </c>
      <c r="K16" s="356">
        <f t="shared" si="4"/>
        <v>1333</v>
      </c>
      <c r="L16" s="356">
        <f t="shared" si="5"/>
        <v>10000</v>
      </c>
      <c r="M16" s="356">
        <f t="shared" si="0"/>
        <v>2666</v>
      </c>
      <c r="N16" s="356">
        <f t="shared" si="1"/>
        <v>63984</v>
      </c>
      <c r="O16" s="353">
        <v>2</v>
      </c>
      <c r="P16" s="354">
        <v>48</v>
      </c>
      <c r="Q16" s="345">
        <f t="shared" si="2"/>
        <v>22666</v>
      </c>
      <c r="R16" s="339">
        <f t="shared" si="3"/>
        <v>543984</v>
      </c>
      <c r="S16" s="341"/>
    </row>
    <row r="17" spans="2:19">
      <c r="B17" s="363" t="s">
        <v>1344</v>
      </c>
      <c r="C17" s="367">
        <v>13</v>
      </c>
      <c r="D17" s="337" t="s">
        <v>1437</v>
      </c>
      <c r="E17" s="341" t="s">
        <v>1345</v>
      </c>
      <c r="F17" s="339">
        <v>500000</v>
      </c>
      <c r="G17" s="339">
        <v>66650</v>
      </c>
      <c r="H17" s="340">
        <v>566650</v>
      </c>
      <c r="I17" s="347">
        <v>50</v>
      </c>
      <c r="J17" s="349">
        <v>11333</v>
      </c>
      <c r="K17" s="356">
        <f t="shared" si="4"/>
        <v>1333</v>
      </c>
      <c r="L17" s="356">
        <f t="shared" si="5"/>
        <v>10000</v>
      </c>
      <c r="M17" s="356">
        <f t="shared" si="0"/>
        <v>6665</v>
      </c>
      <c r="N17" s="356">
        <f t="shared" si="1"/>
        <v>59985</v>
      </c>
      <c r="O17" s="352">
        <v>5</v>
      </c>
      <c r="P17" s="354">
        <v>45</v>
      </c>
      <c r="Q17" s="345">
        <f t="shared" si="2"/>
        <v>56665</v>
      </c>
      <c r="R17" s="339">
        <f t="shared" si="3"/>
        <v>509985</v>
      </c>
      <c r="S17" s="341"/>
    </row>
    <row r="18" spans="2:19">
      <c r="B18" s="364" t="s">
        <v>1100</v>
      </c>
      <c r="C18" s="367">
        <v>14</v>
      </c>
      <c r="D18" s="337" t="s">
        <v>1437</v>
      </c>
      <c r="E18" s="341" t="s">
        <v>351</v>
      </c>
      <c r="F18" s="340">
        <v>500000</v>
      </c>
      <c r="G18" s="339">
        <v>66650</v>
      </c>
      <c r="H18" s="340">
        <v>566650</v>
      </c>
      <c r="I18" s="347">
        <v>50</v>
      </c>
      <c r="J18" s="349">
        <v>11333</v>
      </c>
      <c r="K18" s="356">
        <f t="shared" si="4"/>
        <v>1333</v>
      </c>
      <c r="L18" s="356">
        <f t="shared" si="5"/>
        <v>10000</v>
      </c>
      <c r="M18" s="356">
        <f t="shared" si="0"/>
        <v>69316</v>
      </c>
      <c r="N18" s="356">
        <f t="shared" si="1"/>
        <v>-2666</v>
      </c>
      <c r="O18" s="352">
        <v>52</v>
      </c>
      <c r="P18" s="354">
        <v>-2</v>
      </c>
      <c r="Q18" s="345">
        <f t="shared" si="2"/>
        <v>589316</v>
      </c>
      <c r="R18" s="339">
        <f t="shared" si="3"/>
        <v>-22666</v>
      </c>
      <c r="S18" s="341"/>
    </row>
    <row r="19" spans="2:19">
      <c r="B19" s="362" t="s">
        <v>989</v>
      </c>
      <c r="C19" s="367">
        <v>15</v>
      </c>
      <c r="D19" s="337" t="s">
        <v>1437</v>
      </c>
      <c r="E19" s="338" t="s">
        <v>864</v>
      </c>
      <c r="F19" s="339">
        <v>500000</v>
      </c>
      <c r="G19" s="339">
        <v>66650</v>
      </c>
      <c r="H19" s="340">
        <v>566650</v>
      </c>
      <c r="I19" s="347">
        <v>50</v>
      </c>
      <c r="J19" s="349">
        <v>11333</v>
      </c>
      <c r="K19" s="356">
        <f t="shared" si="4"/>
        <v>1333</v>
      </c>
      <c r="L19" s="356">
        <f t="shared" si="5"/>
        <v>10000</v>
      </c>
      <c r="M19" s="356">
        <f t="shared" si="0"/>
        <v>29326</v>
      </c>
      <c r="N19" s="356">
        <f t="shared" si="1"/>
        <v>37324</v>
      </c>
      <c r="O19" s="352">
        <v>22</v>
      </c>
      <c r="P19" s="354">
        <v>28</v>
      </c>
      <c r="Q19" s="345">
        <f t="shared" si="2"/>
        <v>249326</v>
      </c>
      <c r="R19" s="339">
        <f t="shared" si="3"/>
        <v>317324</v>
      </c>
      <c r="S19" s="341"/>
    </row>
    <row r="20" spans="2:19">
      <c r="B20" s="363" t="s">
        <v>991</v>
      </c>
      <c r="C20" s="367">
        <v>16</v>
      </c>
      <c r="D20" s="337" t="s">
        <v>1437</v>
      </c>
      <c r="E20" s="341" t="s">
        <v>992</v>
      </c>
      <c r="F20" s="339">
        <v>330000</v>
      </c>
      <c r="G20" s="339">
        <v>31672.200000000012</v>
      </c>
      <c r="H20" s="340">
        <v>361672.2</v>
      </c>
      <c r="I20" s="347">
        <v>36</v>
      </c>
      <c r="J20" s="349">
        <v>10046.450000000001</v>
      </c>
      <c r="K20" s="356">
        <f t="shared" si="4"/>
        <v>633.44400000000019</v>
      </c>
      <c r="L20" s="356">
        <f t="shared" si="5"/>
        <v>6600</v>
      </c>
      <c r="M20" s="356">
        <f t="shared" si="0"/>
        <v>16469.544000000005</v>
      </c>
      <c r="N20" s="356">
        <f t="shared" si="1"/>
        <v>6334.4400000000023</v>
      </c>
      <c r="O20" s="347">
        <v>26</v>
      </c>
      <c r="P20" s="354">
        <v>10</v>
      </c>
      <c r="Q20" s="345">
        <f t="shared" si="2"/>
        <v>261207.7</v>
      </c>
      <c r="R20" s="339">
        <f t="shared" si="3"/>
        <v>100464.5</v>
      </c>
      <c r="S20" s="341"/>
    </row>
    <row r="21" spans="2:19">
      <c r="B21" s="363" t="s">
        <v>1352</v>
      </c>
      <c r="C21" s="367">
        <v>17</v>
      </c>
      <c r="D21" s="337" t="s">
        <v>1437</v>
      </c>
      <c r="E21" s="341" t="s">
        <v>1353</v>
      </c>
      <c r="F21" s="339">
        <v>500000</v>
      </c>
      <c r="G21" s="339">
        <v>66650</v>
      </c>
      <c r="H21" s="340">
        <v>566650</v>
      </c>
      <c r="I21" s="347">
        <v>50</v>
      </c>
      <c r="J21" s="349">
        <v>11333</v>
      </c>
      <c r="K21" s="356">
        <f t="shared" si="4"/>
        <v>1333</v>
      </c>
      <c r="L21" s="356">
        <f t="shared" si="5"/>
        <v>10000</v>
      </c>
      <c r="M21" s="356">
        <f t="shared" si="0"/>
        <v>2666</v>
      </c>
      <c r="N21" s="356">
        <f t="shared" si="1"/>
        <v>63984</v>
      </c>
      <c r="O21" s="347">
        <v>2</v>
      </c>
      <c r="P21" s="354">
        <v>48</v>
      </c>
      <c r="Q21" s="345">
        <f t="shared" si="2"/>
        <v>22666</v>
      </c>
      <c r="R21" s="339">
        <f t="shared" si="3"/>
        <v>543984</v>
      </c>
      <c r="S21" s="341"/>
    </row>
    <row r="22" spans="2:19">
      <c r="B22" s="362" t="s">
        <v>1141</v>
      </c>
      <c r="C22" s="367">
        <v>18</v>
      </c>
      <c r="D22" s="337" t="s">
        <v>1437</v>
      </c>
      <c r="E22" s="338" t="s">
        <v>1142</v>
      </c>
      <c r="F22" s="339">
        <v>330000</v>
      </c>
      <c r="G22" s="339">
        <v>43989</v>
      </c>
      <c r="H22" s="340">
        <v>373989</v>
      </c>
      <c r="I22" s="347">
        <v>50</v>
      </c>
      <c r="J22" s="349">
        <v>7479.78</v>
      </c>
      <c r="K22" s="356">
        <f t="shared" si="4"/>
        <v>879.78</v>
      </c>
      <c r="L22" s="356">
        <f t="shared" si="5"/>
        <v>6600</v>
      </c>
      <c r="M22" s="356">
        <f t="shared" si="0"/>
        <v>13196.699999999999</v>
      </c>
      <c r="N22" s="356">
        <f t="shared" si="1"/>
        <v>30792.3</v>
      </c>
      <c r="O22" s="352">
        <v>15</v>
      </c>
      <c r="P22" s="354">
        <v>35</v>
      </c>
      <c r="Q22" s="345">
        <f t="shared" si="2"/>
        <v>112196.7</v>
      </c>
      <c r="R22" s="339">
        <f t="shared" si="3"/>
        <v>261792.3</v>
      </c>
      <c r="S22" s="341"/>
    </row>
    <row r="23" spans="2:19">
      <c r="B23" s="364" t="s">
        <v>966</v>
      </c>
      <c r="C23" s="367">
        <v>19</v>
      </c>
      <c r="D23" s="337" t="s">
        <v>1437</v>
      </c>
      <c r="E23" s="337" t="s">
        <v>29</v>
      </c>
      <c r="F23" s="346">
        <v>450000</v>
      </c>
      <c r="G23" s="346">
        <v>59985</v>
      </c>
      <c r="H23" s="346">
        <v>509985</v>
      </c>
      <c r="I23" s="348">
        <v>50</v>
      </c>
      <c r="J23" s="351">
        <v>10199.700000000001</v>
      </c>
      <c r="K23" s="356">
        <f t="shared" si="4"/>
        <v>1199.7</v>
      </c>
      <c r="L23" s="356">
        <f t="shared" si="5"/>
        <v>9000</v>
      </c>
      <c r="M23" s="356">
        <f t="shared" si="0"/>
        <v>46788.3</v>
      </c>
      <c r="N23" s="356">
        <f t="shared" si="1"/>
        <v>13196.7</v>
      </c>
      <c r="O23" s="348">
        <v>39</v>
      </c>
      <c r="P23" s="348">
        <v>11</v>
      </c>
      <c r="Q23" s="345">
        <f t="shared" si="2"/>
        <v>397788.30000000005</v>
      </c>
      <c r="R23" s="339">
        <f t="shared" si="3"/>
        <v>112196.69999999995</v>
      </c>
      <c r="S23" s="337"/>
    </row>
    <row r="24" spans="2:19">
      <c r="B24" s="362" t="s">
        <v>993</v>
      </c>
      <c r="C24" s="367">
        <v>20</v>
      </c>
      <c r="D24" s="337" t="s">
        <v>1437</v>
      </c>
      <c r="E24" s="337" t="s">
        <v>994</v>
      </c>
      <c r="F24" s="346">
        <v>150000</v>
      </c>
      <c r="G24" s="346">
        <v>19995</v>
      </c>
      <c r="H24" s="346">
        <v>169995</v>
      </c>
      <c r="I24" s="348">
        <v>50</v>
      </c>
      <c r="J24" s="351">
        <v>3399.9</v>
      </c>
      <c r="K24" s="356">
        <f t="shared" si="4"/>
        <v>399.9</v>
      </c>
      <c r="L24" s="356">
        <f t="shared" si="5"/>
        <v>3000</v>
      </c>
      <c r="M24" s="356">
        <f t="shared" si="0"/>
        <v>8797.7999999999993</v>
      </c>
      <c r="N24" s="356">
        <f t="shared" si="1"/>
        <v>11197.199999999999</v>
      </c>
      <c r="O24" s="348">
        <v>22</v>
      </c>
      <c r="P24" s="348">
        <v>28</v>
      </c>
      <c r="Q24" s="345">
        <f t="shared" si="2"/>
        <v>74797.8</v>
      </c>
      <c r="R24" s="339">
        <f t="shared" si="3"/>
        <v>95197.2</v>
      </c>
      <c r="S24" s="337"/>
    </row>
    <row r="25" spans="2:19">
      <c r="B25" s="364" t="s">
        <v>1099</v>
      </c>
      <c r="C25" s="367">
        <v>21</v>
      </c>
      <c r="D25" s="337" t="s">
        <v>1437</v>
      </c>
      <c r="E25" s="337" t="s">
        <v>487</v>
      </c>
      <c r="F25" s="346">
        <v>500000</v>
      </c>
      <c r="G25" s="346">
        <v>66650</v>
      </c>
      <c r="H25" s="346">
        <v>566650</v>
      </c>
      <c r="I25" s="348">
        <v>50</v>
      </c>
      <c r="J25" s="351">
        <v>11333</v>
      </c>
      <c r="K25" s="356">
        <f t="shared" si="4"/>
        <v>1333</v>
      </c>
      <c r="L25" s="356">
        <f t="shared" si="5"/>
        <v>10000</v>
      </c>
      <c r="M25" s="356">
        <f t="shared" si="0"/>
        <v>35991</v>
      </c>
      <c r="N25" s="356">
        <f t="shared" si="1"/>
        <v>30659</v>
      </c>
      <c r="O25" s="348">
        <v>27</v>
      </c>
      <c r="P25" s="348">
        <v>23</v>
      </c>
      <c r="Q25" s="345">
        <f t="shared" si="2"/>
        <v>305991</v>
      </c>
      <c r="R25" s="339">
        <f t="shared" si="3"/>
        <v>260659</v>
      </c>
      <c r="S25" s="337"/>
    </row>
    <row r="26" spans="2:19">
      <c r="B26" s="364" t="s">
        <v>1069</v>
      </c>
      <c r="C26" s="367">
        <v>22</v>
      </c>
      <c r="D26" s="337" t="s">
        <v>1437</v>
      </c>
      <c r="E26" s="337" t="s">
        <v>358</v>
      </c>
      <c r="F26" s="346">
        <v>500000</v>
      </c>
      <c r="G26" s="346">
        <v>66650</v>
      </c>
      <c r="H26" s="346">
        <v>566650</v>
      </c>
      <c r="I26" s="348">
        <v>50</v>
      </c>
      <c r="J26" s="351">
        <v>11333</v>
      </c>
      <c r="K26" s="356">
        <f t="shared" si="4"/>
        <v>1333</v>
      </c>
      <c r="L26" s="356">
        <f t="shared" si="5"/>
        <v>10000</v>
      </c>
      <c r="M26" s="356">
        <f t="shared" si="0"/>
        <v>51987</v>
      </c>
      <c r="N26" s="356">
        <f t="shared" si="1"/>
        <v>14663</v>
      </c>
      <c r="O26" s="348">
        <v>39</v>
      </c>
      <c r="P26" s="348">
        <v>11</v>
      </c>
      <c r="Q26" s="345">
        <f t="shared" si="2"/>
        <v>441987</v>
      </c>
      <c r="R26" s="339">
        <f t="shared" si="3"/>
        <v>124663</v>
      </c>
      <c r="S26" s="337"/>
    </row>
    <row r="27" spans="2:19">
      <c r="B27" s="364" t="s">
        <v>1106</v>
      </c>
      <c r="C27" s="367">
        <v>23</v>
      </c>
      <c r="D27" s="337" t="s">
        <v>1437</v>
      </c>
      <c r="E27" s="337" t="s">
        <v>314</v>
      </c>
      <c r="F27" s="346">
        <v>500000</v>
      </c>
      <c r="G27" s="346">
        <v>66650</v>
      </c>
      <c r="H27" s="346">
        <v>566650</v>
      </c>
      <c r="I27" s="348">
        <v>50</v>
      </c>
      <c r="J27" s="351">
        <v>11333</v>
      </c>
      <c r="K27" s="356">
        <f t="shared" si="4"/>
        <v>1333</v>
      </c>
      <c r="L27" s="356">
        <f t="shared" si="5"/>
        <v>10000</v>
      </c>
      <c r="M27" s="356">
        <f t="shared" si="0"/>
        <v>51987</v>
      </c>
      <c r="N27" s="356">
        <f t="shared" si="1"/>
        <v>14663</v>
      </c>
      <c r="O27" s="348">
        <v>39</v>
      </c>
      <c r="P27" s="348">
        <v>11</v>
      </c>
      <c r="Q27" s="345">
        <f t="shared" si="2"/>
        <v>441987</v>
      </c>
      <c r="R27" s="339">
        <f t="shared" si="3"/>
        <v>124663</v>
      </c>
      <c r="S27" s="337"/>
    </row>
    <row r="28" spans="2:19">
      <c r="B28" s="364" t="s">
        <v>1046</v>
      </c>
      <c r="C28" s="367">
        <v>24</v>
      </c>
      <c r="D28" s="337" t="s">
        <v>1437</v>
      </c>
      <c r="E28" s="337" t="s">
        <v>349</v>
      </c>
      <c r="F28" s="346">
        <v>500000</v>
      </c>
      <c r="G28" s="346">
        <v>66650</v>
      </c>
      <c r="H28" s="346">
        <v>566650</v>
      </c>
      <c r="I28" s="348">
        <v>50</v>
      </c>
      <c r="J28" s="351">
        <v>11333</v>
      </c>
      <c r="K28" s="356">
        <f t="shared" si="4"/>
        <v>1333</v>
      </c>
      <c r="L28" s="356">
        <f t="shared" si="5"/>
        <v>10000</v>
      </c>
      <c r="M28" s="356">
        <f t="shared" si="0"/>
        <v>41323</v>
      </c>
      <c r="N28" s="356">
        <f t="shared" si="1"/>
        <v>25327</v>
      </c>
      <c r="O28" s="348">
        <v>31</v>
      </c>
      <c r="P28" s="348">
        <v>19</v>
      </c>
      <c r="Q28" s="345">
        <f t="shared" si="2"/>
        <v>351323</v>
      </c>
      <c r="R28" s="339">
        <f t="shared" si="3"/>
        <v>215327</v>
      </c>
      <c r="S28" s="337"/>
    </row>
    <row r="29" spans="2:19">
      <c r="B29" s="364" t="s">
        <v>1009</v>
      </c>
      <c r="C29" s="367">
        <v>25</v>
      </c>
      <c r="D29" s="337" t="s">
        <v>1437</v>
      </c>
      <c r="E29" s="337" t="s">
        <v>332</v>
      </c>
      <c r="F29" s="346">
        <v>500000</v>
      </c>
      <c r="G29" s="346">
        <v>66650</v>
      </c>
      <c r="H29" s="346">
        <v>566650</v>
      </c>
      <c r="I29" s="348">
        <v>50</v>
      </c>
      <c r="J29" s="351">
        <v>11333</v>
      </c>
      <c r="K29" s="356">
        <f t="shared" si="4"/>
        <v>1333</v>
      </c>
      <c r="L29" s="356">
        <f t="shared" si="5"/>
        <v>10000</v>
      </c>
      <c r="M29" s="356">
        <f t="shared" si="0"/>
        <v>51987</v>
      </c>
      <c r="N29" s="356">
        <f t="shared" si="1"/>
        <v>14663</v>
      </c>
      <c r="O29" s="348">
        <v>39</v>
      </c>
      <c r="P29" s="348">
        <v>11</v>
      </c>
      <c r="Q29" s="345">
        <f t="shared" si="2"/>
        <v>441987</v>
      </c>
      <c r="R29" s="339">
        <f t="shared" si="3"/>
        <v>124663</v>
      </c>
      <c r="S29" s="337"/>
    </row>
    <row r="30" spans="2:19">
      <c r="B30" s="361" t="s">
        <v>1342</v>
      </c>
      <c r="C30" s="367">
        <v>26</v>
      </c>
      <c r="D30" s="337" t="s">
        <v>1437</v>
      </c>
      <c r="E30" s="337" t="s">
        <v>1290</v>
      </c>
      <c r="F30" s="346">
        <v>500000</v>
      </c>
      <c r="G30" s="346">
        <v>66650</v>
      </c>
      <c r="H30" s="346">
        <v>566650</v>
      </c>
      <c r="I30" s="348">
        <v>50</v>
      </c>
      <c r="J30" s="351">
        <v>11333</v>
      </c>
      <c r="K30" s="356">
        <f t="shared" si="4"/>
        <v>1333</v>
      </c>
      <c r="L30" s="356">
        <f t="shared" si="5"/>
        <v>10000</v>
      </c>
      <c r="M30" s="356">
        <f t="shared" si="0"/>
        <v>15996</v>
      </c>
      <c r="N30" s="356">
        <f t="shared" si="1"/>
        <v>50654</v>
      </c>
      <c r="O30" s="348">
        <v>12</v>
      </c>
      <c r="P30" s="348">
        <v>38</v>
      </c>
      <c r="Q30" s="345">
        <f t="shared" si="2"/>
        <v>135996</v>
      </c>
      <c r="R30" s="339">
        <f t="shared" si="3"/>
        <v>430654</v>
      </c>
      <c r="S30" s="337"/>
    </row>
    <row r="31" spans="2:19">
      <c r="B31" s="364" t="s">
        <v>995</v>
      </c>
      <c r="C31" s="367">
        <v>27</v>
      </c>
      <c r="D31" s="337" t="s">
        <v>1437</v>
      </c>
      <c r="E31" s="337" t="s">
        <v>339</v>
      </c>
      <c r="F31" s="346">
        <v>500000</v>
      </c>
      <c r="G31" s="346">
        <v>66650</v>
      </c>
      <c r="H31" s="346">
        <v>566650</v>
      </c>
      <c r="I31" s="348">
        <v>50</v>
      </c>
      <c r="J31" s="351">
        <v>11333</v>
      </c>
      <c r="K31" s="356">
        <f t="shared" si="4"/>
        <v>1333</v>
      </c>
      <c r="L31" s="356">
        <f t="shared" si="5"/>
        <v>10000</v>
      </c>
      <c r="M31" s="356">
        <f t="shared" si="0"/>
        <v>51987</v>
      </c>
      <c r="N31" s="356">
        <f t="shared" si="1"/>
        <v>14663</v>
      </c>
      <c r="O31" s="348">
        <v>39</v>
      </c>
      <c r="P31" s="348">
        <v>11</v>
      </c>
      <c r="Q31" s="345">
        <f t="shared" si="2"/>
        <v>441987</v>
      </c>
      <c r="R31" s="339">
        <f t="shared" si="3"/>
        <v>124663</v>
      </c>
      <c r="S31" s="337"/>
    </row>
    <row r="32" spans="2:19">
      <c r="B32" s="362" t="s">
        <v>1366</v>
      </c>
      <c r="C32" s="367">
        <v>28</v>
      </c>
      <c r="D32" s="337" t="s">
        <v>1437</v>
      </c>
      <c r="E32" s="337" t="s">
        <v>1138</v>
      </c>
      <c r="F32" s="346">
        <v>450000</v>
      </c>
      <c r="G32" s="346">
        <v>59985</v>
      </c>
      <c r="H32" s="346">
        <v>509985</v>
      </c>
      <c r="I32" s="348">
        <v>50</v>
      </c>
      <c r="J32" s="351">
        <v>10199.700000000001</v>
      </c>
      <c r="K32" s="356">
        <f t="shared" si="4"/>
        <v>1199.7</v>
      </c>
      <c r="L32" s="356">
        <f t="shared" si="5"/>
        <v>9000</v>
      </c>
      <c r="M32" s="356">
        <f t="shared" si="0"/>
        <v>16795.8</v>
      </c>
      <c r="N32" s="356">
        <f t="shared" si="1"/>
        <v>43189.200000000004</v>
      </c>
      <c r="O32" s="348">
        <v>14</v>
      </c>
      <c r="P32" s="348">
        <v>36</v>
      </c>
      <c r="Q32" s="345">
        <f t="shared" si="2"/>
        <v>142795.80000000002</v>
      </c>
      <c r="R32" s="339">
        <f t="shared" si="3"/>
        <v>367189.19999999995</v>
      </c>
      <c r="S32" s="337"/>
    </row>
    <row r="33" spans="2:19">
      <c r="B33" s="364" t="s">
        <v>998</v>
      </c>
      <c r="C33" s="367">
        <v>29</v>
      </c>
      <c r="D33" s="337" t="s">
        <v>1437</v>
      </c>
      <c r="E33" s="337" t="s">
        <v>363</v>
      </c>
      <c r="F33" s="346">
        <v>450000</v>
      </c>
      <c r="G33" s="346">
        <v>59985</v>
      </c>
      <c r="H33" s="346">
        <v>509985</v>
      </c>
      <c r="I33" s="348">
        <v>50</v>
      </c>
      <c r="J33" s="351">
        <v>10199.700000000001</v>
      </c>
      <c r="K33" s="356">
        <f t="shared" si="4"/>
        <v>1199.7</v>
      </c>
      <c r="L33" s="356">
        <f t="shared" si="5"/>
        <v>9000</v>
      </c>
      <c r="M33" s="356">
        <f t="shared" si="0"/>
        <v>37190.700000000004</v>
      </c>
      <c r="N33" s="356">
        <f t="shared" si="1"/>
        <v>22794.3</v>
      </c>
      <c r="O33" s="348">
        <v>31</v>
      </c>
      <c r="P33" s="348">
        <v>19</v>
      </c>
      <c r="Q33" s="345">
        <f t="shared" si="2"/>
        <v>316190.7</v>
      </c>
      <c r="R33" s="339">
        <f t="shared" si="3"/>
        <v>193794.3</v>
      </c>
      <c r="S33" s="337"/>
    </row>
    <row r="34" spans="2:19">
      <c r="B34" s="361" t="s">
        <v>1320</v>
      </c>
      <c r="C34" s="367">
        <v>30</v>
      </c>
      <c r="D34" s="337" t="s">
        <v>1437</v>
      </c>
      <c r="E34" s="337" t="s">
        <v>464</v>
      </c>
      <c r="F34" s="346">
        <v>500000</v>
      </c>
      <c r="G34" s="346">
        <v>66650</v>
      </c>
      <c r="H34" s="346">
        <v>566650</v>
      </c>
      <c r="I34" s="348">
        <v>40</v>
      </c>
      <c r="J34" s="351">
        <v>13833</v>
      </c>
      <c r="K34" s="356">
        <f t="shared" si="4"/>
        <v>1333</v>
      </c>
      <c r="L34" s="356">
        <f t="shared" si="5"/>
        <v>10000</v>
      </c>
      <c r="M34" s="356">
        <f t="shared" si="0"/>
        <v>2666</v>
      </c>
      <c r="N34" s="356">
        <f t="shared" si="1"/>
        <v>50654</v>
      </c>
      <c r="O34" s="348">
        <v>2</v>
      </c>
      <c r="P34" s="348">
        <v>38</v>
      </c>
      <c r="Q34" s="345">
        <f t="shared" si="2"/>
        <v>27666</v>
      </c>
      <c r="R34" s="339">
        <f t="shared" si="3"/>
        <v>538984</v>
      </c>
      <c r="S34" s="337"/>
    </row>
    <row r="35" spans="2:19">
      <c r="B35" s="363" t="s">
        <v>1348</v>
      </c>
      <c r="C35" s="367">
        <v>31</v>
      </c>
      <c r="D35" s="337" t="s">
        <v>1437</v>
      </c>
      <c r="E35" s="337" t="s">
        <v>1349</v>
      </c>
      <c r="F35" s="346">
        <v>500000</v>
      </c>
      <c r="G35" s="346">
        <v>66650</v>
      </c>
      <c r="H35" s="346">
        <v>566650</v>
      </c>
      <c r="I35" s="348">
        <v>50</v>
      </c>
      <c r="J35" s="351">
        <v>11333</v>
      </c>
      <c r="K35" s="356">
        <f t="shared" si="4"/>
        <v>1333</v>
      </c>
      <c r="L35" s="356">
        <f t="shared" si="5"/>
        <v>10000</v>
      </c>
      <c r="M35" s="356">
        <f t="shared" si="0"/>
        <v>6665</v>
      </c>
      <c r="N35" s="356">
        <f t="shared" si="1"/>
        <v>59985</v>
      </c>
      <c r="O35" s="348">
        <v>5</v>
      </c>
      <c r="P35" s="348">
        <v>45</v>
      </c>
      <c r="Q35" s="345">
        <f t="shared" si="2"/>
        <v>56665</v>
      </c>
      <c r="R35" s="339">
        <f t="shared" si="3"/>
        <v>509985</v>
      </c>
      <c r="S35" s="337"/>
    </row>
    <row r="36" spans="2:19">
      <c r="B36" s="362" t="s">
        <v>1012</v>
      </c>
      <c r="C36" s="367">
        <v>32</v>
      </c>
      <c r="D36" s="337" t="s">
        <v>1437</v>
      </c>
      <c r="E36" s="337" t="s">
        <v>852</v>
      </c>
      <c r="F36" s="346">
        <v>330000</v>
      </c>
      <c r="G36" s="346">
        <v>43989</v>
      </c>
      <c r="H36" s="346">
        <v>373989</v>
      </c>
      <c r="I36" s="348">
        <v>50</v>
      </c>
      <c r="J36" s="351">
        <v>7479.78</v>
      </c>
      <c r="K36" s="356">
        <f t="shared" si="4"/>
        <v>879.78</v>
      </c>
      <c r="L36" s="356">
        <f t="shared" si="5"/>
        <v>6600</v>
      </c>
      <c r="M36" s="356">
        <f t="shared" si="0"/>
        <v>19355.16</v>
      </c>
      <c r="N36" s="356">
        <f t="shared" si="1"/>
        <v>24633.84</v>
      </c>
      <c r="O36" s="348">
        <v>22</v>
      </c>
      <c r="P36" s="348">
        <v>28</v>
      </c>
      <c r="Q36" s="345">
        <f t="shared" si="2"/>
        <v>164555.16</v>
      </c>
      <c r="R36" s="339">
        <f t="shared" si="3"/>
        <v>209433.84</v>
      </c>
      <c r="S36" s="337"/>
    </row>
    <row r="37" spans="2:19">
      <c r="B37" s="363" t="s">
        <v>1065</v>
      </c>
      <c r="C37" s="367">
        <v>33</v>
      </c>
      <c r="D37" s="337" t="s">
        <v>1437</v>
      </c>
      <c r="E37" s="337" t="s">
        <v>1066</v>
      </c>
      <c r="F37" s="346">
        <v>330000</v>
      </c>
      <c r="G37" s="346">
        <v>43989</v>
      </c>
      <c r="H37" s="346">
        <v>373989</v>
      </c>
      <c r="I37" s="348">
        <v>50</v>
      </c>
      <c r="J37" s="351">
        <v>7479.78</v>
      </c>
      <c r="K37" s="356">
        <f t="shared" si="4"/>
        <v>879.78</v>
      </c>
      <c r="L37" s="356">
        <f t="shared" si="5"/>
        <v>6600</v>
      </c>
      <c r="M37" s="356">
        <f t="shared" ref="M37:M68" si="6">K37*O37</f>
        <v>16715.82</v>
      </c>
      <c r="N37" s="356">
        <f t="shared" ref="N37:N68" si="7">K37*P37</f>
        <v>27273.18</v>
      </c>
      <c r="O37" s="348">
        <v>19</v>
      </c>
      <c r="P37" s="348">
        <v>31</v>
      </c>
      <c r="Q37" s="345">
        <f t="shared" ref="Q37:Q68" si="8">J37*O37</f>
        <v>142115.82</v>
      </c>
      <c r="R37" s="339">
        <f t="shared" ref="R37:R68" si="9">H37-Q37</f>
        <v>231873.18</v>
      </c>
      <c r="S37" s="337"/>
    </row>
    <row r="38" spans="2:19">
      <c r="B38" s="364" t="s">
        <v>1029</v>
      </c>
      <c r="C38" s="367">
        <v>34</v>
      </c>
      <c r="D38" s="337" t="s">
        <v>1437</v>
      </c>
      <c r="E38" s="337" t="s">
        <v>1030</v>
      </c>
      <c r="F38" s="346">
        <v>450000</v>
      </c>
      <c r="G38" s="346">
        <v>59985</v>
      </c>
      <c r="H38" s="346">
        <v>509985</v>
      </c>
      <c r="I38" s="348">
        <v>50</v>
      </c>
      <c r="J38" s="351">
        <v>10199.700000000001</v>
      </c>
      <c r="K38" s="356">
        <f t="shared" si="4"/>
        <v>1199.7</v>
      </c>
      <c r="L38" s="356">
        <f t="shared" si="5"/>
        <v>9000</v>
      </c>
      <c r="M38" s="356">
        <f t="shared" si="6"/>
        <v>22794.3</v>
      </c>
      <c r="N38" s="356">
        <f t="shared" si="7"/>
        <v>37190.700000000004</v>
      </c>
      <c r="O38" s="348">
        <v>19</v>
      </c>
      <c r="P38" s="348">
        <v>31</v>
      </c>
      <c r="Q38" s="345">
        <f t="shared" si="8"/>
        <v>193794.30000000002</v>
      </c>
      <c r="R38" s="339">
        <f t="shared" si="9"/>
        <v>316190.69999999995</v>
      </c>
      <c r="S38" s="337"/>
    </row>
    <row r="39" spans="2:19">
      <c r="B39" s="361" t="s">
        <v>1377</v>
      </c>
      <c r="C39" s="367">
        <v>35</v>
      </c>
      <c r="D39" s="337" t="s">
        <v>1437</v>
      </c>
      <c r="E39" s="337" t="s">
        <v>1378</v>
      </c>
      <c r="F39" s="346">
        <v>330000</v>
      </c>
      <c r="G39" s="346">
        <v>43989</v>
      </c>
      <c r="H39" s="346">
        <v>373989</v>
      </c>
      <c r="I39" s="348">
        <v>50</v>
      </c>
      <c r="J39" s="351">
        <v>7479.78</v>
      </c>
      <c r="K39" s="356">
        <f t="shared" si="4"/>
        <v>879.78</v>
      </c>
      <c r="L39" s="356">
        <f t="shared" si="5"/>
        <v>6600</v>
      </c>
      <c r="M39" s="356">
        <f t="shared" si="6"/>
        <v>4398.8999999999996</v>
      </c>
      <c r="N39" s="356">
        <f t="shared" si="7"/>
        <v>39590.1</v>
      </c>
      <c r="O39" s="348">
        <v>5</v>
      </c>
      <c r="P39" s="348">
        <v>45</v>
      </c>
      <c r="Q39" s="345">
        <f t="shared" si="8"/>
        <v>37398.9</v>
      </c>
      <c r="R39" s="339">
        <f t="shared" si="9"/>
        <v>336590.1</v>
      </c>
      <c r="S39" s="337"/>
    </row>
    <row r="40" spans="2:19">
      <c r="B40" s="361" t="s">
        <v>1339</v>
      </c>
      <c r="C40" s="367">
        <v>36</v>
      </c>
      <c r="D40" s="337" t="s">
        <v>1437</v>
      </c>
      <c r="E40" s="337" t="s">
        <v>408</v>
      </c>
      <c r="F40" s="346">
        <v>500000</v>
      </c>
      <c r="G40" s="346">
        <v>66650</v>
      </c>
      <c r="H40" s="346">
        <v>566650</v>
      </c>
      <c r="I40" s="348">
        <v>50</v>
      </c>
      <c r="J40" s="351">
        <v>11333</v>
      </c>
      <c r="K40" s="356">
        <f t="shared" si="4"/>
        <v>1333</v>
      </c>
      <c r="L40" s="356">
        <f t="shared" si="5"/>
        <v>10000</v>
      </c>
      <c r="M40" s="356">
        <f t="shared" si="6"/>
        <v>2666</v>
      </c>
      <c r="N40" s="356">
        <f t="shared" si="7"/>
        <v>63984</v>
      </c>
      <c r="O40" s="348">
        <v>2</v>
      </c>
      <c r="P40" s="348">
        <v>48</v>
      </c>
      <c r="Q40" s="345">
        <f t="shared" si="8"/>
        <v>22666</v>
      </c>
      <c r="R40" s="339">
        <f t="shared" si="9"/>
        <v>543984</v>
      </c>
      <c r="S40" s="337"/>
    </row>
    <row r="41" spans="2:19">
      <c r="B41" s="363" t="s">
        <v>1383</v>
      </c>
      <c r="C41" s="367">
        <v>37</v>
      </c>
      <c r="D41" s="337" t="s">
        <v>1437</v>
      </c>
      <c r="E41" s="337" t="s">
        <v>1384</v>
      </c>
      <c r="F41" s="346">
        <v>330000</v>
      </c>
      <c r="G41" s="346">
        <v>43989</v>
      </c>
      <c r="H41" s="346">
        <v>373989</v>
      </c>
      <c r="I41" s="348">
        <v>50</v>
      </c>
      <c r="J41" s="351">
        <v>7479.78</v>
      </c>
      <c r="K41" s="356">
        <f t="shared" si="4"/>
        <v>879.78</v>
      </c>
      <c r="L41" s="356">
        <f t="shared" si="5"/>
        <v>6600</v>
      </c>
      <c r="M41" s="356">
        <f t="shared" si="6"/>
        <v>1759.56</v>
      </c>
      <c r="N41" s="356">
        <f t="shared" si="7"/>
        <v>42229.440000000002</v>
      </c>
      <c r="O41" s="348">
        <v>2</v>
      </c>
      <c r="P41" s="348">
        <v>48</v>
      </c>
      <c r="Q41" s="345">
        <f t="shared" si="8"/>
        <v>14959.56</v>
      </c>
      <c r="R41" s="339">
        <f t="shared" si="9"/>
        <v>359029.44</v>
      </c>
      <c r="S41" s="337"/>
    </row>
    <row r="42" spans="2:19">
      <c r="B42" s="361" t="s">
        <v>1370</v>
      </c>
      <c r="C42" s="367">
        <v>38</v>
      </c>
      <c r="D42" s="337" t="s">
        <v>1437</v>
      </c>
      <c r="E42" s="337" t="s">
        <v>1371</v>
      </c>
      <c r="F42" s="346">
        <v>330000</v>
      </c>
      <c r="G42" s="346">
        <v>43989</v>
      </c>
      <c r="H42" s="346">
        <v>373989</v>
      </c>
      <c r="I42" s="348">
        <v>50</v>
      </c>
      <c r="J42" s="351">
        <v>7479.78</v>
      </c>
      <c r="K42" s="356">
        <f t="shared" si="4"/>
        <v>879.78</v>
      </c>
      <c r="L42" s="356">
        <f t="shared" si="5"/>
        <v>6600</v>
      </c>
      <c r="M42" s="356">
        <f t="shared" si="6"/>
        <v>4398.8999999999996</v>
      </c>
      <c r="N42" s="356">
        <f t="shared" si="7"/>
        <v>39590.1</v>
      </c>
      <c r="O42" s="348">
        <v>5</v>
      </c>
      <c r="P42" s="348">
        <v>45</v>
      </c>
      <c r="Q42" s="345">
        <f t="shared" si="8"/>
        <v>37398.9</v>
      </c>
      <c r="R42" s="339">
        <f t="shared" si="9"/>
        <v>336590.1</v>
      </c>
      <c r="S42" s="337"/>
    </row>
    <row r="43" spans="2:19">
      <c r="B43" s="363" t="s">
        <v>1313</v>
      </c>
      <c r="C43" s="367">
        <v>39</v>
      </c>
      <c r="D43" s="337" t="s">
        <v>1437</v>
      </c>
      <c r="E43" s="337" t="s">
        <v>1314</v>
      </c>
      <c r="F43" s="346">
        <v>450000</v>
      </c>
      <c r="G43" s="346">
        <v>59985</v>
      </c>
      <c r="H43" s="346">
        <v>509985</v>
      </c>
      <c r="I43" s="348">
        <v>24</v>
      </c>
      <c r="J43" s="351">
        <v>19949.7</v>
      </c>
      <c r="K43" s="356">
        <f t="shared" si="4"/>
        <v>1199.7</v>
      </c>
      <c r="L43" s="356">
        <f t="shared" si="5"/>
        <v>9000</v>
      </c>
      <c r="M43" s="356">
        <f t="shared" si="6"/>
        <v>2399.4</v>
      </c>
      <c r="N43" s="356">
        <f t="shared" si="7"/>
        <v>26393.4</v>
      </c>
      <c r="O43" s="348">
        <v>2</v>
      </c>
      <c r="P43" s="348">
        <v>22</v>
      </c>
      <c r="Q43" s="345">
        <f t="shared" si="8"/>
        <v>39899.4</v>
      </c>
      <c r="R43" s="339">
        <f t="shared" si="9"/>
        <v>470085.6</v>
      </c>
      <c r="S43" s="337"/>
    </row>
    <row r="44" spans="2:19">
      <c r="B44" s="361" t="s">
        <v>1400</v>
      </c>
      <c r="C44" s="367">
        <v>40</v>
      </c>
      <c r="D44" s="337" t="s">
        <v>1437</v>
      </c>
      <c r="E44" s="337" t="s">
        <v>1401</v>
      </c>
      <c r="F44" s="346">
        <v>150000</v>
      </c>
      <c r="G44" s="346">
        <v>19995</v>
      </c>
      <c r="H44" s="346">
        <v>169995</v>
      </c>
      <c r="I44" s="348">
        <v>50</v>
      </c>
      <c r="J44" s="351">
        <v>3399.9</v>
      </c>
      <c r="K44" s="356">
        <f t="shared" si="4"/>
        <v>399.9</v>
      </c>
      <c r="L44" s="356">
        <f t="shared" si="5"/>
        <v>3000</v>
      </c>
      <c r="M44" s="356">
        <f t="shared" si="6"/>
        <v>2799.2999999999997</v>
      </c>
      <c r="N44" s="356">
        <f t="shared" si="7"/>
        <v>17195.7</v>
      </c>
      <c r="O44" s="348">
        <v>7</v>
      </c>
      <c r="P44" s="348">
        <v>43</v>
      </c>
      <c r="Q44" s="345">
        <f t="shared" si="8"/>
        <v>23799.3</v>
      </c>
      <c r="R44" s="339">
        <f t="shared" si="9"/>
        <v>146195.70000000001</v>
      </c>
      <c r="S44" s="337"/>
    </row>
    <row r="45" spans="2:19">
      <c r="B45" s="362" t="s">
        <v>1386</v>
      </c>
      <c r="C45" s="367">
        <v>41</v>
      </c>
      <c r="D45" s="337" t="s">
        <v>1437</v>
      </c>
      <c r="E45" s="337" t="s">
        <v>1387</v>
      </c>
      <c r="F45" s="346">
        <v>330000</v>
      </c>
      <c r="G45" s="346">
        <v>43989</v>
      </c>
      <c r="H45" s="346">
        <v>373989</v>
      </c>
      <c r="I45" s="348">
        <v>50</v>
      </c>
      <c r="J45" s="351">
        <v>7479.78</v>
      </c>
      <c r="K45" s="356">
        <f t="shared" si="4"/>
        <v>879.78</v>
      </c>
      <c r="L45" s="356">
        <f t="shared" si="5"/>
        <v>6600</v>
      </c>
      <c r="M45" s="356">
        <f t="shared" si="6"/>
        <v>12316.92</v>
      </c>
      <c r="N45" s="356">
        <f t="shared" si="7"/>
        <v>31672.079999999998</v>
      </c>
      <c r="O45" s="348">
        <v>14</v>
      </c>
      <c r="P45" s="348">
        <v>36</v>
      </c>
      <c r="Q45" s="345">
        <f t="shared" si="8"/>
        <v>104716.92</v>
      </c>
      <c r="R45" s="339">
        <f t="shared" si="9"/>
        <v>269272.08</v>
      </c>
      <c r="S45" s="337"/>
    </row>
    <row r="46" spans="2:19">
      <c r="B46" s="362" t="s">
        <v>975</v>
      </c>
      <c r="C46" s="367">
        <v>42</v>
      </c>
      <c r="D46" s="337" t="s">
        <v>1437</v>
      </c>
      <c r="E46" s="337" t="s">
        <v>875</v>
      </c>
      <c r="F46" s="346">
        <v>450000</v>
      </c>
      <c r="G46" s="346">
        <v>59985</v>
      </c>
      <c r="H46" s="346">
        <v>509985</v>
      </c>
      <c r="I46" s="348">
        <v>50</v>
      </c>
      <c r="J46" s="351">
        <v>10199.700000000001</v>
      </c>
      <c r="K46" s="356">
        <f t="shared" si="4"/>
        <v>1199.7</v>
      </c>
      <c r="L46" s="356">
        <f t="shared" si="5"/>
        <v>9000</v>
      </c>
      <c r="M46" s="356">
        <f t="shared" si="6"/>
        <v>26393.4</v>
      </c>
      <c r="N46" s="356">
        <f t="shared" si="7"/>
        <v>33591.599999999999</v>
      </c>
      <c r="O46" s="348">
        <v>22</v>
      </c>
      <c r="P46" s="348">
        <v>28</v>
      </c>
      <c r="Q46" s="345">
        <f t="shared" si="8"/>
        <v>224393.40000000002</v>
      </c>
      <c r="R46" s="339">
        <f t="shared" si="9"/>
        <v>285591.59999999998</v>
      </c>
      <c r="S46" s="337"/>
    </row>
    <row r="47" spans="2:19">
      <c r="B47" s="362" t="s">
        <v>1357</v>
      </c>
      <c r="C47" s="367">
        <v>43</v>
      </c>
      <c r="D47" s="337" t="s">
        <v>1437</v>
      </c>
      <c r="E47" s="337" t="s">
        <v>858</v>
      </c>
      <c r="F47" s="346">
        <v>450000</v>
      </c>
      <c r="G47" s="346">
        <v>59985</v>
      </c>
      <c r="H47" s="346">
        <v>509985</v>
      </c>
      <c r="I47" s="348">
        <v>50</v>
      </c>
      <c r="J47" s="351">
        <v>10199.700000000001</v>
      </c>
      <c r="K47" s="356">
        <f t="shared" si="4"/>
        <v>1199.7</v>
      </c>
      <c r="L47" s="356">
        <f t="shared" si="5"/>
        <v>9000</v>
      </c>
      <c r="M47" s="356">
        <f t="shared" si="6"/>
        <v>16795.8</v>
      </c>
      <c r="N47" s="356">
        <f t="shared" si="7"/>
        <v>43189.200000000004</v>
      </c>
      <c r="O47" s="348">
        <v>14</v>
      </c>
      <c r="P47" s="348">
        <v>36</v>
      </c>
      <c r="Q47" s="345">
        <f t="shared" si="8"/>
        <v>142795.80000000002</v>
      </c>
      <c r="R47" s="339">
        <f t="shared" si="9"/>
        <v>367189.19999999995</v>
      </c>
      <c r="S47" s="337"/>
    </row>
    <row r="48" spans="2:19">
      <c r="B48" s="364" t="s">
        <v>1097</v>
      </c>
      <c r="C48" s="367">
        <v>44</v>
      </c>
      <c r="D48" s="337" t="s">
        <v>1437</v>
      </c>
      <c r="E48" s="337" t="s">
        <v>286</v>
      </c>
      <c r="F48" s="346">
        <v>450000</v>
      </c>
      <c r="G48" s="346">
        <v>59985</v>
      </c>
      <c r="H48" s="346">
        <v>509985</v>
      </c>
      <c r="I48" s="348">
        <v>50</v>
      </c>
      <c r="J48" s="351">
        <v>10199.700000000001</v>
      </c>
      <c r="K48" s="356">
        <f t="shared" si="4"/>
        <v>1199.7</v>
      </c>
      <c r="L48" s="356">
        <f t="shared" si="5"/>
        <v>9000</v>
      </c>
      <c r="M48" s="356">
        <f t="shared" si="6"/>
        <v>49187.700000000004</v>
      </c>
      <c r="N48" s="356">
        <f t="shared" si="7"/>
        <v>10797.300000000001</v>
      </c>
      <c r="O48" s="348">
        <v>41</v>
      </c>
      <c r="P48" s="348">
        <v>9</v>
      </c>
      <c r="Q48" s="345">
        <f t="shared" si="8"/>
        <v>418187.7</v>
      </c>
      <c r="R48" s="339">
        <f t="shared" si="9"/>
        <v>91797.299999999988</v>
      </c>
      <c r="S48" s="337"/>
    </row>
    <row r="49" spans="2:19">
      <c r="B49" s="363" t="s">
        <v>1346</v>
      </c>
      <c r="C49" s="367">
        <v>45</v>
      </c>
      <c r="D49" s="337" t="s">
        <v>1437</v>
      </c>
      <c r="E49" s="337" t="s">
        <v>1347</v>
      </c>
      <c r="F49" s="346">
        <v>500000</v>
      </c>
      <c r="G49" s="346">
        <v>66650</v>
      </c>
      <c r="H49" s="346">
        <v>566650</v>
      </c>
      <c r="I49" s="348">
        <v>50</v>
      </c>
      <c r="J49" s="351">
        <v>11333</v>
      </c>
      <c r="K49" s="356">
        <f t="shared" si="4"/>
        <v>1333</v>
      </c>
      <c r="L49" s="356">
        <f t="shared" si="5"/>
        <v>10000</v>
      </c>
      <c r="M49" s="356">
        <f t="shared" si="6"/>
        <v>9331</v>
      </c>
      <c r="N49" s="356">
        <f t="shared" si="7"/>
        <v>57319</v>
      </c>
      <c r="O49" s="348">
        <v>7</v>
      </c>
      <c r="P49" s="348">
        <v>43</v>
      </c>
      <c r="Q49" s="345">
        <f t="shared" si="8"/>
        <v>79331</v>
      </c>
      <c r="R49" s="339">
        <f t="shared" si="9"/>
        <v>487319</v>
      </c>
      <c r="S49" s="337"/>
    </row>
    <row r="50" spans="2:19">
      <c r="B50" s="361" t="s">
        <v>1356</v>
      </c>
      <c r="C50" s="367">
        <v>46</v>
      </c>
      <c r="D50" s="337" t="s">
        <v>1437</v>
      </c>
      <c r="E50" s="337" t="s">
        <v>1286</v>
      </c>
      <c r="F50" s="346">
        <v>450000</v>
      </c>
      <c r="G50" s="346">
        <v>59985</v>
      </c>
      <c r="H50" s="346">
        <v>509985</v>
      </c>
      <c r="I50" s="348">
        <v>50</v>
      </c>
      <c r="J50" s="351">
        <v>10199.700000000001</v>
      </c>
      <c r="K50" s="356">
        <f t="shared" si="4"/>
        <v>1199.7</v>
      </c>
      <c r="L50" s="356">
        <f t="shared" si="5"/>
        <v>9000</v>
      </c>
      <c r="M50" s="356">
        <f t="shared" si="6"/>
        <v>8397.9</v>
      </c>
      <c r="N50" s="356">
        <f t="shared" si="7"/>
        <v>51587.1</v>
      </c>
      <c r="O50" s="348">
        <v>7</v>
      </c>
      <c r="P50" s="348">
        <v>43</v>
      </c>
      <c r="Q50" s="345">
        <f t="shared" si="8"/>
        <v>71397.900000000009</v>
      </c>
      <c r="R50" s="339">
        <f t="shared" si="9"/>
        <v>438587.1</v>
      </c>
      <c r="S50" s="337"/>
    </row>
    <row r="51" spans="2:19">
      <c r="B51" s="364" t="s">
        <v>964</v>
      </c>
      <c r="C51" s="367">
        <v>47</v>
      </c>
      <c r="D51" s="337" t="s">
        <v>1437</v>
      </c>
      <c r="E51" s="337" t="s">
        <v>341</v>
      </c>
      <c r="F51" s="346">
        <v>500000</v>
      </c>
      <c r="G51" s="346">
        <v>66650</v>
      </c>
      <c r="H51" s="346">
        <v>566650</v>
      </c>
      <c r="I51" s="348">
        <v>50</v>
      </c>
      <c r="J51" s="351">
        <v>11333</v>
      </c>
      <c r="K51" s="356">
        <f t="shared" si="4"/>
        <v>1333</v>
      </c>
      <c r="L51" s="356">
        <f t="shared" si="5"/>
        <v>10000</v>
      </c>
      <c r="M51" s="356">
        <f t="shared" si="6"/>
        <v>51987</v>
      </c>
      <c r="N51" s="356">
        <f t="shared" si="7"/>
        <v>14663</v>
      </c>
      <c r="O51" s="348">
        <v>39</v>
      </c>
      <c r="P51" s="348">
        <v>11</v>
      </c>
      <c r="Q51" s="345">
        <f t="shared" si="8"/>
        <v>441987</v>
      </c>
      <c r="R51" s="339">
        <f t="shared" si="9"/>
        <v>124663</v>
      </c>
      <c r="S51" s="337"/>
    </row>
    <row r="52" spans="2:19">
      <c r="B52" s="364" t="s">
        <v>1103</v>
      </c>
      <c r="C52" s="367">
        <v>48</v>
      </c>
      <c r="D52" s="337" t="s">
        <v>1437</v>
      </c>
      <c r="E52" s="337" t="s">
        <v>310</v>
      </c>
      <c r="F52" s="346">
        <v>500000</v>
      </c>
      <c r="G52" s="346">
        <v>66650</v>
      </c>
      <c r="H52" s="346">
        <v>566650</v>
      </c>
      <c r="I52" s="348">
        <v>50</v>
      </c>
      <c r="J52" s="351">
        <v>11333</v>
      </c>
      <c r="K52" s="356">
        <f t="shared" si="4"/>
        <v>1333</v>
      </c>
      <c r="L52" s="356">
        <f t="shared" si="5"/>
        <v>10000</v>
      </c>
      <c r="M52" s="356">
        <f t="shared" si="6"/>
        <v>51987</v>
      </c>
      <c r="N52" s="356">
        <f t="shared" si="7"/>
        <v>14663</v>
      </c>
      <c r="O52" s="348">
        <v>39</v>
      </c>
      <c r="P52" s="348">
        <v>11</v>
      </c>
      <c r="Q52" s="345">
        <f t="shared" si="8"/>
        <v>441987</v>
      </c>
      <c r="R52" s="339">
        <f t="shared" si="9"/>
        <v>124663</v>
      </c>
      <c r="S52" s="337"/>
    </row>
    <row r="53" spans="2:19">
      <c r="B53" s="364" t="s">
        <v>1043</v>
      </c>
      <c r="C53" s="367">
        <v>49</v>
      </c>
      <c r="D53" s="337" t="s">
        <v>1437</v>
      </c>
      <c r="E53" s="337" t="s">
        <v>444</v>
      </c>
      <c r="F53" s="346">
        <v>500000</v>
      </c>
      <c r="G53" s="346">
        <v>66650</v>
      </c>
      <c r="H53" s="346">
        <v>566650</v>
      </c>
      <c r="I53" s="348">
        <v>50</v>
      </c>
      <c r="J53" s="351">
        <v>11333</v>
      </c>
      <c r="K53" s="356">
        <f t="shared" si="4"/>
        <v>1333</v>
      </c>
      <c r="L53" s="356">
        <f t="shared" si="5"/>
        <v>10000</v>
      </c>
      <c r="M53" s="356">
        <f t="shared" si="6"/>
        <v>35991</v>
      </c>
      <c r="N53" s="356">
        <f t="shared" si="7"/>
        <v>30659</v>
      </c>
      <c r="O53" s="348">
        <v>27</v>
      </c>
      <c r="P53" s="348">
        <v>23</v>
      </c>
      <c r="Q53" s="345">
        <f t="shared" si="8"/>
        <v>305991</v>
      </c>
      <c r="R53" s="339">
        <f t="shared" si="9"/>
        <v>260659</v>
      </c>
      <c r="S53" s="337"/>
    </row>
    <row r="54" spans="2:19">
      <c r="B54" s="364" t="s">
        <v>1001</v>
      </c>
      <c r="C54" s="367">
        <v>50</v>
      </c>
      <c r="D54" s="337" t="s">
        <v>1437</v>
      </c>
      <c r="E54" s="337" t="s">
        <v>834</v>
      </c>
      <c r="F54" s="346">
        <v>330000</v>
      </c>
      <c r="G54" s="346">
        <v>43989</v>
      </c>
      <c r="H54" s="346">
        <v>373989</v>
      </c>
      <c r="I54" s="348">
        <v>50</v>
      </c>
      <c r="J54" s="351">
        <v>7479.78</v>
      </c>
      <c r="K54" s="356">
        <f t="shared" si="4"/>
        <v>879.78</v>
      </c>
      <c r="L54" s="356">
        <f t="shared" si="5"/>
        <v>6600</v>
      </c>
      <c r="M54" s="356">
        <f t="shared" si="6"/>
        <v>23754.059999999998</v>
      </c>
      <c r="N54" s="356">
        <f t="shared" si="7"/>
        <v>20234.939999999999</v>
      </c>
      <c r="O54" s="348">
        <v>27</v>
      </c>
      <c r="P54" s="348">
        <v>23</v>
      </c>
      <c r="Q54" s="345">
        <f t="shared" si="8"/>
        <v>201954.06</v>
      </c>
      <c r="R54" s="339">
        <f t="shared" si="9"/>
        <v>172034.94</v>
      </c>
      <c r="S54" s="337"/>
    </row>
    <row r="55" spans="2:19">
      <c r="B55" s="363" t="s">
        <v>996</v>
      </c>
      <c r="C55" s="367">
        <v>51</v>
      </c>
      <c r="D55" s="337" t="s">
        <v>1437</v>
      </c>
      <c r="E55" s="337" t="s">
        <v>338</v>
      </c>
      <c r="F55" s="346">
        <v>500000</v>
      </c>
      <c r="G55" s="346">
        <v>66650</v>
      </c>
      <c r="H55" s="346">
        <v>566650</v>
      </c>
      <c r="I55" s="348">
        <v>40</v>
      </c>
      <c r="J55" s="351">
        <v>13833</v>
      </c>
      <c r="K55" s="356">
        <f t="shared" si="4"/>
        <v>1333</v>
      </c>
      <c r="L55" s="356">
        <f t="shared" si="5"/>
        <v>10000</v>
      </c>
      <c r="M55" s="356">
        <f t="shared" si="6"/>
        <v>2666</v>
      </c>
      <c r="N55" s="356">
        <f t="shared" si="7"/>
        <v>50654</v>
      </c>
      <c r="O55" s="348">
        <v>2</v>
      </c>
      <c r="P55" s="348">
        <v>38</v>
      </c>
      <c r="Q55" s="345">
        <f t="shared" si="8"/>
        <v>27666</v>
      </c>
      <c r="R55" s="339">
        <f t="shared" si="9"/>
        <v>538984</v>
      </c>
      <c r="S55" s="337"/>
    </row>
    <row r="56" spans="2:19">
      <c r="B56" s="361" t="s">
        <v>1335</v>
      </c>
      <c r="C56" s="367">
        <v>52</v>
      </c>
      <c r="D56" s="337" t="s">
        <v>1437</v>
      </c>
      <c r="E56" s="337" t="s">
        <v>1336</v>
      </c>
      <c r="F56" s="346">
        <v>500000</v>
      </c>
      <c r="G56" s="346">
        <v>66650</v>
      </c>
      <c r="H56" s="346">
        <v>566650</v>
      </c>
      <c r="I56" s="348">
        <v>50</v>
      </c>
      <c r="J56" s="351">
        <v>11333</v>
      </c>
      <c r="K56" s="356">
        <f t="shared" si="4"/>
        <v>1333</v>
      </c>
      <c r="L56" s="356">
        <f t="shared" si="5"/>
        <v>10000</v>
      </c>
      <c r="M56" s="356">
        <f t="shared" si="6"/>
        <v>11997</v>
      </c>
      <c r="N56" s="356">
        <f t="shared" si="7"/>
        <v>54653</v>
      </c>
      <c r="O56" s="348">
        <v>9</v>
      </c>
      <c r="P56" s="348">
        <v>41</v>
      </c>
      <c r="Q56" s="345">
        <f t="shared" si="8"/>
        <v>101997</v>
      </c>
      <c r="R56" s="339">
        <f t="shared" si="9"/>
        <v>464653</v>
      </c>
      <c r="S56" s="337"/>
    </row>
    <row r="57" spans="2:19">
      <c r="B57" s="361" t="s">
        <v>1312</v>
      </c>
      <c r="C57" s="367">
        <v>53</v>
      </c>
      <c r="D57" s="337" t="s">
        <v>1437</v>
      </c>
      <c r="E57" s="337" t="s">
        <v>436</v>
      </c>
      <c r="F57" s="346">
        <v>500000</v>
      </c>
      <c r="G57" s="346">
        <v>66650</v>
      </c>
      <c r="H57" s="346">
        <v>566650</v>
      </c>
      <c r="I57" s="348">
        <v>25</v>
      </c>
      <c r="J57" s="351">
        <v>21333</v>
      </c>
      <c r="K57" s="356">
        <f t="shared" si="4"/>
        <v>1333</v>
      </c>
      <c r="L57" s="356">
        <f t="shared" si="5"/>
        <v>10000</v>
      </c>
      <c r="M57" s="356">
        <f t="shared" si="6"/>
        <v>9331</v>
      </c>
      <c r="N57" s="356">
        <f t="shared" si="7"/>
        <v>23994</v>
      </c>
      <c r="O57" s="348">
        <v>7</v>
      </c>
      <c r="P57" s="348">
        <v>18</v>
      </c>
      <c r="Q57" s="345">
        <f t="shared" si="8"/>
        <v>149331</v>
      </c>
      <c r="R57" s="339">
        <f t="shared" si="9"/>
        <v>417319</v>
      </c>
      <c r="S57" s="337"/>
    </row>
    <row r="58" spans="2:19">
      <c r="B58" s="364" t="s">
        <v>1044</v>
      </c>
      <c r="C58" s="367">
        <v>54</v>
      </c>
      <c r="D58" s="337" t="s">
        <v>1437</v>
      </c>
      <c r="E58" s="337" t="s">
        <v>844</v>
      </c>
      <c r="F58" s="346">
        <v>150000</v>
      </c>
      <c r="G58" s="346">
        <v>19995</v>
      </c>
      <c r="H58" s="346">
        <v>169995</v>
      </c>
      <c r="I58" s="348">
        <v>50</v>
      </c>
      <c r="J58" s="351">
        <v>3399.9</v>
      </c>
      <c r="K58" s="356">
        <f t="shared" si="4"/>
        <v>399.9</v>
      </c>
      <c r="L58" s="356">
        <f t="shared" si="5"/>
        <v>3000</v>
      </c>
      <c r="M58" s="356">
        <f t="shared" si="6"/>
        <v>10797.3</v>
      </c>
      <c r="N58" s="356">
        <f t="shared" si="7"/>
        <v>9197.6999999999989</v>
      </c>
      <c r="O58" s="348">
        <v>27</v>
      </c>
      <c r="P58" s="348">
        <v>23</v>
      </c>
      <c r="Q58" s="345">
        <f t="shared" si="8"/>
        <v>91797.3</v>
      </c>
      <c r="R58" s="339">
        <f t="shared" si="9"/>
        <v>78197.7</v>
      </c>
      <c r="S58" s="337"/>
    </row>
    <row r="59" spans="2:19">
      <c r="B59" s="361" t="s">
        <v>1328</v>
      </c>
      <c r="C59" s="367">
        <v>55</v>
      </c>
      <c r="D59" s="337" t="s">
        <v>1437</v>
      </c>
      <c r="E59" s="337" t="s">
        <v>433</v>
      </c>
      <c r="F59" s="346">
        <v>500000</v>
      </c>
      <c r="G59" s="346">
        <v>66650</v>
      </c>
      <c r="H59" s="346">
        <v>566650</v>
      </c>
      <c r="I59" s="348">
        <v>50</v>
      </c>
      <c r="J59" s="351">
        <v>11333</v>
      </c>
      <c r="K59" s="356">
        <f t="shared" si="4"/>
        <v>1333</v>
      </c>
      <c r="L59" s="356">
        <f t="shared" si="5"/>
        <v>10000</v>
      </c>
      <c r="M59" s="356">
        <f t="shared" si="6"/>
        <v>15996</v>
      </c>
      <c r="N59" s="356">
        <f t="shared" si="7"/>
        <v>50654</v>
      </c>
      <c r="O59" s="348">
        <v>12</v>
      </c>
      <c r="P59" s="348">
        <v>38</v>
      </c>
      <c r="Q59" s="345">
        <f t="shared" si="8"/>
        <v>135996</v>
      </c>
      <c r="R59" s="339">
        <f t="shared" si="9"/>
        <v>430654</v>
      </c>
      <c r="S59" s="337"/>
    </row>
    <row r="60" spans="2:19">
      <c r="B60" s="364" t="s">
        <v>1058</v>
      </c>
      <c r="C60" s="367">
        <v>56</v>
      </c>
      <c r="D60" s="337" t="s">
        <v>1437</v>
      </c>
      <c r="E60" s="337" t="s">
        <v>346</v>
      </c>
      <c r="F60" s="346">
        <v>500000</v>
      </c>
      <c r="G60" s="346">
        <v>66650</v>
      </c>
      <c r="H60" s="346">
        <v>566650</v>
      </c>
      <c r="I60" s="348">
        <v>50</v>
      </c>
      <c r="J60" s="351">
        <v>11333</v>
      </c>
      <c r="K60" s="356">
        <f t="shared" si="4"/>
        <v>1333</v>
      </c>
      <c r="L60" s="356">
        <f t="shared" si="5"/>
        <v>10000</v>
      </c>
      <c r="M60" s="356">
        <f t="shared" si="6"/>
        <v>50654</v>
      </c>
      <c r="N60" s="356">
        <f t="shared" si="7"/>
        <v>15996</v>
      </c>
      <c r="O60" s="348">
        <v>38</v>
      </c>
      <c r="P60" s="348">
        <v>12</v>
      </c>
      <c r="Q60" s="345">
        <f t="shared" si="8"/>
        <v>430654</v>
      </c>
      <c r="R60" s="339">
        <f t="shared" si="9"/>
        <v>135996</v>
      </c>
      <c r="S60" s="337"/>
    </row>
    <row r="61" spans="2:19">
      <c r="B61" s="362" t="s">
        <v>1322</v>
      </c>
      <c r="C61" s="367">
        <v>57</v>
      </c>
      <c r="D61" s="337" t="s">
        <v>1437</v>
      </c>
      <c r="E61" s="337" t="s">
        <v>1122</v>
      </c>
      <c r="F61" s="346">
        <v>500000</v>
      </c>
      <c r="G61" s="346">
        <v>66650</v>
      </c>
      <c r="H61" s="346">
        <v>566650</v>
      </c>
      <c r="I61" s="348">
        <v>50</v>
      </c>
      <c r="J61" s="351">
        <v>11333</v>
      </c>
      <c r="K61" s="356">
        <f t="shared" si="4"/>
        <v>1333</v>
      </c>
      <c r="L61" s="356">
        <f t="shared" si="5"/>
        <v>10000</v>
      </c>
      <c r="M61" s="356">
        <f t="shared" si="6"/>
        <v>18662</v>
      </c>
      <c r="N61" s="356">
        <f t="shared" si="7"/>
        <v>47988</v>
      </c>
      <c r="O61" s="348">
        <v>14</v>
      </c>
      <c r="P61" s="348">
        <v>36</v>
      </c>
      <c r="Q61" s="345">
        <f t="shared" si="8"/>
        <v>158662</v>
      </c>
      <c r="R61" s="339">
        <f t="shared" si="9"/>
        <v>407988</v>
      </c>
      <c r="S61" s="337"/>
    </row>
    <row r="62" spans="2:19">
      <c r="B62" s="364" t="s">
        <v>1098</v>
      </c>
      <c r="C62" s="367">
        <v>58</v>
      </c>
      <c r="D62" s="337" t="s">
        <v>1437</v>
      </c>
      <c r="E62" s="337" t="s">
        <v>345</v>
      </c>
      <c r="F62" s="346">
        <v>500000</v>
      </c>
      <c r="G62" s="346">
        <v>66650</v>
      </c>
      <c r="H62" s="346">
        <v>566650</v>
      </c>
      <c r="I62" s="348">
        <v>50</v>
      </c>
      <c r="J62" s="351">
        <v>11333</v>
      </c>
      <c r="K62" s="356">
        <f t="shared" si="4"/>
        <v>1333</v>
      </c>
      <c r="L62" s="356">
        <f t="shared" si="5"/>
        <v>10000</v>
      </c>
      <c r="M62" s="356">
        <f t="shared" si="6"/>
        <v>51987</v>
      </c>
      <c r="N62" s="356">
        <f t="shared" si="7"/>
        <v>14663</v>
      </c>
      <c r="O62" s="348">
        <v>39</v>
      </c>
      <c r="P62" s="348">
        <v>11</v>
      </c>
      <c r="Q62" s="345">
        <f t="shared" si="8"/>
        <v>441987</v>
      </c>
      <c r="R62" s="339">
        <f t="shared" si="9"/>
        <v>124663</v>
      </c>
      <c r="S62" s="337"/>
    </row>
    <row r="63" spans="2:19">
      <c r="B63" s="362" t="s">
        <v>1125</v>
      </c>
      <c r="C63" s="367">
        <v>59</v>
      </c>
      <c r="D63" s="337" t="s">
        <v>1437</v>
      </c>
      <c r="E63" s="337" t="s">
        <v>452</v>
      </c>
      <c r="F63" s="346">
        <v>500000</v>
      </c>
      <c r="G63" s="346">
        <v>66650</v>
      </c>
      <c r="H63" s="346">
        <v>566650</v>
      </c>
      <c r="I63" s="348">
        <v>50</v>
      </c>
      <c r="J63" s="351">
        <v>11333</v>
      </c>
      <c r="K63" s="356">
        <f t="shared" si="4"/>
        <v>1333</v>
      </c>
      <c r="L63" s="356">
        <f t="shared" si="5"/>
        <v>10000</v>
      </c>
      <c r="M63" s="356">
        <f t="shared" si="6"/>
        <v>19995</v>
      </c>
      <c r="N63" s="356">
        <f t="shared" si="7"/>
        <v>46655</v>
      </c>
      <c r="O63" s="348">
        <v>15</v>
      </c>
      <c r="P63" s="348">
        <v>35</v>
      </c>
      <c r="Q63" s="339">
        <f t="shared" si="8"/>
        <v>169995</v>
      </c>
      <c r="R63" s="339">
        <f t="shared" si="9"/>
        <v>396655</v>
      </c>
      <c r="S63" s="337"/>
    </row>
    <row r="64" spans="2:19">
      <c r="B64" s="362" t="s">
        <v>1390</v>
      </c>
      <c r="C64" s="367">
        <v>60</v>
      </c>
      <c r="D64" s="337" t="s">
        <v>1437</v>
      </c>
      <c r="E64" s="337" t="s">
        <v>1391</v>
      </c>
      <c r="F64" s="346">
        <v>150000</v>
      </c>
      <c r="G64" s="346">
        <v>19995</v>
      </c>
      <c r="H64" s="346">
        <v>169995</v>
      </c>
      <c r="I64" s="348">
        <v>40</v>
      </c>
      <c r="J64" s="351">
        <v>4149.8999999999996</v>
      </c>
      <c r="K64" s="356">
        <f t="shared" si="4"/>
        <v>399.9</v>
      </c>
      <c r="L64" s="356">
        <f t="shared" si="5"/>
        <v>3000</v>
      </c>
      <c r="M64" s="356">
        <f t="shared" si="6"/>
        <v>5598.5999999999995</v>
      </c>
      <c r="N64" s="356">
        <f t="shared" si="7"/>
        <v>10397.4</v>
      </c>
      <c r="O64" s="348">
        <v>14</v>
      </c>
      <c r="P64" s="348">
        <v>26</v>
      </c>
      <c r="Q64" s="339">
        <f t="shared" si="8"/>
        <v>58098.599999999991</v>
      </c>
      <c r="R64" s="339">
        <f t="shared" si="9"/>
        <v>111896.40000000001</v>
      </c>
      <c r="S64" s="337"/>
    </row>
    <row r="65" spans="2:19">
      <c r="B65" s="364" t="s">
        <v>1067</v>
      </c>
      <c r="C65" s="367">
        <v>61</v>
      </c>
      <c r="D65" s="337" t="s">
        <v>1437</v>
      </c>
      <c r="E65" s="337" t="s">
        <v>368</v>
      </c>
      <c r="F65" s="346">
        <v>450000</v>
      </c>
      <c r="G65" s="346">
        <v>59985</v>
      </c>
      <c r="H65" s="346">
        <v>509985</v>
      </c>
      <c r="I65" s="348">
        <v>50</v>
      </c>
      <c r="J65" s="351">
        <v>10199.700000000001</v>
      </c>
      <c r="K65" s="356">
        <f t="shared" si="4"/>
        <v>1199.7</v>
      </c>
      <c r="L65" s="356">
        <f t="shared" si="5"/>
        <v>9000</v>
      </c>
      <c r="M65" s="356">
        <f t="shared" si="6"/>
        <v>45588.6</v>
      </c>
      <c r="N65" s="356">
        <f t="shared" si="7"/>
        <v>14396.400000000001</v>
      </c>
      <c r="O65" s="348">
        <v>38</v>
      </c>
      <c r="P65" s="348">
        <v>12</v>
      </c>
      <c r="Q65" s="339">
        <f t="shared" si="8"/>
        <v>387588.60000000003</v>
      </c>
      <c r="R65" s="339">
        <f t="shared" si="9"/>
        <v>122396.39999999997</v>
      </c>
      <c r="S65" s="337"/>
    </row>
    <row r="66" spans="2:19">
      <c r="B66" s="362" t="s">
        <v>1078</v>
      </c>
      <c r="C66" s="367">
        <v>62</v>
      </c>
      <c r="D66" s="337" t="s">
        <v>1437</v>
      </c>
      <c r="E66" s="337" t="s">
        <v>446</v>
      </c>
      <c r="F66" s="346">
        <v>330000</v>
      </c>
      <c r="G66" s="346">
        <v>43989</v>
      </c>
      <c r="H66" s="346">
        <v>373989</v>
      </c>
      <c r="I66" s="348">
        <v>50</v>
      </c>
      <c r="J66" s="351">
        <v>7479.78</v>
      </c>
      <c r="K66" s="356">
        <f t="shared" si="4"/>
        <v>879.78</v>
      </c>
      <c r="L66" s="356">
        <f t="shared" si="5"/>
        <v>6600</v>
      </c>
      <c r="M66" s="356">
        <f t="shared" si="6"/>
        <v>19355.16</v>
      </c>
      <c r="N66" s="356">
        <f t="shared" si="7"/>
        <v>24633.84</v>
      </c>
      <c r="O66" s="348">
        <v>22</v>
      </c>
      <c r="P66" s="348">
        <v>28</v>
      </c>
      <c r="Q66" s="339">
        <f t="shared" si="8"/>
        <v>164555.16</v>
      </c>
      <c r="R66" s="339">
        <f t="shared" si="9"/>
        <v>209433.84</v>
      </c>
      <c r="S66" s="337"/>
    </row>
    <row r="67" spans="2:19">
      <c r="B67" s="362" t="s">
        <v>1120</v>
      </c>
      <c r="C67" s="367">
        <v>63</v>
      </c>
      <c r="D67" s="337" t="s">
        <v>1437</v>
      </c>
      <c r="E67" s="337" t="s">
        <v>1121</v>
      </c>
      <c r="F67" s="346">
        <v>150000</v>
      </c>
      <c r="G67" s="346">
        <v>19995</v>
      </c>
      <c r="H67" s="346">
        <v>169995</v>
      </c>
      <c r="I67" s="348">
        <v>50</v>
      </c>
      <c r="J67" s="351">
        <v>3399.9</v>
      </c>
      <c r="K67" s="356">
        <f t="shared" si="4"/>
        <v>399.9</v>
      </c>
      <c r="L67" s="356">
        <f t="shared" si="5"/>
        <v>3000</v>
      </c>
      <c r="M67" s="356">
        <f t="shared" si="6"/>
        <v>5998.5</v>
      </c>
      <c r="N67" s="356">
        <f t="shared" si="7"/>
        <v>13996.5</v>
      </c>
      <c r="O67" s="348">
        <v>15</v>
      </c>
      <c r="P67" s="348">
        <v>35</v>
      </c>
      <c r="Q67" s="339">
        <f t="shared" si="8"/>
        <v>50998.5</v>
      </c>
      <c r="R67" s="339">
        <f t="shared" si="9"/>
        <v>118996.5</v>
      </c>
      <c r="S67" s="337"/>
    </row>
    <row r="68" spans="2:19">
      <c r="B68" s="361" t="s">
        <v>1375</v>
      </c>
      <c r="C68" s="367">
        <v>64</v>
      </c>
      <c r="D68" s="337" t="s">
        <v>1437</v>
      </c>
      <c r="E68" s="337" t="s">
        <v>1376</v>
      </c>
      <c r="F68" s="346">
        <v>330000</v>
      </c>
      <c r="G68" s="346">
        <v>43989</v>
      </c>
      <c r="H68" s="346">
        <v>373989</v>
      </c>
      <c r="I68" s="348">
        <v>50</v>
      </c>
      <c r="J68" s="351">
        <v>7479.78</v>
      </c>
      <c r="K68" s="356">
        <f t="shared" si="4"/>
        <v>879.78</v>
      </c>
      <c r="L68" s="356">
        <f t="shared" si="5"/>
        <v>6600</v>
      </c>
      <c r="M68" s="356">
        <f t="shared" si="6"/>
        <v>4398.8999999999996</v>
      </c>
      <c r="N68" s="356">
        <f t="shared" si="7"/>
        <v>39590.1</v>
      </c>
      <c r="O68" s="348">
        <v>5</v>
      </c>
      <c r="P68" s="348">
        <v>45</v>
      </c>
      <c r="Q68" s="339">
        <f t="shared" si="8"/>
        <v>37398.9</v>
      </c>
      <c r="R68" s="339">
        <f t="shared" si="9"/>
        <v>336590.1</v>
      </c>
      <c r="S68" s="337"/>
    </row>
    <row r="69" spans="2:19">
      <c r="B69" s="362" t="s">
        <v>1392</v>
      </c>
      <c r="C69" s="367">
        <v>65</v>
      </c>
      <c r="D69" s="337" t="s">
        <v>1437</v>
      </c>
      <c r="E69" s="337" t="s">
        <v>1393</v>
      </c>
      <c r="F69" s="346">
        <v>150000</v>
      </c>
      <c r="G69" s="346">
        <v>19995</v>
      </c>
      <c r="H69" s="346">
        <v>169995</v>
      </c>
      <c r="I69" s="348">
        <v>40</v>
      </c>
      <c r="J69" s="351">
        <v>4149.8999999999996</v>
      </c>
      <c r="K69" s="356">
        <f t="shared" si="4"/>
        <v>399.9</v>
      </c>
      <c r="L69" s="356">
        <f t="shared" si="5"/>
        <v>3000</v>
      </c>
      <c r="M69" s="356">
        <f t="shared" ref="M69:M100" si="10">K69*O69</f>
        <v>5598.5999999999995</v>
      </c>
      <c r="N69" s="356">
        <f t="shared" ref="N69:N100" si="11">K69*P69</f>
        <v>10397.4</v>
      </c>
      <c r="O69" s="348">
        <v>14</v>
      </c>
      <c r="P69" s="348">
        <v>26</v>
      </c>
      <c r="Q69" s="339">
        <f t="shared" ref="Q69:Q100" si="12">J69*O69</f>
        <v>58098.599999999991</v>
      </c>
      <c r="R69" s="339">
        <f t="shared" ref="R69:R100" si="13">H69-Q69</f>
        <v>111896.40000000001</v>
      </c>
      <c r="S69" s="337"/>
    </row>
    <row r="70" spans="2:19">
      <c r="B70" s="364" t="s">
        <v>982</v>
      </c>
      <c r="C70" s="367">
        <v>66</v>
      </c>
      <c r="D70" s="337" t="s">
        <v>1437</v>
      </c>
      <c r="E70" s="337" t="s">
        <v>350</v>
      </c>
      <c r="F70" s="346">
        <v>500000</v>
      </c>
      <c r="G70" s="346">
        <v>66650</v>
      </c>
      <c r="H70" s="346">
        <v>566650</v>
      </c>
      <c r="I70" s="348">
        <v>50</v>
      </c>
      <c r="J70" s="351">
        <v>11333</v>
      </c>
      <c r="K70" s="356">
        <f t="shared" ref="K70:K133" si="14">G70/50</f>
        <v>1333</v>
      </c>
      <c r="L70" s="356">
        <f t="shared" ref="L70:L133" si="15">F70/50</f>
        <v>10000</v>
      </c>
      <c r="M70" s="356">
        <f t="shared" si="10"/>
        <v>41323</v>
      </c>
      <c r="N70" s="356">
        <f t="shared" si="11"/>
        <v>25327</v>
      </c>
      <c r="O70" s="348">
        <v>31</v>
      </c>
      <c r="P70" s="348">
        <v>19</v>
      </c>
      <c r="Q70" s="339">
        <f t="shared" si="12"/>
        <v>351323</v>
      </c>
      <c r="R70" s="339">
        <f t="shared" si="13"/>
        <v>215327</v>
      </c>
      <c r="S70" s="337"/>
    </row>
    <row r="71" spans="2:19">
      <c r="B71" s="364" t="s">
        <v>965</v>
      </c>
      <c r="C71" s="367">
        <v>67</v>
      </c>
      <c r="D71" s="337" t="s">
        <v>1437</v>
      </c>
      <c r="E71" s="337" t="s">
        <v>334</v>
      </c>
      <c r="F71" s="346">
        <v>500000</v>
      </c>
      <c r="G71" s="346">
        <v>66650</v>
      </c>
      <c r="H71" s="346">
        <v>566650</v>
      </c>
      <c r="I71" s="348">
        <v>50</v>
      </c>
      <c r="J71" s="351">
        <v>11333</v>
      </c>
      <c r="K71" s="356">
        <f t="shared" si="14"/>
        <v>1333</v>
      </c>
      <c r="L71" s="356">
        <f t="shared" si="15"/>
        <v>10000</v>
      </c>
      <c r="M71" s="356">
        <f t="shared" si="10"/>
        <v>51987</v>
      </c>
      <c r="N71" s="356">
        <f t="shared" si="11"/>
        <v>14663</v>
      </c>
      <c r="O71" s="348">
        <v>39</v>
      </c>
      <c r="P71" s="348">
        <v>11</v>
      </c>
      <c r="Q71" s="339">
        <f t="shared" si="12"/>
        <v>441987</v>
      </c>
      <c r="R71" s="339">
        <f t="shared" si="13"/>
        <v>124663</v>
      </c>
      <c r="S71" s="337"/>
    </row>
    <row r="72" spans="2:19">
      <c r="B72" s="363" t="s">
        <v>1402</v>
      </c>
      <c r="C72" s="367">
        <v>68</v>
      </c>
      <c r="D72" s="337" t="s">
        <v>1437</v>
      </c>
      <c r="E72" s="337" t="s">
        <v>1403</v>
      </c>
      <c r="F72" s="346">
        <v>150000</v>
      </c>
      <c r="G72" s="346">
        <v>19995</v>
      </c>
      <c r="H72" s="346">
        <v>169995</v>
      </c>
      <c r="I72" s="348">
        <v>50</v>
      </c>
      <c r="J72" s="351">
        <v>3399.9</v>
      </c>
      <c r="K72" s="356">
        <f t="shared" si="14"/>
        <v>399.9</v>
      </c>
      <c r="L72" s="356">
        <f t="shared" si="15"/>
        <v>3000</v>
      </c>
      <c r="M72" s="356">
        <f t="shared" si="10"/>
        <v>799.8</v>
      </c>
      <c r="N72" s="356">
        <f t="shared" si="11"/>
        <v>19195.199999999997</v>
      </c>
      <c r="O72" s="348">
        <v>2</v>
      </c>
      <c r="P72" s="348">
        <v>48</v>
      </c>
      <c r="Q72" s="339">
        <f t="shared" si="12"/>
        <v>6799.8</v>
      </c>
      <c r="R72" s="339">
        <f t="shared" si="13"/>
        <v>163195.20000000001</v>
      </c>
      <c r="S72" s="337"/>
    </row>
    <row r="73" spans="2:19">
      <c r="B73" s="365" t="s">
        <v>1355</v>
      </c>
      <c r="C73" s="367">
        <v>69</v>
      </c>
      <c r="D73" s="337" t="s">
        <v>1437</v>
      </c>
      <c r="E73" s="337" t="s">
        <v>1287</v>
      </c>
      <c r="F73" s="346">
        <v>450000</v>
      </c>
      <c r="G73" s="346">
        <v>59985</v>
      </c>
      <c r="H73" s="346">
        <v>509985</v>
      </c>
      <c r="I73" s="348">
        <v>50</v>
      </c>
      <c r="J73" s="351">
        <v>10199.700000000001</v>
      </c>
      <c r="K73" s="356">
        <f t="shared" si="14"/>
        <v>1199.7</v>
      </c>
      <c r="L73" s="356">
        <f t="shared" si="15"/>
        <v>9000</v>
      </c>
      <c r="M73" s="356">
        <f t="shared" si="10"/>
        <v>8397.9</v>
      </c>
      <c r="N73" s="356">
        <f t="shared" si="11"/>
        <v>51587.1</v>
      </c>
      <c r="O73" s="348">
        <v>7</v>
      </c>
      <c r="P73" s="348">
        <v>43</v>
      </c>
      <c r="Q73" s="339">
        <f t="shared" si="12"/>
        <v>71397.900000000009</v>
      </c>
      <c r="R73" s="339">
        <f t="shared" si="13"/>
        <v>438587.1</v>
      </c>
      <c r="S73" s="337"/>
    </row>
    <row r="74" spans="2:19">
      <c r="B74" s="361" t="s">
        <v>1102</v>
      </c>
      <c r="C74" s="367">
        <v>70</v>
      </c>
      <c r="D74" s="337" t="s">
        <v>1437</v>
      </c>
      <c r="E74" s="337" t="s">
        <v>485</v>
      </c>
      <c r="F74" s="346">
        <v>500000</v>
      </c>
      <c r="G74" s="346">
        <v>66650</v>
      </c>
      <c r="H74" s="346">
        <v>566650</v>
      </c>
      <c r="I74" s="348">
        <v>50</v>
      </c>
      <c r="J74" s="351">
        <v>11333</v>
      </c>
      <c r="K74" s="356">
        <f t="shared" si="14"/>
        <v>1333</v>
      </c>
      <c r="L74" s="356">
        <f t="shared" si="15"/>
        <v>10000</v>
      </c>
      <c r="M74" s="356">
        <f t="shared" si="10"/>
        <v>5332</v>
      </c>
      <c r="N74" s="356">
        <f t="shared" si="11"/>
        <v>61318</v>
      </c>
      <c r="O74" s="348">
        <v>4</v>
      </c>
      <c r="P74" s="348">
        <v>46</v>
      </c>
      <c r="Q74" s="339">
        <f t="shared" si="12"/>
        <v>45332</v>
      </c>
      <c r="R74" s="339">
        <f t="shared" si="13"/>
        <v>521318</v>
      </c>
      <c r="S74" s="337"/>
    </row>
    <row r="75" spans="2:19">
      <c r="B75" s="365" t="s">
        <v>1351</v>
      </c>
      <c r="C75" s="367">
        <v>71</v>
      </c>
      <c r="D75" s="337" t="s">
        <v>1437</v>
      </c>
      <c r="E75" s="337" t="s">
        <v>1285</v>
      </c>
      <c r="F75" s="346">
        <v>500000</v>
      </c>
      <c r="G75" s="346">
        <v>66650</v>
      </c>
      <c r="H75" s="346">
        <v>566650</v>
      </c>
      <c r="I75" s="348">
        <v>50</v>
      </c>
      <c r="J75" s="351">
        <v>11333</v>
      </c>
      <c r="K75" s="356">
        <f t="shared" si="14"/>
        <v>1333</v>
      </c>
      <c r="L75" s="356">
        <f t="shared" si="15"/>
        <v>10000</v>
      </c>
      <c r="M75" s="356">
        <f t="shared" si="10"/>
        <v>9331</v>
      </c>
      <c r="N75" s="356">
        <f t="shared" si="11"/>
        <v>57319</v>
      </c>
      <c r="O75" s="348">
        <v>7</v>
      </c>
      <c r="P75" s="348">
        <v>43</v>
      </c>
      <c r="Q75" s="339">
        <f t="shared" si="12"/>
        <v>79331</v>
      </c>
      <c r="R75" s="339">
        <f t="shared" si="13"/>
        <v>487319</v>
      </c>
      <c r="S75" s="337"/>
    </row>
    <row r="76" spans="2:19">
      <c r="B76" s="364" t="s">
        <v>960</v>
      </c>
      <c r="C76" s="367">
        <v>72</v>
      </c>
      <c r="D76" s="337" t="s">
        <v>1437</v>
      </c>
      <c r="E76" s="337" t="s">
        <v>488</v>
      </c>
      <c r="F76" s="346">
        <v>500000</v>
      </c>
      <c r="G76" s="346">
        <v>66650</v>
      </c>
      <c r="H76" s="346">
        <v>566650</v>
      </c>
      <c r="I76" s="348">
        <v>50</v>
      </c>
      <c r="J76" s="351">
        <v>11333</v>
      </c>
      <c r="K76" s="356">
        <f t="shared" si="14"/>
        <v>1333</v>
      </c>
      <c r="L76" s="356">
        <f t="shared" si="15"/>
        <v>10000</v>
      </c>
      <c r="M76" s="356">
        <f t="shared" si="10"/>
        <v>35991</v>
      </c>
      <c r="N76" s="356">
        <f t="shared" si="11"/>
        <v>30659</v>
      </c>
      <c r="O76" s="348">
        <v>27</v>
      </c>
      <c r="P76" s="348">
        <v>23</v>
      </c>
      <c r="Q76" s="339">
        <f t="shared" si="12"/>
        <v>305991</v>
      </c>
      <c r="R76" s="339">
        <f t="shared" si="13"/>
        <v>260659</v>
      </c>
      <c r="S76" s="337"/>
    </row>
    <row r="77" spans="2:19">
      <c r="B77" s="364" t="s">
        <v>1024</v>
      </c>
      <c r="C77" s="367">
        <v>73</v>
      </c>
      <c r="D77" s="337" t="s">
        <v>1437</v>
      </c>
      <c r="E77" s="337" t="s">
        <v>810</v>
      </c>
      <c r="F77" s="346">
        <v>450000</v>
      </c>
      <c r="G77" s="346">
        <v>59985</v>
      </c>
      <c r="H77" s="346">
        <v>509985</v>
      </c>
      <c r="I77" s="348">
        <v>50</v>
      </c>
      <c r="J77" s="351">
        <v>10199.700000000001</v>
      </c>
      <c r="K77" s="356">
        <f t="shared" si="14"/>
        <v>1199.7</v>
      </c>
      <c r="L77" s="356">
        <f t="shared" si="15"/>
        <v>9000</v>
      </c>
      <c r="M77" s="356">
        <f t="shared" si="10"/>
        <v>62384.4</v>
      </c>
      <c r="N77" s="356">
        <f t="shared" si="11"/>
        <v>-2399.4</v>
      </c>
      <c r="O77" s="348">
        <v>52</v>
      </c>
      <c r="P77" s="348">
        <v>-2</v>
      </c>
      <c r="Q77" s="339">
        <f t="shared" si="12"/>
        <v>530384.4</v>
      </c>
      <c r="R77" s="339">
        <f t="shared" si="13"/>
        <v>-20399.400000000023</v>
      </c>
      <c r="S77" s="337"/>
    </row>
    <row r="78" spans="2:19">
      <c r="B78" s="362" t="s">
        <v>1011</v>
      </c>
      <c r="C78" s="367">
        <v>74</v>
      </c>
      <c r="D78" s="337" t="s">
        <v>1437</v>
      </c>
      <c r="E78" s="337" t="s">
        <v>863</v>
      </c>
      <c r="F78" s="346">
        <v>500000</v>
      </c>
      <c r="G78" s="346">
        <v>66650</v>
      </c>
      <c r="H78" s="346">
        <v>566650</v>
      </c>
      <c r="I78" s="348">
        <v>50</v>
      </c>
      <c r="J78" s="351">
        <v>11333</v>
      </c>
      <c r="K78" s="356">
        <f t="shared" si="14"/>
        <v>1333</v>
      </c>
      <c r="L78" s="356">
        <f t="shared" si="15"/>
        <v>10000</v>
      </c>
      <c r="M78" s="356">
        <f t="shared" si="10"/>
        <v>29326</v>
      </c>
      <c r="N78" s="356">
        <f t="shared" si="11"/>
        <v>37324</v>
      </c>
      <c r="O78" s="348">
        <v>22</v>
      </c>
      <c r="P78" s="348">
        <v>28</v>
      </c>
      <c r="Q78" s="339">
        <f t="shared" si="12"/>
        <v>249326</v>
      </c>
      <c r="R78" s="339">
        <f t="shared" si="13"/>
        <v>317324</v>
      </c>
      <c r="S78" s="337"/>
    </row>
    <row r="79" spans="2:19">
      <c r="B79" s="363" t="s">
        <v>1042</v>
      </c>
      <c r="C79" s="367">
        <v>75</v>
      </c>
      <c r="D79" s="337" t="s">
        <v>1437</v>
      </c>
      <c r="E79" s="337" t="s">
        <v>359</v>
      </c>
      <c r="F79" s="346">
        <v>500000</v>
      </c>
      <c r="G79" s="346">
        <v>66650</v>
      </c>
      <c r="H79" s="346">
        <v>566650</v>
      </c>
      <c r="I79" s="348">
        <v>50</v>
      </c>
      <c r="J79" s="351">
        <v>11333</v>
      </c>
      <c r="K79" s="356">
        <f t="shared" si="14"/>
        <v>1333</v>
      </c>
      <c r="L79" s="356">
        <f t="shared" si="15"/>
        <v>10000</v>
      </c>
      <c r="M79" s="356">
        <f t="shared" si="10"/>
        <v>2666</v>
      </c>
      <c r="N79" s="356">
        <f t="shared" si="11"/>
        <v>63984</v>
      </c>
      <c r="O79" s="348">
        <v>2</v>
      </c>
      <c r="P79" s="348">
        <v>48</v>
      </c>
      <c r="Q79" s="339">
        <f t="shared" si="12"/>
        <v>22666</v>
      </c>
      <c r="R79" s="339">
        <f t="shared" si="13"/>
        <v>543984</v>
      </c>
      <c r="S79" s="337"/>
    </row>
    <row r="80" spans="2:19">
      <c r="B80" s="364" t="s">
        <v>1045</v>
      </c>
      <c r="C80" s="367">
        <v>76</v>
      </c>
      <c r="D80" s="337" t="s">
        <v>1437</v>
      </c>
      <c r="E80" s="337" t="s">
        <v>867</v>
      </c>
      <c r="F80" s="346">
        <v>500000</v>
      </c>
      <c r="G80" s="346">
        <v>66650</v>
      </c>
      <c r="H80" s="346">
        <v>566650</v>
      </c>
      <c r="I80" s="348">
        <v>50</v>
      </c>
      <c r="J80" s="351">
        <v>11333</v>
      </c>
      <c r="K80" s="356">
        <f t="shared" si="14"/>
        <v>1333</v>
      </c>
      <c r="L80" s="356">
        <f t="shared" si="15"/>
        <v>10000</v>
      </c>
      <c r="M80" s="356">
        <f t="shared" si="10"/>
        <v>81313</v>
      </c>
      <c r="N80" s="356">
        <f t="shared" si="11"/>
        <v>-14663</v>
      </c>
      <c r="O80" s="348">
        <v>61</v>
      </c>
      <c r="P80" s="348">
        <v>-11</v>
      </c>
      <c r="Q80" s="339">
        <f t="shared" si="12"/>
        <v>691313</v>
      </c>
      <c r="R80" s="339">
        <f t="shared" si="13"/>
        <v>-124663</v>
      </c>
      <c r="S80" s="337"/>
    </row>
    <row r="81" spans="2:19">
      <c r="B81" s="361" t="s">
        <v>1323</v>
      </c>
      <c r="C81" s="367">
        <v>77</v>
      </c>
      <c r="D81" s="337" t="s">
        <v>1437</v>
      </c>
      <c r="E81" s="337" t="s">
        <v>448</v>
      </c>
      <c r="F81" s="346">
        <v>500000</v>
      </c>
      <c r="G81" s="346">
        <v>66650</v>
      </c>
      <c r="H81" s="346">
        <v>566650</v>
      </c>
      <c r="I81" s="348">
        <v>50</v>
      </c>
      <c r="J81" s="351">
        <v>11333</v>
      </c>
      <c r="K81" s="356">
        <f t="shared" si="14"/>
        <v>1333</v>
      </c>
      <c r="L81" s="356">
        <f t="shared" si="15"/>
        <v>10000</v>
      </c>
      <c r="M81" s="356">
        <f t="shared" si="10"/>
        <v>15996</v>
      </c>
      <c r="N81" s="356">
        <f t="shared" si="11"/>
        <v>50654</v>
      </c>
      <c r="O81" s="348">
        <v>12</v>
      </c>
      <c r="P81" s="348">
        <v>38</v>
      </c>
      <c r="Q81" s="339">
        <f t="shared" si="12"/>
        <v>135996</v>
      </c>
      <c r="R81" s="339">
        <f t="shared" si="13"/>
        <v>430654</v>
      </c>
      <c r="S81" s="337"/>
    </row>
    <row r="82" spans="2:19">
      <c r="B82" s="364" t="s">
        <v>1037</v>
      </c>
      <c r="C82" s="367">
        <v>78</v>
      </c>
      <c r="D82" s="337" t="s">
        <v>1437</v>
      </c>
      <c r="E82" s="337" t="s">
        <v>326</v>
      </c>
      <c r="F82" s="346">
        <v>500000</v>
      </c>
      <c r="G82" s="346">
        <v>66650</v>
      </c>
      <c r="H82" s="346">
        <v>566650</v>
      </c>
      <c r="I82" s="348">
        <v>50</v>
      </c>
      <c r="J82" s="351">
        <v>11333</v>
      </c>
      <c r="K82" s="356">
        <f t="shared" si="14"/>
        <v>1333</v>
      </c>
      <c r="L82" s="356">
        <f t="shared" si="15"/>
        <v>10000</v>
      </c>
      <c r="M82" s="356">
        <f t="shared" si="10"/>
        <v>50654</v>
      </c>
      <c r="N82" s="356">
        <f t="shared" si="11"/>
        <v>15996</v>
      </c>
      <c r="O82" s="348">
        <v>38</v>
      </c>
      <c r="P82" s="348">
        <v>12</v>
      </c>
      <c r="Q82" s="339">
        <f t="shared" si="12"/>
        <v>430654</v>
      </c>
      <c r="R82" s="339">
        <f t="shared" si="13"/>
        <v>135996</v>
      </c>
      <c r="S82" s="337"/>
    </row>
    <row r="83" spans="2:19">
      <c r="B83" s="363" t="s">
        <v>1002</v>
      </c>
      <c r="C83" s="367">
        <v>79</v>
      </c>
      <c r="D83" s="337" t="s">
        <v>1437</v>
      </c>
      <c r="E83" s="337" t="s">
        <v>1003</v>
      </c>
      <c r="F83" s="346">
        <v>150000</v>
      </c>
      <c r="G83" s="346">
        <v>19995</v>
      </c>
      <c r="H83" s="346">
        <v>169995</v>
      </c>
      <c r="I83" s="348">
        <v>50</v>
      </c>
      <c r="J83" s="351">
        <v>3399.9</v>
      </c>
      <c r="K83" s="356">
        <f t="shared" si="14"/>
        <v>399.9</v>
      </c>
      <c r="L83" s="356">
        <f t="shared" si="15"/>
        <v>3000</v>
      </c>
      <c r="M83" s="356">
        <f t="shared" si="10"/>
        <v>7598.0999999999995</v>
      </c>
      <c r="N83" s="356">
        <f t="shared" si="11"/>
        <v>12396.9</v>
      </c>
      <c r="O83" s="348">
        <v>19</v>
      </c>
      <c r="P83" s="348">
        <v>31</v>
      </c>
      <c r="Q83" s="339">
        <f t="shared" si="12"/>
        <v>64598.1</v>
      </c>
      <c r="R83" s="339">
        <f t="shared" si="13"/>
        <v>105396.9</v>
      </c>
      <c r="S83" s="337"/>
    </row>
    <row r="84" spans="2:19">
      <c r="B84" s="363" t="s">
        <v>1315</v>
      </c>
      <c r="C84" s="367">
        <v>80</v>
      </c>
      <c r="D84" s="337" t="s">
        <v>1437</v>
      </c>
      <c r="E84" s="337" t="s">
        <v>1316</v>
      </c>
      <c r="F84" s="346">
        <v>450000</v>
      </c>
      <c r="G84" s="346">
        <v>59985</v>
      </c>
      <c r="H84" s="346">
        <v>509985</v>
      </c>
      <c r="I84" s="348">
        <v>24</v>
      </c>
      <c r="J84" s="351">
        <v>19949.7</v>
      </c>
      <c r="K84" s="356">
        <f t="shared" si="14"/>
        <v>1199.7</v>
      </c>
      <c r="L84" s="356">
        <f t="shared" si="15"/>
        <v>9000</v>
      </c>
      <c r="M84" s="356">
        <f t="shared" si="10"/>
        <v>2399.4</v>
      </c>
      <c r="N84" s="356">
        <f t="shared" si="11"/>
        <v>26393.4</v>
      </c>
      <c r="O84" s="348">
        <v>2</v>
      </c>
      <c r="P84" s="348">
        <v>22</v>
      </c>
      <c r="Q84" s="339">
        <f t="shared" si="12"/>
        <v>39899.4</v>
      </c>
      <c r="R84" s="339">
        <f t="shared" si="13"/>
        <v>470085.6</v>
      </c>
      <c r="S84" s="337"/>
    </row>
    <row r="85" spans="2:19">
      <c r="B85" s="363" t="s">
        <v>1404</v>
      </c>
      <c r="C85" s="367">
        <v>81</v>
      </c>
      <c r="D85" s="337" t="s">
        <v>1437</v>
      </c>
      <c r="E85" s="337" t="s">
        <v>1405</v>
      </c>
      <c r="F85" s="346">
        <v>150000</v>
      </c>
      <c r="G85" s="346">
        <v>19995</v>
      </c>
      <c r="H85" s="346">
        <v>169995</v>
      </c>
      <c r="I85" s="348">
        <v>50</v>
      </c>
      <c r="J85" s="351">
        <v>3399.9</v>
      </c>
      <c r="K85" s="356">
        <f t="shared" si="14"/>
        <v>399.9</v>
      </c>
      <c r="L85" s="356">
        <f t="shared" si="15"/>
        <v>3000</v>
      </c>
      <c r="M85" s="356">
        <f t="shared" si="10"/>
        <v>799.8</v>
      </c>
      <c r="N85" s="356">
        <f t="shared" si="11"/>
        <v>19195.199999999997</v>
      </c>
      <c r="O85" s="348">
        <v>2</v>
      </c>
      <c r="P85" s="348">
        <v>48</v>
      </c>
      <c r="Q85" s="339">
        <f t="shared" si="12"/>
        <v>6799.8</v>
      </c>
      <c r="R85" s="339">
        <f t="shared" si="13"/>
        <v>163195.20000000001</v>
      </c>
      <c r="S85" s="337"/>
    </row>
    <row r="86" spans="2:19">
      <c r="B86" s="362" t="s">
        <v>1381</v>
      </c>
      <c r="C86" s="367">
        <v>82</v>
      </c>
      <c r="D86" s="337" t="s">
        <v>1437</v>
      </c>
      <c r="E86" s="337" t="s">
        <v>1129</v>
      </c>
      <c r="F86" s="346">
        <v>330000</v>
      </c>
      <c r="G86" s="346">
        <v>43989</v>
      </c>
      <c r="H86" s="346">
        <v>373989</v>
      </c>
      <c r="I86" s="348">
        <v>50</v>
      </c>
      <c r="J86" s="351">
        <v>7479.78</v>
      </c>
      <c r="K86" s="356">
        <f t="shared" si="14"/>
        <v>879.78</v>
      </c>
      <c r="L86" s="356">
        <f t="shared" si="15"/>
        <v>6600</v>
      </c>
      <c r="M86" s="356">
        <f t="shared" si="10"/>
        <v>12316.92</v>
      </c>
      <c r="N86" s="356">
        <f t="shared" si="11"/>
        <v>31672.079999999998</v>
      </c>
      <c r="O86" s="348">
        <v>14</v>
      </c>
      <c r="P86" s="348">
        <v>36</v>
      </c>
      <c r="Q86" s="339">
        <f t="shared" si="12"/>
        <v>104716.92</v>
      </c>
      <c r="R86" s="339">
        <f t="shared" si="13"/>
        <v>269272.08</v>
      </c>
      <c r="S86" s="337"/>
    </row>
    <row r="87" spans="2:19">
      <c r="B87" s="366" t="s">
        <v>1061</v>
      </c>
      <c r="C87" s="367">
        <v>83</v>
      </c>
      <c r="D87" s="337" t="s">
        <v>1437</v>
      </c>
      <c r="E87" s="337" t="s">
        <v>854</v>
      </c>
      <c r="F87" s="346">
        <v>330000</v>
      </c>
      <c r="G87" s="346">
        <v>43989</v>
      </c>
      <c r="H87" s="346">
        <v>373989</v>
      </c>
      <c r="I87" s="348">
        <v>50</v>
      </c>
      <c r="J87" s="351">
        <v>7479.78</v>
      </c>
      <c r="K87" s="356">
        <f t="shared" si="14"/>
        <v>879.78</v>
      </c>
      <c r="L87" s="356">
        <f t="shared" si="15"/>
        <v>6600</v>
      </c>
      <c r="M87" s="356">
        <f t="shared" si="10"/>
        <v>17595.599999999999</v>
      </c>
      <c r="N87" s="356">
        <f t="shared" si="11"/>
        <v>26393.399999999998</v>
      </c>
      <c r="O87" s="348">
        <v>20</v>
      </c>
      <c r="P87" s="348">
        <v>30</v>
      </c>
      <c r="Q87" s="339">
        <f t="shared" si="12"/>
        <v>149595.6</v>
      </c>
      <c r="R87" s="339">
        <f t="shared" si="13"/>
        <v>224393.4</v>
      </c>
      <c r="S87" s="337"/>
    </row>
    <row r="88" spans="2:19">
      <c r="B88" s="363" t="s">
        <v>969</v>
      </c>
      <c r="C88" s="367">
        <v>84</v>
      </c>
      <c r="D88" s="337" t="s">
        <v>1437</v>
      </c>
      <c r="E88" s="337" t="s">
        <v>851</v>
      </c>
      <c r="F88" s="346">
        <v>150000</v>
      </c>
      <c r="G88" s="346">
        <v>19995</v>
      </c>
      <c r="H88" s="346">
        <v>169995</v>
      </c>
      <c r="I88" s="348">
        <v>50</v>
      </c>
      <c r="J88" s="351">
        <v>3399.9</v>
      </c>
      <c r="K88" s="356">
        <f t="shared" si="14"/>
        <v>399.9</v>
      </c>
      <c r="L88" s="356">
        <f t="shared" si="15"/>
        <v>3000</v>
      </c>
      <c r="M88" s="356">
        <f t="shared" si="10"/>
        <v>799.8</v>
      </c>
      <c r="N88" s="356">
        <f t="shared" si="11"/>
        <v>19195.199999999997</v>
      </c>
      <c r="O88" s="348">
        <v>2</v>
      </c>
      <c r="P88" s="348">
        <v>48</v>
      </c>
      <c r="Q88" s="339">
        <f t="shared" si="12"/>
        <v>6799.8</v>
      </c>
      <c r="R88" s="339">
        <f t="shared" si="13"/>
        <v>163195.20000000001</v>
      </c>
      <c r="S88" s="337"/>
    </row>
    <row r="89" spans="2:19">
      <c r="B89" s="362" t="s">
        <v>1341</v>
      </c>
      <c r="C89" s="367">
        <v>85</v>
      </c>
      <c r="D89" s="337" t="s">
        <v>1437</v>
      </c>
      <c r="E89" s="337" t="s">
        <v>1139</v>
      </c>
      <c r="F89" s="346">
        <v>500000</v>
      </c>
      <c r="G89" s="346">
        <v>66650</v>
      </c>
      <c r="H89" s="346">
        <v>566650</v>
      </c>
      <c r="I89" s="348">
        <v>50</v>
      </c>
      <c r="J89" s="351">
        <v>11333</v>
      </c>
      <c r="K89" s="356">
        <f t="shared" si="14"/>
        <v>1333</v>
      </c>
      <c r="L89" s="356">
        <f t="shared" si="15"/>
        <v>10000</v>
      </c>
      <c r="M89" s="356">
        <f t="shared" si="10"/>
        <v>18662</v>
      </c>
      <c r="N89" s="356">
        <f t="shared" si="11"/>
        <v>47988</v>
      </c>
      <c r="O89" s="348">
        <v>14</v>
      </c>
      <c r="P89" s="348">
        <v>36</v>
      </c>
      <c r="Q89" s="339">
        <f t="shared" si="12"/>
        <v>158662</v>
      </c>
      <c r="R89" s="339">
        <f t="shared" si="13"/>
        <v>407988</v>
      </c>
      <c r="S89" s="337"/>
    </row>
    <row r="90" spans="2:19">
      <c r="B90" s="363" t="s">
        <v>1398</v>
      </c>
      <c r="C90" s="367">
        <v>86</v>
      </c>
      <c r="D90" s="337" t="s">
        <v>1437</v>
      </c>
      <c r="E90" s="337" t="s">
        <v>1399</v>
      </c>
      <c r="F90" s="346">
        <v>150000</v>
      </c>
      <c r="G90" s="346">
        <v>19995</v>
      </c>
      <c r="H90" s="346">
        <v>169995</v>
      </c>
      <c r="I90" s="348">
        <v>50</v>
      </c>
      <c r="J90" s="351">
        <v>3399.9</v>
      </c>
      <c r="K90" s="356">
        <f t="shared" si="14"/>
        <v>399.9</v>
      </c>
      <c r="L90" s="356">
        <f t="shared" si="15"/>
        <v>3000</v>
      </c>
      <c r="M90" s="356">
        <f t="shared" si="10"/>
        <v>799.8</v>
      </c>
      <c r="N90" s="356">
        <f t="shared" si="11"/>
        <v>19195.199999999997</v>
      </c>
      <c r="O90" s="348">
        <v>2</v>
      </c>
      <c r="P90" s="348">
        <v>48</v>
      </c>
      <c r="Q90" s="339">
        <f t="shared" si="12"/>
        <v>6799.8</v>
      </c>
      <c r="R90" s="339">
        <f t="shared" si="13"/>
        <v>163195.20000000001</v>
      </c>
      <c r="S90" s="337"/>
    </row>
    <row r="91" spans="2:19">
      <c r="B91" s="362" t="s">
        <v>1118</v>
      </c>
      <c r="C91" s="367">
        <v>87</v>
      </c>
      <c r="D91" s="337" t="s">
        <v>1437</v>
      </c>
      <c r="E91" s="337" t="s">
        <v>1119</v>
      </c>
      <c r="F91" s="346">
        <v>500000</v>
      </c>
      <c r="G91" s="346">
        <v>66650</v>
      </c>
      <c r="H91" s="346">
        <v>566650</v>
      </c>
      <c r="I91" s="348">
        <v>50</v>
      </c>
      <c r="J91" s="351">
        <v>11333</v>
      </c>
      <c r="K91" s="356">
        <f t="shared" si="14"/>
        <v>1333</v>
      </c>
      <c r="L91" s="356">
        <f t="shared" si="15"/>
        <v>10000</v>
      </c>
      <c r="M91" s="356">
        <f t="shared" si="10"/>
        <v>19995</v>
      </c>
      <c r="N91" s="356">
        <f t="shared" si="11"/>
        <v>46655</v>
      </c>
      <c r="O91" s="348">
        <v>15</v>
      </c>
      <c r="P91" s="348">
        <v>35</v>
      </c>
      <c r="Q91" s="339">
        <f t="shared" si="12"/>
        <v>169995</v>
      </c>
      <c r="R91" s="339">
        <f t="shared" si="13"/>
        <v>396655</v>
      </c>
      <c r="S91" s="337"/>
    </row>
    <row r="92" spans="2:19">
      <c r="B92" s="362" t="s">
        <v>1123</v>
      </c>
      <c r="C92" s="367">
        <v>88</v>
      </c>
      <c r="D92" s="337" t="s">
        <v>1437</v>
      </c>
      <c r="E92" s="337" t="s">
        <v>439</v>
      </c>
      <c r="F92" s="346">
        <v>330000</v>
      </c>
      <c r="G92" s="346">
        <v>43989</v>
      </c>
      <c r="H92" s="346">
        <v>373989</v>
      </c>
      <c r="I92" s="348">
        <v>50</v>
      </c>
      <c r="J92" s="351">
        <v>7479.78</v>
      </c>
      <c r="K92" s="356">
        <f t="shared" si="14"/>
        <v>879.78</v>
      </c>
      <c r="L92" s="356">
        <f t="shared" si="15"/>
        <v>6600</v>
      </c>
      <c r="M92" s="356">
        <f t="shared" si="10"/>
        <v>13196.699999999999</v>
      </c>
      <c r="N92" s="356">
        <f t="shared" si="11"/>
        <v>30792.3</v>
      </c>
      <c r="O92" s="348">
        <v>15</v>
      </c>
      <c r="P92" s="348">
        <v>35</v>
      </c>
      <c r="Q92" s="339">
        <f t="shared" si="12"/>
        <v>112196.7</v>
      </c>
      <c r="R92" s="339">
        <f t="shared" si="13"/>
        <v>261792.3</v>
      </c>
      <c r="S92" s="337"/>
    </row>
    <row r="93" spans="2:19">
      <c r="B93" s="363" t="s">
        <v>1365</v>
      </c>
      <c r="C93" s="367">
        <v>89</v>
      </c>
      <c r="D93" s="337" t="s">
        <v>1437</v>
      </c>
      <c r="E93" s="337" t="s">
        <v>449</v>
      </c>
      <c r="F93" s="346">
        <v>450000</v>
      </c>
      <c r="G93" s="346">
        <v>59985</v>
      </c>
      <c r="H93" s="346">
        <v>509985</v>
      </c>
      <c r="I93" s="348">
        <v>50</v>
      </c>
      <c r="J93" s="351">
        <v>10199.700000000001</v>
      </c>
      <c r="K93" s="356">
        <f t="shared" si="14"/>
        <v>1199.7</v>
      </c>
      <c r="L93" s="356">
        <f t="shared" si="15"/>
        <v>9000</v>
      </c>
      <c r="M93" s="356">
        <f t="shared" si="10"/>
        <v>8397.9</v>
      </c>
      <c r="N93" s="356">
        <f t="shared" si="11"/>
        <v>51587.1</v>
      </c>
      <c r="O93" s="348">
        <v>7</v>
      </c>
      <c r="P93" s="348">
        <v>43</v>
      </c>
      <c r="Q93" s="339">
        <f t="shared" si="12"/>
        <v>71397.900000000009</v>
      </c>
      <c r="R93" s="339">
        <f t="shared" si="13"/>
        <v>438587.1</v>
      </c>
      <c r="S93" s="337"/>
    </row>
    <row r="94" spans="2:19">
      <c r="B94" s="361" t="s">
        <v>987</v>
      </c>
      <c r="C94" s="367">
        <v>90</v>
      </c>
      <c r="D94" s="337" t="s">
        <v>1437</v>
      </c>
      <c r="E94" s="337" t="s">
        <v>866</v>
      </c>
      <c r="F94" s="346">
        <v>500000</v>
      </c>
      <c r="G94" s="346">
        <v>66650</v>
      </c>
      <c r="H94" s="346">
        <v>566650</v>
      </c>
      <c r="I94" s="348">
        <v>50</v>
      </c>
      <c r="J94" s="351">
        <v>11333</v>
      </c>
      <c r="K94" s="356">
        <f t="shared" si="14"/>
        <v>1333</v>
      </c>
      <c r="L94" s="356">
        <f t="shared" si="15"/>
        <v>10000</v>
      </c>
      <c r="M94" s="356">
        <f t="shared" si="10"/>
        <v>9331</v>
      </c>
      <c r="N94" s="356">
        <f t="shared" si="11"/>
        <v>57319</v>
      </c>
      <c r="O94" s="348">
        <v>7</v>
      </c>
      <c r="P94" s="348">
        <v>43</v>
      </c>
      <c r="Q94" s="339">
        <f t="shared" si="12"/>
        <v>79331</v>
      </c>
      <c r="R94" s="339">
        <f t="shared" si="13"/>
        <v>487319</v>
      </c>
      <c r="S94" s="337"/>
    </row>
    <row r="95" spans="2:19">
      <c r="B95" s="363" t="s">
        <v>1321</v>
      </c>
      <c r="C95" s="367">
        <v>91</v>
      </c>
      <c r="D95" s="337" t="s">
        <v>1437</v>
      </c>
      <c r="E95" s="337" t="s">
        <v>403</v>
      </c>
      <c r="F95" s="346">
        <v>500000</v>
      </c>
      <c r="G95" s="346">
        <v>66650</v>
      </c>
      <c r="H95" s="346">
        <v>566650</v>
      </c>
      <c r="I95" s="348">
        <v>50</v>
      </c>
      <c r="J95" s="351">
        <v>11333</v>
      </c>
      <c r="K95" s="356">
        <f t="shared" si="14"/>
        <v>1333</v>
      </c>
      <c r="L95" s="356">
        <f t="shared" si="15"/>
        <v>10000</v>
      </c>
      <c r="M95" s="356">
        <f t="shared" si="10"/>
        <v>6665</v>
      </c>
      <c r="N95" s="356">
        <f t="shared" si="11"/>
        <v>59985</v>
      </c>
      <c r="O95" s="348">
        <v>5</v>
      </c>
      <c r="P95" s="348">
        <v>45</v>
      </c>
      <c r="Q95" s="339">
        <f t="shared" si="12"/>
        <v>56665</v>
      </c>
      <c r="R95" s="339">
        <f t="shared" si="13"/>
        <v>509985</v>
      </c>
      <c r="S95" s="337"/>
    </row>
    <row r="96" spans="2:19">
      <c r="B96" s="364" t="s">
        <v>1093</v>
      </c>
      <c r="C96" s="367">
        <v>92</v>
      </c>
      <c r="D96" s="337" t="s">
        <v>1437</v>
      </c>
      <c r="E96" s="337" t="s">
        <v>364</v>
      </c>
      <c r="F96" s="346">
        <v>450000</v>
      </c>
      <c r="G96" s="346">
        <v>59985</v>
      </c>
      <c r="H96" s="346">
        <v>509985</v>
      </c>
      <c r="I96" s="348">
        <v>50</v>
      </c>
      <c r="J96" s="351">
        <v>10199.700000000001</v>
      </c>
      <c r="K96" s="356">
        <f t="shared" si="14"/>
        <v>1199.7</v>
      </c>
      <c r="L96" s="356">
        <f t="shared" si="15"/>
        <v>9000</v>
      </c>
      <c r="M96" s="356">
        <f t="shared" si="10"/>
        <v>45588.6</v>
      </c>
      <c r="N96" s="356">
        <f t="shared" si="11"/>
        <v>14396.400000000001</v>
      </c>
      <c r="O96" s="348">
        <v>38</v>
      </c>
      <c r="P96" s="348">
        <v>12</v>
      </c>
      <c r="Q96" s="339">
        <f t="shared" si="12"/>
        <v>387588.60000000003</v>
      </c>
      <c r="R96" s="339">
        <f t="shared" si="13"/>
        <v>122396.39999999997</v>
      </c>
      <c r="S96" s="337"/>
    </row>
    <row r="97" spans="2:19">
      <c r="B97" s="366" t="s">
        <v>1105</v>
      </c>
      <c r="C97" s="367">
        <v>93</v>
      </c>
      <c r="D97" s="337" t="s">
        <v>1437</v>
      </c>
      <c r="E97" s="337" t="s">
        <v>861</v>
      </c>
      <c r="F97" s="346">
        <v>500000</v>
      </c>
      <c r="G97" s="346">
        <v>66650</v>
      </c>
      <c r="H97" s="346">
        <v>566650</v>
      </c>
      <c r="I97" s="348">
        <v>50</v>
      </c>
      <c r="J97" s="351">
        <v>11333</v>
      </c>
      <c r="K97" s="356">
        <f t="shared" si="14"/>
        <v>1333</v>
      </c>
      <c r="L97" s="356">
        <f t="shared" si="15"/>
        <v>10000</v>
      </c>
      <c r="M97" s="356">
        <f t="shared" si="10"/>
        <v>26660</v>
      </c>
      <c r="N97" s="356">
        <f t="shared" si="11"/>
        <v>39990</v>
      </c>
      <c r="O97" s="348">
        <v>20</v>
      </c>
      <c r="P97" s="348">
        <v>30</v>
      </c>
      <c r="Q97" s="339">
        <f t="shared" si="12"/>
        <v>226660</v>
      </c>
      <c r="R97" s="339">
        <f t="shared" si="13"/>
        <v>339990</v>
      </c>
      <c r="S97" s="337"/>
    </row>
    <row r="98" spans="2:19">
      <c r="B98" s="361" t="s">
        <v>1361</v>
      </c>
      <c r="C98" s="367">
        <v>94</v>
      </c>
      <c r="D98" s="337" t="s">
        <v>1437</v>
      </c>
      <c r="E98" s="337" t="s">
        <v>1362</v>
      </c>
      <c r="F98" s="346">
        <v>450000</v>
      </c>
      <c r="G98" s="346">
        <v>59985</v>
      </c>
      <c r="H98" s="346">
        <v>509985</v>
      </c>
      <c r="I98" s="348">
        <v>50</v>
      </c>
      <c r="J98" s="351">
        <v>10199.700000000001</v>
      </c>
      <c r="K98" s="356">
        <f t="shared" si="14"/>
        <v>1199.7</v>
      </c>
      <c r="L98" s="356">
        <f t="shared" si="15"/>
        <v>9000</v>
      </c>
      <c r="M98" s="356">
        <f t="shared" si="10"/>
        <v>5998.5</v>
      </c>
      <c r="N98" s="356">
        <f t="shared" si="11"/>
        <v>53986.5</v>
      </c>
      <c r="O98" s="348">
        <v>5</v>
      </c>
      <c r="P98" s="348">
        <v>45</v>
      </c>
      <c r="Q98" s="339">
        <f t="shared" si="12"/>
        <v>50998.5</v>
      </c>
      <c r="R98" s="339">
        <f t="shared" si="13"/>
        <v>458986.5</v>
      </c>
      <c r="S98" s="337"/>
    </row>
    <row r="99" spans="2:19">
      <c r="B99" s="364" t="s">
        <v>999</v>
      </c>
      <c r="C99" s="367">
        <v>95</v>
      </c>
      <c r="D99" s="337" t="s">
        <v>1437</v>
      </c>
      <c r="E99" s="337" t="s">
        <v>441</v>
      </c>
      <c r="F99" s="346">
        <v>500000</v>
      </c>
      <c r="G99" s="346">
        <v>66650</v>
      </c>
      <c r="H99" s="346">
        <v>566650</v>
      </c>
      <c r="I99" s="348">
        <v>50</v>
      </c>
      <c r="J99" s="351">
        <v>11333</v>
      </c>
      <c r="K99" s="356">
        <f t="shared" si="14"/>
        <v>1333</v>
      </c>
      <c r="L99" s="356">
        <f t="shared" si="15"/>
        <v>10000</v>
      </c>
      <c r="M99" s="356">
        <f t="shared" si="10"/>
        <v>35991</v>
      </c>
      <c r="N99" s="356">
        <f t="shared" si="11"/>
        <v>30659</v>
      </c>
      <c r="O99" s="348">
        <v>27</v>
      </c>
      <c r="P99" s="348">
        <v>23</v>
      </c>
      <c r="Q99" s="339">
        <f t="shared" si="12"/>
        <v>305991</v>
      </c>
      <c r="R99" s="339">
        <f t="shared" si="13"/>
        <v>260659</v>
      </c>
      <c r="S99" s="337"/>
    </row>
    <row r="100" spans="2:19">
      <c r="B100" s="364" t="s">
        <v>1053</v>
      </c>
      <c r="C100" s="367">
        <v>96</v>
      </c>
      <c r="D100" s="337" t="s">
        <v>1437</v>
      </c>
      <c r="E100" s="337" t="s">
        <v>845</v>
      </c>
      <c r="F100" s="346">
        <v>150000</v>
      </c>
      <c r="G100" s="346">
        <v>19995</v>
      </c>
      <c r="H100" s="346">
        <v>169995</v>
      </c>
      <c r="I100" s="348">
        <v>50</v>
      </c>
      <c r="J100" s="351">
        <v>3399.9</v>
      </c>
      <c r="K100" s="356">
        <f t="shared" si="14"/>
        <v>399.9</v>
      </c>
      <c r="L100" s="356">
        <f t="shared" si="15"/>
        <v>3000</v>
      </c>
      <c r="M100" s="356">
        <f t="shared" si="10"/>
        <v>15596.099999999999</v>
      </c>
      <c r="N100" s="356">
        <f t="shared" si="11"/>
        <v>4398.8999999999996</v>
      </c>
      <c r="O100" s="348">
        <v>39</v>
      </c>
      <c r="P100" s="348">
        <v>11</v>
      </c>
      <c r="Q100" s="339">
        <f t="shared" si="12"/>
        <v>132596.1</v>
      </c>
      <c r="R100" s="339">
        <f t="shared" si="13"/>
        <v>37398.899999999994</v>
      </c>
      <c r="S100" s="337"/>
    </row>
    <row r="101" spans="2:19">
      <c r="B101" s="362" t="s">
        <v>1332</v>
      </c>
      <c r="C101" s="367">
        <v>97</v>
      </c>
      <c r="D101" s="337" t="s">
        <v>1437</v>
      </c>
      <c r="E101" s="337" t="s">
        <v>1284</v>
      </c>
      <c r="F101" s="346">
        <v>500000</v>
      </c>
      <c r="G101" s="346">
        <v>66650</v>
      </c>
      <c r="H101" s="346">
        <v>566650</v>
      </c>
      <c r="I101" s="348">
        <v>50</v>
      </c>
      <c r="J101" s="351">
        <v>11333</v>
      </c>
      <c r="K101" s="356">
        <f t="shared" si="14"/>
        <v>1333</v>
      </c>
      <c r="L101" s="356">
        <f t="shared" si="15"/>
        <v>10000</v>
      </c>
      <c r="M101" s="356">
        <f t="shared" ref="M101:M132" si="16">K101*O101</f>
        <v>29326</v>
      </c>
      <c r="N101" s="356">
        <f t="shared" ref="N101:N132" si="17">K101*P101</f>
        <v>37324</v>
      </c>
      <c r="O101" s="348">
        <v>22</v>
      </c>
      <c r="P101" s="348">
        <v>28</v>
      </c>
      <c r="Q101" s="339">
        <f t="shared" ref="Q101:Q132" si="18">J101*O101</f>
        <v>249326</v>
      </c>
      <c r="R101" s="339">
        <f t="shared" ref="R101:R132" si="19">H101-Q101</f>
        <v>317324</v>
      </c>
      <c r="S101" s="337"/>
    </row>
    <row r="102" spans="2:19">
      <c r="B102" s="364" t="s">
        <v>1062</v>
      </c>
      <c r="C102" s="367">
        <v>98</v>
      </c>
      <c r="D102" s="337" t="s">
        <v>1437</v>
      </c>
      <c r="E102" s="337" t="s">
        <v>335</v>
      </c>
      <c r="F102" s="346">
        <v>500000</v>
      </c>
      <c r="G102" s="346">
        <v>66650</v>
      </c>
      <c r="H102" s="346">
        <v>566650</v>
      </c>
      <c r="I102" s="348">
        <v>50</v>
      </c>
      <c r="J102" s="351">
        <v>11333</v>
      </c>
      <c r="K102" s="356">
        <f t="shared" si="14"/>
        <v>1333</v>
      </c>
      <c r="L102" s="356">
        <f t="shared" si="15"/>
        <v>10000</v>
      </c>
      <c r="M102" s="356">
        <f t="shared" si="16"/>
        <v>69316</v>
      </c>
      <c r="N102" s="356">
        <f t="shared" si="17"/>
        <v>-2666</v>
      </c>
      <c r="O102" s="348">
        <v>52</v>
      </c>
      <c r="P102" s="348">
        <v>-2</v>
      </c>
      <c r="Q102" s="339">
        <f t="shared" si="18"/>
        <v>589316</v>
      </c>
      <c r="R102" s="339">
        <f t="shared" si="19"/>
        <v>-22666</v>
      </c>
      <c r="S102" s="337"/>
    </row>
    <row r="103" spans="2:19">
      <c r="B103" s="363" t="s">
        <v>1329</v>
      </c>
      <c r="C103" s="367">
        <v>99</v>
      </c>
      <c r="D103" s="337" t="s">
        <v>1437</v>
      </c>
      <c r="E103" s="337" t="s">
        <v>463</v>
      </c>
      <c r="F103" s="346">
        <v>500000</v>
      </c>
      <c r="G103" s="346">
        <v>66650</v>
      </c>
      <c r="H103" s="346">
        <v>566650</v>
      </c>
      <c r="I103" s="348">
        <v>50</v>
      </c>
      <c r="J103" s="351">
        <v>11333</v>
      </c>
      <c r="K103" s="356">
        <f t="shared" si="14"/>
        <v>1333</v>
      </c>
      <c r="L103" s="356">
        <f t="shared" si="15"/>
        <v>10000</v>
      </c>
      <c r="M103" s="356">
        <f t="shared" si="16"/>
        <v>15996</v>
      </c>
      <c r="N103" s="356">
        <f t="shared" si="17"/>
        <v>50654</v>
      </c>
      <c r="O103" s="348">
        <v>12</v>
      </c>
      <c r="P103" s="348">
        <v>38</v>
      </c>
      <c r="Q103" s="339">
        <f t="shared" si="18"/>
        <v>135996</v>
      </c>
      <c r="R103" s="339">
        <f t="shared" si="19"/>
        <v>430654</v>
      </c>
      <c r="S103" s="337"/>
    </row>
    <row r="104" spans="2:19">
      <c r="B104" s="363" t="s">
        <v>1358</v>
      </c>
      <c r="C104" s="367">
        <v>100</v>
      </c>
      <c r="D104" s="337" t="s">
        <v>1437</v>
      </c>
      <c r="E104" s="337" t="s">
        <v>1359</v>
      </c>
      <c r="F104" s="346">
        <v>450000</v>
      </c>
      <c r="G104" s="346">
        <v>59985</v>
      </c>
      <c r="H104" s="346">
        <v>509985</v>
      </c>
      <c r="I104" s="348">
        <v>50</v>
      </c>
      <c r="J104" s="351">
        <v>10199.700000000001</v>
      </c>
      <c r="K104" s="356">
        <f t="shared" si="14"/>
        <v>1199.7</v>
      </c>
      <c r="L104" s="356">
        <f t="shared" si="15"/>
        <v>9000</v>
      </c>
      <c r="M104" s="356">
        <f t="shared" si="16"/>
        <v>2399.4</v>
      </c>
      <c r="N104" s="356">
        <f t="shared" si="17"/>
        <v>57585.600000000006</v>
      </c>
      <c r="O104" s="348">
        <v>2</v>
      </c>
      <c r="P104" s="348">
        <v>48</v>
      </c>
      <c r="Q104" s="339">
        <f t="shared" si="18"/>
        <v>20399.400000000001</v>
      </c>
      <c r="R104" s="339">
        <f t="shared" si="19"/>
        <v>489585.6</v>
      </c>
      <c r="S104" s="337"/>
    </row>
    <row r="105" spans="2:19">
      <c r="B105" s="365" t="s">
        <v>1334</v>
      </c>
      <c r="C105" s="367">
        <v>101</v>
      </c>
      <c r="D105" s="337" t="s">
        <v>1437</v>
      </c>
      <c r="E105" s="337" t="s">
        <v>1294</v>
      </c>
      <c r="F105" s="346">
        <v>500000</v>
      </c>
      <c r="G105" s="346">
        <v>66650</v>
      </c>
      <c r="H105" s="346">
        <v>566650</v>
      </c>
      <c r="I105" s="348">
        <v>50</v>
      </c>
      <c r="J105" s="351">
        <v>11333</v>
      </c>
      <c r="K105" s="356">
        <f t="shared" si="14"/>
        <v>1333</v>
      </c>
      <c r="L105" s="356">
        <f t="shared" si="15"/>
        <v>10000</v>
      </c>
      <c r="M105" s="356">
        <f t="shared" si="16"/>
        <v>15996</v>
      </c>
      <c r="N105" s="356">
        <f t="shared" si="17"/>
        <v>50654</v>
      </c>
      <c r="O105" s="348">
        <v>12</v>
      </c>
      <c r="P105" s="348">
        <v>38</v>
      </c>
      <c r="Q105" s="339">
        <f t="shared" si="18"/>
        <v>135996</v>
      </c>
      <c r="R105" s="339">
        <f t="shared" si="19"/>
        <v>430654</v>
      </c>
      <c r="S105" s="337"/>
    </row>
    <row r="106" spans="2:19">
      <c r="B106" s="361" t="s">
        <v>1319</v>
      </c>
      <c r="C106" s="367">
        <v>102</v>
      </c>
      <c r="D106" s="337" t="s">
        <v>1437</v>
      </c>
      <c r="E106" s="337" t="s">
        <v>305</v>
      </c>
      <c r="F106" s="346">
        <v>500000</v>
      </c>
      <c r="G106" s="346">
        <v>66650</v>
      </c>
      <c r="H106" s="346">
        <v>566650</v>
      </c>
      <c r="I106" s="348">
        <v>40</v>
      </c>
      <c r="J106" s="351">
        <v>13833</v>
      </c>
      <c r="K106" s="356">
        <f t="shared" si="14"/>
        <v>1333</v>
      </c>
      <c r="L106" s="356">
        <f t="shared" si="15"/>
        <v>10000</v>
      </c>
      <c r="M106" s="356">
        <f t="shared" si="16"/>
        <v>2666</v>
      </c>
      <c r="N106" s="356">
        <f t="shared" si="17"/>
        <v>50654</v>
      </c>
      <c r="O106" s="348">
        <v>2</v>
      </c>
      <c r="P106" s="348">
        <v>38</v>
      </c>
      <c r="Q106" s="339">
        <f t="shared" si="18"/>
        <v>27666</v>
      </c>
      <c r="R106" s="339">
        <f t="shared" si="19"/>
        <v>538984</v>
      </c>
      <c r="S106" s="337"/>
    </row>
    <row r="107" spans="2:19">
      <c r="B107" s="361" t="s">
        <v>1388</v>
      </c>
      <c r="C107" s="367">
        <v>103</v>
      </c>
      <c r="D107" s="337" t="s">
        <v>1437</v>
      </c>
      <c r="E107" s="337" t="s">
        <v>1389</v>
      </c>
      <c r="F107" s="346">
        <v>330000</v>
      </c>
      <c r="G107" s="346">
        <v>43989</v>
      </c>
      <c r="H107" s="346">
        <v>373989</v>
      </c>
      <c r="I107" s="348">
        <v>50</v>
      </c>
      <c r="J107" s="351">
        <v>7479.78</v>
      </c>
      <c r="K107" s="356">
        <f t="shared" si="14"/>
        <v>879.78</v>
      </c>
      <c r="L107" s="356">
        <f t="shared" si="15"/>
        <v>6600</v>
      </c>
      <c r="M107" s="356">
        <f t="shared" si="16"/>
        <v>3519.12</v>
      </c>
      <c r="N107" s="356">
        <f t="shared" si="17"/>
        <v>40469.879999999997</v>
      </c>
      <c r="O107" s="348">
        <v>4</v>
      </c>
      <c r="P107" s="348">
        <v>46</v>
      </c>
      <c r="Q107" s="339">
        <f t="shared" si="18"/>
        <v>29919.119999999999</v>
      </c>
      <c r="R107" s="339">
        <f t="shared" si="19"/>
        <v>344069.88</v>
      </c>
      <c r="S107" s="337"/>
    </row>
    <row r="108" spans="2:19">
      <c r="B108" s="361" t="s">
        <v>1317</v>
      </c>
      <c r="C108" s="367">
        <v>104</v>
      </c>
      <c r="D108" s="337" t="s">
        <v>1437</v>
      </c>
      <c r="E108" s="337" t="s">
        <v>1318</v>
      </c>
      <c r="F108" s="346">
        <v>450000</v>
      </c>
      <c r="G108" s="346">
        <v>59985</v>
      </c>
      <c r="H108" s="346">
        <v>509985</v>
      </c>
      <c r="I108" s="348">
        <v>39</v>
      </c>
      <c r="J108" s="351">
        <v>14153.05</v>
      </c>
      <c r="K108" s="356">
        <f t="shared" si="14"/>
        <v>1199.7</v>
      </c>
      <c r="L108" s="356">
        <f t="shared" si="15"/>
        <v>9000</v>
      </c>
      <c r="M108" s="356">
        <f t="shared" si="16"/>
        <v>25193.7</v>
      </c>
      <c r="N108" s="356">
        <f t="shared" si="17"/>
        <v>21594.600000000002</v>
      </c>
      <c r="O108" s="348">
        <v>21</v>
      </c>
      <c r="P108" s="348">
        <v>18</v>
      </c>
      <c r="Q108" s="339">
        <f t="shared" si="18"/>
        <v>297214.05</v>
      </c>
      <c r="R108" s="339">
        <f t="shared" si="19"/>
        <v>212770.95</v>
      </c>
      <c r="S108" s="337"/>
    </row>
    <row r="109" spans="2:19">
      <c r="B109" s="362" t="s">
        <v>1360</v>
      </c>
      <c r="C109" s="367">
        <v>105</v>
      </c>
      <c r="D109" s="337" t="s">
        <v>1437</v>
      </c>
      <c r="E109" s="337" t="s">
        <v>293</v>
      </c>
      <c r="F109" s="346">
        <v>450000</v>
      </c>
      <c r="G109" s="346">
        <v>59985</v>
      </c>
      <c r="H109" s="346">
        <v>509985</v>
      </c>
      <c r="I109" s="348">
        <v>50</v>
      </c>
      <c r="J109" s="351">
        <v>10199.700000000001</v>
      </c>
      <c r="K109" s="356">
        <f t="shared" si="14"/>
        <v>1199.7</v>
      </c>
      <c r="L109" s="356">
        <f t="shared" si="15"/>
        <v>9000</v>
      </c>
      <c r="M109" s="356">
        <f t="shared" si="16"/>
        <v>16795.8</v>
      </c>
      <c r="N109" s="356">
        <f t="shared" si="17"/>
        <v>43189.200000000004</v>
      </c>
      <c r="O109" s="348">
        <v>14</v>
      </c>
      <c r="P109" s="348">
        <v>36</v>
      </c>
      <c r="Q109" s="339">
        <f t="shared" si="18"/>
        <v>142795.80000000002</v>
      </c>
      <c r="R109" s="339">
        <f t="shared" si="19"/>
        <v>367189.19999999995</v>
      </c>
      <c r="S109" s="337"/>
    </row>
    <row r="110" spans="2:19">
      <c r="B110" s="363" t="s">
        <v>1094</v>
      </c>
      <c r="C110" s="367">
        <v>106</v>
      </c>
      <c r="D110" s="337" t="s">
        <v>1437</v>
      </c>
      <c r="E110" s="337" t="s">
        <v>1095</v>
      </c>
      <c r="F110" s="346">
        <v>500000</v>
      </c>
      <c r="G110" s="346">
        <v>66650</v>
      </c>
      <c r="H110" s="346">
        <v>566650</v>
      </c>
      <c r="I110" s="348">
        <v>50</v>
      </c>
      <c r="J110" s="351">
        <v>11333</v>
      </c>
      <c r="K110" s="356">
        <f t="shared" si="14"/>
        <v>1333</v>
      </c>
      <c r="L110" s="356">
        <f t="shared" si="15"/>
        <v>10000</v>
      </c>
      <c r="M110" s="356">
        <f t="shared" si="16"/>
        <v>25327</v>
      </c>
      <c r="N110" s="356">
        <f t="shared" si="17"/>
        <v>41323</v>
      </c>
      <c r="O110" s="348">
        <v>19</v>
      </c>
      <c r="P110" s="348">
        <v>31</v>
      </c>
      <c r="Q110" s="339">
        <f t="shared" si="18"/>
        <v>215327</v>
      </c>
      <c r="R110" s="339">
        <f t="shared" si="19"/>
        <v>351323</v>
      </c>
      <c r="S110" s="337"/>
    </row>
    <row r="111" spans="2:19">
      <c r="B111" s="362" t="s">
        <v>1330</v>
      </c>
      <c r="C111" s="367">
        <v>107</v>
      </c>
      <c r="D111" s="337" t="s">
        <v>1437</v>
      </c>
      <c r="E111" s="337" t="s">
        <v>1331</v>
      </c>
      <c r="F111" s="346">
        <v>500000</v>
      </c>
      <c r="G111" s="346">
        <v>66650</v>
      </c>
      <c r="H111" s="346">
        <v>566650</v>
      </c>
      <c r="I111" s="348">
        <v>50</v>
      </c>
      <c r="J111" s="351">
        <v>11333</v>
      </c>
      <c r="K111" s="356">
        <f t="shared" si="14"/>
        <v>1333</v>
      </c>
      <c r="L111" s="356">
        <f t="shared" si="15"/>
        <v>10000</v>
      </c>
      <c r="M111" s="356">
        <f t="shared" si="16"/>
        <v>18662</v>
      </c>
      <c r="N111" s="356">
        <f t="shared" si="17"/>
        <v>47988</v>
      </c>
      <c r="O111" s="348">
        <v>14</v>
      </c>
      <c r="P111" s="348">
        <v>36</v>
      </c>
      <c r="Q111" s="339">
        <f t="shared" si="18"/>
        <v>158662</v>
      </c>
      <c r="R111" s="339">
        <f t="shared" si="19"/>
        <v>407988</v>
      </c>
      <c r="S111" s="337"/>
    </row>
    <row r="112" spans="2:19">
      <c r="B112" s="365" t="s">
        <v>1368</v>
      </c>
      <c r="C112" s="367">
        <v>108</v>
      </c>
      <c r="D112" s="337" t="s">
        <v>1437</v>
      </c>
      <c r="E112" s="337" t="s">
        <v>443</v>
      </c>
      <c r="F112" s="346">
        <v>330000</v>
      </c>
      <c r="G112" s="346">
        <v>43989</v>
      </c>
      <c r="H112" s="346">
        <v>373989</v>
      </c>
      <c r="I112" s="348">
        <v>50</v>
      </c>
      <c r="J112" s="351">
        <v>7479.78</v>
      </c>
      <c r="K112" s="356">
        <f t="shared" si="14"/>
        <v>879.78</v>
      </c>
      <c r="L112" s="356">
        <f t="shared" si="15"/>
        <v>6600</v>
      </c>
      <c r="M112" s="356">
        <f t="shared" si="16"/>
        <v>6158.46</v>
      </c>
      <c r="N112" s="356">
        <f t="shared" si="17"/>
        <v>37830.54</v>
      </c>
      <c r="O112" s="348">
        <v>7</v>
      </c>
      <c r="P112" s="348">
        <v>43</v>
      </c>
      <c r="Q112" s="339">
        <f t="shared" si="18"/>
        <v>52358.46</v>
      </c>
      <c r="R112" s="339">
        <f t="shared" si="19"/>
        <v>321630.53999999998</v>
      </c>
      <c r="S112" s="337"/>
    </row>
    <row r="113" spans="2:19">
      <c r="B113" s="364" t="s">
        <v>1006</v>
      </c>
      <c r="C113" s="367">
        <v>109</v>
      </c>
      <c r="D113" s="337" t="s">
        <v>1437</v>
      </c>
      <c r="E113" s="337" t="s">
        <v>865</v>
      </c>
      <c r="F113" s="346">
        <v>500000</v>
      </c>
      <c r="G113" s="346">
        <v>66650</v>
      </c>
      <c r="H113" s="346">
        <v>566650</v>
      </c>
      <c r="I113" s="348">
        <v>50</v>
      </c>
      <c r="J113" s="351">
        <v>11333</v>
      </c>
      <c r="K113" s="356">
        <f t="shared" si="14"/>
        <v>1333</v>
      </c>
      <c r="L113" s="356">
        <f t="shared" si="15"/>
        <v>10000</v>
      </c>
      <c r="M113" s="356">
        <f t="shared" si="16"/>
        <v>70649</v>
      </c>
      <c r="N113" s="356">
        <f t="shared" si="17"/>
        <v>-3999</v>
      </c>
      <c r="O113" s="348">
        <v>53</v>
      </c>
      <c r="P113" s="348">
        <v>-3</v>
      </c>
      <c r="Q113" s="339">
        <f t="shared" si="18"/>
        <v>600649</v>
      </c>
      <c r="R113" s="339">
        <f t="shared" si="19"/>
        <v>-33999</v>
      </c>
      <c r="S113" s="337"/>
    </row>
    <row r="114" spans="2:19">
      <c r="B114" s="364" t="s">
        <v>983</v>
      </c>
      <c r="C114" s="367">
        <v>110</v>
      </c>
      <c r="D114" s="337" t="s">
        <v>1437</v>
      </c>
      <c r="E114" s="337" t="s">
        <v>323</v>
      </c>
      <c r="F114" s="346">
        <v>500000</v>
      </c>
      <c r="G114" s="346">
        <v>66650</v>
      </c>
      <c r="H114" s="346">
        <v>566650</v>
      </c>
      <c r="I114" s="348">
        <v>50</v>
      </c>
      <c r="J114" s="351">
        <v>11333</v>
      </c>
      <c r="K114" s="356">
        <f t="shared" si="14"/>
        <v>1333</v>
      </c>
      <c r="L114" s="356">
        <f t="shared" si="15"/>
        <v>10000</v>
      </c>
      <c r="M114" s="356">
        <f t="shared" si="16"/>
        <v>69316</v>
      </c>
      <c r="N114" s="356">
        <f t="shared" si="17"/>
        <v>-2666</v>
      </c>
      <c r="O114" s="348">
        <v>52</v>
      </c>
      <c r="P114" s="348">
        <v>-2</v>
      </c>
      <c r="Q114" s="339">
        <f t="shared" si="18"/>
        <v>589316</v>
      </c>
      <c r="R114" s="339">
        <f t="shared" si="19"/>
        <v>-22666</v>
      </c>
      <c r="S114" s="337"/>
    </row>
    <row r="115" spans="2:19">
      <c r="B115" s="364" t="s">
        <v>1080</v>
      </c>
      <c r="C115" s="367">
        <v>111</v>
      </c>
      <c r="D115" s="337" t="s">
        <v>1437</v>
      </c>
      <c r="E115" s="337" t="s">
        <v>315</v>
      </c>
      <c r="F115" s="346">
        <v>500000</v>
      </c>
      <c r="G115" s="346">
        <v>66650</v>
      </c>
      <c r="H115" s="346">
        <v>566650</v>
      </c>
      <c r="I115" s="348">
        <v>50</v>
      </c>
      <c r="J115" s="351">
        <v>11333</v>
      </c>
      <c r="K115" s="356">
        <f t="shared" si="14"/>
        <v>1333</v>
      </c>
      <c r="L115" s="356">
        <f t="shared" si="15"/>
        <v>10000</v>
      </c>
      <c r="M115" s="356">
        <f t="shared" si="16"/>
        <v>51987</v>
      </c>
      <c r="N115" s="356">
        <f t="shared" si="17"/>
        <v>14663</v>
      </c>
      <c r="O115" s="348">
        <v>39</v>
      </c>
      <c r="P115" s="348">
        <v>11</v>
      </c>
      <c r="Q115" s="339">
        <f t="shared" si="18"/>
        <v>441987</v>
      </c>
      <c r="R115" s="339">
        <f t="shared" si="19"/>
        <v>124663</v>
      </c>
      <c r="S115" s="337"/>
    </row>
    <row r="116" spans="2:19">
      <c r="B116" s="364" t="s">
        <v>1084</v>
      </c>
      <c r="C116" s="367">
        <v>112</v>
      </c>
      <c r="D116" s="337" t="s">
        <v>1437</v>
      </c>
      <c r="E116" s="337" t="s">
        <v>353</v>
      </c>
      <c r="F116" s="346">
        <v>500000</v>
      </c>
      <c r="G116" s="346">
        <v>66650</v>
      </c>
      <c r="H116" s="346">
        <v>566650</v>
      </c>
      <c r="I116" s="348">
        <v>50</v>
      </c>
      <c r="J116" s="351">
        <v>11333</v>
      </c>
      <c r="K116" s="356">
        <f t="shared" si="14"/>
        <v>1333</v>
      </c>
      <c r="L116" s="356">
        <f t="shared" si="15"/>
        <v>10000</v>
      </c>
      <c r="M116" s="356">
        <f t="shared" si="16"/>
        <v>51987</v>
      </c>
      <c r="N116" s="356">
        <f t="shared" si="17"/>
        <v>14663</v>
      </c>
      <c r="O116" s="348">
        <v>39</v>
      </c>
      <c r="P116" s="348">
        <v>11</v>
      </c>
      <c r="Q116" s="339">
        <f t="shared" si="18"/>
        <v>441987</v>
      </c>
      <c r="R116" s="339">
        <f t="shared" si="19"/>
        <v>124663</v>
      </c>
      <c r="S116" s="337"/>
    </row>
    <row r="117" spans="2:19">
      <c r="B117" s="364" t="s">
        <v>1108</v>
      </c>
      <c r="C117" s="367">
        <v>113</v>
      </c>
      <c r="D117" s="337" t="s">
        <v>1437</v>
      </c>
      <c r="E117" s="337" t="s">
        <v>802</v>
      </c>
      <c r="F117" s="346">
        <v>500000</v>
      </c>
      <c r="G117" s="346">
        <v>66650</v>
      </c>
      <c r="H117" s="346">
        <v>566650</v>
      </c>
      <c r="I117" s="348">
        <v>50</v>
      </c>
      <c r="J117" s="351">
        <v>11333</v>
      </c>
      <c r="K117" s="356">
        <f t="shared" si="14"/>
        <v>1333</v>
      </c>
      <c r="L117" s="356">
        <f t="shared" si="15"/>
        <v>10000</v>
      </c>
      <c r="M117" s="356">
        <f t="shared" si="16"/>
        <v>38657</v>
      </c>
      <c r="N117" s="356">
        <f t="shared" si="17"/>
        <v>27993</v>
      </c>
      <c r="O117" s="348">
        <v>29</v>
      </c>
      <c r="P117" s="348">
        <v>21</v>
      </c>
      <c r="Q117" s="339">
        <f t="shared" si="18"/>
        <v>328657</v>
      </c>
      <c r="R117" s="339">
        <f t="shared" si="19"/>
        <v>237993</v>
      </c>
      <c r="S117" s="337"/>
    </row>
    <row r="118" spans="2:19">
      <c r="B118" s="361" t="s">
        <v>1333</v>
      </c>
      <c r="C118" s="367">
        <v>114</v>
      </c>
      <c r="D118" s="337" t="s">
        <v>1437</v>
      </c>
      <c r="E118" s="337" t="s">
        <v>1281</v>
      </c>
      <c r="F118" s="346">
        <v>500000</v>
      </c>
      <c r="G118" s="346">
        <v>66650</v>
      </c>
      <c r="H118" s="346">
        <v>566650</v>
      </c>
      <c r="I118" s="348">
        <v>50</v>
      </c>
      <c r="J118" s="351">
        <v>11333</v>
      </c>
      <c r="K118" s="356">
        <f t="shared" si="14"/>
        <v>1333</v>
      </c>
      <c r="L118" s="356">
        <f t="shared" si="15"/>
        <v>10000</v>
      </c>
      <c r="M118" s="356">
        <f t="shared" si="16"/>
        <v>9331</v>
      </c>
      <c r="N118" s="356">
        <f t="shared" si="17"/>
        <v>57319</v>
      </c>
      <c r="O118" s="348">
        <v>7</v>
      </c>
      <c r="P118" s="348">
        <v>43</v>
      </c>
      <c r="Q118" s="339">
        <f t="shared" si="18"/>
        <v>79331</v>
      </c>
      <c r="R118" s="339">
        <f t="shared" si="19"/>
        <v>487319</v>
      </c>
      <c r="S118" s="337"/>
    </row>
    <row r="119" spans="2:19">
      <c r="B119" s="362" t="s">
        <v>1057</v>
      </c>
      <c r="C119" s="367">
        <v>115</v>
      </c>
      <c r="D119" s="337" t="s">
        <v>1437</v>
      </c>
      <c r="E119" s="337" t="s">
        <v>412</v>
      </c>
      <c r="F119" s="346">
        <v>500000</v>
      </c>
      <c r="G119" s="346">
        <v>66650</v>
      </c>
      <c r="H119" s="346">
        <v>566650</v>
      </c>
      <c r="I119" s="348">
        <v>50</v>
      </c>
      <c r="J119" s="351">
        <v>11333</v>
      </c>
      <c r="K119" s="356">
        <f t="shared" si="14"/>
        <v>1333</v>
      </c>
      <c r="L119" s="356">
        <f t="shared" si="15"/>
        <v>10000</v>
      </c>
      <c r="M119" s="356">
        <f t="shared" si="16"/>
        <v>29326</v>
      </c>
      <c r="N119" s="356">
        <f t="shared" si="17"/>
        <v>37324</v>
      </c>
      <c r="O119" s="348">
        <v>22</v>
      </c>
      <c r="P119" s="348">
        <v>28</v>
      </c>
      <c r="Q119" s="339">
        <f t="shared" si="18"/>
        <v>249326</v>
      </c>
      <c r="R119" s="339">
        <f t="shared" si="19"/>
        <v>317324</v>
      </c>
      <c r="S119" s="337"/>
    </row>
    <row r="120" spans="2:19">
      <c r="B120" s="364" t="s">
        <v>1091</v>
      </c>
      <c r="C120" s="367">
        <v>116</v>
      </c>
      <c r="D120" s="337" t="s">
        <v>1437</v>
      </c>
      <c r="E120" s="337" t="s">
        <v>1092</v>
      </c>
      <c r="F120" s="346">
        <v>500000</v>
      </c>
      <c r="G120" s="346">
        <v>66650</v>
      </c>
      <c r="H120" s="346">
        <v>566650</v>
      </c>
      <c r="I120" s="348">
        <v>50</v>
      </c>
      <c r="J120" s="351">
        <v>11333</v>
      </c>
      <c r="K120" s="356">
        <f t="shared" si="14"/>
        <v>1333</v>
      </c>
      <c r="L120" s="356">
        <f t="shared" si="15"/>
        <v>10000</v>
      </c>
      <c r="M120" s="356">
        <f t="shared" si="16"/>
        <v>69316</v>
      </c>
      <c r="N120" s="356">
        <f t="shared" si="17"/>
        <v>-2666</v>
      </c>
      <c r="O120" s="348">
        <v>52</v>
      </c>
      <c r="P120" s="348">
        <v>-2</v>
      </c>
      <c r="Q120" s="339">
        <f t="shared" si="18"/>
        <v>589316</v>
      </c>
      <c r="R120" s="339">
        <f t="shared" si="19"/>
        <v>-22666</v>
      </c>
      <c r="S120" s="337"/>
    </row>
    <row r="121" spans="2:19">
      <c r="B121" s="364" t="s">
        <v>1087</v>
      </c>
      <c r="C121" s="367">
        <v>117</v>
      </c>
      <c r="D121" s="337" t="s">
        <v>1437</v>
      </c>
      <c r="E121" s="337" t="s">
        <v>1088</v>
      </c>
      <c r="F121" s="346">
        <v>500000</v>
      </c>
      <c r="G121" s="346">
        <v>66650</v>
      </c>
      <c r="H121" s="346">
        <v>566650</v>
      </c>
      <c r="I121" s="348">
        <v>50</v>
      </c>
      <c r="J121" s="351">
        <v>11333</v>
      </c>
      <c r="K121" s="356">
        <f t="shared" si="14"/>
        <v>1333</v>
      </c>
      <c r="L121" s="356">
        <f t="shared" si="15"/>
        <v>10000</v>
      </c>
      <c r="M121" s="356">
        <f t="shared" si="16"/>
        <v>69316</v>
      </c>
      <c r="N121" s="356">
        <f t="shared" si="17"/>
        <v>-2666</v>
      </c>
      <c r="O121" s="348">
        <v>52</v>
      </c>
      <c r="P121" s="348">
        <v>-2</v>
      </c>
      <c r="Q121" s="339">
        <f t="shared" si="18"/>
        <v>589316</v>
      </c>
      <c r="R121" s="339">
        <f t="shared" si="19"/>
        <v>-22666</v>
      </c>
      <c r="S121" s="337"/>
    </row>
    <row r="122" spans="2:19">
      <c r="B122" s="363" t="s">
        <v>1324</v>
      </c>
      <c r="C122" s="367">
        <v>118</v>
      </c>
      <c r="D122" s="337" t="s">
        <v>1437</v>
      </c>
      <c r="E122" s="337" t="s">
        <v>1325</v>
      </c>
      <c r="F122" s="346">
        <v>500000</v>
      </c>
      <c r="G122" s="346">
        <v>66650</v>
      </c>
      <c r="H122" s="346">
        <v>566650</v>
      </c>
      <c r="I122" s="348">
        <v>50</v>
      </c>
      <c r="J122" s="351">
        <v>11333</v>
      </c>
      <c r="K122" s="356">
        <f t="shared" si="14"/>
        <v>1333</v>
      </c>
      <c r="L122" s="356">
        <f t="shared" si="15"/>
        <v>10000</v>
      </c>
      <c r="M122" s="356">
        <f t="shared" si="16"/>
        <v>6665</v>
      </c>
      <c r="N122" s="356">
        <f t="shared" si="17"/>
        <v>59985</v>
      </c>
      <c r="O122" s="348">
        <v>5</v>
      </c>
      <c r="P122" s="348">
        <v>45</v>
      </c>
      <c r="Q122" s="339">
        <f t="shared" si="18"/>
        <v>56665</v>
      </c>
      <c r="R122" s="339">
        <f t="shared" si="19"/>
        <v>509985</v>
      </c>
      <c r="S122" s="337"/>
    </row>
    <row r="123" spans="2:19">
      <c r="B123" s="363" t="s">
        <v>1340</v>
      </c>
      <c r="C123" s="367">
        <v>119</v>
      </c>
      <c r="D123" s="337" t="s">
        <v>1437</v>
      </c>
      <c r="E123" s="337" t="s">
        <v>410</v>
      </c>
      <c r="F123" s="346">
        <v>500000</v>
      </c>
      <c r="G123" s="346">
        <v>66650</v>
      </c>
      <c r="H123" s="346">
        <v>566650</v>
      </c>
      <c r="I123" s="348">
        <v>50</v>
      </c>
      <c r="J123" s="351">
        <v>11333</v>
      </c>
      <c r="K123" s="356">
        <f t="shared" si="14"/>
        <v>1333</v>
      </c>
      <c r="L123" s="356">
        <f t="shared" si="15"/>
        <v>10000</v>
      </c>
      <c r="M123" s="356">
        <f t="shared" si="16"/>
        <v>6665</v>
      </c>
      <c r="N123" s="356">
        <f t="shared" si="17"/>
        <v>59985</v>
      </c>
      <c r="O123" s="348">
        <v>5</v>
      </c>
      <c r="P123" s="348">
        <v>45</v>
      </c>
      <c r="Q123" s="339">
        <f t="shared" si="18"/>
        <v>56665</v>
      </c>
      <c r="R123" s="339">
        <f t="shared" si="19"/>
        <v>509985</v>
      </c>
      <c r="S123" s="337"/>
    </row>
    <row r="124" spans="2:19">
      <c r="B124" s="363" t="s">
        <v>1021</v>
      </c>
      <c r="C124" s="367">
        <v>120</v>
      </c>
      <c r="D124" s="337" t="s">
        <v>1437</v>
      </c>
      <c r="E124" s="337" t="s">
        <v>1022</v>
      </c>
      <c r="F124" s="346">
        <v>330000</v>
      </c>
      <c r="G124" s="346">
        <v>43989</v>
      </c>
      <c r="H124" s="346">
        <v>373989</v>
      </c>
      <c r="I124" s="348">
        <v>50</v>
      </c>
      <c r="J124" s="351">
        <v>7479.78</v>
      </c>
      <c r="K124" s="356">
        <f t="shared" si="14"/>
        <v>879.78</v>
      </c>
      <c r="L124" s="356">
        <f t="shared" si="15"/>
        <v>6600</v>
      </c>
      <c r="M124" s="356">
        <f t="shared" si="16"/>
        <v>16715.82</v>
      </c>
      <c r="N124" s="356">
        <f t="shared" si="17"/>
        <v>27273.18</v>
      </c>
      <c r="O124" s="348">
        <v>19</v>
      </c>
      <c r="P124" s="348">
        <v>31</v>
      </c>
      <c r="Q124" s="339">
        <f t="shared" si="18"/>
        <v>142115.82</v>
      </c>
      <c r="R124" s="339">
        <f t="shared" si="19"/>
        <v>231873.18</v>
      </c>
      <c r="S124" s="337"/>
    </row>
    <row r="125" spans="2:19">
      <c r="B125" s="363" t="s">
        <v>1385</v>
      </c>
      <c r="C125" s="367">
        <v>121</v>
      </c>
      <c r="D125" s="337" t="s">
        <v>1437</v>
      </c>
      <c r="E125" s="337" t="s">
        <v>1295</v>
      </c>
      <c r="F125" s="346">
        <v>330000</v>
      </c>
      <c r="G125" s="346">
        <v>43989</v>
      </c>
      <c r="H125" s="346">
        <v>373989</v>
      </c>
      <c r="I125" s="348">
        <v>50</v>
      </c>
      <c r="J125" s="351">
        <v>7479.78</v>
      </c>
      <c r="K125" s="356">
        <f t="shared" si="14"/>
        <v>879.78</v>
      </c>
      <c r="L125" s="356">
        <f t="shared" si="15"/>
        <v>6600</v>
      </c>
      <c r="M125" s="356">
        <f t="shared" si="16"/>
        <v>6158.46</v>
      </c>
      <c r="N125" s="356">
        <f t="shared" si="17"/>
        <v>37830.54</v>
      </c>
      <c r="O125" s="348">
        <v>7</v>
      </c>
      <c r="P125" s="348">
        <v>43</v>
      </c>
      <c r="Q125" s="339">
        <f t="shared" si="18"/>
        <v>52358.46</v>
      </c>
      <c r="R125" s="339">
        <f t="shared" si="19"/>
        <v>321630.53999999998</v>
      </c>
      <c r="S125" s="337"/>
    </row>
    <row r="126" spans="2:19">
      <c r="B126" s="362" t="s">
        <v>1128</v>
      </c>
      <c r="C126" s="367">
        <v>122</v>
      </c>
      <c r="D126" s="337" t="s">
        <v>1437</v>
      </c>
      <c r="E126" s="337" t="s">
        <v>462</v>
      </c>
      <c r="F126" s="346">
        <v>450000</v>
      </c>
      <c r="G126" s="346">
        <v>59985</v>
      </c>
      <c r="H126" s="346">
        <v>509985</v>
      </c>
      <c r="I126" s="348">
        <v>50</v>
      </c>
      <c r="J126" s="351">
        <v>10199.700000000001</v>
      </c>
      <c r="K126" s="356">
        <f t="shared" si="14"/>
        <v>1199.7</v>
      </c>
      <c r="L126" s="356">
        <f t="shared" si="15"/>
        <v>9000</v>
      </c>
      <c r="M126" s="356">
        <f t="shared" si="16"/>
        <v>17995.5</v>
      </c>
      <c r="N126" s="356">
        <f t="shared" si="17"/>
        <v>41989.5</v>
      </c>
      <c r="O126" s="348">
        <v>15</v>
      </c>
      <c r="P126" s="348">
        <v>35</v>
      </c>
      <c r="Q126" s="339">
        <f t="shared" si="18"/>
        <v>152995.5</v>
      </c>
      <c r="R126" s="339">
        <f t="shared" si="19"/>
        <v>356989.5</v>
      </c>
      <c r="S126" s="337"/>
    </row>
    <row r="127" spans="2:19">
      <c r="B127" s="362" t="s">
        <v>1140</v>
      </c>
      <c r="C127" s="367">
        <v>123</v>
      </c>
      <c r="D127" s="337" t="s">
        <v>1437</v>
      </c>
      <c r="E127" s="337" t="s">
        <v>372</v>
      </c>
      <c r="F127" s="346">
        <v>330000</v>
      </c>
      <c r="G127" s="346">
        <v>43989</v>
      </c>
      <c r="H127" s="346">
        <v>373989</v>
      </c>
      <c r="I127" s="348">
        <v>50</v>
      </c>
      <c r="J127" s="351">
        <v>7479.78</v>
      </c>
      <c r="K127" s="356">
        <f t="shared" si="14"/>
        <v>879.78</v>
      </c>
      <c r="L127" s="356">
        <f t="shared" si="15"/>
        <v>6600</v>
      </c>
      <c r="M127" s="356">
        <f t="shared" si="16"/>
        <v>13196.699999999999</v>
      </c>
      <c r="N127" s="356">
        <f t="shared" si="17"/>
        <v>30792.3</v>
      </c>
      <c r="O127" s="348">
        <v>15</v>
      </c>
      <c r="P127" s="348">
        <v>35</v>
      </c>
      <c r="Q127" s="339">
        <f t="shared" si="18"/>
        <v>112196.7</v>
      </c>
      <c r="R127" s="339">
        <f t="shared" si="19"/>
        <v>261792.3</v>
      </c>
      <c r="S127" s="337"/>
    </row>
    <row r="128" spans="2:19">
      <c r="B128" s="362" t="s">
        <v>1136</v>
      </c>
      <c r="C128" s="367">
        <v>124</v>
      </c>
      <c r="D128" s="337" t="s">
        <v>1437</v>
      </c>
      <c r="E128" s="337" t="s">
        <v>1137</v>
      </c>
      <c r="F128" s="346">
        <v>330000</v>
      </c>
      <c r="G128" s="346">
        <v>43989</v>
      </c>
      <c r="H128" s="346">
        <v>373989</v>
      </c>
      <c r="I128" s="348">
        <v>50</v>
      </c>
      <c r="J128" s="351">
        <v>7479.78</v>
      </c>
      <c r="K128" s="356">
        <f t="shared" si="14"/>
        <v>879.78</v>
      </c>
      <c r="L128" s="356">
        <f t="shared" si="15"/>
        <v>6600</v>
      </c>
      <c r="M128" s="356">
        <f t="shared" si="16"/>
        <v>13196.699999999999</v>
      </c>
      <c r="N128" s="356">
        <f t="shared" si="17"/>
        <v>30792.3</v>
      </c>
      <c r="O128" s="348">
        <v>15</v>
      </c>
      <c r="P128" s="348">
        <v>35</v>
      </c>
      <c r="Q128" s="339">
        <f t="shared" si="18"/>
        <v>112196.7</v>
      </c>
      <c r="R128" s="339">
        <f t="shared" si="19"/>
        <v>261792.3</v>
      </c>
      <c r="S128" s="337"/>
    </row>
    <row r="129" spans="2:19">
      <c r="B129" s="362" t="s">
        <v>1115</v>
      </c>
      <c r="C129" s="367">
        <v>125</v>
      </c>
      <c r="D129" s="337" t="s">
        <v>1437</v>
      </c>
      <c r="E129" s="337" t="s">
        <v>1116</v>
      </c>
      <c r="F129" s="346">
        <v>200000</v>
      </c>
      <c r="G129" s="346">
        <v>26660</v>
      </c>
      <c r="H129" s="346">
        <f>SUM(F129:G129)</f>
        <v>226660</v>
      </c>
      <c r="I129" s="348">
        <v>50</v>
      </c>
      <c r="J129" s="351">
        <v>5099.8500000000004</v>
      </c>
      <c r="K129" s="356">
        <f t="shared" si="14"/>
        <v>533.20000000000005</v>
      </c>
      <c r="L129" s="356">
        <f t="shared" si="15"/>
        <v>4000</v>
      </c>
      <c r="M129" s="356">
        <f t="shared" si="16"/>
        <v>7998.0000000000009</v>
      </c>
      <c r="N129" s="356">
        <f t="shared" si="17"/>
        <v>18662</v>
      </c>
      <c r="O129" s="348">
        <v>15</v>
      </c>
      <c r="P129" s="348">
        <v>35</v>
      </c>
      <c r="Q129" s="339">
        <f t="shared" si="18"/>
        <v>76497.75</v>
      </c>
      <c r="R129" s="339">
        <f t="shared" si="19"/>
        <v>150162.25</v>
      </c>
      <c r="S129" s="337"/>
    </row>
    <row r="130" spans="2:19">
      <c r="B130" s="362" t="s">
        <v>1134</v>
      </c>
      <c r="C130" s="367">
        <v>126</v>
      </c>
      <c r="D130" s="337" t="s">
        <v>1437</v>
      </c>
      <c r="E130" s="337" t="s">
        <v>1135</v>
      </c>
      <c r="F130" s="346">
        <v>500000</v>
      </c>
      <c r="G130" s="346">
        <v>66650</v>
      </c>
      <c r="H130" s="346">
        <v>566650</v>
      </c>
      <c r="I130" s="348">
        <v>50</v>
      </c>
      <c r="J130" s="351">
        <v>11333</v>
      </c>
      <c r="K130" s="356">
        <f t="shared" si="14"/>
        <v>1333</v>
      </c>
      <c r="L130" s="356">
        <f t="shared" si="15"/>
        <v>10000</v>
      </c>
      <c r="M130" s="356">
        <f t="shared" si="16"/>
        <v>19995</v>
      </c>
      <c r="N130" s="356">
        <f t="shared" si="17"/>
        <v>46655</v>
      </c>
      <c r="O130" s="348">
        <v>15</v>
      </c>
      <c r="P130" s="348">
        <v>35</v>
      </c>
      <c r="Q130" s="339">
        <f t="shared" si="18"/>
        <v>169995</v>
      </c>
      <c r="R130" s="339">
        <f t="shared" si="19"/>
        <v>396655</v>
      </c>
      <c r="S130" s="337"/>
    </row>
    <row r="131" spans="2:19">
      <c r="B131" s="366" t="s">
        <v>1018</v>
      </c>
      <c r="C131" s="367">
        <v>127</v>
      </c>
      <c r="D131" s="337" t="s">
        <v>1437</v>
      </c>
      <c r="E131" s="337" t="s">
        <v>1019</v>
      </c>
      <c r="F131" s="346">
        <v>150000</v>
      </c>
      <c r="G131" s="346">
        <v>19995</v>
      </c>
      <c r="H131" s="346">
        <v>169995</v>
      </c>
      <c r="I131" s="348">
        <v>50</v>
      </c>
      <c r="J131" s="351">
        <v>3399.9</v>
      </c>
      <c r="K131" s="356">
        <f t="shared" si="14"/>
        <v>399.9</v>
      </c>
      <c r="L131" s="356">
        <f t="shared" si="15"/>
        <v>3000</v>
      </c>
      <c r="M131" s="356">
        <f t="shared" si="16"/>
        <v>7998</v>
      </c>
      <c r="N131" s="356">
        <f t="shared" si="17"/>
        <v>11997</v>
      </c>
      <c r="O131" s="348">
        <v>20</v>
      </c>
      <c r="P131" s="348">
        <v>30</v>
      </c>
      <c r="Q131" s="345">
        <f t="shared" si="18"/>
        <v>67998</v>
      </c>
      <c r="R131" s="339">
        <f t="shared" si="19"/>
        <v>101997</v>
      </c>
      <c r="S131" s="337"/>
    </row>
    <row r="132" spans="2:19">
      <c r="B132" s="364" t="s">
        <v>1048</v>
      </c>
      <c r="C132" s="367">
        <v>128</v>
      </c>
      <c r="D132" s="337" t="s">
        <v>1437</v>
      </c>
      <c r="E132" s="337" t="s">
        <v>1049</v>
      </c>
      <c r="F132" s="346">
        <v>450000</v>
      </c>
      <c r="G132" s="346">
        <v>59985</v>
      </c>
      <c r="H132" s="346">
        <v>509985</v>
      </c>
      <c r="I132" s="348">
        <v>50</v>
      </c>
      <c r="J132" s="351">
        <v>10199.700000000001</v>
      </c>
      <c r="K132" s="356">
        <f t="shared" si="14"/>
        <v>1199.7</v>
      </c>
      <c r="L132" s="356">
        <f t="shared" si="15"/>
        <v>9000</v>
      </c>
      <c r="M132" s="356">
        <f t="shared" si="16"/>
        <v>45588.6</v>
      </c>
      <c r="N132" s="356">
        <f t="shared" si="17"/>
        <v>14396.400000000001</v>
      </c>
      <c r="O132" s="348">
        <v>38</v>
      </c>
      <c r="P132" s="348">
        <v>12</v>
      </c>
      <c r="Q132" s="345">
        <f t="shared" si="18"/>
        <v>387588.60000000003</v>
      </c>
      <c r="R132" s="339">
        <f t="shared" si="19"/>
        <v>122396.39999999997</v>
      </c>
      <c r="S132" s="337"/>
    </row>
    <row r="133" spans="2:19">
      <c r="B133" s="362" t="s">
        <v>1090</v>
      </c>
      <c r="C133" s="367">
        <v>129</v>
      </c>
      <c r="D133" s="337" t="s">
        <v>1437</v>
      </c>
      <c r="E133" s="337" t="s">
        <v>295</v>
      </c>
      <c r="F133" s="346">
        <v>500000</v>
      </c>
      <c r="G133" s="346">
        <v>66650</v>
      </c>
      <c r="H133" s="346">
        <v>566650</v>
      </c>
      <c r="I133" s="348">
        <v>50</v>
      </c>
      <c r="J133" s="351">
        <v>11333</v>
      </c>
      <c r="K133" s="356">
        <f t="shared" si="14"/>
        <v>1333</v>
      </c>
      <c r="L133" s="356">
        <f t="shared" si="15"/>
        <v>10000</v>
      </c>
      <c r="M133" s="356">
        <f t="shared" ref="M133:M150" si="20">K133*O133</f>
        <v>29326</v>
      </c>
      <c r="N133" s="356">
        <f t="shared" ref="N133:N150" si="21">K133*P133</f>
        <v>37324</v>
      </c>
      <c r="O133" s="348">
        <v>22</v>
      </c>
      <c r="P133" s="348">
        <v>28</v>
      </c>
      <c r="Q133" s="345">
        <f t="shared" ref="Q133:Q150" si="22">J133*O133</f>
        <v>249326</v>
      </c>
      <c r="R133" s="339">
        <f t="shared" ref="R133:R150" si="23">H133-Q133</f>
        <v>317324</v>
      </c>
      <c r="S133" s="337"/>
    </row>
    <row r="134" spans="2:19">
      <c r="B134" s="365" t="s">
        <v>1337</v>
      </c>
      <c r="C134" s="367">
        <v>130</v>
      </c>
      <c r="D134" s="337" t="s">
        <v>1437</v>
      </c>
      <c r="E134" s="337" t="s">
        <v>1280</v>
      </c>
      <c r="F134" s="346">
        <v>500000</v>
      </c>
      <c r="G134" s="346">
        <v>66650</v>
      </c>
      <c r="H134" s="346">
        <v>566650</v>
      </c>
      <c r="I134" s="348">
        <v>50</v>
      </c>
      <c r="J134" s="351">
        <v>11333</v>
      </c>
      <c r="K134" s="356">
        <f t="shared" ref="K134:K150" si="24">G134/50</f>
        <v>1333</v>
      </c>
      <c r="L134" s="356">
        <f t="shared" ref="L134:L150" si="25">F134/50</f>
        <v>10000</v>
      </c>
      <c r="M134" s="356">
        <f t="shared" si="20"/>
        <v>9331</v>
      </c>
      <c r="N134" s="356">
        <f t="shared" si="21"/>
        <v>57319</v>
      </c>
      <c r="O134" s="348">
        <v>7</v>
      </c>
      <c r="P134" s="348">
        <v>43</v>
      </c>
      <c r="Q134" s="345">
        <f t="shared" si="22"/>
        <v>79331</v>
      </c>
      <c r="R134" s="339">
        <f t="shared" si="23"/>
        <v>487319</v>
      </c>
      <c r="S134" s="337"/>
    </row>
    <row r="135" spans="2:19">
      <c r="B135" s="364" t="s">
        <v>1023</v>
      </c>
      <c r="C135" s="367">
        <v>131</v>
      </c>
      <c r="D135" s="337" t="s">
        <v>1437</v>
      </c>
      <c r="E135" s="337" t="s">
        <v>321</v>
      </c>
      <c r="F135" s="346">
        <v>500000</v>
      </c>
      <c r="G135" s="346">
        <v>66650</v>
      </c>
      <c r="H135" s="346">
        <v>566650</v>
      </c>
      <c r="I135" s="348">
        <v>50</v>
      </c>
      <c r="J135" s="351">
        <v>11333</v>
      </c>
      <c r="K135" s="356">
        <f t="shared" si="24"/>
        <v>1333</v>
      </c>
      <c r="L135" s="356">
        <f t="shared" si="25"/>
        <v>10000</v>
      </c>
      <c r="M135" s="356">
        <f t="shared" si="20"/>
        <v>69316</v>
      </c>
      <c r="N135" s="356">
        <f t="shared" si="21"/>
        <v>-2666</v>
      </c>
      <c r="O135" s="348">
        <v>52</v>
      </c>
      <c r="P135" s="348">
        <v>-2</v>
      </c>
      <c r="Q135" s="345">
        <f t="shared" si="22"/>
        <v>589316</v>
      </c>
      <c r="R135" s="339">
        <f t="shared" si="23"/>
        <v>-22666</v>
      </c>
      <c r="S135" s="337"/>
    </row>
    <row r="136" spans="2:19">
      <c r="B136" s="362" t="s">
        <v>1354</v>
      </c>
      <c r="C136" s="367">
        <v>132</v>
      </c>
      <c r="D136" s="337" t="s">
        <v>1437</v>
      </c>
      <c r="E136" s="337" t="s">
        <v>450</v>
      </c>
      <c r="F136" s="346">
        <v>450000</v>
      </c>
      <c r="G136" s="346">
        <v>59985</v>
      </c>
      <c r="H136" s="346">
        <v>509985</v>
      </c>
      <c r="I136" s="348">
        <v>50</v>
      </c>
      <c r="J136" s="351">
        <v>10199.700000000001</v>
      </c>
      <c r="K136" s="356">
        <f t="shared" si="24"/>
        <v>1199.7</v>
      </c>
      <c r="L136" s="356">
        <f t="shared" si="25"/>
        <v>9000</v>
      </c>
      <c r="M136" s="356">
        <f t="shared" si="20"/>
        <v>16795.8</v>
      </c>
      <c r="N136" s="356">
        <f t="shared" si="21"/>
        <v>43189.200000000004</v>
      </c>
      <c r="O136" s="348">
        <v>14</v>
      </c>
      <c r="P136" s="348">
        <v>36</v>
      </c>
      <c r="Q136" s="345">
        <f t="shared" si="22"/>
        <v>142795.80000000002</v>
      </c>
      <c r="R136" s="339">
        <f t="shared" si="23"/>
        <v>367189.19999999995</v>
      </c>
      <c r="S136" s="337"/>
    </row>
    <row r="137" spans="2:19">
      <c r="B137" s="363" t="s">
        <v>1394</v>
      </c>
      <c r="C137" s="367">
        <v>133</v>
      </c>
      <c r="D137" s="337" t="s">
        <v>1437</v>
      </c>
      <c r="E137" s="337" t="s">
        <v>1395</v>
      </c>
      <c r="F137" s="346">
        <v>150000</v>
      </c>
      <c r="G137" s="346">
        <v>19995</v>
      </c>
      <c r="H137" s="346">
        <v>169995</v>
      </c>
      <c r="I137" s="348">
        <v>40</v>
      </c>
      <c r="J137" s="351">
        <v>4149.8999999999996</v>
      </c>
      <c r="K137" s="356">
        <f t="shared" si="24"/>
        <v>399.9</v>
      </c>
      <c r="L137" s="356">
        <f t="shared" si="25"/>
        <v>3000</v>
      </c>
      <c r="M137" s="356">
        <f t="shared" si="20"/>
        <v>799.8</v>
      </c>
      <c r="N137" s="356">
        <f t="shared" si="21"/>
        <v>15196.199999999999</v>
      </c>
      <c r="O137" s="348">
        <v>2</v>
      </c>
      <c r="P137" s="348">
        <v>38</v>
      </c>
      <c r="Q137" s="345">
        <f t="shared" si="22"/>
        <v>8299.7999999999993</v>
      </c>
      <c r="R137" s="339">
        <f t="shared" si="23"/>
        <v>161695.20000000001</v>
      </c>
      <c r="S137" s="337"/>
    </row>
    <row r="138" spans="2:19">
      <c r="B138" s="364" t="s">
        <v>968</v>
      </c>
      <c r="C138" s="367">
        <v>134</v>
      </c>
      <c r="D138" s="337" t="s">
        <v>1437</v>
      </c>
      <c r="E138" s="337" t="s">
        <v>490</v>
      </c>
      <c r="F138" s="346">
        <v>330000</v>
      </c>
      <c r="G138" s="346">
        <v>43989</v>
      </c>
      <c r="H138" s="346">
        <v>373989</v>
      </c>
      <c r="I138" s="348">
        <v>50</v>
      </c>
      <c r="J138" s="351">
        <v>7479.78</v>
      </c>
      <c r="K138" s="356">
        <f t="shared" si="24"/>
        <v>879.78</v>
      </c>
      <c r="L138" s="356">
        <f t="shared" si="25"/>
        <v>6600</v>
      </c>
      <c r="M138" s="356">
        <f t="shared" si="20"/>
        <v>23754.059999999998</v>
      </c>
      <c r="N138" s="356">
        <f t="shared" si="21"/>
        <v>20234.939999999999</v>
      </c>
      <c r="O138" s="348">
        <v>27</v>
      </c>
      <c r="P138" s="348">
        <v>23</v>
      </c>
      <c r="Q138" s="345">
        <f t="shared" si="22"/>
        <v>201954.06</v>
      </c>
      <c r="R138" s="339">
        <f t="shared" si="23"/>
        <v>172034.94</v>
      </c>
      <c r="S138" s="337"/>
    </row>
    <row r="139" spans="2:19">
      <c r="B139" s="364" t="s">
        <v>1036</v>
      </c>
      <c r="C139" s="367">
        <v>135</v>
      </c>
      <c r="D139" s="337" t="s">
        <v>1437</v>
      </c>
      <c r="E139" s="337" t="s">
        <v>216</v>
      </c>
      <c r="F139" s="346">
        <v>60000</v>
      </c>
      <c r="G139" s="346">
        <v>7998</v>
      </c>
      <c r="H139" s="346">
        <v>67998</v>
      </c>
      <c r="I139" s="348">
        <v>40</v>
      </c>
      <c r="J139" s="351">
        <v>1699.95</v>
      </c>
      <c r="K139" s="356">
        <f t="shared" si="24"/>
        <v>159.96</v>
      </c>
      <c r="L139" s="356">
        <f t="shared" si="25"/>
        <v>1200</v>
      </c>
      <c r="M139" s="356">
        <f t="shared" si="20"/>
        <v>4478.88</v>
      </c>
      <c r="N139" s="356">
        <f t="shared" si="21"/>
        <v>1919.52</v>
      </c>
      <c r="O139" s="348">
        <v>28</v>
      </c>
      <c r="P139" s="348">
        <v>12</v>
      </c>
      <c r="Q139" s="345">
        <f t="shared" si="22"/>
        <v>47598.6</v>
      </c>
      <c r="R139" s="339">
        <f t="shared" si="23"/>
        <v>20399.400000000001</v>
      </c>
      <c r="S139" s="337"/>
    </row>
    <row r="140" spans="2:19">
      <c r="B140" s="363" t="s">
        <v>1379</v>
      </c>
      <c r="C140" s="367">
        <v>136</v>
      </c>
      <c r="D140" s="337" t="s">
        <v>1437</v>
      </c>
      <c r="E140" s="337" t="s">
        <v>1380</v>
      </c>
      <c r="F140" s="346">
        <v>330000</v>
      </c>
      <c r="G140" s="346">
        <v>43989</v>
      </c>
      <c r="H140" s="346">
        <v>373989</v>
      </c>
      <c r="I140" s="348">
        <v>50</v>
      </c>
      <c r="J140" s="351">
        <v>7479.78</v>
      </c>
      <c r="K140" s="356">
        <f t="shared" si="24"/>
        <v>879.78</v>
      </c>
      <c r="L140" s="356">
        <f t="shared" si="25"/>
        <v>6600</v>
      </c>
      <c r="M140" s="356">
        <f t="shared" si="20"/>
        <v>1759.56</v>
      </c>
      <c r="N140" s="356">
        <f t="shared" si="21"/>
        <v>42229.440000000002</v>
      </c>
      <c r="O140" s="348">
        <v>2</v>
      </c>
      <c r="P140" s="348">
        <v>48</v>
      </c>
      <c r="Q140" s="345">
        <f t="shared" si="22"/>
        <v>14959.56</v>
      </c>
      <c r="R140" s="339">
        <f t="shared" si="23"/>
        <v>359029.44</v>
      </c>
      <c r="S140" s="337"/>
    </row>
    <row r="141" spans="2:19">
      <c r="B141" s="365" t="s">
        <v>1372</v>
      </c>
      <c r="C141" s="367">
        <v>137</v>
      </c>
      <c r="D141" s="337" t="s">
        <v>1437</v>
      </c>
      <c r="E141" s="337" t="s">
        <v>1297</v>
      </c>
      <c r="F141" s="346">
        <v>330000</v>
      </c>
      <c r="G141" s="346">
        <v>43989</v>
      </c>
      <c r="H141" s="346">
        <v>373989</v>
      </c>
      <c r="I141" s="348">
        <v>50</v>
      </c>
      <c r="J141" s="351">
        <v>7479.78</v>
      </c>
      <c r="K141" s="356">
        <f t="shared" si="24"/>
        <v>879.78</v>
      </c>
      <c r="L141" s="356">
        <f t="shared" si="25"/>
        <v>6600</v>
      </c>
      <c r="M141" s="356">
        <f t="shared" si="20"/>
        <v>10557.36</v>
      </c>
      <c r="N141" s="356">
        <f t="shared" si="21"/>
        <v>33431.64</v>
      </c>
      <c r="O141" s="348">
        <v>12</v>
      </c>
      <c r="P141" s="348">
        <v>38</v>
      </c>
      <c r="Q141" s="345">
        <f t="shared" si="22"/>
        <v>89757.36</v>
      </c>
      <c r="R141" s="339">
        <f t="shared" si="23"/>
        <v>284231.64</v>
      </c>
      <c r="S141" s="337"/>
    </row>
    <row r="142" spans="2:19">
      <c r="B142" s="363" t="s">
        <v>1373</v>
      </c>
      <c r="C142" s="367">
        <v>138</v>
      </c>
      <c r="D142" s="337" t="s">
        <v>1437</v>
      </c>
      <c r="E142" s="337" t="s">
        <v>1374</v>
      </c>
      <c r="F142" s="346">
        <v>330000</v>
      </c>
      <c r="G142" s="346">
        <v>43989</v>
      </c>
      <c r="H142" s="346">
        <v>373989</v>
      </c>
      <c r="I142" s="348">
        <v>50</v>
      </c>
      <c r="J142" s="351">
        <v>7479.78</v>
      </c>
      <c r="K142" s="356">
        <f t="shared" si="24"/>
        <v>879.78</v>
      </c>
      <c r="L142" s="356">
        <f t="shared" si="25"/>
        <v>6600</v>
      </c>
      <c r="M142" s="356">
        <f t="shared" si="20"/>
        <v>1759.56</v>
      </c>
      <c r="N142" s="356">
        <f t="shared" si="21"/>
        <v>42229.440000000002</v>
      </c>
      <c r="O142" s="348">
        <v>2</v>
      </c>
      <c r="P142" s="348">
        <v>48</v>
      </c>
      <c r="Q142" s="345">
        <f t="shared" si="22"/>
        <v>14959.56</v>
      </c>
      <c r="R142" s="339">
        <f t="shared" si="23"/>
        <v>359029.44</v>
      </c>
      <c r="S142" s="337"/>
    </row>
    <row r="143" spans="2:19">
      <c r="B143" s="362" t="s">
        <v>1367</v>
      </c>
      <c r="C143" s="367">
        <v>139</v>
      </c>
      <c r="D143" s="337" t="s">
        <v>1437</v>
      </c>
      <c r="E143" s="337" t="s">
        <v>465</v>
      </c>
      <c r="F143" s="346">
        <v>450000</v>
      </c>
      <c r="G143" s="346">
        <v>59985</v>
      </c>
      <c r="H143" s="346">
        <v>509985</v>
      </c>
      <c r="I143" s="348">
        <v>50</v>
      </c>
      <c r="J143" s="351">
        <v>10199.700000000001</v>
      </c>
      <c r="K143" s="356">
        <f t="shared" si="24"/>
        <v>1199.7</v>
      </c>
      <c r="L143" s="356">
        <f t="shared" si="25"/>
        <v>9000</v>
      </c>
      <c r="M143" s="356">
        <f t="shared" si="20"/>
        <v>26393.4</v>
      </c>
      <c r="N143" s="356">
        <f t="shared" si="21"/>
        <v>33591.599999999999</v>
      </c>
      <c r="O143" s="348">
        <v>22</v>
      </c>
      <c r="P143" s="348">
        <v>28</v>
      </c>
      <c r="Q143" s="345">
        <f t="shared" si="22"/>
        <v>224393.40000000002</v>
      </c>
      <c r="R143" s="339">
        <f t="shared" si="23"/>
        <v>285591.59999999998</v>
      </c>
      <c r="S143" s="337"/>
    </row>
    <row r="144" spans="2:19">
      <c r="B144" s="365" t="s">
        <v>1408</v>
      </c>
      <c r="C144" s="367">
        <v>140</v>
      </c>
      <c r="D144" s="337" t="s">
        <v>1437</v>
      </c>
      <c r="E144" s="337" t="s">
        <v>406</v>
      </c>
      <c r="F144" s="346">
        <v>500000</v>
      </c>
      <c r="G144" s="346">
        <v>66650</v>
      </c>
      <c r="H144" s="346">
        <v>566650</v>
      </c>
      <c r="I144" s="348">
        <v>40</v>
      </c>
      <c r="J144" s="351">
        <v>13833</v>
      </c>
      <c r="K144" s="356">
        <f t="shared" si="24"/>
        <v>1333</v>
      </c>
      <c r="L144" s="356">
        <f t="shared" si="25"/>
        <v>10000</v>
      </c>
      <c r="M144" s="356">
        <f t="shared" si="20"/>
        <v>1333</v>
      </c>
      <c r="N144" s="356">
        <f t="shared" si="21"/>
        <v>51987</v>
      </c>
      <c r="O144" s="348">
        <v>1</v>
      </c>
      <c r="P144" s="348">
        <v>39</v>
      </c>
      <c r="Q144" s="345">
        <f t="shared" si="22"/>
        <v>13833</v>
      </c>
      <c r="R144" s="339">
        <f t="shared" si="23"/>
        <v>552817</v>
      </c>
      <c r="S144" s="337"/>
    </row>
    <row r="145" spans="2:19">
      <c r="B145" s="365" t="s">
        <v>1409</v>
      </c>
      <c r="C145" s="367">
        <v>141</v>
      </c>
      <c r="D145" s="337" t="s">
        <v>1437</v>
      </c>
      <c r="E145" s="337" t="s">
        <v>1407</v>
      </c>
      <c r="F145" s="346">
        <v>500000</v>
      </c>
      <c r="G145" s="346">
        <v>66650</v>
      </c>
      <c r="H145" s="346">
        <v>566650</v>
      </c>
      <c r="I145" s="348">
        <v>50</v>
      </c>
      <c r="J145" s="351">
        <v>11333</v>
      </c>
      <c r="K145" s="356">
        <f t="shared" si="24"/>
        <v>1333</v>
      </c>
      <c r="L145" s="356">
        <f t="shared" si="25"/>
        <v>10000</v>
      </c>
      <c r="M145" s="356">
        <f t="shared" si="20"/>
        <v>29326</v>
      </c>
      <c r="N145" s="356">
        <f t="shared" si="21"/>
        <v>37324</v>
      </c>
      <c r="O145" s="348">
        <v>22</v>
      </c>
      <c r="P145" s="348">
        <v>28</v>
      </c>
      <c r="Q145" s="345">
        <f t="shared" si="22"/>
        <v>249326</v>
      </c>
      <c r="R145" s="339">
        <f t="shared" si="23"/>
        <v>317324</v>
      </c>
      <c r="S145" s="337"/>
    </row>
    <row r="146" spans="2:19">
      <c r="B146" s="337"/>
      <c r="C146" s="367">
        <v>142</v>
      </c>
      <c r="D146" s="337" t="s">
        <v>1437</v>
      </c>
      <c r="E146" s="337" t="s">
        <v>1270</v>
      </c>
      <c r="F146" s="346">
        <v>150000</v>
      </c>
      <c r="G146" s="346">
        <v>19995</v>
      </c>
      <c r="H146" s="346">
        <v>169995</v>
      </c>
      <c r="I146" s="348">
        <v>50</v>
      </c>
      <c r="J146" s="351">
        <v>3399.9</v>
      </c>
      <c r="K146" s="356">
        <f t="shared" si="24"/>
        <v>399.9</v>
      </c>
      <c r="L146" s="356">
        <f t="shared" si="25"/>
        <v>3000</v>
      </c>
      <c r="M146" s="356">
        <f t="shared" si="20"/>
        <v>15196.199999999999</v>
      </c>
      <c r="N146" s="356">
        <f t="shared" si="21"/>
        <v>4798.7999999999993</v>
      </c>
      <c r="O146" s="348">
        <v>38</v>
      </c>
      <c r="P146" s="348">
        <v>12</v>
      </c>
      <c r="Q146" s="345">
        <f t="shared" si="22"/>
        <v>129196.2</v>
      </c>
      <c r="R146" s="339">
        <f t="shared" si="23"/>
        <v>40798.800000000003</v>
      </c>
      <c r="S146" s="337"/>
    </row>
    <row r="147" spans="2:19">
      <c r="B147" s="337"/>
      <c r="C147" s="367">
        <v>143</v>
      </c>
      <c r="D147" s="337" t="s">
        <v>1437</v>
      </c>
      <c r="E147" s="337" t="s">
        <v>1272</v>
      </c>
      <c r="F147" s="346">
        <v>450000</v>
      </c>
      <c r="G147" s="346">
        <v>59985</v>
      </c>
      <c r="H147" s="346">
        <v>509985</v>
      </c>
      <c r="I147" s="348">
        <v>50</v>
      </c>
      <c r="J147" s="351">
        <v>10199.700000000001</v>
      </c>
      <c r="K147" s="356">
        <f t="shared" si="24"/>
        <v>1199.7</v>
      </c>
      <c r="L147" s="356">
        <f t="shared" si="25"/>
        <v>9000</v>
      </c>
      <c r="M147" s="356">
        <f t="shared" si="20"/>
        <v>14396.400000000001</v>
      </c>
      <c r="N147" s="356">
        <f t="shared" si="21"/>
        <v>45588.6</v>
      </c>
      <c r="O147" s="348">
        <v>12</v>
      </c>
      <c r="P147" s="348">
        <v>38</v>
      </c>
      <c r="Q147" s="345">
        <f t="shared" si="22"/>
        <v>122396.40000000001</v>
      </c>
      <c r="R147" s="339">
        <f t="shared" si="23"/>
        <v>387588.6</v>
      </c>
      <c r="S147" s="337"/>
    </row>
    <row r="148" spans="2:19">
      <c r="B148" s="337"/>
      <c r="C148" s="367">
        <v>144</v>
      </c>
      <c r="D148" s="337" t="s">
        <v>1437</v>
      </c>
      <c r="E148" s="337" t="s">
        <v>1268</v>
      </c>
      <c r="F148" s="346">
        <v>500000</v>
      </c>
      <c r="G148" s="346">
        <v>66650</v>
      </c>
      <c r="H148" s="346">
        <v>566650</v>
      </c>
      <c r="I148" s="348">
        <v>50</v>
      </c>
      <c r="J148" s="351">
        <v>11749.67</v>
      </c>
      <c r="K148" s="356">
        <f t="shared" si="24"/>
        <v>1333</v>
      </c>
      <c r="L148" s="356">
        <f t="shared" si="25"/>
        <v>10000</v>
      </c>
      <c r="M148" s="356">
        <f t="shared" si="20"/>
        <v>35991</v>
      </c>
      <c r="N148" s="356">
        <f t="shared" si="21"/>
        <v>30659</v>
      </c>
      <c r="O148" s="348">
        <v>27</v>
      </c>
      <c r="P148" s="348">
        <v>23</v>
      </c>
      <c r="Q148" s="345">
        <f t="shared" si="22"/>
        <v>317241.09000000003</v>
      </c>
      <c r="R148" s="339">
        <f t="shared" si="23"/>
        <v>249408.90999999997</v>
      </c>
      <c r="S148" s="337"/>
    </row>
    <row r="149" spans="2:19">
      <c r="B149" s="337"/>
      <c r="C149" s="367">
        <v>145</v>
      </c>
      <c r="D149" s="337" t="s">
        <v>1437</v>
      </c>
      <c r="E149" s="337" t="s">
        <v>1420</v>
      </c>
      <c r="F149" s="346">
        <v>450000</v>
      </c>
      <c r="G149" s="346">
        <v>59985</v>
      </c>
      <c r="H149" s="346">
        <v>509985</v>
      </c>
      <c r="I149" s="348">
        <v>50</v>
      </c>
      <c r="J149" s="351">
        <v>10199.700000000001</v>
      </c>
      <c r="K149" s="356">
        <f t="shared" si="24"/>
        <v>1199.7</v>
      </c>
      <c r="L149" s="356">
        <f t="shared" si="25"/>
        <v>9000</v>
      </c>
      <c r="M149" s="356">
        <f t="shared" si="20"/>
        <v>2399.4</v>
      </c>
      <c r="N149" s="356">
        <f t="shared" si="21"/>
        <v>57585.600000000006</v>
      </c>
      <c r="O149" s="348">
        <v>2</v>
      </c>
      <c r="P149" s="348">
        <v>48</v>
      </c>
      <c r="Q149" s="345">
        <f t="shared" si="22"/>
        <v>20399.400000000001</v>
      </c>
      <c r="R149" s="339">
        <f t="shared" si="23"/>
        <v>489585.6</v>
      </c>
      <c r="S149" s="337"/>
    </row>
    <row r="150" spans="2:19">
      <c r="B150" s="337"/>
      <c r="C150" s="367">
        <v>146</v>
      </c>
      <c r="D150" s="337" t="s">
        <v>1437</v>
      </c>
      <c r="E150" s="337" t="s">
        <v>1269</v>
      </c>
      <c r="F150" s="346">
        <v>450000</v>
      </c>
      <c r="G150" s="346">
        <v>59985</v>
      </c>
      <c r="H150" s="346">
        <v>509985</v>
      </c>
      <c r="I150" s="348">
        <v>50</v>
      </c>
      <c r="J150" s="351">
        <v>10199.700000000001</v>
      </c>
      <c r="K150" s="356">
        <f t="shared" si="24"/>
        <v>1199.7</v>
      </c>
      <c r="L150" s="356">
        <f t="shared" si="25"/>
        <v>9000</v>
      </c>
      <c r="M150" s="356">
        <f t="shared" si="20"/>
        <v>40789.800000000003</v>
      </c>
      <c r="N150" s="356">
        <f t="shared" si="21"/>
        <v>19195.2</v>
      </c>
      <c r="O150" s="348">
        <v>34</v>
      </c>
      <c r="P150" s="348">
        <v>16</v>
      </c>
      <c r="Q150" s="339">
        <f t="shared" si="22"/>
        <v>346789.80000000005</v>
      </c>
      <c r="R150" s="339">
        <f t="shared" si="23"/>
        <v>163195.19999999995</v>
      </c>
      <c r="S150" s="337"/>
    </row>
    <row r="151" spans="2:19">
      <c r="B151" s="337"/>
      <c r="C151" s="337"/>
      <c r="D151" s="337"/>
      <c r="E151" s="337"/>
      <c r="F151" s="346">
        <f>SUM(F5:F150)</f>
        <v>60840000</v>
      </c>
      <c r="G151" s="346">
        <f t="shared" ref="G151:R151" si="26">SUM(G5:G150)</f>
        <v>8097655.2000000002</v>
      </c>
      <c r="H151" s="346">
        <f t="shared" si="26"/>
        <v>68937655.200000003</v>
      </c>
      <c r="I151" s="346"/>
      <c r="J151" s="346">
        <f t="shared" si="26"/>
        <v>1428592.77</v>
      </c>
      <c r="K151" s="346">
        <f t="shared" si="26"/>
        <v>161953.10399999993</v>
      </c>
      <c r="L151" s="346">
        <f t="shared" si="26"/>
        <v>1216800</v>
      </c>
      <c r="M151" s="346">
        <f t="shared" si="26"/>
        <v>3257285.804</v>
      </c>
      <c r="N151" s="346">
        <f t="shared" si="26"/>
        <v>4655678.4800000004</v>
      </c>
      <c r="O151" s="346"/>
      <c r="P151" s="346"/>
      <c r="Q151" s="346">
        <f t="shared" si="26"/>
        <v>28075513.870000005</v>
      </c>
      <c r="R151" s="346">
        <f t="shared" si="26"/>
        <v>40862141.329999976</v>
      </c>
      <c r="S151" s="337"/>
    </row>
    <row r="153" spans="2:19">
      <c r="H153" s="359"/>
    </row>
  </sheetData>
  <mergeCells count="3">
    <mergeCell ref="C1:S1"/>
    <mergeCell ref="C3:S3"/>
    <mergeCell ref="C2:S2"/>
  </mergeCells>
  <conditionalFormatting sqref="B99:B100">
    <cfRule type="duplicateValues" dxfId="31" priority="2"/>
  </conditionalFormatting>
  <conditionalFormatting sqref="B106:B109 B4:B92 B98:B100 B115:B121 B129:B143">
    <cfRule type="duplicateValues" dxfId="30" priority="1"/>
  </conditionalFormatting>
  <pageMargins left="0.7" right="0.7" top="0.75" bottom="0.75" header="0.3" footer="0.3"/>
  <pageSetup paperSize="9" scale="48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B1:S160"/>
  <sheetViews>
    <sheetView topLeftCell="A133" zoomScale="90" zoomScaleNormal="90" workbookViewId="0">
      <selection activeCell="E142" sqref="E142"/>
    </sheetView>
  </sheetViews>
  <sheetFormatPr defaultRowHeight="15.75"/>
  <cols>
    <col min="1" max="1" width="9.140625" style="336"/>
    <col min="2" max="2" width="18.7109375" style="336" customWidth="1"/>
    <col min="3" max="3" width="6" style="336" customWidth="1"/>
    <col min="4" max="4" width="13.5703125" style="336" customWidth="1"/>
    <col min="5" max="5" width="36.85546875" style="336" customWidth="1"/>
    <col min="6" max="7" width="16.85546875" style="342" customWidth="1"/>
    <col min="8" max="8" width="17.42578125" style="342" customWidth="1"/>
    <col min="9" max="9" width="7.85546875" style="343" customWidth="1"/>
    <col min="10" max="10" width="16.5703125" style="342" customWidth="1"/>
    <col min="11" max="11" width="14.140625" style="355" customWidth="1"/>
    <col min="12" max="12" width="15.7109375" style="355" customWidth="1"/>
    <col min="13" max="13" width="16.5703125" style="355" customWidth="1"/>
    <col min="14" max="14" width="15.85546875" style="355" customWidth="1"/>
    <col min="15" max="15" width="10.140625" style="344" customWidth="1"/>
    <col min="16" max="16" width="12.140625" style="344" customWidth="1"/>
    <col min="17" max="17" width="17" style="342" customWidth="1"/>
    <col min="18" max="18" width="16.85546875" style="342" customWidth="1"/>
    <col min="19" max="19" width="11" style="336" customWidth="1"/>
    <col min="20" max="16384" width="9.140625" style="336"/>
  </cols>
  <sheetData>
    <row r="1" spans="2:19" ht="22.5">
      <c r="C1" s="425" t="s">
        <v>1421</v>
      </c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</row>
    <row r="2" spans="2:19" customFormat="1" ht="20.25">
      <c r="B2" s="360"/>
      <c r="C2" s="419" t="s">
        <v>245</v>
      </c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</row>
    <row r="3" spans="2:19" customFormat="1" ht="18">
      <c r="B3" s="360"/>
      <c r="C3" s="426" t="s">
        <v>1419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</row>
    <row r="4" spans="2:19" s="372" customFormat="1" ht="68.25" customHeight="1">
      <c r="B4" s="117" t="s">
        <v>869</v>
      </c>
      <c r="C4" s="369" t="s">
        <v>0</v>
      </c>
      <c r="D4" s="370" t="s">
        <v>1422</v>
      </c>
      <c r="E4" s="370" t="s">
        <v>292</v>
      </c>
      <c r="F4" s="370" t="s">
        <v>1423</v>
      </c>
      <c r="G4" s="370" t="s">
        <v>1424</v>
      </c>
      <c r="H4" s="370" t="s">
        <v>1425</v>
      </c>
      <c r="I4" s="370" t="s">
        <v>1426</v>
      </c>
      <c r="J4" s="370" t="s">
        <v>1427</v>
      </c>
      <c r="K4" s="371" t="s">
        <v>1428</v>
      </c>
      <c r="L4" s="371" t="s">
        <v>1429</v>
      </c>
      <c r="M4" s="371" t="s">
        <v>1430</v>
      </c>
      <c r="N4" s="371" t="s">
        <v>1431</v>
      </c>
      <c r="O4" s="368" t="s">
        <v>1432</v>
      </c>
      <c r="P4" s="373" t="s">
        <v>1433</v>
      </c>
      <c r="Q4" s="370" t="s">
        <v>1434</v>
      </c>
      <c r="R4" s="370" t="s">
        <v>1435</v>
      </c>
      <c r="S4" s="382" t="s">
        <v>1436</v>
      </c>
    </row>
    <row r="5" spans="2:19">
      <c r="B5" s="361" t="s">
        <v>1369</v>
      </c>
      <c r="C5" s="367">
        <v>1</v>
      </c>
      <c r="D5" s="337" t="s">
        <v>1437</v>
      </c>
      <c r="E5" s="338" t="s">
        <v>1282</v>
      </c>
      <c r="F5" s="339">
        <v>330000</v>
      </c>
      <c r="G5" s="339">
        <v>43989</v>
      </c>
      <c r="H5" s="340">
        <f>SUM(F5:G5)</f>
        <v>373989</v>
      </c>
      <c r="I5" s="347">
        <v>50</v>
      </c>
      <c r="J5" s="374">
        <v>7479.78</v>
      </c>
      <c r="K5" s="356">
        <f>G5/50</f>
        <v>879.78</v>
      </c>
      <c r="L5" s="356">
        <f>F5/50</f>
        <v>6600</v>
      </c>
      <c r="M5" s="356">
        <f t="shared" ref="M5:M36" si="0">K5*O5</f>
        <v>7038.24</v>
      </c>
      <c r="N5" s="356">
        <f t="shared" ref="N5:N36" si="1">K5*P5</f>
        <v>36950.76</v>
      </c>
      <c r="O5" s="352">
        <v>8</v>
      </c>
      <c r="P5" s="354">
        <f>I5-O5</f>
        <v>42</v>
      </c>
      <c r="Q5" s="339">
        <f t="shared" ref="Q5:Q36" si="2">J5*O5</f>
        <v>59838.239999999998</v>
      </c>
      <c r="R5" s="339">
        <f t="shared" ref="R5:R36" si="3">H5-Q5</f>
        <v>314150.76</v>
      </c>
      <c r="S5" s="341"/>
    </row>
    <row r="6" spans="2:19">
      <c r="B6" s="361" t="s">
        <v>1396</v>
      </c>
      <c r="C6" s="367">
        <v>2</v>
      </c>
      <c r="D6" s="337" t="s">
        <v>1437</v>
      </c>
      <c r="E6" s="341" t="s">
        <v>1397</v>
      </c>
      <c r="F6" s="339">
        <v>150000</v>
      </c>
      <c r="G6" s="339">
        <v>19995</v>
      </c>
      <c r="H6" s="340">
        <f t="shared" ref="H6:H69" si="4">SUM(F6:G6)</f>
        <v>169995</v>
      </c>
      <c r="I6" s="347">
        <v>50</v>
      </c>
      <c r="J6" s="374">
        <v>3399.9</v>
      </c>
      <c r="K6" s="356">
        <f t="shared" ref="K6:K69" si="5">G6/50</f>
        <v>399.9</v>
      </c>
      <c r="L6" s="356">
        <f t="shared" ref="L6:L69" si="6">F6/50</f>
        <v>3000</v>
      </c>
      <c r="M6" s="356">
        <f t="shared" si="0"/>
        <v>3999</v>
      </c>
      <c r="N6" s="356">
        <f t="shared" si="1"/>
        <v>15996</v>
      </c>
      <c r="O6" s="352">
        <v>10</v>
      </c>
      <c r="P6" s="354">
        <f t="shared" ref="P6:P69" si="7">I6-O6</f>
        <v>40</v>
      </c>
      <c r="Q6" s="339">
        <f t="shared" si="2"/>
        <v>33999</v>
      </c>
      <c r="R6" s="339">
        <f t="shared" si="3"/>
        <v>135996</v>
      </c>
      <c r="S6" s="341"/>
    </row>
    <row r="7" spans="2:19">
      <c r="B7" s="362" t="s">
        <v>1047</v>
      </c>
      <c r="C7" s="367">
        <v>3</v>
      </c>
      <c r="D7" s="337" t="s">
        <v>1437</v>
      </c>
      <c r="E7" s="338" t="s">
        <v>873</v>
      </c>
      <c r="F7" s="339">
        <v>450000</v>
      </c>
      <c r="G7" s="339">
        <v>59985</v>
      </c>
      <c r="H7" s="340">
        <f t="shared" si="4"/>
        <v>509985</v>
      </c>
      <c r="I7" s="347">
        <v>50</v>
      </c>
      <c r="J7" s="374">
        <v>10199.700000000001</v>
      </c>
      <c r="K7" s="356">
        <f t="shared" si="5"/>
        <v>1199.7</v>
      </c>
      <c r="L7" s="356">
        <f t="shared" si="6"/>
        <v>9000</v>
      </c>
      <c r="M7" s="356">
        <f t="shared" si="0"/>
        <v>27593.100000000002</v>
      </c>
      <c r="N7" s="356">
        <f t="shared" si="1"/>
        <v>32391.9</v>
      </c>
      <c r="O7" s="352">
        <v>23</v>
      </c>
      <c r="P7" s="354">
        <f t="shared" si="7"/>
        <v>27</v>
      </c>
      <c r="Q7" s="339">
        <f t="shared" si="2"/>
        <v>234593.1</v>
      </c>
      <c r="R7" s="339">
        <f t="shared" si="3"/>
        <v>275391.90000000002</v>
      </c>
      <c r="S7" s="341"/>
    </row>
    <row r="8" spans="2:19">
      <c r="B8" s="363" t="s">
        <v>1034</v>
      </c>
      <c r="C8" s="367">
        <v>4</v>
      </c>
      <c r="D8" s="337" t="s">
        <v>1437</v>
      </c>
      <c r="E8" s="341" t="s">
        <v>1035</v>
      </c>
      <c r="F8" s="339">
        <v>500000</v>
      </c>
      <c r="G8" s="339">
        <v>66650</v>
      </c>
      <c r="H8" s="340">
        <f t="shared" si="4"/>
        <v>566650</v>
      </c>
      <c r="I8" s="347">
        <v>50</v>
      </c>
      <c r="J8" s="374">
        <v>11333</v>
      </c>
      <c r="K8" s="356">
        <f t="shared" si="5"/>
        <v>1333</v>
      </c>
      <c r="L8" s="356">
        <f t="shared" si="6"/>
        <v>10000</v>
      </c>
      <c r="M8" s="356">
        <f t="shared" si="0"/>
        <v>30659</v>
      </c>
      <c r="N8" s="356">
        <f t="shared" si="1"/>
        <v>35991</v>
      </c>
      <c r="O8" s="347">
        <v>23</v>
      </c>
      <c r="P8" s="354">
        <f t="shared" si="7"/>
        <v>27</v>
      </c>
      <c r="Q8" s="339">
        <f t="shared" si="2"/>
        <v>260659</v>
      </c>
      <c r="R8" s="339">
        <f t="shared" si="3"/>
        <v>305991</v>
      </c>
      <c r="S8" s="341"/>
    </row>
    <row r="9" spans="2:19">
      <c r="B9" s="362" t="s">
        <v>978</v>
      </c>
      <c r="C9" s="367">
        <v>5</v>
      </c>
      <c r="D9" s="337" t="s">
        <v>1437</v>
      </c>
      <c r="E9" s="341" t="s">
        <v>979</v>
      </c>
      <c r="F9" s="339">
        <v>500000</v>
      </c>
      <c r="G9" s="339">
        <v>66650</v>
      </c>
      <c r="H9" s="340">
        <f t="shared" si="4"/>
        <v>566650</v>
      </c>
      <c r="I9" s="347">
        <v>50</v>
      </c>
      <c r="J9" s="374">
        <v>11333</v>
      </c>
      <c r="K9" s="356">
        <f t="shared" si="5"/>
        <v>1333</v>
      </c>
      <c r="L9" s="356">
        <f t="shared" si="6"/>
        <v>10000</v>
      </c>
      <c r="M9" s="356">
        <f t="shared" si="0"/>
        <v>70649</v>
      </c>
      <c r="N9" s="356">
        <f t="shared" si="1"/>
        <v>-3999</v>
      </c>
      <c r="O9" s="352">
        <v>53</v>
      </c>
      <c r="P9" s="354">
        <f t="shared" si="7"/>
        <v>-3</v>
      </c>
      <c r="Q9" s="339">
        <f t="shared" si="2"/>
        <v>600649</v>
      </c>
      <c r="R9" s="339">
        <f t="shared" si="3"/>
        <v>-33999</v>
      </c>
      <c r="S9" s="341"/>
    </row>
    <row r="10" spans="2:19">
      <c r="B10" s="362" t="s">
        <v>1382</v>
      </c>
      <c r="C10" s="367">
        <v>6</v>
      </c>
      <c r="D10" s="337" t="s">
        <v>1437</v>
      </c>
      <c r="E10" s="341" t="s">
        <v>1130</v>
      </c>
      <c r="F10" s="339">
        <v>330000</v>
      </c>
      <c r="G10" s="339">
        <v>43989</v>
      </c>
      <c r="H10" s="340">
        <f t="shared" si="4"/>
        <v>373989</v>
      </c>
      <c r="I10" s="347">
        <v>50</v>
      </c>
      <c r="J10" s="374">
        <v>7479.78</v>
      </c>
      <c r="K10" s="356">
        <f t="shared" si="5"/>
        <v>879.78</v>
      </c>
      <c r="L10" s="356">
        <f t="shared" si="6"/>
        <v>6600</v>
      </c>
      <c r="M10" s="356">
        <f t="shared" si="0"/>
        <v>13196.699999999999</v>
      </c>
      <c r="N10" s="356">
        <f t="shared" si="1"/>
        <v>30792.3</v>
      </c>
      <c r="O10" s="353">
        <v>15</v>
      </c>
      <c r="P10" s="354">
        <f t="shared" si="7"/>
        <v>35</v>
      </c>
      <c r="Q10" s="339">
        <f t="shared" si="2"/>
        <v>112196.7</v>
      </c>
      <c r="R10" s="339">
        <f t="shared" si="3"/>
        <v>261792.3</v>
      </c>
      <c r="S10" s="341"/>
    </row>
    <row r="11" spans="2:19">
      <c r="B11" s="364" t="s">
        <v>1071</v>
      </c>
      <c r="C11" s="367">
        <v>7</v>
      </c>
      <c r="D11" s="337" t="s">
        <v>1437</v>
      </c>
      <c r="E11" s="338" t="s">
        <v>496</v>
      </c>
      <c r="F11" s="340">
        <v>500000</v>
      </c>
      <c r="G11" s="339">
        <v>66650</v>
      </c>
      <c r="H11" s="340">
        <f t="shared" si="4"/>
        <v>566650</v>
      </c>
      <c r="I11" s="347">
        <v>50</v>
      </c>
      <c r="J11" s="375">
        <v>11333</v>
      </c>
      <c r="K11" s="356">
        <f t="shared" si="5"/>
        <v>1333</v>
      </c>
      <c r="L11" s="356">
        <f t="shared" si="6"/>
        <v>10000</v>
      </c>
      <c r="M11" s="356">
        <f t="shared" si="0"/>
        <v>34658</v>
      </c>
      <c r="N11" s="356">
        <f t="shared" si="1"/>
        <v>31992</v>
      </c>
      <c r="O11" s="352">
        <v>26</v>
      </c>
      <c r="P11" s="354">
        <f t="shared" si="7"/>
        <v>24</v>
      </c>
      <c r="Q11" s="339">
        <f t="shared" si="2"/>
        <v>294658</v>
      </c>
      <c r="R11" s="339">
        <f t="shared" si="3"/>
        <v>271992</v>
      </c>
      <c r="S11" s="341"/>
    </row>
    <row r="12" spans="2:19">
      <c r="B12" s="362" t="s">
        <v>1350</v>
      </c>
      <c r="C12" s="367">
        <v>8</v>
      </c>
      <c r="D12" s="337" t="s">
        <v>1437</v>
      </c>
      <c r="E12" s="338" t="s">
        <v>1117</v>
      </c>
      <c r="F12" s="339">
        <v>500000</v>
      </c>
      <c r="G12" s="339">
        <v>66650</v>
      </c>
      <c r="H12" s="340">
        <f t="shared" si="4"/>
        <v>566650</v>
      </c>
      <c r="I12" s="347">
        <v>50</v>
      </c>
      <c r="J12" s="374">
        <v>11333</v>
      </c>
      <c r="K12" s="356">
        <f t="shared" si="5"/>
        <v>1333</v>
      </c>
      <c r="L12" s="356">
        <f t="shared" si="6"/>
        <v>10000</v>
      </c>
      <c r="M12" s="356">
        <f t="shared" si="0"/>
        <v>19995</v>
      </c>
      <c r="N12" s="356">
        <f t="shared" si="1"/>
        <v>46655</v>
      </c>
      <c r="O12" s="352">
        <v>15</v>
      </c>
      <c r="P12" s="354">
        <f t="shared" si="7"/>
        <v>35</v>
      </c>
      <c r="Q12" s="339">
        <f t="shared" si="2"/>
        <v>169995</v>
      </c>
      <c r="R12" s="339">
        <f t="shared" si="3"/>
        <v>396655</v>
      </c>
      <c r="S12" s="341"/>
    </row>
    <row r="13" spans="2:19">
      <c r="B13" s="361" t="s">
        <v>1338</v>
      </c>
      <c r="C13" s="367">
        <v>9</v>
      </c>
      <c r="D13" s="337" t="s">
        <v>1437</v>
      </c>
      <c r="E13" s="341" t="s">
        <v>438</v>
      </c>
      <c r="F13" s="339">
        <v>500000</v>
      </c>
      <c r="G13" s="339">
        <v>66650</v>
      </c>
      <c r="H13" s="340">
        <f t="shared" si="4"/>
        <v>566650</v>
      </c>
      <c r="I13" s="347">
        <v>50</v>
      </c>
      <c r="J13" s="374">
        <v>11333</v>
      </c>
      <c r="K13" s="356">
        <f t="shared" si="5"/>
        <v>1333</v>
      </c>
      <c r="L13" s="356">
        <f t="shared" si="6"/>
        <v>10000</v>
      </c>
      <c r="M13" s="356">
        <f t="shared" si="0"/>
        <v>3999</v>
      </c>
      <c r="N13" s="356">
        <f t="shared" si="1"/>
        <v>62651</v>
      </c>
      <c r="O13" s="352">
        <v>3</v>
      </c>
      <c r="P13" s="354">
        <f t="shared" si="7"/>
        <v>47</v>
      </c>
      <c r="Q13" s="339">
        <f t="shared" si="2"/>
        <v>33999</v>
      </c>
      <c r="R13" s="339">
        <f t="shared" si="3"/>
        <v>532651</v>
      </c>
      <c r="S13" s="341"/>
    </row>
    <row r="14" spans="2:19">
      <c r="B14" s="363" t="s">
        <v>1363</v>
      </c>
      <c r="C14" s="367">
        <v>10</v>
      </c>
      <c r="D14" s="337" t="s">
        <v>1437</v>
      </c>
      <c r="E14" s="341" t="s">
        <v>1364</v>
      </c>
      <c r="F14" s="339">
        <v>450000</v>
      </c>
      <c r="G14" s="339">
        <v>59985</v>
      </c>
      <c r="H14" s="340">
        <f t="shared" si="4"/>
        <v>509985</v>
      </c>
      <c r="I14" s="347">
        <v>50</v>
      </c>
      <c r="J14" s="374">
        <v>10199.700000000001</v>
      </c>
      <c r="K14" s="356">
        <f t="shared" si="5"/>
        <v>1199.7</v>
      </c>
      <c r="L14" s="356">
        <f t="shared" si="6"/>
        <v>9000</v>
      </c>
      <c r="M14" s="356">
        <f t="shared" si="0"/>
        <v>7198.2000000000007</v>
      </c>
      <c r="N14" s="356">
        <f t="shared" si="1"/>
        <v>52786.8</v>
      </c>
      <c r="O14" s="353">
        <v>6</v>
      </c>
      <c r="P14" s="354">
        <f t="shared" si="7"/>
        <v>44</v>
      </c>
      <c r="Q14" s="339">
        <f t="shared" si="2"/>
        <v>61198.200000000004</v>
      </c>
      <c r="R14" s="339">
        <f t="shared" si="3"/>
        <v>448786.8</v>
      </c>
      <c r="S14" s="341"/>
    </row>
    <row r="15" spans="2:19">
      <c r="B15" s="361" t="s">
        <v>1343</v>
      </c>
      <c r="C15" s="367">
        <v>11</v>
      </c>
      <c r="D15" s="337" t="s">
        <v>1437</v>
      </c>
      <c r="E15" s="341" t="s">
        <v>451</v>
      </c>
      <c r="F15" s="339">
        <v>500000</v>
      </c>
      <c r="G15" s="339">
        <v>66650</v>
      </c>
      <c r="H15" s="340">
        <f t="shared" si="4"/>
        <v>566650</v>
      </c>
      <c r="I15" s="347">
        <v>50</v>
      </c>
      <c r="J15" s="374">
        <v>11333</v>
      </c>
      <c r="K15" s="356">
        <f t="shared" si="5"/>
        <v>1333</v>
      </c>
      <c r="L15" s="356">
        <f t="shared" si="6"/>
        <v>10000</v>
      </c>
      <c r="M15" s="356">
        <f t="shared" si="0"/>
        <v>17329</v>
      </c>
      <c r="N15" s="356">
        <f t="shared" si="1"/>
        <v>49321</v>
      </c>
      <c r="O15" s="353">
        <v>13</v>
      </c>
      <c r="P15" s="354">
        <f t="shared" si="7"/>
        <v>37</v>
      </c>
      <c r="Q15" s="339">
        <f t="shared" si="2"/>
        <v>147329</v>
      </c>
      <c r="R15" s="339">
        <f t="shared" si="3"/>
        <v>419321</v>
      </c>
      <c r="S15" s="341"/>
    </row>
    <row r="16" spans="2:19">
      <c r="B16" s="363" t="s">
        <v>1107</v>
      </c>
      <c r="C16" s="367">
        <v>12</v>
      </c>
      <c r="D16" s="337" t="s">
        <v>1437</v>
      </c>
      <c r="E16" s="341" t="s">
        <v>734</v>
      </c>
      <c r="F16" s="339">
        <v>500000</v>
      </c>
      <c r="G16" s="339">
        <v>66650</v>
      </c>
      <c r="H16" s="340">
        <f t="shared" si="4"/>
        <v>566650</v>
      </c>
      <c r="I16" s="347">
        <v>50</v>
      </c>
      <c r="J16" s="374">
        <v>11333</v>
      </c>
      <c r="K16" s="356">
        <f t="shared" si="5"/>
        <v>1333</v>
      </c>
      <c r="L16" s="356">
        <f t="shared" si="6"/>
        <v>10000</v>
      </c>
      <c r="M16" s="356">
        <f t="shared" si="0"/>
        <v>3999</v>
      </c>
      <c r="N16" s="356">
        <f t="shared" si="1"/>
        <v>62651</v>
      </c>
      <c r="O16" s="353">
        <v>3</v>
      </c>
      <c r="P16" s="354">
        <f t="shared" si="7"/>
        <v>47</v>
      </c>
      <c r="Q16" s="339">
        <f t="shared" si="2"/>
        <v>33999</v>
      </c>
      <c r="R16" s="339">
        <f t="shared" si="3"/>
        <v>532651</v>
      </c>
      <c r="S16" s="341"/>
    </row>
    <row r="17" spans="2:19">
      <c r="B17" s="363" t="s">
        <v>1344</v>
      </c>
      <c r="C17" s="367">
        <v>13</v>
      </c>
      <c r="D17" s="337" t="s">
        <v>1437</v>
      </c>
      <c r="E17" s="341" t="s">
        <v>1345</v>
      </c>
      <c r="F17" s="339">
        <v>500000</v>
      </c>
      <c r="G17" s="339">
        <v>66650</v>
      </c>
      <c r="H17" s="340">
        <f t="shared" si="4"/>
        <v>566650</v>
      </c>
      <c r="I17" s="347">
        <v>50</v>
      </c>
      <c r="J17" s="374">
        <v>11333</v>
      </c>
      <c r="K17" s="356">
        <f t="shared" si="5"/>
        <v>1333</v>
      </c>
      <c r="L17" s="356">
        <f t="shared" si="6"/>
        <v>10000</v>
      </c>
      <c r="M17" s="356">
        <f t="shared" si="0"/>
        <v>7998</v>
      </c>
      <c r="N17" s="356">
        <f t="shared" si="1"/>
        <v>58652</v>
      </c>
      <c r="O17" s="352">
        <v>6</v>
      </c>
      <c r="P17" s="354">
        <f t="shared" si="7"/>
        <v>44</v>
      </c>
      <c r="Q17" s="339">
        <f t="shared" si="2"/>
        <v>67998</v>
      </c>
      <c r="R17" s="339">
        <f t="shared" si="3"/>
        <v>498652</v>
      </c>
      <c r="S17" s="341"/>
    </row>
    <row r="18" spans="2:19">
      <c r="B18" s="364" t="s">
        <v>1100</v>
      </c>
      <c r="C18" s="367">
        <v>14</v>
      </c>
      <c r="D18" s="337" t="s">
        <v>1437</v>
      </c>
      <c r="E18" s="341" t="s">
        <v>351</v>
      </c>
      <c r="F18" s="340">
        <v>500000</v>
      </c>
      <c r="G18" s="339">
        <v>66650</v>
      </c>
      <c r="H18" s="340">
        <f t="shared" si="4"/>
        <v>566650</v>
      </c>
      <c r="I18" s="347">
        <v>50</v>
      </c>
      <c r="J18" s="374">
        <v>11333</v>
      </c>
      <c r="K18" s="356">
        <f t="shared" si="5"/>
        <v>1333</v>
      </c>
      <c r="L18" s="356">
        <f t="shared" si="6"/>
        <v>10000</v>
      </c>
      <c r="M18" s="356">
        <f t="shared" si="0"/>
        <v>70649</v>
      </c>
      <c r="N18" s="356">
        <f t="shared" si="1"/>
        <v>-3999</v>
      </c>
      <c r="O18" s="352">
        <v>53</v>
      </c>
      <c r="P18" s="354">
        <f t="shared" si="7"/>
        <v>-3</v>
      </c>
      <c r="Q18" s="339">
        <f t="shared" si="2"/>
        <v>600649</v>
      </c>
      <c r="R18" s="339">
        <f t="shared" si="3"/>
        <v>-33999</v>
      </c>
      <c r="S18" s="341"/>
    </row>
    <row r="19" spans="2:19">
      <c r="B19" s="362" t="s">
        <v>989</v>
      </c>
      <c r="C19" s="367">
        <v>15</v>
      </c>
      <c r="D19" s="337" t="s">
        <v>1437</v>
      </c>
      <c r="E19" s="338" t="s">
        <v>864</v>
      </c>
      <c r="F19" s="339">
        <v>500000</v>
      </c>
      <c r="G19" s="339">
        <v>66650</v>
      </c>
      <c r="H19" s="340">
        <f t="shared" si="4"/>
        <v>566650</v>
      </c>
      <c r="I19" s="347">
        <v>50</v>
      </c>
      <c r="J19" s="374">
        <v>11333</v>
      </c>
      <c r="K19" s="356">
        <f t="shared" si="5"/>
        <v>1333</v>
      </c>
      <c r="L19" s="356">
        <f t="shared" si="6"/>
        <v>10000</v>
      </c>
      <c r="M19" s="356">
        <f t="shared" si="0"/>
        <v>30659</v>
      </c>
      <c r="N19" s="356">
        <f t="shared" si="1"/>
        <v>35991</v>
      </c>
      <c r="O19" s="352">
        <v>23</v>
      </c>
      <c r="P19" s="354">
        <f t="shared" si="7"/>
        <v>27</v>
      </c>
      <c r="Q19" s="339">
        <f t="shared" si="2"/>
        <v>260659</v>
      </c>
      <c r="R19" s="339">
        <f t="shared" si="3"/>
        <v>305991</v>
      </c>
      <c r="S19" s="341"/>
    </row>
    <row r="20" spans="2:19">
      <c r="B20" s="363" t="s">
        <v>991</v>
      </c>
      <c r="C20" s="367">
        <v>16</v>
      </c>
      <c r="D20" s="337" t="s">
        <v>1437</v>
      </c>
      <c r="E20" s="341" t="s">
        <v>992</v>
      </c>
      <c r="F20" s="339">
        <v>330000</v>
      </c>
      <c r="G20" s="339">
        <v>31672.200000000012</v>
      </c>
      <c r="H20" s="340">
        <f t="shared" si="4"/>
        <v>361672.2</v>
      </c>
      <c r="I20" s="347">
        <v>36</v>
      </c>
      <c r="J20" s="374">
        <v>10046.450000000001</v>
      </c>
      <c r="K20" s="356">
        <f t="shared" si="5"/>
        <v>633.44400000000019</v>
      </c>
      <c r="L20" s="356">
        <f t="shared" si="6"/>
        <v>6600</v>
      </c>
      <c r="M20" s="356">
        <f t="shared" si="0"/>
        <v>17102.988000000005</v>
      </c>
      <c r="N20" s="356">
        <f t="shared" si="1"/>
        <v>5700.9960000000019</v>
      </c>
      <c r="O20" s="347">
        <v>27</v>
      </c>
      <c r="P20" s="354">
        <f t="shared" si="7"/>
        <v>9</v>
      </c>
      <c r="Q20" s="339">
        <f t="shared" si="2"/>
        <v>271254.15000000002</v>
      </c>
      <c r="R20" s="339">
        <f t="shared" si="3"/>
        <v>90418.049999999988</v>
      </c>
      <c r="S20" s="341"/>
    </row>
    <row r="21" spans="2:19">
      <c r="B21" s="363" t="s">
        <v>1352</v>
      </c>
      <c r="C21" s="367">
        <v>17</v>
      </c>
      <c r="D21" s="337" t="s">
        <v>1437</v>
      </c>
      <c r="E21" s="341" t="s">
        <v>1353</v>
      </c>
      <c r="F21" s="339">
        <v>500000</v>
      </c>
      <c r="G21" s="339">
        <v>66650</v>
      </c>
      <c r="H21" s="340">
        <f t="shared" si="4"/>
        <v>566650</v>
      </c>
      <c r="I21" s="347">
        <v>50</v>
      </c>
      <c r="J21" s="374">
        <v>11333</v>
      </c>
      <c r="K21" s="356">
        <f t="shared" si="5"/>
        <v>1333</v>
      </c>
      <c r="L21" s="356">
        <f t="shared" si="6"/>
        <v>10000</v>
      </c>
      <c r="M21" s="356">
        <f t="shared" si="0"/>
        <v>3999</v>
      </c>
      <c r="N21" s="356">
        <f t="shared" si="1"/>
        <v>62651</v>
      </c>
      <c r="O21" s="347">
        <v>3</v>
      </c>
      <c r="P21" s="354">
        <f t="shared" si="7"/>
        <v>47</v>
      </c>
      <c r="Q21" s="339">
        <f t="shared" si="2"/>
        <v>33999</v>
      </c>
      <c r="R21" s="339">
        <f t="shared" si="3"/>
        <v>532651</v>
      </c>
      <c r="S21" s="341"/>
    </row>
    <row r="22" spans="2:19">
      <c r="B22" s="362" t="s">
        <v>1141</v>
      </c>
      <c r="C22" s="367">
        <v>18</v>
      </c>
      <c r="D22" s="337" t="s">
        <v>1437</v>
      </c>
      <c r="E22" s="338" t="s">
        <v>1142</v>
      </c>
      <c r="F22" s="339">
        <v>330000</v>
      </c>
      <c r="G22" s="339">
        <v>43989</v>
      </c>
      <c r="H22" s="340">
        <f t="shared" si="4"/>
        <v>373989</v>
      </c>
      <c r="I22" s="347">
        <v>50</v>
      </c>
      <c r="J22" s="374">
        <v>7479.78</v>
      </c>
      <c r="K22" s="356">
        <f t="shared" si="5"/>
        <v>879.78</v>
      </c>
      <c r="L22" s="356">
        <f t="shared" si="6"/>
        <v>6600</v>
      </c>
      <c r="M22" s="356">
        <f t="shared" si="0"/>
        <v>14076.48</v>
      </c>
      <c r="N22" s="356">
        <f t="shared" si="1"/>
        <v>29912.52</v>
      </c>
      <c r="O22" s="352">
        <v>16</v>
      </c>
      <c r="P22" s="354">
        <f t="shared" si="7"/>
        <v>34</v>
      </c>
      <c r="Q22" s="339">
        <f t="shared" si="2"/>
        <v>119676.48</v>
      </c>
      <c r="R22" s="339">
        <f t="shared" si="3"/>
        <v>254312.52000000002</v>
      </c>
      <c r="S22" s="341"/>
    </row>
    <row r="23" spans="2:19">
      <c r="B23" s="364" t="s">
        <v>966</v>
      </c>
      <c r="C23" s="367">
        <v>19</v>
      </c>
      <c r="D23" s="337" t="s">
        <v>1437</v>
      </c>
      <c r="E23" s="337" t="s">
        <v>29</v>
      </c>
      <c r="F23" s="346">
        <v>450000</v>
      </c>
      <c r="G23" s="346">
        <v>59985</v>
      </c>
      <c r="H23" s="340">
        <f t="shared" si="4"/>
        <v>509985</v>
      </c>
      <c r="I23" s="348">
        <v>50</v>
      </c>
      <c r="J23" s="376">
        <v>10199.700000000001</v>
      </c>
      <c r="K23" s="356">
        <f t="shared" si="5"/>
        <v>1199.7</v>
      </c>
      <c r="L23" s="356">
        <f t="shared" si="6"/>
        <v>9000</v>
      </c>
      <c r="M23" s="356">
        <f t="shared" si="0"/>
        <v>47988</v>
      </c>
      <c r="N23" s="356">
        <f t="shared" si="1"/>
        <v>11997</v>
      </c>
      <c r="O23" s="348">
        <v>40</v>
      </c>
      <c r="P23" s="354">
        <f t="shared" si="7"/>
        <v>10</v>
      </c>
      <c r="Q23" s="339">
        <f t="shared" si="2"/>
        <v>407988</v>
      </c>
      <c r="R23" s="339">
        <f t="shared" si="3"/>
        <v>101997</v>
      </c>
      <c r="S23" s="337"/>
    </row>
    <row r="24" spans="2:19">
      <c r="B24" s="362" t="s">
        <v>993</v>
      </c>
      <c r="C24" s="367">
        <v>20</v>
      </c>
      <c r="D24" s="337" t="s">
        <v>1437</v>
      </c>
      <c r="E24" s="337" t="s">
        <v>994</v>
      </c>
      <c r="F24" s="346">
        <v>150000</v>
      </c>
      <c r="G24" s="346">
        <v>19995</v>
      </c>
      <c r="H24" s="340">
        <f t="shared" si="4"/>
        <v>169995</v>
      </c>
      <c r="I24" s="348">
        <v>50</v>
      </c>
      <c r="J24" s="376">
        <v>3399.9</v>
      </c>
      <c r="K24" s="356">
        <f t="shared" si="5"/>
        <v>399.9</v>
      </c>
      <c r="L24" s="356">
        <f t="shared" si="6"/>
        <v>3000</v>
      </c>
      <c r="M24" s="356">
        <f t="shared" si="0"/>
        <v>9197.6999999999989</v>
      </c>
      <c r="N24" s="356">
        <f t="shared" si="1"/>
        <v>10797.3</v>
      </c>
      <c r="O24" s="348">
        <v>23</v>
      </c>
      <c r="P24" s="354">
        <f t="shared" si="7"/>
        <v>27</v>
      </c>
      <c r="Q24" s="339">
        <f t="shared" si="2"/>
        <v>78197.7</v>
      </c>
      <c r="R24" s="339">
        <f t="shared" si="3"/>
        <v>91797.3</v>
      </c>
      <c r="S24" s="337"/>
    </row>
    <row r="25" spans="2:19">
      <c r="B25" s="364" t="s">
        <v>1099</v>
      </c>
      <c r="C25" s="367">
        <v>21</v>
      </c>
      <c r="D25" s="337" t="s">
        <v>1437</v>
      </c>
      <c r="E25" s="337" t="s">
        <v>487</v>
      </c>
      <c r="F25" s="346">
        <v>500000</v>
      </c>
      <c r="G25" s="346">
        <v>66650</v>
      </c>
      <c r="H25" s="340">
        <f t="shared" si="4"/>
        <v>566650</v>
      </c>
      <c r="I25" s="348">
        <v>50</v>
      </c>
      <c r="J25" s="376">
        <v>11333</v>
      </c>
      <c r="K25" s="356">
        <f t="shared" si="5"/>
        <v>1333</v>
      </c>
      <c r="L25" s="356">
        <f t="shared" si="6"/>
        <v>10000</v>
      </c>
      <c r="M25" s="356">
        <f t="shared" si="0"/>
        <v>37324</v>
      </c>
      <c r="N25" s="356">
        <f t="shared" si="1"/>
        <v>29326</v>
      </c>
      <c r="O25" s="348">
        <v>28</v>
      </c>
      <c r="P25" s="354">
        <f t="shared" si="7"/>
        <v>22</v>
      </c>
      <c r="Q25" s="339">
        <f t="shared" si="2"/>
        <v>317324</v>
      </c>
      <c r="R25" s="339">
        <f t="shared" si="3"/>
        <v>249326</v>
      </c>
      <c r="S25" s="337"/>
    </row>
    <row r="26" spans="2:19">
      <c r="B26" s="364" t="s">
        <v>1069</v>
      </c>
      <c r="C26" s="367">
        <v>22</v>
      </c>
      <c r="D26" s="337" t="s">
        <v>1437</v>
      </c>
      <c r="E26" s="337" t="s">
        <v>358</v>
      </c>
      <c r="F26" s="346">
        <v>500000</v>
      </c>
      <c r="G26" s="346">
        <v>66650</v>
      </c>
      <c r="H26" s="340">
        <f t="shared" si="4"/>
        <v>566650</v>
      </c>
      <c r="I26" s="348">
        <v>50</v>
      </c>
      <c r="J26" s="376">
        <v>11333</v>
      </c>
      <c r="K26" s="356">
        <f t="shared" si="5"/>
        <v>1333</v>
      </c>
      <c r="L26" s="356">
        <f t="shared" si="6"/>
        <v>10000</v>
      </c>
      <c r="M26" s="356">
        <f t="shared" si="0"/>
        <v>53320</v>
      </c>
      <c r="N26" s="356">
        <f t="shared" si="1"/>
        <v>13330</v>
      </c>
      <c r="O26" s="348">
        <v>40</v>
      </c>
      <c r="P26" s="354">
        <f t="shared" si="7"/>
        <v>10</v>
      </c>
      <c r="Q26" s="339">
        <f t="shared" si="2"/>
        <v>453320</v>
      </c>
      <c r="R26" s="339">
        <f t="shared" si="3"/>
        <v>113330</v>
      </c>
      <c r="S26" s="337"/>
    </row>
    <row r="27" spans="2:19">
      <c r="B27" s="364" t="s">
        <v>1106</v>
      </c>
      <c r="C27" s="367">
        <v>23</v>
      </c>
      <c r="D27" s="337" t="s">
        <v>1437</v>
      </c>
      <c r="E27" s="337" t="s">
        <v>314</v>
      </c>
      <c r="F27" s="346">
        <v>500000</v>
      </c>
      <c r="G27" s="346">
        <v>66650</v>
      </c>
      <c r="H27" s="340">
        <f t="shared" si="4"/>
        <v>566650</v>
      </c>
      <c r="I27" s="348">
        <v>50</v>
      </c>
      <c r="J27" s="376">
        <v>11333</v>
      </c>
      <c r="K27" s="356">
        <f t="shared" si="5"/>
        <v>1333</v>
      </c>
      <c r="L27" s="356">
        <f t="shared" si="6"/>
        <v>10000</v>
      </c>
      <c r="M27" s="356">
        <f t="shared" si="0"/>
        <v>53320</v>
      </c>
      <c r="N27" s="356">
        <f t="shared" si="1"/>
        <v>13330</v>
      </c>
      <c r="O27" s="348">
        <v>40</v>
      </c>
      <c r="P27" s="354">
        <f t="shared" si="7"/>
        <v>10</v>
      </c>
      <c r="Q27" s="339">
        <f t="shared" si="2"/>
        <v>453320</v>
      </c>
      <c r="R27" s="339">
        <f t="shared" si="3"/>
        <v>113330</v>
      </c>
      <c r="S27" s="337"/>
    </row>
    <row r="28" spans="2:19">
      <c r="B28" s="364" t="s">
        <v>1046</v>
      </c>
      <c r="C28" s="367">
        <v>24</v>
      </c>
      <c r="D28" s="337" t="s">
        <v>1437</v>
      </c>
      <c r="E28" s="337" t="s">
        <v>349</v>
      </c>
      <c r="F28" s="346">
        <v>500000</v>
      </c>
      <c r="G28" s="346">
        <v>66650</v>
      </c>
      <c r="H28" s="340">
        <f t="shared" si="4"/>
        <v>566650</v>
      </c>
      <c r="I28" s="348">
        <v>50</v>
      </c>
      <c r="J28" s="376">
        <v>11333</v>
      </c>
      <c r="K28" s="356">
        <f t="shared" si="5"/>
        <v>1333</v>
      </c>
      <c r="L28" s="356">
        <f t="shared" si="6"/>
        <v>10000</v>
      </c>
      <c r="M28" s="356">
        <f t="shared" si="0"/>
        <v>42656</v>
      </c>
      <c r="N28" s="356">
        <f t="shared" si="1"/>
        <v>23994</v>
      </c>
      <c r="O28" s="348">
        <v>32</v>
      </c>
      <c r="P28" s="354">
        <f t="shared" si="7"/>
        <v>18</v>
      </c>
      <c r="Q28" s="339">
        <f t="shared" si="2"/>
        <v>362656</v>
      </c>
      <c r="R28" s="339">
        <f t="shared" si="3"/>
        <v>203994</v>
      </c>
      <c r="S28" s="337"/>
    </row>
    <row r="29" spans="2:19">
      <c r="B29" s="364" t="s">
        <v>1009</v>
      </c>
      <c r="C29" s="367">
        <v>25</v>
      </c>
      <c r="D29" s="337" t="s">
        <v>1437</v>
      </c>
      <c r="E29" s="337" t="s">
        <v>332</v>
      </c>
      <c r="F29" s="346">
        <v>500000</v>
      </c>
      <c r="G29" s="346">
        <v>66650</v>
      </c>
      <c r="H29" s="340">
        <f t="shared" si="4"/>
        <v>566650</v>
      </c>
      <c r="I29" s="348">
        <v>50</v>
      </c>
      <c r="J29" s="376">
        <v>11333</v>
      </c>
      <c r="K29" s="356">
        <f t="shared" si="5"/>
        <v>1333</v>
      </c>
      <c r="L29" s="356">
        <f t="shared" si="6"/>
        <v>10000</v>
      </c>
      <c r="M29" s="356">
        <f t="shared" si="0"/>
        <v>53320</v>
      </c>
      <c r="N29" s="356">
        <f t="shared" si="1"/>
        <v>13330</v>
      </c>
      <c r="O29" s="348">
        <v>40</v>
      </c>
      <c r="P29" s="354">
        <f t="shared" si="7"/>
        <v>10</v>
      </c>
      <c r="Q29" s="339">
        <f t="shared" si="2"/>
        <v>453320</v>
      </c>
      <c r="R29" s="339">
        <f t="shared" si="3"/>
        <v>113330</v>
      </c>
      <c r="S29" s="337"/>
    </row>
    <row r="30" spans="2:19">
      <c r="B30" s="361" t="s">
        <v>1342</v>
      </c>
      <c r="C30" s="367">
        <v>26</v>
      </c>
      <c r="D30" s="337" t="s">
        <v>1437</v>
      </c>
      <c r="E30" s="337" t="s">
        <v>1290</v>
      </c>
      <c r="F30" s="346">
        <v>500000</v>
      </c>
      <c r="G30" s="346">
        <v>66650</v>
      </c>
      <c r="H30" s="340">
        <f t="shared" si="4"/>
        <v>566650</v>
      </c>
      <c r="I30" s="348">
        <v>50</v>
      </c>
      <c r="J30" s="376">
        <v>11333</v>
      </c>
      <c r="K30" s="356">
        <f t="shared" si="5"/>
        <v>1333</v>
      </c>
      <c r="L30" s="356">
        <f t="shared" si="6"/>
        <v>10000</v>
      </c>
      <c r="M30" s="356">
        <f t="shared" si="0"/>
        <v>17329</v>
      </c>
      <c r="N30" s="356">
        <f t="shared" si="1"/>
        <v>49321</v>
      </c>
      <c r="O30" s="348">
        <v>13</v>
      </c>
      <c r="P30" s="354">
        <f t="shared" si="7"/>
        <v>37</v>
      </c>
      <c r="Q30" s="339">
        <f t="shared" si="2"/>
        <v>147329</v>
      </c>
      <c r="R30" s="339">
        <f t="shared" si="3"/>
        <v>419321</v>
      </c>
      <c r="S30" s="337"/>
    </row>
    <row r="31" spans="2:19">
      <c r="B31" s="364" t="s">
        <v>995</v>
      </c>
      <c r="C31" s="367">
        <v>27</v>
      </c>
      <c r="D31" s="337" t="s">
        <v>1437</v>
      </c>
      <c r="E31" s="337" t="s">
        <v>339</v>
      </c>
      <c r="F31" s="346">
        <v>500000</v>
      </c>
      <c r="G31" s="346">
        <v>66650</v>
      </c>
      <c r="H31" s="340">
        <f t="shared" si="4"/>
        <v>566650</v>
      </c>
      <c r="I31" s="348">
        <v>50</v>
      </c>
      <c r="J31" s="376">
        <v>11333</v>
      </c>
      <c r="K31" s="356">
        <f t="shared" si="5"/>
        <v>1333</v>
      </c>
      <c r="L31" s="356">
        <f t="shared" si="6"/>
        <v>10000</v>
      </c>
      <c r="M31" s="356">
        <f t="shared" si="0"/>
        <v>53320</v>
      </c>
      <c r="N31" s="356">
        <f t="shared" si="1"/>
        <v>13330</v>
      </c>
      <c r="O31" s="348">
        <v>40</v>
      </c>
      <c r="P31" s="354">
        <f t="shared" si="7"/>
        <v>10</v>
      </c>
      <c r="Q31" s="339">
        <f t="shared" si="2"/>
        <v>453320</v>
      </c>
      <c r="R31" s="339">
        <f t="shared" si="3"/>
        <v>113330</v>
      </c>
      <c r="S31" s="337"/>
    </row>
    <row r="32" spans="2:19">
      <c r="B32" s="362" t="s">
        <v>1366</v>
      </c>
      <c r="C32" s="367">
        <v>28</v>
      </c>
      <c r="D32" s="337" t="s">
        <v>1437</v>
      </c>
      <c r="E32" s="337" t="s">
        <v>1138</v>
      </c>
      <c r="F32" s="346">
        <v>450000</v>
      </c>
      <c r="G32" s="346">
        <v>59985</v>
      </c>
      <c r="H32" s="340">
        <f t="shared" si="4"/>
        <v>509985</v>
      </c>
      <c r="I32" s="348">
        <v>50</v>
      </c>
      <c r="J32" s="376">
        <v>10199.700000000001</v>
      </c>
      <c r="K32" s="356">
        <f t="shared" si="5"/>
        <v>1199.7</v>
      </c>
      <c r="L32" s="356">
        <f t="shared" si="6"/>
        <v>9000</v>
      </c>
      <c r="M32" s="356">
        <f t="shared" si="0"/>
        <v>17995.5</v>
      </c>
      <c r="N32" s="356">
        <f t="shared" si="1"/>
        <v>41989.5</v>
      </c>
      <c r="O32" s="348">
        <v>15</v>
      </c>
      <c r="P32" s="354">
        <f t="shared" si="7"/>
        <v>35</v>
      </c>
      <c r="Q32" s="339">
        <f t="shared" si="2"/>
        <v>152995.5</v>
      </c>
      <c r="R32" s="339">
        <f t="shared" si="3"/>
        <v>356989.5</v>
      </c>
      <c r="S32" s="337"/>
    </row>
    <row r="33" spans="2:19">
      <c r="B33" s="364" t="s">
        <v>998</v>
      </c>
      <c r="C33" s="367">
        <v>29</v>
      </c>
      <c r="D33" s="337" t="s">
        <v>1437</v>
      </c>
      <c r="E33" s="337" t="s">
        <v>363</v>
      </c>
      <c r="F33" s="346">
        <v>450000</v>
      </c>
      <c r="G33" s="346">
        <v>59985</v>
      </c>
      <c r="H33" s="340">
        <f t="shared" si="4"/>
        <v>509985</v>
      </c>
      <c r="I33" s="348">
        <v>50</v>
      </c>
      <c r="J33" s="376">
        <v>10199.700000000001</v>
      </c>
      <c r="K33" s="356">
        <f t="shared" si="5"/>
        <v>1199.7</v>
      </c>
      <c r="L33" s="356">
        <f t="shared" si="6"/>
        <v>9000</v>
      </c>
      <c r="M33" s="356">
        <f t="shared" si="0"/>
        <v>38390.400000000001</v>
      </c>
      <c r="N33" s="356">
        <f t="shared" si="1"/>
        <v>21594.600000000002</v>
      </c>
      <c r="O33" s="348">
        <v>32</v>
      </c>
      <c r="P33" s="354">
        <f t="shared" si="7"/>
        <v>18</v>
      </c>
      <c r="Q33" s="339">
        <f t="shared" si="2"/>
        <v>326390.40000000002</v>
      </c>
      <c r="R33" s="339">
        <f t="shared" si="3"/>
        <v>183594.59999999998</v>
      </c>
      <c r="S33" s="337"/>
    </row>
    <row r="34" spans="2:19">
      <c r="B34" s="361" t="s">
        <v>1320</v>
      </c>
      <c r="C34" s="367">
        <v>30</v>
      </c>
      <c r="D34" s="337" t="s">
        <v>1437</v>
      </c>
      <c r="E34" s="337" t="s">
        <v>464</v>
      </c>
      <c r="F34" s="346">
        <v>500000</v>
      </c>
      <c r="G34" s="346">
        <v>66650</v>
      </c>
      <c r="H34" s="340">
        <f t="shared" si="4"/>
        <v>566650</v>
      </c>
      <c r="I34" s="348">
        <v>40</v>
      </c>
      <c r="J34" s="376">
        <v>13833</v>
      </c>
      <c r="K34" s="356">
        <f t="shared" si="5"/>
        <v>1333</v>
      </c>
      <c r="L34" s="356">
        <f t="shared" si="6"/>
        <v>10000</v>
      </c>
      <c r="M34" s="356">
        <f t="shared" si="0"/>
        <v>3999</v>
      </c>
      <c r="N34" s="356">
        <f t="shared" si="1"/>
        <v>49321</v>
      </c>
      <c r="O34" s="348">
        <v>3</v>
      </c>
      <c r="P34" s="354">
        <f t="shared" si="7"/>
        <v>37</v>
      </c>
      <c r="Q34" s="339">
        <f t="shared" si="2"/>
        <v>41499</v>
      </c>
      <c r="R34" s="339">
        <f t="shared" si="3"/>
        <v>525151</v>
      </c>
      <c r="S34" s="337"/>
    </row>
    <row r="35" spans="2:19">
      <c r="B35" s="363" t="s">
        <v>1348</v>
      </c>
      <c r="C35" s="367">
        <v>31</v>
      </c>
      <c r="D35" s="337" t="s">
        <v>1437</v>
      </c>
      <c r="E35" s="337" t="s">
        <v>1349</v>
      </c>
      <c r="F35" s="346">
        <v>500000</v>
      </c>
      <c r="G35" s="346">
        <v>66650</v>
      </c>
      <c r="H35" s="340">
        <f t="shared" si="4"/>
        <v>566650</v>
      </c>
      <c r="I35" s="348">
        <v>50</v>
      </c>
      <c r="J35" s="376">
        <v>11333</v>
      </c>
      <c r="K35" s="356">
        <f t="shared" si="5"/>
        <v>1333</v>
      </c>
      <c r="L35" s="356">
        <f t="shared" si="6"/>
        <v>10000</v>
      </c>
      <c r="M35" s="356">
        <f t="shared" si="0"/>
        <v>7998</v>
      </c>
      <c r="N35" s="356">
        <f t="shared" si="1"/>
        <v>58652</v>
      </c>
      <c r="O35" s="348">
        <v>6</v>
      </c>
      <c r="P35" s="354">
        <f t="shared" si="7"/>
        <v>44</v>
      </c>
      <c r="Q35" s="339">
        <f t="shared" si="2"/>
        <v>67998</v>
      </c>
      <c r="R35" s="339">
        <f t="shared" si="3"/>
        <v>498652</v>
      </c>
      <c r="S35" s="337"/>
    </row>
    <row r="36" spans="2:19">
      <c r="B36" s="362" t="s">
        <v>1012</v>
      </c>
      <c r="C36" s="367">
        <v>32</v>
      </c>
      <c r="D36" s="337" t="s">
        <v>1437</v>
      </c>
      <c r="E36" s="337" t="s">
        <v>852</v>
      </c>
      <c r="F36" s="346">
        <v>330000</v>
      </c>
      <c r="G36" s="346">
        <v>43989</v>
      </c>
      <c r="H36" s="340">
        <f t="shared" si="4"/>
        <v>373989</v>
      </c>
      <c r="I36" s="348">
        <v>50</v>
      </c>
      <c r="J36" s="376">
        <v>7479.78</v>
      </c>
      <c r="K36" s="356">
        <f t="shared" si="5"/>
        <v>879.78</v>
      </c>
      <c r="L36" s="356">
        <f t="shared" si="6"/>
        <v>6600</v>
      </c>
      <c r="M36" s="356">
        <f t="shared" si="0"/>
        <v>20234.939999999999</v>
      </c>
      <c r="N36" s="356">
        <f t="shared" si="1"/>
        <v>23754.059999999998</v>
      </c>
      <c r="O36" s="348">
        <v>23</v>
      </c>
      <c r="P36" s="354">
        <f t="shared" si="7"/>
        <v>27</v>
      </c>
      <c r="Q36" s="339">
        <f t="shared" si="2"/>
        <v>172034.94</v>
      </c>
      <c r="R36" s="339">
        <f t="shared" si="3"/>
        <v>201954.06</v>
      </c>
      <c r="S36" s="337"/>
    </row>
    <row r="37" spans="2:19">
      <c r="B37" s="363" t="s">
        <v>1065</v>
      </c>
      <c r="C37" s="367">
        <v>33</v>
      </c>
      <c r="D37" s="337" t="s">
        <v>1437</v>
      </c>
      <c r="E37" s="337" t="s">
        <v>1066</v>
      </c>
      <c r="F37" s="346">
        <v>330000</v>
      </c>
      <c r="G37" s="346">
        <v>43989</v>
      </c>
      <c r="H37" s="340">
        <f t="shared" si="4"/>
        <v>373989</v>
      </c>
      <c r="I37" s="348">
        <v>50</v>
      </c>
      <c r="J37" s="376">
        <v>7479.78</v>
      </c>
      <c r="K37" s="356">
        <f t="shared" si="5"/>
        <v>879.78</v>
      </c>
      <c r="L37" s="356">
        <f t="shared" si="6"/>
        <v>6600</v>
      </c>
      <c r="M37" s="356">
        <f t="shared" ref="M37:M68" si="8">K37*O37</f>
        <v>17595.599999999999</v>
      </c>
      <c r="N37" s="356">
        <f t="shared" ref="N37:N68" si="9">K37*P37</f>
        <v>26393.399999999998</v>
      </c>
      <c r="O37" s="348">
        <v>20</v>
      </c>
      <c r="P37" s="354">
        <f t="shared" si="7"/>
        <v>30</v>
      </c>
      <c r="Q37" s="339">
        <f t="shared" ref="Q37:Q68" si="10">J37*O37</f>
        <v>149595.6</v>
      </c>
      <c r="R37" s="339">
        <f t="shared" ref="R37:R68" si="11">H37-Q37</f>
        <v>224393.4</v>
      </c>
      <c r="S37" s="337"/>
    </row>
    <row r="38" spans="2:19">
      <c r="B38" s="364" t="s">
        <v>1029</v>
      </c>
      <c r="C38" s="367">
        <v>34</v>
      </c>
      <c r="D38" s="337" t="s">
        <v>1437</v>
      </c>
      <c r="E38" s="337" t="s">
        <v>1030</v>
      </c>
      <c r="F38" s="346">
        <v>450000</v>
      </c>
      <c r="G38" s="346">
        <v>59985</v>
      </c>
      <c r="H38" s="340">
        <f t="shared" si="4"/>
        <v>509985</v>
      </c>
      <c r="I38" s="348">
        <v>50</v>
      </c>
      <c r="J38" s="376">
        <v>10199.700000000001</v>
      </c>
      <c r="K38" s="356">
        <f t="shared" si="5"/>
        <v>1199.7</v>
      </c>
      <c r="L38" s="356">
        <f t="shared" si="6"/>
        <v>9000</v>
      </c>
      <c r="M38" s="356">
        <f t="shared" si="8"/>
        <v>23994</v>
      </c>
      <c r="N38" s="356">
        <f t="shared" si="9"/>
        <v>35991</v>
      </c>
      <c r="O38" s="348">
        <v>20</v>
      </c>
      <c r="P38" s="354">
        <f t="shared" si="7"/>
        <v>30</v>
      </c>
      <c r="Q38" s="339">
        <f t="shared" si="10"/>
        <v>203994</v>
      </c>
      <c r="R38" s="339">
        <f t="shared" si="11"/>
        <v>305991</v>
      </c>
      <c r="S38" s="337"/>
    </row>
    <row r="39" spans="2:19">
      <c r="B39" s="361" t="s">
        <v>1377</v>
      </c>
      <c r="C39" s="367">
        <v>35</v>
      </c>
      <c r="D39" s="337" t="s">
        <v>1437</v>
      </c>
      <c r="E39" s="337" t="s">
        <v>1378</v>
      </c>
      <c r="F39" s="346">
        <v>330000</v>
      </c>
      <c r="G39" s="346">
        <v>43989</v>
      </c>
      <c r="H39" s="340">
        <f t="shared" si="4"/>
        <v>373989</v>
      </c>
      <c r="I39" s="348">
        <v>50</v>
      </c>
      <c r="J39" s="376">
        <v>7479.78</v>
      </c>
      <c r="K39" s="356">
        <f t="shared" si="5"/>
        <v>879.78</v>
      </c>
      <c r="L39" s="356">
        <f t="shared" si="6"/>
        <v>6600</v>
      </c>
      <c r="M39" s="356">
        <f t="shared" si="8"/>
        <v>5278.68</v>
      </c>
      <c r="N39" s="356">
        <f t="shared" si="9"/>
        <v>38710.32</v>
      </c>
      <c r="O39" s="348">
        <v>6</v>
      </c>
      <c r="P39" s="354">
        <f t="shared" si="7"/>
        <v>44</v>
      </c>
      <c r="Q39" s="339">
        <f t="shared" si="10"/>
        <v>44878.68</v>
      </c>
      <c r="R39" s="339">
        <f t="shared" si="11"/>
        <v>329110.32</v>
      </c>
      <c r="S39" s="337"/>
    </row>
    <row r="40" spans="2:19">
      <c r="B40" s="361" t="s">
        <v>1339</v>
      </c>
      <c r="C40" s="367">
        <v>36</v>
      </c>
      <c r="D40" s="337" t="s">
        <v>1437</v>
      </c>
      <c r="E40" s="337" t="s">
        <v>408</v>
      </c>
      <c r="F40" s="346">
        <v>500000</v>
      </c>
      <c r="G40" s="346">
        <v>66650</v>
      </c>
      <c r="H40" s="340">
        <f t="shared" si="4"/>
        <v>566650</v>
      </c>
      <c r="I40" s="348">
        <v>50</v>
      </c>
      <c r="J40" s="376">
        <v>11333</v>
      </c>
      <c r="K40" s="356">
        <f t="shared" si="5"/>
        <v>1333</v>
      </c>
      <c r="L40" s="356">
        <f t="shared" si="6"/>
        <v>10000</v>
      </c>
      <c r="M40" s="356">
        <f t="shared" si="8"/>
        <v>3999</v>
      </c>
      <c r="N40" s="356">
        <f t="shared" si="9"/>
        <v>62651</v>
      </c>
      <c r="O40" s="348">
        <v>3</v>
      </c>
      <c r="P40" s="354">
        <f t="shared" si="7"/>
        <v>47</v>
      </c>
      <c r="Q40" s="339">
        <f t="shared" si="10"/>
        <v>33999</v>
      </c>
      <c r="R40" s="339">
        <f t="shared" si="11"/>
        <v>532651</v>
      </c>
      <c r="S40" s="337"/>
    </row>
    <row r="41" spans="2:19">
      <c r="B41" s="363" t="s">
        <v>1383</v>
      </c>
      <c r="C41" s="367">
        <v>37</v>
      </c>
      <c r="D41" s="337" t="s">
        <v>1437</v>
      </c>
      <c r="E41" s="337" t="s">
        <v>1384</v>
      </c>
      <c r="F41" s="346">
        <v>330000</v>
      </c>
      <c r="G41" s="346">
        <v>43989</v>
      </c>
      <c r="H41" s="340">
        <f t="shared" si="4"/>
        <v>373989</v>
      </c>
      <c r="I41" s="348">
        <v>50</v>
      </c>
      <c r="J41" s="376">
        <v>7479.78</v>
      </c>
      <c r="K41" s="356">
        <f t="shared" si="5"/>
        <v>879.78</v>
      </c>
      <c r="L41" s="356">
        <f t="shared" si="6"/>
        <v>6600</v>
      </c>
      <c r="M41" s="356">
        <f t="shared" si="8"/>
        <v>2639.34</v>
      </c>
      <c r="N41" s="356">
        <f t="shared" si="9"/>
        <v>41349.659999999996</v>
      </c>
      <c r="O41" s="348">
        <v>3</v>
      </c>
      <c r="P41" s="354">
        <f t="shared" si="7"/>
        <v>47</v>
      </c>
      <c r="Q41" s="339">
        <f t="shared" si="10"/>
        <v>22439.34</v>
      </c>
      <c r="R41" s="339">
        <f t="shared" si="11"/>
        <v>351549.66</v>
      </c>
      <c r="S41" s="337"/>
    </row>
    <row r="42" spans="2:19">
      <c r="B42" s="361" t="s">
        <v>1409</v>
      </c>
      <c r="C42" s="367">
        <v>38</v>
      </c>
      <c r="D42" s="337" t="s">
        <v>1437</v>
      </c>
      <c r="E42" s="337" t="s">
        <v>1407</v>
      </c>
      <c r="F42" s="346">
        <v>500000</v>
      </c>
      <c r="G42" s="346">
        <v>66650</v>
      </c>
      <c r="H42" s="340">
        <f t="shared" si="4"/>
        <v>566650</v>
      </c>
      <c r="I42" s="348">
        <v>50</v>
      </c>
      <c r="J42" s="376">
        <v>11333</v>
      </c>
      <c r="K42" s="356">
        <f t="shared" si="5"/>
        <v>1333</v>
      </c>
      <c r="L42" s="356">
        <f t="shared" si="6"/>
        <v>10000</v>
      </c>
      <c r="M42" s="356">
        <f t="shared" si="8"/>
        <v>30659</v>
      </c>
      <c r="N42" s="356">
        <f t="shared" si="9"/>
        <v>35991</v>
      </c>
      <c r="O42" s="348">
        <v>23</v>
      </c>
      <c r="P42" s="354">
        <f t="shared" si="7"/>
        <v>27</v>
      </c>
      <c r="Q42" s="339">
        <f t="shared" si="10"/>
        <v>260659</v>
      </c>
      <c r="R42" s="339">
        <f t="shared" si="11"/>
        <v>305991</v>
      </c>
      <c r="S42" s="337"/>
    </row>
    <row r="43" spans="2:19">
      <c r="B43" s="363" t="s">
        <v>1370</v>
      </c>
      <c r="C43" s="367">
        <v>39</v>
      </c>
      <c r="D43" s="337" t="s">
        <v>1437</v>
      </c>
      <c r="E43" s="337" t="s">
        <v>1371</v>
      </c>
      <c r="F43" s="346">
        <v>330000</v>
      </c>
      <c r="G43" s="346">
        <v>43989</v>
      </c>
      <c r="H43" s="340">
        <f t="shared" si="4"/>
        <v>373989</v>
      </c>
      <c r="I43" s="348">
        <v>50</v>
      </c>
      <c r="J43" s="376">
        <v>7479.78</v>
      </c>
      <c r="K43" s="356">
        <f t="shared" si="5"/>
        <v>879.78</v>
      </c>
      <c r="L43" s="356">
        <f t="shared" si="6"/>
        <v>6600</v>
      </c>
      <c r="M43" s="356">
        <f t="shared" si="8"/>
        <v>5278.68</v>
      </c>
      <c r="N43" s="356">
        <f t="shared" si="9"/>
        <v>38710.32</v>
      </c>
      <c r="O43" s="348">
        <v>6</v>
      </c>
      <c r="P43" s="354">
        <f t="shared" si="7"/>
        <v>44</v>
      </c>
      <c r="Q43" s="339">
        <f t="shared" si="10"/>
        <v>44878.68</v>
      </c>
      <c r="R43" s="339">
        <f t="shared" si="11"/>
        <v>329110.32</v>
      </c>
      <c r="S43" s="337"/>
    </row>
    <row r="44" spans="2:19">
      <c r="B44" s="361" t="s">
        <v>1313</v>
      </c>
      <c r="C44" s="367">
        <v>40</v>
      </c>
      <c r="D44" s="337" t="s">
        <v>1437</v>
      </c>
      <c r="E44" s="337" t="s">
        <v>1314</v>
      </c>
      <c r="F44" s="346">
        <v>450000</v>
      </c>
      <c r="G44" s="346">
        <v>59985</v>
      </c>
      <c r="H44" s="340">
        <f t="shared" si="4"/>
        <v>509985</v>
      </c>
      <c r="I44" s="348">
        <v>24</v>
      </c>
      <c r="J44" s="376">
        <v>19949.7</v>
      </c>
      <c r="K44" s="356">
        <f t="shared" si="5"/>
        <v>1199.7</v>
      </c>
      <c r="L44" s="356">
        <f t="shared" si="6"/>
        <v>9000</v>
      </c>
      <c r="M44" s="356">
        <f t="shared" si="8"/>
        <v>3599.1000000000004</v>
      </c>
      <c r="N44" s="356">
        <f t="shared" si="9"/>
        <v>25193.7</v>
      </c>
      <c r="O44" s="348">
        <v>3</v>
      </c>
      <c r="P44" s="354">
        <f t="shared" si="7"/>
        <v>21</v>
      </c>
      <c r="Q44" s="339">
        <f t="shared" si="10"/>
        <v>59849.100000000006</v>
      </c>
      <c r="R44" s="339">
        <f t="shared" si="11"/>
        <v>450135.9</v>
      </c>
      <c r="S44" s="337"/>
    </row>
    <row r="45" spans="2:19">
      <c r="B45" s="362" t="s">
        <v>1400</v>
      </c>
      <c r="C45" s="367">
        <v>41</v>
      </c>
      <c r="D45" s="337" t="s">
        <v>1437</v>
      </c>
      <c r="E45" s="337" t="s">
        <v>1401</v>
      </c>
      <c r="F45" s="346">
        <v>150000</v>
      </c>
      <c r="G45" s="346">
        <v>19995</v>
      </c>
      <c r="H45" s="340">
        <f t="shared" si="4"/>
        <v>169995</v>
      </c>
      <c r="I45" s="348">
        <v>50</v>
      </c>
      <c r="J45" s="376">
        <v>3399.9</v>
      </c>
      <c r="K45" s="356">
        <f t="shared" si="5"/>
        <v>399.9</v>
      </c>
      <c r="L45" s="356">
        <f t="shared" si="6"/>
        <v>3000</v>
      </c>
      <c r="M45" s="356">
        <f t="shared" si="8"/>
        <v>3199.2</v>
      </c>
      <c r="N45" s="356">
        <f t="shared" si="9"/>
        <v>16795.8</v>
      </c>
      <c r="O45" s="348">
        <v>8</v>
      </c>
      <c r="P45" s="354">
        <f t="shared" si="7"/>
        <v>42</v>
      </c>
      <c r="Q45" s="339">
        <f t="shared" si="10"/>
        <v>27199.200000000001</v>
      </c>
      <c r="R45" s="339">
        <f t="shared" si="11"/>
        <v>142795.79999999999</v>
      </c>
      <c r="S45" s="337"/>
    </row>
    <row r="46" spans="2:19">
      <c r="B46" s="362" t="s">
        <v>1386</v>
      </c>
      <c r="C46" s="367">
        <v>42</v>
      </c>
      <c r="D46" s="337" t="s">
        <v>1437</v>
      </c>
      <c r="E46" s="337" t="s">
        <v>1387</v>
      </c>
      <c r="F46" s="346">
        <v>330000</v>
      </c>
      <c r="G46" s="346">
        <v>43989</v>
      </c>
      <c r="H46" s="340">
        <f t="shared" si="4"/>
        <v>373989</v>
      </c>
      <c r="I46" s="348">
        <v>50</v>
      </c>
      <c r="J46" s="376">
        <v>7479.78</v>
      </c>
      <c r="K46" s="356">
        <f t="shared" si="5"/>
        <v>879.78</v>
      </c>
      <c r="L46" s="356">
        <f t="shared" si="6"/>
        <v>6600</v>
      </c>
      <c r="M46" s="356">
        <f t="shared" si="8"/>
        <v>13196.699999999999</v>
      </c>
      <c r="N46" s="356">
        <f t="shared" si="9"/>
        <v>30792.3</v>
      </c>
      <c r="O46" s="348">
        <v>15</v>
      </c>
      <c r="P46" s="354">
        <f t="shared" si="7"/>
        <v>35</v>
      </c>
      <c r="Q46" s="339">
        <f t="shared" si="10"/>
        <v>112196.7</v>
      </c>
      <c r="R46" s="339">
        <f t="shared" si="11"/>
        <v>261792.3</v>
      </c>
      <c r="S46" s="337"/>
    </row>
    <row r="47" spans="2:19">
      <c r="B47" s="362" t="s">
        <v>975</v>
      </c>
      <c r="C47" s="367">
        <v>43</v>
      </c>
      <c r="D47" s="337" t="s">
        <v>1437</v>
      </c>
      <c r="E47" s="337" t="s">
        <v>875</v>
      </c>
      <c r="F47" s="346">
        <v>450000</v>
      </c>
      <c r="G47" s="346">
        <v>59985</v>
      </c>
      <c r="H47" s="340">
        <f t="shared" si="4"/>
        <v>509985</v>
      </c>
      <c r="I47" s="348">
        <v>50</v>
      </c>
      <c r="J47" s="376">
        <v>10199.700000000001</v>
      </c>
      <c r="K47" s="356">
        <f t="shared" si="5"/>
        <v>1199.7</v>
      </c>
      <c r="L47" s="356">
        <f t="shared" si="6"/>
        <v>9000</v>
      </c>
      <c r="M47" s="356">
        <f t="shared" si="8"/>
        <v>27593.100000000002</v>
      </c>
      <c r="N47" s="356">
        <f t="shared" si="9"/>
        <v>32391.9</v>
      </c>
      <c r="O47" s="348">
        <v>23</v>
      </c>
      <c r="P47" s="354">
        <f t="shared" si="7"/>
        <v>27</v>
      </c>
      <c r="Q47" s="339">
        <f t="shared" si="10"/>
        <v>234593.1</v>
      </c>
      <c r="R47" s="339">
        <f t="shared" si="11"/>
        <v>275391.90000000002</v>
      </c>
      <c r="S47" s="337"/>
    </row>
    <row r="48" spans="2:19">
      <c r="B48" s="364" t="s">
        <v>1357</v>
      </c>
      <c r="C48" s="367">
        <v>44</v>
      </c>
      <c r="D48" s="337" t="s">
        <v>1437</v>
      </c>
      <c r="E48" s="337" t="s">
        <v>858</v>
      </c>
      <c r="F48" s="346">
        <v>450000</v>
      </c>
      <c r="G48" s="346">
        <v>59985</v>
      </c>
      <c r="H48" s="340">
        <f t="shared" si="4"/>
        <v>509985</v>
      </c>
      <c r="I48" s="348">
        <v>50</v>
      </c>
      <c r="J48" s="376">
        <v>10199.700000000001</v>
      </c>
      <c r="K48" s="356">
        <f t="shared" si="5"/>
        <v>1199.7</v>
      </c>
      <c r="L48" s="356">
        <f t="shared" si="6"/>
        <v>9000</v>
      </c>
      <c r="M48" s="356">
        <f t="shared" si="8"/>
        <v>17995.5</v>
      </c>
      <c r="N48" s="356">
        <f t="shared" si="9"/>
        <v>41989.5</v>
      </c>
      <c r="O48" s="348">
        <v>15</v>
      </c>
      <c r="P48" s="354">
        <f t="shared" si="7"/>
        <v>35</v>
      </c>
      <c r="Q48" s="339">
        <f t="shared" si="10"/>
        <v>152995.5</v>
      </c>
      <c r="R48" s="339">
        <f t="shared" si="11"/>
        <v>356989.5</v>
      </c>
      <c r="S48" s="337"/>
    </row>
    <row r="49" spans="2:19">
      <c r="B49" s="363" t="s">
        <v>1097</v>
      </c>
      <c r="C49" s="367">
        <v>45</v>
      </c>
      <c r="D49" s="337" t="s">
        <v>1437</v>
      </c>
      <c r="E49" s="337" t="s">
        <v>286</v>
      </c>
      <c r="F49" s="346">
        <v>450000</v>
      </c>
      <c r="G49" s="346">
        <v>59985</v>
      </c>
      <c r="H49" s="340">
        <f t="shared" si="4"/>
        <v>509985</v>
      </c>
      <c r="I49" s="348">
        <v>50</v>
      </c>
      <c r="J49" s="376">
        <v>10199.700000000001</v>
      </c>
      <c r="K49" s="356">
        <f t="shared" si="5"/>
        <v>1199.7</v>
      </c>
      <c r="L49" s="356">
        <f t="shared" si="6"/>
        <v>9000</v>
      </c>
      <c r="M49" s="356">
        <f t="shared" si="8"/>
        <v>50387.4</v>
      </c>
      <c r="N49" s="356">
        <f t="shared" si="9"/>
        <v>9597.6</v>
      </c>
      <c r="O49" s="348">
        <v>42</v>
      </c>
      <c r="P49" s="354">
        <f t="shared" si="7"/>
        <v>8</v>
      </c>
      <c r="Q49" s="339">
        <f t="shared" si="10"/>
        <v>428387.4</v>
      </c>
      <c r="R49" s="339">
        <f t="shared" si="11"/>
        <v>81597.599999999977</v>
      </c>
      <c r="S49" s="337"/>
    </row>
    <row r="50" spans="2:19">
      <c r="B50" s="361" t="s">
        <v>1346</v>
      </c>
      <c r="C50" s="367">
        <v>46</v>
      </c>
      <c r="D50" s="337" t="s">
        <v>1437</v>
      </c>
      <c r="E50" s="337" t="s">
        <v>1347</v>
      </c>
      <c r="F50" s="346">
        <v>500000</v>
      </c>
      <c r="G50" s="346">
        <v>66650</v>
      </c>
      <c r="H50" s="340">
        <f t="shared" si="4"/>
        <v>566650</v>
      </c>
      <c r="I50" s="348">
        <v>50</v>
      </c>
      <c r="J50" s="376">
        <v>11333</v>
      </c>
      <c r="K50" s="356">
        <f t="shared" si="5"/>
        <v>1333</v>
      </c>
      <c r="L50" s="356">
        <f t="shared" si="6"/>
        <v>10000</v>
      </c>
      <c r="M50" s="356">
        <f t="shared" si="8"/>
        <v>10664</v>
      </c>
      <c r="N50" s="356">
        <f t="shared" si="9"/>
        <v>55986</v>
      </c>
      <c r="O50" s="348">
        <v>8</v>
      </c>
      <c r="P50" s="354">
        <f t="shared" si="7"/>
        <v>42</v>
      </c>
      <c r="Q50" s="339">
        <f t="shared" si="10"/>
        <v>90664</v>
      </c>
      <c r="R50" s="339">
        <f t="shared" si="11"/>
        <v>475986</v>
      </c>
      <c r="S50" s="337"/>
    </row>
    <row r="51" spans="2:19">
      <c r="B51" s="364" t="s">
        <v>1356</v>
      </c>
      <c r="C51" s="367">
        <v>47</v>
      </c>
      <c r="D51" s="337" t="s">
        <v>1437</v>
      </c>
      <c r="E51" s="337" t="s">
        <v>1286</v>
      </c>
      <c r="F51" s="346">
        <v>450000</v>
      </c>
      <c r="G51" s="346">
        <v>59985</v>
      </c>
      <c r="H51" s="340">
        <f t="shared" si="4"/>
        <v>509985</v>
      </c>
      <c r="I51" s="348">
        <v>50</v>
      </c>
      <c r="J51" s="376">
        <v>10199.700000000001</v>
      </c>
      <c r="K51" s="356">
        <f t="shared" si="5"/>
        <v>1199.7</v>
      </c>
      <c r="L51" s="356">
        <f t="shared" si="6"/>
        <v>9000</v>
      </c>
      <c r="M51" s="356">
        <f t="shared" si="8"/>
        <v>9597.6</v>
      </c>
      <c r="N51" s="356">
        <f t="shared" si="9"/>
        <v>50387.4</v>
      </c>
      <c r="O51" s="348">
        <v>8</v>
      </c>
      <c r="P51" s="354">
        <f t="shared" si="7"/>
        <v>42</v>
      </c>
      <c r="Q51" s="339">
        <f t="shared" si="10"/>
        <v>81597.600000000006</v>
      </c>
      <c r="R51" s="339">
        <f t="shared" si="11"/>
        <v>428387.4</v>
      </c>
      <c r="S51" s="337"/>
    </row>
    <row r="52" spans="2:19">
      <c r="B52" s="364" t="s">
        <v>964</v>
      </c>
      <c r="C52" s="367">
        <v>48</v>
      </c>
      <c r="D52" s="337" t="s">
        <v>1437</v>
      </c>
      <c r="E52" s="337" t="s">
        <v>341</v>
      </c>
      <c r="F52" s="346">
        <v>500000</v>
      </c>
      <c r="G52" s="346">
        <v>66650</v>
      </c>
      <c r="H52" s="340">
        <f t="shared" si="4"/>
        <v>566650</v>
      </c>
      <c r="I52" s="348">
        <v>50</v>
      </c>
      <c r="J52" s="376">
        <v>11333</v>
      </c>
      <c r="K52" s="356">
        <f t="shared" si="5"/>
        <v>1333</v>
      </c>
      <c r="L52" s="356">
        <f t="shared" si="6"/>
        <v>10000</v>
      </c>
      <c r="M52" s="356">
        <f t="shared" si="8"/>
        <v>53320</v>
      </c>
      <c r="N52" s="356">
        <f t="shared" si="9"/>
        <v>13330</v>
      </c>
      <c r="O52" s="348">
        <v>40</v>
      </c>
      <c r="P52" s="354">
        <f t="shared" si="7"/>
        <v>10</v>
      </c>
      <c r="Q52" s="339">
        <f t="shared" si="10"/>
        <v>453320</v>
      </c>
      <c r="R52" s="339">
        <f t="shared" si="11"/>
        <v>113330</v>
      </c>
      <c r="S52" s="337"/>
    </row>
    <row r="53" spans="2:19">
      <c r="B53" s="364" t="s">
        <v>1103</v>
      </c>
      <c r="C53" s="367">
        <v>49</v>
      </c>
      <c r="D53" s="337" t="s">
        <v>1437</v>
      </c>
      <c r="E53" s="337" t="s">
        <v>310</v>
      </c>
      <c r="F53" s="346">
        <v>500000</v>
      </c>
      <c r="G53" s="346">
        <v>66650</v>
      </c>
      <c r="H53" s="340">
        <f t="shared" si="4"/>
        <v>566650</v>
      </c>
      <c r="I53" s="348">
        <v>50</v>
      </c>
      <c r="J53" s="376">
        <v>11333</v>
      </c>
      <c r="K53" s="356">
        <f t="shared" si="5"/>
        <v>1333</v>
      </c>
      <c r="L53" s="356">
        <f t="shared" si="6"/>
        <v>10000</v>
      </c>
      <c r="M53" s="356">
        <f t="shared" si="8"/>
        <v>53320</v>
      </c>
      <c r="N53" s="356">
        <f t="shared" si="9"/>
        <v>13330</v>
      </c>
      <c r="O53" s="348">
        <v>40</v>
      </c>
      <c r="P53" s="354">
        <f t="shared" si="7"/>
        <v>10</v>
      </c>
      <c r="Q53" s="339">
        <f t="shared" si="10"/>
        <v>453320</v>
      </c>
      <c r="R53" s="339">
        <f t="shared" si="11"/>
        <v>113330</v>
      </c>
      <c r="S53" s="337"/>
    </row>
    <row r="54" spans="2:19">
      <c r="B54" s="364" t="s">
        <v>1043</v>
      </c>
      <c r="C54" s="367">
        <v>50</v>
      </c>
      <c r="D54" s="337" t="s">
        <v>1437</v>
      </c>
      <c r="E54" s="337" t="s">
        <v>444</v>
      </c>
      <c r="F54" s="346">
        <v>500000</v>
      </c>
      <c r="G54" s="346">
        <v>66650</v>
      </c>
      <c r="H54" s="340">
        <f t="shared" si="4"/>
        <v>566650</v>
      </c>
      <c r="I54" s="348">
        <v>50</v>
      </c>
      <c r="J54" s="376">
        <v>11333</v>
      </c>
      <c r="K54" s="356">
        <f t="shared" si="5"/>
        <v>1333</v>
      </c>
      <c r="L54" s="356">
        <f t="shared" si="6"/>
        <v>10000</v>
      </c>
      <c r="M54" s="356">
        <f t="shared" si="8"/>
        <v>37324</v>
      </c>
      <c r="N54" s="356">
        <f t="shared" si="9"/>
        <v>29326</v>
      </c>
      <c r="O54" s="348">
        <v>28</v>
      </c>
      <c r="P54" s="354">
        <f t="shared" si="7"/>
        <v>22</v>
      </c>
      <c r="Q54" s="339">
        <f t="shared" si="10"/>
        <v>317324</v>
      </c>
      <c r="R54" s="339">
        <f t="shared" si="11"/>
        <v>249326</v>
      </c>
      <c r="S54" s="337"/>
    </row>
    <row r="55" spans="2:19">
      <c r="B55" s="363" t="s">
        <v>1001</v>
      </c>
      <c r="C55" s="367">
        <v>51</v>
      </c>
      <c r="D55" s="337" t="s">
        <v>1437</v>
      </c>
      <c r="E55" s="337" t="s">
        <v>834</v>
      </c>
      <c r="F55" s="346">
        <v>330000</v>
      </c>
      <c r="G55" s="346">
        <v>43989</v>
      </c>
      <c r="H55" s="340">
        <f t="shared" si="4"/>
        <v>373989</v>
      </c>
      <c r="I55" s="348">
        <v>50</v>
      </c>
      <c r="J55" s="376">
        <v>7479.78</v>
      </c>
      <c r="K55" s="356">
        <f t="shared" si="5"/>
        <v>879.78</v>
      </c>
      <c r="L55" s="356">
        <f t="shared" si="6"/>
        <v>6600</v>
      </c>
      <c r="M55" s="356">
        <f t="shared" si="8"/>
        <v>24633.84</v>
      </c>
      <c r="N55" s="356">
        <f t="shared" si="9"/>
        <v>19355.16</v>
      </c>
      <c r="O55" s="348">
        <v>28</v>
      </c>
      <c r="P55" s="354">
        <f t="shared" si="7"/>
        <v>22</v>
      </c>
      <c r="Q55" s="339">
        <f t="shared" si="10"/>
        <v>209433.84</v>
      </c>
      <c r="R55" s="339">
        <f t="shared" si="11"/>
        <v>164555.16</v>
      </c>
      <c r="S55" s="337"/>
    </row>
    <row r="56" spans="2:19">
      <c r="B56" s="361" t="s">
        <v>996</v>
      </c>
      <c r="C56" s="367">
        <v>52</v>
      </c>
      <c r="D56" s="337" t="s">
        <v>1437</v>
      </c>
      <c r="E56" s="337" t="s">
        <v>338</v>
      </c>
      <c r="F56" s="346">
        <v>500000</v>
      </c>
      <c r="G56" s="346">
        <v>66650</v>
      </c>
      <c r="H56" s="340">
        <f t="shared" si="4"/>
        <v>566650</v>
      </c>
      <c r="I56" s="348">
        <v>40</v>
      </c>
      <c r="J56" s="376">
        <v>13833</v>
      </c>
      <c r="K56" s="356">
        <f t="shared" si="5"/>
        <v>1333</v>
      </c>
      <c r="L56" s="356">
        <f t="shared" si="6"/>
        <v>10000</v>
      </c>
      <c r="M56" s="356">
        <f t="shared" si="8"/>
        <v>3999</v>
      </c>
      <c r="N56" s="356">
        <f t="shared" si="9"/>
        <v>49321</v>
      </c>
      <c r="O56" s="348">
        <v>3</v>
      </c>
      <c r="P56" s="354">
        <f t="shared" si="7"/>
        <v>37</v>
      </c>
      <c r="Q56" s="339">
        <f t="shared" si="10"/>
        <v>41499</v>
      </c>
      <c r="R56" s="339">
        <f t="shared" si="11"/>
        <v>525151</v>
      </c>
      <c r="S56" s="337"/>
    </row>
    <row r="57" spans="2:19">
      <c r="B57" s="361" t="s">
        <v>1335</v>
      </c>
      <c r="C57" s="367">
        <v>53</v>
      </c>
      <c r="D57" s="337" t="s">
        <v>1437</v>
      </c>
      <c r="E57" s="337" t="s">
        <v>1336</v>
      </c>
      <c r="F57" s="346">
        <v>500000</v>
      </c>
      <c r="G57" s="346">
        <v>66650</v>
      </c>
      <c r="H57" s="340">
        <f t="shared" si="4"/>
        <v>566650</v>
      </c>
      <c r="I57" s="348">
        <v>50</v>
      </c>
      <c r="J57" s="376">
        <v>11333</v>
      </c>
      <c r="K57" s="356">
        <f t="shared" si="5"/>
        <v>1333</v>
      </c>
      <c r="L57" s="356">
        <f t="shared" si="6"/>
        <v>10000</v>
      </c>
      <c r="M57" s="356">
        <f t="shared" si="8"/>
        <v>13330</v>
      </c>
      <c r="N57" s="356">
        <f t="shared" si="9"/>
        <v>53320</v>
      </c>
      <c r="O57" s="348">
        <v>10</v>
      </c>
      <c r="P57" s="354">
        <f t="shared" si="7"/>
        <v>40</v>
      </c>
      <c r="Q57" s="339">
        <f t="shared" si="10"/>
        <v>113330</v>
      </c>
      <c r="R57" s="339">
        <f t="shared" si="11"/>
        <v>453320</v>
      </c>
      <c r="S57" s="337"/>
    </row>
    <row r="58" spans="2:19">
      <c r="B58" s="364" t="s">
        <v>1312</v>
      </c>
      <c r="C58" s="367">
        <v>54</v>
      </c>
      <c r="D58" s="337" t="s">
        <v>1437</v>
      </c>
      <c r="E58" s="337" t="s">
        <v>436</v>
      </c>
      <c r="F58" s="346">
        <v>500000</v>
      </c>
      <c r="G58" s="346">
        <v>66650</v>
      </c>
      <c r="H58" s="340">
        <f t="shared" si="4"/>
        <v>566650</v>
      </c>
      <c r="I58" s="348">
        <v>25</v>
      </c>
      <c r="J58" s="376">
        <v>21333</v>
      </c>
      <c r="K58" s="356">
        <f t="shared" si="5"/>
        <v>1333</v>
      </c>
      <c r="L58" s="356">
        <f t="shared" si="6"/>
        <v>10000</v>
      </c>
      <c r="M58" s="356">
        <f t="shared" si="8"/>
        <v>10664</v>
      </c>
      <c r="N58" s="356">
        <f t="shared" si="9"/>
        <v>22661</v>
      </c>
      <c r="O58" s="348">
        <v>8</v>
      </c>
      <c r="P58" s="354">
        <f t="shared" si="7"/>
        <v>17</v>
      </c>
      <c r="Q58" s="339">
        <f t="shared" si="10"/>
        <v>170664</v>
      </c>
      <c r="R58" s="339">
        <f t="shared" si="11"/>
        <v>395986</v>
      </c>
      <c r="S58" s="337"/>
    </row>
    <row r="59" spans="2:19">
      <c r="B59" s="361" t="s">
        <v>1044</v>
      </c>
      <c r="C59" s="367">
        <v>55</v>
      </c>
      <c r="D59" s="337" t="s">
        <v>1437</v>
      </c>
      <c r="E59" s="337" t="s">
        <v>844</v>
      </c>
      <c r="F59" s="346">
        <v>150000</v>
      </c>
      <c r="G59" s="346">
        <v>19995</v>
      </c>
      <c r="H59" s="340">
        <f t="shared" si="4"/>
        <v>169995</v>
      </c>
      <c r="I59" s="348">
        <v>50</v>
      </c>
      <c r="J59" s="376">
        <v>3399.9</v>
      </c>
      <c r="K59" s="356">
        <f t="shared" si="5"/>
        <v>399.9</v>
      </c>
      <c r="L59" s="356">
        <f t="shared" si="6"/>
        <v>3000</v>
      </c>
      <c r="M59" s="356">
        <f t="shared" si="8"/>
        <v>11197.199999999999</v>
      </c>
      <c r="N59" s="356">
        <f t="shared" si="9"/>
        <v>8797.7999999999993</v>
      </c>
      <c r="O59" s="348">
        <v>28</v>
      </c>
      <c r="P59" s="354">
        <f t="shared" si="7"/>
        <v>22</v>
      </c>
      <c r="Q59" s="339">
        <f t="shared" si="10"/>
        <v>95197.2</v>
      </c>
      <c r="R59" s="339">
        <f t="shared" si="11"/>
        <v>74797.8</v>
      </c>
      <c r="S59" s="337"/>
    </row>
    <row r="60" spans="2:19">
      <c r="B60" s="364" t="s">
        <v>1328</v>
      </c>
      <c r="C60" s="367">
        <v>56</v>
      </c>
      <c r="D60" s="337" t="s">
        <v>1437</v>
      </c>
      <c r="E60" s="337" t="s">
        <v>433</v>
      </c>
      <c r="F60" s="346">
        <v>500000</v>
      </c>
      <c r="G60" s="346">
        <v>66650</v>
      </c>
      <c r="H60" s="340">
        <f t="shared" si="4"/>
        <v>566650</v>
      </c>
      <c r="I60" s="348">
        <v>50</v>
      </c>
      <c r="J60" s="376">
        <v>11333</v>
      </c>
      <c r="K60" s="356">
        <f t="shared" si="5"/>
        <v>1333</v>
      </c>
      <c r="L60" s="356">
        <f t="shared" si="6"/>
        <v>10000</v>
      </c>
      <c r="M60" s="356">
        <f t="shared" si="8"/>
        <v>17329</v>
      </c>
      <c r="N60" s="356">
        <f t="shared" si="9"/>
        <v>49321</v>
      </c>
      <c r="O60" s="348">
        <v>13</v>
      </c>
      <c r="P60" s="354">
        <f t="shared" si="7"/>
        <v>37</v>
      </c>
      <c r="Q60" s="339">
        <f t="shared" si="10"/>
        <v>147329</v>
      </c>
      <c r="R60" s="339">
        <f t="shared" si="11"/>
        <v>419321</v>
      </c>
      <c r="S60" s="337"/>
    </row>
    <row r="61" spans="2:19">
      <c r="B61" s="362" t="s">
        <v>1058</v>
      </c>
      <c r="C61" s="367">
        <v>57</v>
      </c>
      <c r="D61" s="337" t="s">
        <v>1437</v>
      </c>
      <c r="E61" s="337" t="s">
        <v>346</v>
      </c>
      <c r="F61" s="346">
        <v>500000</v>
      </c>
      <c r="G61" s="346">
        <v>66650</v>
      </c>
      <c r="H61" s="340">
        <f t="shared" si="4"/>
        <v>566650</v>
      </c>
      <c r="I61" s="348">
        <v>50</v>
      </c>
      <c r="J61" s="376">
        <v>11333</v>
      </c>
      <c r="K61" s="356">
        <f t="shared" si="5"/>
        <v>1333</v>
      </c>
      <c r="L61" s="356">
        <f t="shared" si="6"/>
        <v>10000</v>
      </c>
      <c r="M61" s="356">
        <f t="shared" si="8"/>
        <v>51987</v>
      </c>
      <c r="N61" s="356">
        <f t="shared" si="9"/>
        <v>14663</v>
      </c>
      <c r="O61" s="348">
        <v>39</v>
      </c>
      <c r="P61" s="354">
        <f t="shared" si="7"/>
        <v>11</v>
      </c>
      <c r="Q61" s="339">
        <f t="shared" si="10"/>
        <v>441987</v>
      </c>
      <c r="R61" s="339">
        <f t="shared" si="11"/>
        <v>124663</v>
      </c>
      <c r="S61" s="337"/>
    </row>
    <row r="62" spans="2:19">
      <c r="B62" s="364" t="s">
        <v>1322</v>
      </c>
      <c r="C62" s="367">
        <v>58</v>
      </c>
      <c r="D62" s="337" t="s">
        <v>1437</v>
      </c>
      <c r="E62" s="337" t="s">
        <v>1122</v>
      </c>
      <c r="F62" s="346">
        <v>500000</v>
      </c>
      <c r="G62" s="346">
        <v>66650</v>
      </c>
      <c r="H62" s="340">
        <f t="shared" si="4"/>
        <v>566650</v>
      </c>
      <c r="I62" s="348">
        <v>50</v>
      </c>
      <c r="J62" s="376">
        <v>11333</v>
      </c>
      <c r="K62" s="356">
        <f t="shared" si="5"/>
        <v>1333</v>
      </c>
      <c r="L62" s="356">
        <f t="shared" si="6"/>
        <v>10000</v>
      </c>
      <c r="M62" s="356">
        <f t="shared" si="8"/>
        <v>19995</v>
      </c>
      <c r="N62" s="356">
        <f t="shared" si="9"/>
        <v>46655</v>
      </c>
      <c r="O62" s="348">
        <v>15</v>
      </c>
      <c r="P62" s="354">
        <f t="shared" si="7"/>
        <v>35</v>
      </c>
      <c r="Q62" s="339">
        <f t="shared" si="10"/>
        <v>169995</v>
      </c>
      <c r="R62" s="339">
        <f t="shared" si="11"/>
        <v>396655</v>
      </c>
      <c r="S62" s="337"/>
    </row>
    <row r="63" spans="2:19">
      <c r="B63" s="362" t="s">
        <v>1098</v>
      </c>
      <c r="C63" s="367">
        <v>59</v>
      </c>
      <c r="D63" s="337" t="s">
        <v>1437</v>
      </c>
      <c r="E63" s="337" t="s">
        <v>345</v>
      </c>
      <c r="F63" s="346">
        <v>500000</v>
      </c>
      <c r="G63" s="346">
        <v>66650</v>
      </c>
      <c r="H63" s="340">
        <f t="shared" si="4"/>
        <v>566650</v>
      </c>
      <c r="I63" s="348">
        <v>50</v>
      </c>
      <c r="J63" s="376">
        <v>11333</v>
      </c>
      <c r="K63" s="356">
        <f t="shared" si="5"/>
        <v>1333</v>
      </c>
      <c r="L63" s="356">
        <f t="shared" si="6"/>
        <v>10000</v>
      </c>
      <c r="M63" s="356">
        <f t="shared" si="8"/>
        <v>53320</v>
      </c>
      <c r="N63" s="356">
        <f t="shared" si="9"/>
        <v>13330</v>
      </c>
      <c r="O63" s="348">
        <v>40</v>
      </c>
      <c r="P63" s="354">
        <f t="shared" si="7"/>
        <v>10</v>
      </c>
      <c r="Q63" s="339">
        <f t="shared" si="10"/>
        <v>453320</v>
      </c>
      <c r="R63" s="339">
        <f t="shared" si="11"/>
        <v>113330</v>
      </c>
      <c r="S63" s="337"/>
    </row>
    <row r="64" spans="2:19">
      <c r="B64" s="362" t="s">
        <v>1125</v>
      </c>
      <c r="C64" s="367">
        <v>60</v>
      </c>
      <c r="D64" s="337" t="s">
        <v>1437</v>
      </c>
      <c r="E64" s="337" t="s">
        <v>452</v>
      </c>
      <c r="F64" s="346">
        <v>500000</v>
      </c>
      <c r="G64" s="346">
        <v>66650</v>
      </c>
      <c r="H64" s="340">
        <f t="shared" si="4"/>
        <v>566650</v>
      </c>
      <c r="I64" s="348">
        <v>50</v>
      </c>
      <c r="J64" s="376">
        <v>11333</v>
      </c>
      <c r="K64" s="356">
        <f t="shared" si="5"/>
        <v>1333</v>
      </c>
      <c r="L64" s="356">
        <f t="shared" si="6"/>
        <v>10000</v>
      </c>
      <c r="M64" s="356">
        <f t="shared" si="8"/>
        <v>21328</v>
      </c>
      <c r="N64" s="356">
        <f t="shared" si="9"/>
        <v>45322</v>
      </c>
      <c r="O64" s="348">
        <v>16</v>
      </c>
      <c r="P64" s="354">
        <f t="shared" si="7"/>
        <v>34</v>
      </c>
      <c r="Q64" s="339">
        <f t="shared" si="10"/>
        <v>181328</v>
      </c>
      <c r="R64" s="339">
        <f t="shared" si="11"/>
        <v>385322</v>
      </c>
      <c r="S64" s="337"/>
    </row>
    <row r="65" spans="2:19">
      <c r="B65" s="364" t="s">
        <v>1390</v>
      </c>
      <c r="C65" s="367">
        <v>61</v>
      </c>
      <c r="D65" s="337" t="s">
        <v>1437</v>
      </c>
      <c r="E65" s="337" t="s">
        <v>1391</v>
      </c>
      <c r="F65" s="346">
        <v>150000</v>
      </c>
      <c r="G65" s="346">
        <v>19995</v>
      </c>
      <c r="H65" s="340">
        <f t="shared" si="4"/>
        <v>169995</v>
      </c>
      <c r="I65" s="348">
        <v>40</v>
      </c>
      <c r="J65" s="376">
        <v>4149.8999999999996</v>
      </c>
      <c r="K65" s="356">
        <f t="shared" si="5"/>
        <v>399.9</v>
      </c>
      <c r="L65" s="356">
        <f t="shared" si="6"/>
        <v>3000</v>
      </c>
      <c r="M65" s="356">
        <f t="shared" si="8"/>
        <v>5998.5</v>
      </c>
      <c r="N65" s="356">
        <f t="shared" si="9"/>
        <v>9997.5</v>
      </c>
      <c r="O65" s="348">
        <v>15</v>
      </c>
      <c r="P65" s="354">
        <f t="shared" si="7"/>
        <v>25</v>
      </c>
      <c r="Q65" s="339">
        <f t="shared" si="10"/>
        <v>62248.499999999993</v>
      </c>
      <c r="R65" s="339">
        <f t="shared" si="11"/>
        <v>107746.5</v>
      </c>
      <c r="S65" s="337"/>
    </row>
    <row r="66" spans="2:19">
      <c r="B66" s="362" t="s">
        <v>1067</v>
      </c>
      <c r="C66" s="367">
        <v>62</v>
      </c>
      <c r="D66" s="337" t="s">
        <v>1437</v>
      </c>
      <c r="E66" s="337" t="s">
        <v>368</v>
      </c>
      <c r="F66" s="346">
        <v>450000</v>
      </c>
      <c r="G66" s="346">
        <v>59985</v>
      </c>
      <c r="H66" s="340">
        <f t="shared" si="4"/>
        <v>509985</v>
      </c>
      <c r="I66" s="348">
        <v>50</v>
      </c>
      <c r="J66" s="376">
        <v>10199.700000000001</v>
      </c>
      <c r="K66" s="356">
        <f t="shared" si="5"/>
        <v>1199.7</v>
      </c>
      <c r="L66" s="356">
        <f t="shared" si="6"/>
        <v>9000</v>
      </c>
      <c r="M66" s="356">
        <f t="shared" si="8"/>
        <v>46788.3</v>
      </c>
      <c r="N66" s="356">
        <f t="shared" si="9"/>
        <v>13196.7</v>
      </c>
      <c r="O66" s="348">
        <v>39</v>
      </c>
      <c r="P66" s="354">
        <f t="shared" si="7"/>
        <v>11</v>
      </c>
      <c r="Q66" s="339">
        <f t="shared" si="10"/>
        <v>397788.30000000005</v>
      </c>
      <c r="R66" s="339">
        <f t="shared" si="11"/>
        <v>112196.69999999995</v>
      </c>
      <c r="S66" s="337"/>
    </row>
    <row r="67" spans="2:19">
      <c r="B67" s="362" t="s">
        <v>1078</v>
      </c>
      <c r="C67" s="367">
        <v>63</v>
      </c>
      <c r="D67" s="337" t="s">
        <v>1437</v>
      </c>
      <c r="E67" s="337" t="s">
        <v>446</v>
      </c>
      <c r="F67" s="346">
        <v>330000</v>
      </c>
      <c r="G67" s="346">
        <v>43989</v>
      </c>
      <c r="H67" s="340">
        <f t="shared" si="4"/>
        <v>373989</v>
      </c>
      <c r="I67" s="348">
        <v>50</v>
      </c>
      <c r="J67" s="376">
        <v>7479.78</v>
      </c>
      <c r="K67" s="356">
        <f t="shared" si="5"/>
        <v>879.78</v>
      </c>
      <c r="L67" s="356">
        <f t="shared" si="6"/>
        <v>6600</v>
      </c>
      <c r="M67" s="356">
        <f t="shared" si="8"/>
        <v>20234.939999999999</v>
      </c>
      <c r="N67" s="356">
        <f t="shared" si="9"/>
        <v>23754.059999999998</v>
      </c>
      <c r="O67" s="348">
        <v>23</v>
      </c>
      <c r="P67" s="354">
        <f t="shared" si="7"/>
        <v>27</v>
      </c>
      <c r="Q67" s="339">
        <f t="shared" si="10"/>
        <v>172034.94</v>
      </c>
      <c r="R67" s="339">
        <f t="shared" si="11"/>
        <v>201954.06</v>
      </c>
      <c r="S67" s="337"/>
    </row>
    <row r="68" spans="2:19">
      <c r="B68" s="361" t="s">
        <v>1120</v>
      </c>
      <c r="C68" s="367">
        <v>64</v>
      </c>
      <c r="D68" s="337" t="s">
        <v>1437</v>
      </c>
      <c r="E68" s="337" t="s">
        <v>1121</v>
      </c>
      <c r="F68" s="346">
        <v>150000</v>
      </c>
      <c r="G68" s="346">
        <v>19995</v>
      </c>
      <c r="H68" s="340">
        <f t="shared" si="4"/>
        <v>169995</v>
      </c>
      <c r="I68" s="348">
        <v>50</v>
      </c>
      <c r="J68" s="376">
        <v>3399.9</v>
      </c>
      <c r="K68" s="356">
        <f t="shared" si="5"/>
        <v>399.9</v>
      </c>
      <c r="L68" s="356">
        <f t="shared" si="6"/>
        <v>3000</v>
      </c>
      <c r="M68" s="356">
        <f t="shared" si="8"/>
        <v>6398.4</v>
      </c>
      <c r="N68" s="356">
        <f t="shared" si="9"/>
        <v>13596.599999999999</v>
      </c>
      <c r="O68" s="348">
        <v>16</v>
      </c>
      <c r="P68" s="354">
        <f t="shared" si="7"/>
        <v>34</v>
      </c>
      <c r="Q68" s="339">
        <f t="shared" si="10"/>
        <v>54398.400000000001</v>
      </c>
      <c r="R68" s="339">
        <f t="shared" si="11"/>
        <v>115596.6</v>
      </c>
      <c r="S68" s="337"/>
    </row>
    <row r="69" spans="2:19">
      <c r="B69" s="362" t="s">
        <v>1375</v>
      </c>
      <c r="C69" s="367">
        <v>65</v>
      </c>
      <c r="D69" s="337" t="s">
        <v>1437</v>
      </c>
      <c r="E69" s="337" t="s">
        <v>1376</v>
      </c>
      <c r="F69" s="346">
        <v>330000</v>
      </c>
      <c r="G69" s="346">
        <v>43989</v>
      </c>
      <c r="H69" s="340">
        <f t="shared" si="4"/>
        <v>373989</v>
      </c>
      <c r="I69" s="348">
        <v>50</v>
      </c>
      <c r="J69" s="376">
        <v>7479.78</v>
      </c>
      <c r="K69" s="356">
        <f t="shared" si="5"/>
        <v>879.78</v>
      </c>
      <c r="L69" s="356">
        <f t="shared" si="6"/>
        <v>6600</v>
      </c>
      <c r="M69" s="356">
        <f t="shared" ref="M69:M100" si="12">K69*O69</f>
        <v>5278.68</v>
      </c>
      <c r="N69" s="356">
        <f t="shared" ref="N69:N100" si="13">K69*P69</f>
        <v>38710.32</v>
      </c>
      <c r="O69" s="348">
        <v>6</v>
      </c>
      <c r="P69" s="354">
        <f t="shared" si="7"/>
        <v>44</v>
      </c>
      <c r="Q69" s="339">
        <f t="shared" ref="Q69:Q100" si="14">J69*O69</f>
        <v>44878.68</v>
      </c>
      <c r="R69" s="339">
        <f t="shared" ref="R69:R100" si="15">H69-Q69</f>
        <v>329110.32</v>
      </c>
      <c r="S69" s="337"/>
    </row>
    <row r="70" spans="2:19">
      <c r="B70" s="364" t="s">
        <v>1392</v>
      </c>
      <c r="C70" s="367">
        <v>66</v>
      </c>
      <c r="D70" s="337" t="s">
        <v>1437</v>
      </c>
      <c r="E70" s="337" t="s">
        <v>1393</v>
      </c>
      <c r="F70" s="346">
        <v>150000</v>
      </c>
      <c r="G70" s="346">
        <v>19995</v>
      </c>
      <c r="H70" s="340">
        <f t="shared" ref="H70:H133" si="16">SUM(F70:G70)</f>
        <v>169995</v>
      </c>
      <c r="I70" s="348">
        <v>40</v>
      </c>
      <c r="J70" s="376">
        <v>4149.8999999999996</v>
      </c>
      <c r="K70" s="356">
        <f t="shared" ref="K70:K133" si="17">G70/50</f>
        <v>399.9</v>
      </c>
      <c r="L70" s="356">
        <f t="shared" ref="L70:L133" si="18">F70/50</f>
        <v>3000</v>
      </c>
      <c r="M70" s="356">
        <f t="shared" si="12"/>
        <v>5998.5</v>
      </c>
      <c r="N70" s="356">
        <f t="shared" si="13"/>
        <v>9997.5</v>
      </c>
      <c r="O70" s="348">
        <v>15</v>
      </c>
      <c r="P70" s="354">
        <f t="shared" ref="P70:P133" si="19">I70-O70</f>
        <v>25</v>
      </c>
      <c r="Q70" s="339">
        <f t="shared" si="14"/>
        <v>62248.499999999993</v>
      </c>
      <c r="R70" s="339">
        <f t="shared" si="15"/>
        <v>107746.5</v>
      </c>
      <c r="S70" s="337"/>
    </row>
    <row r="71" spans="2:19">
      <c r="B71" s="364" t="s">
        <v>982</v>
      </c>
      <c r="C71" s="367">
        <v>67</v>
      </c>
      <c r="D71" s="337" t="s">
        <v>1437</v>
      </c>
      <c r="E71" s="337" t="s">
        <v>350</v>
      </c>
      <c r="F71" s="346">
        <v>500000</v>
      </c>
      <c r="G71" s="346">
        <v>66650</v>
      </c>
      <c r="H71" s="340">
        <f t="shared" si="16"/>
        <v>566650</v>
      </c>
      <c r="I71" s="348">
        <v>50</v>
      </c>
      <c r="J71" s="376">
        <v>11333</v>
      </c>
      <c r="K71" s="356">
        <f t="shared" si="17"/>
        <v>1333</v>
      </c>
      <c r="L71" s="356">
        <f t="shared" si="18"/>
        <v>10000</v>
      </c>
      <c r="M71" s="356">
        <f t="shared" si="12"/>
        <v>42656</v>
      </c>
      <c r="N71" s="356">
        <f t="shared" si="13"/>
        <v>23994</v>
      </c>
      <c r="O71" s="348">
        <v>32</v>
      </c>
      <c r="P71" s="354">
        <f t="shared" si="19"/>
        <v>18</v>
      </c>
      <c r="Q71" s="339">
        <f t="shared" si="14"/>
        <v>362656</v>
      </c>
      <c r="R71" s="339">
        <f t="shared" si="15"/>
        <v>203994</v>
      </c>
      <c r="S71" s="337"/>
    </row>
    <row r="72" spans="2:19">
      <c r="B72" s="363" t="s">
        <v>965</v>
      </c>
      <c r="C72" s="367">
        <v>68</v>
      </c>
      <c r="D72" s="337" t="s">
        <v>1437</v>
      </c>
      <c r="E72" s="337" t="s">
        <v>334</v>
      </c>
      <c r="F72" s="346">
        <v>500000</v>
      </c>
      <c r="G72" s="346">
        <v>66650</v>
      </c>
      <c r="H72" s="340">
        <f t="shared" si="16"/>
        <v>566650</v>
      </c>
      <c r="I72" s="348">
        <v>50</v>
      </c>
      <c r="J72" s="376">
        <v>11333</v>
      </c>
      <c r="K72" s="356">
        <f t="shared" si="17"/>
        <v>1333</v>
      </c>
      <c r="L72" s="356">
        <f t="shared" si="18"/>
        <v>10000</v>
      </c>
      <c r="M72" s="356">
        <f t="shared" si="12"/>
        <v>53320</v>
      </c>
      <c r="N72" s="356">
        <f t="shared" si="13"/>
        <v>13330</v>
      </c>
      <c r="O72" s="348">
        <v>40</v>
      </c>
      <c r="P72" s="354">
        <f t="shared" si="19"/>
        <v>10</v>
      </c>
      <c r="Q72" s="339">
        <f t="shared" si="14"/>
        <v>453320</v>
      </c>
      <c r="R72" s="339">
        <f t="shared" si="15"/>
        <v>113330</v>
      </c>
      <c r="S72" s="337"/>
    </row>
    <row r="73" spans="2:19">
      <c r="B73" s="365" t="s">
        <v>1402</v>
      </c>
      <c r="C73" s="367">
        <v>69</v>
      </c>
      <c r="D73" s="337" t="s">
        <v>1437</v>
      </c>
      <c r="E73" s="337" t="s">
        <v>1403</v>
      </c>
      <c r="F73" s="346">
        <v>150000</v>
      </c>
      <c r="G73" s="346">
        <v>19995</v>
      </c>
      <c r="H73" s="340">
        <f t="shared" si="16"/>
        <v>169995</v>
      </c>
      <c r="I73" s="348">
        <v>50</v>
      </c>
      <c r="J73" s="376">
        <v>3399.9</v>
      </c>
      <c r="K73" s="356">
        <f t="shared" si="17"/>
        <v>399.9</v>
      </c>
      <c r="L73" s="356">
        <f t="shared" si="18"/>
        <v>3000</v>
      </c>
      <c r="M73" s="356">
        <f t="shared" si="12"/>
        <v>1199.6999999999998</v>
      </c>
      <c r="N73" s="356">
        <f t="shared" si="13"/>
        <v>18795.3</v>
      </c>
      <c r="O73" s="348">
        <v>3</v>
      </c>
      <c r="P73" s="354">
        <f t="shared" si="19"/>
        <v>47</v>
      </c>
      <c r="Q73" s="339">
        <f t="shared" si="14"/>
        <v>10199.700000000001</v>
      </c>
      <c r="R73" s="339">
        <f t="shared" si="15"/>
        <v>159795.29999999999</v>
      </c>
      <c r="S73" s="337"/>
    </row>
    <row r="74" spans="2:19">
      <c r="B74" s="361" t="s">
        <v>1355</v>
      </c>
      <c r="C74" s="367">
        <v>70</v>
      </c>
      <c r="D74" s="337" t="s">
        <v>1437</v>
      </c>
      <c r="E74" s="337" t="s">
        <v>1287</v>
      </c>
      <c r="F74" s="346">
        <v>450000</v>
      </c>
      <c r="G74" s="346">
        <v>59985</v>
      </c>
      <c r="H74" s="340">
        <f t="shared" si="16"/>
        <v>509985</v>
      </c>
      <c r="I74" s="348">
        <v>50</v>
      </c>
      <c r="J74" s="376">
        <v>10199.700000000001</v>
      </c>
      <c r="K74" s="356">
        <f t="shared" si="17"/>
        <v>1199.7</v>
      </c>
      <c r="L74" s="356">
        <f t="shared" si="18"/>
        <v>9000</v>
      </c>
      <c r="M74" s="356">
        <f t="shared" si="12"/>
        <v>9597.6</v>
      </c>
      <c r="N74" s="356">
        <f t="shared" si="13"/>
        <v>50387.4</v>
      </c>
      <c r="O74" s="348">
        <v>8</v>
      </c>
      <c r="P74" s="354">
        <f t="shared" si="19"/>
        <v>42</v>
      </c>
      <c r="Q74" s="339">
        <f t="shared" si="14"/>
        <v>81597.600000000006</v>
      </c>
      <c r="R74" s="339">
        <f t="shared" si="15"/>
        <v>428387.4</v>
      </c>
      <c r="S74" s="337"/>
    </row>
    <row r="75" spans="2:19">
      <c r="B75" s="365" t="s">
        <v>1102</v>
      </c>
      <c r="C75" s="367">
        <v>71</v>
      </c>
      <c r="D75" s="337" t="s">
        <v>1437</v>
      </c>
      <c r="E75" s="337" t="s">
        <v>485</v>
      </c>
      <c r="F75" s="346">
        <v>500000</v>
      </c>
      <c r="G75" s="346">
        <v>66650</v>
      </c>
      <c r="H75" s="340">
        <f t="shared" si="16"/>
        <v>566650</v>
      </c>
      <c r="I75" s="348">
        <v>50</v>
      </c>
      <c r="J75" s="376">
        <v>11333</v>
      </c>
      <c r="K75" s="356">
        <f t="shared" si="17"/>
        <v>1333</v>
      </c>
      <c r="L75" s="356">
        <f t="shared" si="18"/>
        <v>10000</v>
      </c>
      <c r="M75" s="356">
        <f t="shared" si="12"/>
        <v>6665</v>
      </c>
      <c r="N75" s="356">
        <f t="shared" si="13"/>
        <v>59985</v>
      </c>
      <c r="O75" s="348">
        <v>5</v>
      </c>
      <c r="P75" s="354">
        <f t="shared" si="19"/>
        <v>45</v>
      </c>
      <c r="Q75" s="339">
        <f t="shared" si="14"/>
        <v>56665</v>
      </c>
      <c r="R75" s="339">
        <f t="shared" si="15"/>
        <v>509985</v>
      </c>
      <c r="S75" s="337"/>
    </row>
    <row r="76" spans="2:19">
      <c r="B76" s="364" t="s">
        <v>1351</v>
      </c>
      <c r="C76" s="367">
        <v>72</v>
      </c>
      <c r="D76" s="337" t="s">
        <v>1437</v>
      </c>
      <c r="E76" s="337" t="s">
        <v>1285</v>
      </c>
      <c r="F76" s="346">
        <v>500000</v>
      </c>
      <c r="G76" s="346">
        <v>66650</v>
      </c>
      <c r="H76" s="340">
        <f t="shared" si="16"/>
        <v>566650</v>
      </c>
      <c r="I76" s="348">
        <v>50</v>
      </c>
      <c r="J76" s="376">
        <v>11333</v>
      </c>
      <c r="K76" s="356">
        <f t="shared" si="17"/>
        <v>1333</v>
      </c>
      <c r="L76" s="356">
        <f t="shared" si="18"/>
        <v>10000</v>
      </c>
      <c r="M76" s="356">
        <f t="shared" si="12"/>
        <v>10664</v>
      </c>
      <c r="N76" s="356">
        <f t="shared" si="13"/>
        <v>55986</v>
      </c>
      <c r="O76" s="348">
        <v>8</v>
      </c>
      <c r="P76" s="354">
        <f t="shared" si="19"/>
        <v>42</v>
      </c>
      <c r="Q76" s="339">
        <f t="shared" si="14"/>
        <v>90664</v>
      </c>
      <c r="R76" s="339">
        <f t="shared" si="15"/>
        <v>475986</v>
      </c>
      <c r="S76" s="337"/>
    </row>
    <row r="77" spans="2:19">
      <c r="B77" s="364" t="s">
        <v>960</v>
      </c>
      <c r="C77" s="367">
        <v>73</v>
      </c>
      <c r="D77" s="337" t="s">
        <v>1437</v>
      </c>
      <c r="E77" s="337" t="s">
        <v>488</v>
      </c>
      <c r="F77" s="346">
        <v>500000</v>
      </c>
      <c r="G77" s="346">
        <v>66650</v>
      </c>
      <c r="H77" s="340">
        <f t="shared" si="16"/>
        <v>566650</v>
      </c>
      <c r="I77" s="348">
        <v>50</v>
      </c>
      <c r="J77" s="376">
        <v>11333</v>
      </c>
      <c r="K77" s="356">
        <f t="shared" si="17"/>
        <v>1333</v>
      </c>
      <c r="L77" s="356">
        <f t="shared" si="18"/>
        <v>10000</v>
      </c>
      <c r="M77" s="356">
        <f t="shared" si="12"/>
        <v>37324</v>
      </c>
      <c r="N77" s="356">
        <f t="shared" si="13"/>
        <v>29326</v>
      </c>
      <c r="O77" s="348">
        <v>28</v>
      </c>
      <c r="P77" s="354">
        <f t="shared" si="19"/>
        <v>22</v>
      </c>
      <c r="Q77" s="339">
        <f t="shared" si="14"/>
        <v>317324</v>
      </c>
      <c r="R77" s="339">
        <f t="shared" si="15"/>
        <v>249326</v>
      </c>
      <c r="S77" s="337"/>
    </row>
    <row r="78" spans="2:19">
      <c r="B78" s="362" t="s">
        <v>1024</v>
      </c>
      <c r="C78" s="367">
        <v>74</v>
      </c>
      <c r="D78" s="337" t="s">
        <v>1437</v>
      </c>
      <c r="E78" s="337" t="s">
        <v>810</v>
      </c>
      <c r="F78" s="346">
        <v>450000</v>
      </c>
      <c r="G78" s="346">
        <v>59985</v>
      </c>
      <c r="H78" s="340">
        <f t="shared" si="16"/>
        <v>509985</v>
      </c>
      <c r="I78" s="348">
        <v>50</v>
      </c>
      <c r="J78" s="376">
        <v>10199.700000000001</v>
      </c>
      <c r="K78" s="356">
        <f t="shared" si="17"/>
        <v>1199.7</v>
      </c>
      <c r="L78" s="356">
        <f t="shared" si="18"/>
        <v>9000</v>
      </c>
      <c r="M78" s="356">
        <f t="shared" si="12"/>
        <v>63584.100000000006</v>
      </c>
      <c r="N78" s="356">
        <f t="shared" si="13"/>
        <v>-3599.1000000000004</v>
      </c>
      <c r="O78" s="348">
        <v>53</v>
      </c>
      <c r="P78" s="354">
        <f t="shared" si="19"/>
        <v>-3</v>
      </c>
      <c r="Q78" s="339">
        <f t="shared" si="14"/>
        <v>540584.10000000009</v>
      </c>
      <c r="R78" s="339">
        <f t="shared" si="15"/>
        <v>-30599.100000000093</v>
      </c>
      <c r="S78" s="337"/>
    </row>
    <row r="79" spans="2:19">
      <c r="B79" s="363" t="s">
        <v>1011</v>
      </c>
      <c r="C79" s="367">
        <v>75</v>
      </c>
      <c r="D79" s="337" t="s">
        <v>1437</v>
      </c>
      <c r="E79" s="337" t="s">
        <v>863</v>
      </c>
      <c r="F79" s="346">
        <v>500000</v>
      </c>
      <c r="G79" s="346">
        <v>66650</v>
      </c>
      <c r="H79" s="340">
        <f t="shared" si="16"/>
        <v>566650</v>
      </c>
      <c r="I79" s="348">
        <v>50</v>
      </c>
      <c r="J79" s="376">
        <v>11333</v>
      </c>
      <c r="K79" s="356">
        <f t="shared" si="17"/>
        <v>1333</v>
      </c>
      <c r="L79" s="356">
        <f t="shared" si="18"/>
        <v>10000</v>
      </c>
      <c r="M79" s="356">
        <f t="shared" si="12"/>
        <v>30659</v>
      </c>
      <c r="N79" s="356">
        <f t="shared" si="13"/>
        <v>35991</v>
      </c>
      <c r="O79" s="348">
        <v>23</v>
      </c>
      <c r="P79" s="354">
        <f t="shared" si="19"/>
        <v>27</v>
      </c>
      <c r="Q79" s="339">
        <f t="shared" si="14"/>
        <v>260659</v>
      </c>
      <c r="R79" s="339">
        <f t="shared" si="15"/>
        <v>305991</v>
      </c>
      <c r="S79" s="337"/>
    </row>
    <row r="80" spans="2:19">
      <c r="B80" s="364" t="s">
        <v>1042</v>
      </c>
      <c r="C80" s="367">
        <v>76</v>
      </c>
      <c r="D80" s="337" t="s">
        <v>1437</v>
      </c>
      <c r="E80" s="337" t="s">
        <v>359</v>
      </c>
      <c r="F80" s="346">
        <v>500000</v>
      </c>
      <c r="G80" s="346">
        <v>66650</v>
      </c>
      <c r="H80" s="340">
        <f t="shared" si="16"/>
        <v>566650</v>
      </c>
      <c r="I80" s="348">
        <v>50</v>
      </c>
      <c r="J80" s="376">
        <v>11333</v>
      </c>
      <c r="K80" s="356">
        <f t="shared" si="17"/>
        <v>1333</v>
      </c>
      <c r="L80" s="356">
        <f t="shared" si="18"/>
        <v>10000</v>
      </c>
      <c r="M80" s="356">
        <f t="shared" si="12"/>
        <v>3999</v>
      </c>
      <c r="N80" s="356">
        <f t="shared" si="13"/>
        <v>62651</v>
      </c>
      <c r="O80" s="348">
        <v>3</v>
      </c>
      <c r="P80" s="354">
        <f t="shared" si="19"/>
        <v>47</v>
      </c>
      <c r="Q80" s="339">
        <f t="shared" si="14"/>
        <v>33999</v>
      </c>
      <c r="R80" s="339">
        <f t="shared" si="15"/>
        <v>532651</v>
      </c>
      <c r="S80" s="337"/>
    </row>
    <row r="81" spans="2:19">
      <c r="B81" s="361" t="s">
        <v>1045</v>
      </c>
      <c r="C81" s="367">
        <v>77</v>
      </c>
      <c r="D81" s="337" t="s">
        <v>1437</v>
      </c>
      <c r="E81" s="337" t="s">
        <v>867</v>
      </c>
      <c r="F81" s="346">
        <v>500000</v>
      </c>
      <c r="G81" s="346">
        <v>66650</v>
      </c>
      <c r="H81" s="340">
        <f t="shared" si="16"/>
        <v>566650</v>
      </c>
      <c r="I81" s="348">
        <v>50</v>
      </c>
      <c r="J81" s="376">
        <v>11333</v>
      </c>
      <c r="K81" s="356">
        <f t="shared" si="17"/>
        <v>1333</v>
      </c>
      <c r="L81" s="356">
        <f t="shared" si="18"/>
        <v>10000</v>
      </c>
      <c r="M81" s="356">
        <f t="shared" si="12"/>
        <v>82646</v>
      </c>
      <c r="N81" s="356">
        <f t="shared" si="13"/>
        <v>-15996</v>
      </c>
      <c r="O81" s="348">
        <v>62</v>
      </c>
      <c r="P81" s="354">
        <f t="shared" si="19"/>
        <v>-12</v>
      </c>
      <c r="Q81" s="339">
        <f t="shared" si="14"/>
        <v>702646</v>
      </c>
      <c r="R81" s="339">
        <f t="shared" si="15"/>
        <v>-135996</v>
      </c>
      <c r="S81" s="337"/>
    </row>
    <row r="82" spans="2:19">
      <c r="B82" s="364" t="s">
        <v>1323</v>
      </c>
      <c r="C82" s="367">
        <v>78</v>
      </c>
      <c r="D82" s="337" t="s">
        <v>1437</v>
      </c>
      <c r="E82" s="337" t="s">
        <v>448</v>
      </c>
      <c r="F82" s="346">
        <v>500000</v>
      </c>
      <c r="G82" s="346">
        <v>66650</v>
      </c>
      <c r="H82" s="340">
        <f t="shared" si="16"/>
        <v>566650</v>
      </c>
      <c r="I82" s="348">
        <v>50</v>
      </c>
      <c r="J82" s="376">
        <v>11333</v>
      </c>
      <c r="K82" s="356">
        <f t="shared" si="17"/>
        <v>1333</v>
      </c>
      <c r="L82" s="356">
        <f t="shared" si="18"/>
        <v>10000</v>
      </c>
      <c r="M82" s="356">
        <f t="shared" si="12"/>
        <v>17329</v>
      </c>
      <c r="N82" s="356">
        <f t="shared" si="13"/>
        <v>49321</v>
      </c>
      <c r="O82" s="348">
        <v>13</v>
      </c>
      <c r="P82" s="354">
        <f t="shared" si="19"/>
        <v>37</v>
      </c>
      <c r="Q82" s="339">
        <f t="shared" si="14"/>
        <v>147329</v>
      </c>
      <c r="R82" s="339">
        <f t="shared" si="15"/>
        <v>419321</v>
      </c>
      <c r="S82" s="337"/>
    </row>
    <row r="83" spans="2:19">
      <c r="B83" s="363" t="s">
        <v>1037</v>
      </c>
      <c r="C83" s="367">
        <v>79</v>
      </c>
      <c r="D83" s="337" t="s">
        <v>1437</v>
      </c>
      <c r="E83" s="337" t="s">
        <v>326</v>
      </c>
      <c r="F83" s="346">
        <v>500000</v>
      </c>
      <c r="G83" s="346">
        <v>66650</v>
      </c>
      <c r="H83" s="340">
        <f t="shared" si="16"/>
        <v>566650</v>
      </c>
      <c r="I83" s="348">
        <v>50</v>
      </c>
      <c r="J83" s="376">
        <v>11333</v>
      </c>
      <c r="K83" s="356">
        <f t="shared" si="17"/>
        <v>1333</v>
      </c>
      <c r="L83" s="356">
        <f t="shared" si="18"/>
        <v>10000</v>
      </c>
      <c r="M83" s="356">
        <f t="shared" si="12"/>
        <v>51987</v>
      </c>
      <c r="N83" s="356">
        <f t="shared" si="13"/>
        <v>14663</v>
      </c>
      <c r="O83" s="348">
        <v>39</v>
      </c>
      <c r="P83" s="354">
        <f t="shared" si="19"/>
        <v>11</v>
      </c>
      <c r="Q83" s="339">
        <f t="shared" si="14"/>
        <v>441987</v>
      </c>
      <c r="R83" s="339">
        <f t="shared" si="15"/>
        <v>124663</v>
      </c>
      <c r="S83" s="337"/>
    </row>
    <row r="84" spans="2:19">
      <c r="B84" s="363" t="s">
        <v>1002</v>
      </c>
      <c r="C84" s="367">
        <v>80</v>
      </c>
      <c r="D84" s="337" t="s">
        <v>1437</v>
      </c>
      <c r="E84" s="337" t="s">
        <v>1003</v>
      </c>
      <c r="F84" s="346">
        <v>150000</v>
      </c>
      <c r="G84" s="346">
        <v>19995</v>
      </c>
      <c r="H84" s="340">
        <f t="shared" si="16"/>
        <v>169995</v>
      </c>
      <c r="I84" s="348">
        <v>50</v>
      </c>
      <c r="J84" s="376">
        <v>3399.9</v>
      </c>
      <c r="K84" s="356">
        <f t="shared" si="17"/>
        <v>399.9</v>
      </c>
      <c r="L84" s="356">
        <f t="shared" si="18"/>
        <v>3000</v>
      </c>
      <c r="M84" s="356">
        <f t="shared" si="12"/>
        <v>7998</v>
      </c>
      <c r="N84" s="356">
        <f t="shared" si="13"/>
        <v>11997</v>
      </c>
      <c r="O84" s="348">
        <v>20</v>
      </c>
      <c r="P84" s="354">
        <f t="shared" si="19"/>
        <v>30</v>
      </c>
      <c r="Q84" s="339">
        <f t="shared" si="14"/>
        <v>67998</v>
      </c>
      <c r="R84" s="339">
        <f t="shared" si="15"/>
        <v>101997</v>
      </c>
      <c r="S84" s="337"/>
    </row>
    <row r="85" spans="2:19">
      <c r="B85" s="363" t="s">
        <v>1315</v>
      </c>
      <c r="C85" s="367">
        <v>81</v>
      </c>
      <c r="D85" s="337" t="s">
        <v>1437</v>
      </c>
      <c r="E85" s="337" t="s">
        <v>1316</v>
      </c>
      <c r="F85" s="346">
        <v>450000</v>
      </c>
      <c r="G85" s="346">
        <v>59985</v>
      </c>
      <c r="H85" s="340">
        <f t="shared" si="16"/>
        <v>509985</v>
      </c>
      <c r="I85" s="348">
        <v>24</v>
      </c>
      <c r="J85" s="376">
        <v>19949.7</v>
      </c>
      <c r="K85" s="356">
        <f t="shared" si="17"/>
        <v>1199.7</v>
      </c>
      <c r="L85" s="356">
        <f t="shared" si="18"/>
        <v>9000</v>
      </c>
      <c r="M85" s="356">
        <f t="shared" si="12"/>
        <v>3599.1000000000004</v>
      </c>
      <c r="N85" s="356">
        <f t="shared" si="13"/>
        <v>25193.7</v>
      </c>
      <c r="O85" s="348">
        <v>3</v>
      </c>
      <c r="P85" s="354">
        <f t="shared" si="19"/>
        <v>21</v>
      </c>
      <c r="Q85" s="339">
        <f t="shared" si="14"/>
        <v>59849.100000000006</v>
      </c>
      <c r="R85" s="339">
        <f t="shared" si="15"/>
        <v>450135.9</v>
      </c>
      <c r="S85" s="337"/>
    </row>
    <row r="86" spans="2:19">
      <c r="B86" s="362" t="s">
        <v>1404</v>
      </c>
      <c r="C86" s="367">
        <v>82</v>
      </c>
      <c r="D86" s="337" t="s">
        <v>1437</v>
      </c>
      <c r="E86" s="337" t="s">
        <v>1405</v>
      </c>
      <c r="F86" s="346">
        <v>150000</v>
      </c>
      <c r="G86" s="346">
        <v>19995</v>
      </c>
      <c r="H86" s="340">
        <f t="shared" si="16"/>
        <v>169995</v>
      </c>
      <c r="I86" s="348">
        <v>50</v>
      </c>
      <c r="J86" s="376">
        <v>3399.9</v>
      </c>
      <c r="K86" s="356">
        <f t="shared" si="17"/>
        <v>399.9</v>
      </c>
      <c r="L86" s="356">
        <f t="shared" si="18"/>
        <v>3000</v>
      </c>
      <c r="M86" s="356">
        <f t="shared" si="12"/>
        <v>1199.6999999999998</v>
      </c>
      <c r="N86" s="356">
        <f t="shared" si="13"/>
        <v>18795.3</v>
      </c>
      <c r="O86" s="348">
        <v>3</v>
      </c>
      <c r="P86" s="354">
        <f t="shared" si="19"/>
        <v>47</v>
      </c>
      <c r="Q86" s="339">
        <f t="shared" si="14"/>
        <v>10199.700000000001</v>
      </c>
      <c r="R86" s="339">
        <f t="shared" si="15"/>
        <v>159795.29999999999</v>
      </c>
      <c r="S86" s="337"/>
    </row>
    <row r="87" spans="2:19">
      <c r="B87" s="366" t="s">
        <v>1381</v>
      </c>
      <c r="C87" s="367">
        <v>83</v>
      </c>
      <c r="D87" s="337" t="s">
        <v>1437</v>
      </c>
      <c r="E87" s="337" t="s">
        <v>1129</v>
      </c>
      <c r="F87" s="346">
        <v>330000</v>
      </c>
      <c r="G87" s="346">
        <v>43989</v>
      </c>
      <c r="H87" s="340">
        <f t="shared" si="16"/>
        <v>373989</v>
      </c>
      <c r="I87" s="348">
        <v>50</v>
      </c>
      <c r="J87" s="376">
        <v>7479.78</v>
      </c>
      <c r="K87" s="356">
        <f t="shared" si="17"/>
        <v>879.78</v>
      </c>
      <c r="L87" s="356">
        <f t="shared" si="18"/>
        <v>6600</v>
      </c>
      <c r="M87" s="356">
        <f t="shared" si="12"/>
        <v>13196.699999999999</v>
      </c>
      <c r="N87" s="356">
        <f t="shared" si="13"/>
        <v>30792.3</v>
      </c>
      <c r="O87" s="348">
        <v>15</v>
      </c>
      <c r="P87" s="354">
        <f t="shared" si="19"/>
        <v>35</v>
      </c>
      <c r="Q87" s="339">
        <f t="shared" si="14"/>
        <v>112196.7</v>
      </c>
      <c r="R87" s="339">
        <f t="shared" si="15"/>
        <v>261792.3</v>
      </c>
      <c r="S87" s="337"/>
    </row>
    <row r="88" spans="2:19">
      <c r="B88" s="363" t="s">
        <v>1061</v>
      </c>
      <c r="C88" s="367">
        <v>84</v>
      </c>
      <c r="D88" s="337" t="s">
        <v>1437</v>
      </c>
      <c r="E88" s="337" t="s">
        <v>854</v>
      </c>
      <c r="F88" s="346">
        <v>330000</v>
      </c>
      <c r="G88" s="346">
        <v>43989</v>
      </c>
      <c r="H88" s="340">
        <f t="shared" si="16"/>
        <v>373989</v>
      </c>
      <c r="I88" s="348">
        <v>50</v>
      </c>
      <c r="J88" s="376">
        <v>7479.78</v>
      </c>
      <c r="K88" s="356">
        <f t="shared" si="17"/>
        <v>879.78</v>
      </c>
      <c r="L88" s="356">
        <f t="shared" si="18"/>
        <v>6600</v>
      </c>
      <c r="M88" s="356">
        <f t="shared" si="12"/>
        <v>18475.38</v>
      </c>
      <c r="N88" s="356">
        <f t="shared" si="13"/>
        <v>25513.62</v>
      </c>
      <c r="O88" s="348">
        <v>21</v>
      </c>
      <c r="P88" s="354">
        <f t="shared" si="19"/>
        <v>29</v>
      </c>
      <c r="Q88" s="339">
        <f t="shared" si="14"/>
        <v>157075.38</v>
      </c>
      <c r="R88" s="339">
        <f t="shared" si="15"/>
        <v>216913.62</v>
      </c>
      <c r="S88" s="337"/>
    </row>
    <row r="89" spans="2:19">
      <c r="B89" s="362" t="s">
        <v>969</v>
      </c>
      <c r="C89" s="367">
        <v>85</v>
      </c>
      <c r="D89" s="337" t="s">
        <v>1437</v>
      </c>
      <c r="E89" s="337" t="s">
        <v>851</v>
      </c>
      <c r="F89" s="346">
        <v>150000</v>
      </c>
      <c r="G89" s="346">
        <v>19995</v>
      </c>
      <c r="H89" s="340">
        <f t="shared" si="16"/>
        <v>169995</v>
      </c>
      <c r="I89" s="348">
        <v>50</v>
      </c>
      <c r="J89" s="376">
        <v>3399.9</v>
      </c>
      <c r="K89" s="356">
        <f t="shared" si="17"/>
        <v>399.9</v>
      </c>
      <c r="L89" s="356">
        <f t="shared" si="18"/>
        <v>3000</v>
      </c>
      <c r="M89" s="356">
        <f t="shared" si="12"/>
        <v>1199.6999999999998</v>
      </c>
      <c r="N89" s="356">
        <f t="shared" si="13"/>
        <v>18795.3</v>
      </c>
      <c r="O89" s="348">
        <v>3</v>
      </c>
      <c r="P89" s="354">
        <f t="shared" si="19"/>
        <v>47</v>
      </c>
      <c r="Q89" s="339">
        <f t="shared" si="14"/>
        <v>10199.700000000001</v>
      </c>
      <c r="R89" s="339">
        <f t="shared" si="15"/>
        <v>159795.29999999999</v>
      </c>
      <c r="S89" s="337"/>
    </row>
    <row r="90" spans="2:19">
      <c r="B90" s="363" t="s">
        <v>1341</v>
      </c>
      <c r="C90" s="367">
        <v>86</v>
      </c>
      <c r="D90" s="337" t="s">
        <v>1437</v>
      </c>
      <c r="E90" s="337" t="s">
        <v>1139</v>
      </c>
      <c r="F90" s="346">
        <v>500000</v>
      </c>
      <c r="G90" s="346">
        <v>66650</v>
      </c>
      <c r="H90" s="340">
        <f t="shared" si="16"/>
        <v>566650</v>
      </c>
      <c r="I90" s="348">
        <v>50</v>
      </c>
      <c r="J90" s="376">
        <v>11333</v>
      </c>
      <c r="K90" s="356">
        <f t="shared" si="17"/>
        <v>1333</v>
      </c>
      <c r="L90" s="356">
        <f t="shared" si="18"/>
        <v>10000</v>
      </c>
      <c r="M90" s="356">
        <f t="shared" si="12"/>
        <v>19995</v>
      </c>
      <c r="N90" s="356">
        <f t="shared" si="13"/>
        <v>46655</v>
      </c>
      <c r="O90" s="348">
        <v>15</v>
      </c>
      <c r="P90" s="354">
        <f t="shared" si="19"/>
        <v>35</v>
      </c>
      <c r="Q90" s="339">
        <f t="shared" si="14"/>
        <v>169995</v>
      </c>
      <c r="R90" s="339">
        <f t="shared" si="15"/>
        <v>396655</v>
      </c>
      <c r="S90" s="337"/>
    </row>
    <row r="91" spans="2:19">
      <c r="B91" s="362" t="s">
        <v>1398</v>
      </c>
      <c r="C91" s="367">
        <v>87</v>
      </c>
      <c r="D91" s="337" t="s">
        <v>1437</v>
      </c>
      <c r="E91" s="337" t="s">
        <v>1399</v>
      </c>
      <c r="F91" s="346">
        <v>150000</v>
      </c>
      <c r="G91" s="346">
        <v>19995</v>
      </c>
      <c r="H91" s="340">
        <f t="shared" si="16"/>
        <v>169995</v>
      </c>
      <c r="I91" s="348">
        <v>50</v>
      </c>
      <c r="J91" s="376">
        <v>3399.9</v>
      </c>
      <c r="K91" s="356">
        <f t="shared" si="17"/>
        <v>399.9</v>
      </c>
      <c r="L91" s="356">
        <f t="shared" si="18"/>
        <v>3000</v>
      </c>
      <c r="M91" s="356">
        <f t="shared" si="12"/>
        <v>1199.6999999999998</v>
      </c>
      <c r="N91" s="356">
        <f t="shared" si="13"/>
        <v>18795.3</v>
      </c>
      <c r="O91" s="348">
        <v>3</v>
      </c>
      <c r="P91" s="354">
        <f t="shared" si="19"/>
        <v>47</v>
      </c>
      <c r="Q91" s="339">
        <f t="shared" si="14"/>
        <v>10199.700000000001</v>
      </c>
      <c r="R91" s="339">
        <f t="shared" si="15"/>
        <v>159795.29999999999</v>
      </c>
      <c r="S91" s="337"/>
    </row>
    <row r="92" spans="2:19">
      <c r="B92" s="362" t="s">
        <v>1118</v>
      </c>
      <c r="C92" s="367">
        <v>88</v>
      </c>
      <c r="D92" s="337" t="s">
        <v>1437</v>
      </c>
      <c r="E92" s="337" t="s">
        <v>1119</v>
      </c>
      <c r="F92" s="346">
        <v>500000</v>
      </c>
      <c r="G92" s="346">
        <v>66650</v>
      </c>
      <c r="H92" s="340">
        <f t="shared" si="16"/>
        <v>566650</v>
      </c>
      <c r="I92" s="348">
        <v>50</v>
      </c>
      <c r="J92" s="376">
        <v>11333</v>
      </c>
      <c r="K92" s="356">
        <f t="shared" si="17"/>
        <v>1333</v>
      </c>
      <c r="L92" s="356">
        <f t="shared" si="18"/>
        <v>10000</v>
      </c>
      <c r="M92" s="356">
        <f t="shared" si="12"/>
        <v>21328</v>
      </c>
      <c r="N92" s="356">
        <f t="shared" si="13"/>
        <v>45322</v>
      </c>
      <c r="O92" s="348">
        <v>16</v>
      </c>
      <c r="P92" s="354">
        <f t="shared" si="19"/>
        <v>34</v>
      </c>
      <c r="Q92" s="339">
        <f t="shared" si="14"/>
        <v>181328</v>
      </c>
      <c r="R92" s="339">
        <f t="shared" si="15"/>
        <v>385322</v>
      </c>
      <c r="S92" s="337"/>
    </row>
    <row r="93" spans="2:19">
      <c r="B93" s="363" t="s">
        <v>1123</v>
      </c>
      <c r="C93" s="367">
        <v>89</v>
      </c>
      <c r="D93" s="337" t="s">
        <v>1437</v>
      </c>
      <c r="E93" s="337" t="s">
        <v>439</v>
      </c>
      <c r="F93" s="346">
        <v>330000</v>
      </c>
      <c r="G93" s="346">
        <v>43989</v>
      </c>
      <c r="H93" s="340">
        <f t="shared" si="16"/>
        <v>373989</v>
      </c>
      <c r="I93" s="348">
        <v>50</v>
      </c>
      <c r="J93" s="376">
        <v>7479.78</v>
      </c>
      <c r="K93" s="356">
        <f t="shared" si="17"/>
        <v>879.78</v>
      </c>
      <c r="L93" s="356">
        <f t="shared" si="18"/>
        <v>6600</v>
      </c>
      <c r="M93" s="356">
        <f t="shared" si="12"/>
        <v>14076.48</v>
      </c>
      <c r="N93" s="356">
        <f t="shared" si="13"/>
        <v>29912.52</v>
      </c>
      <c r="O93" s="348">
        <v>16</v>
      </c>
      <c r="P93" s="354">
        <f t="shared" si="19"/>
        <v>34</v>
      </c>
      <c r="Q93" s="339">
        <f t="shared" si="14"/>
        <v>119676.48</v>
      </c>
      <c r="R93" s="339">
        <f t="shared" si="15"/>
        <v>254312.52000000002</v>
      </c>
      <c r="S93" s="337"/>
    </row>
    <row r="94" spans="2:19">
      <c r="B94" s="361" t="s">
        <v>1365</v>
      </c>
      <c r="C94" s="367">
        <v>90</v>
      </c>
      <c r="D94" s="337" t="s">
        <v>1437</v>
      </c>
      <c r="E94" s="337" t="s">
        <v>449</v>
      </c>
      <c r="F94" s="346">
        <v>450000</v>
      </c>
      <c r="G94" s="346">
        <v>59985</v>
      </c>
      <c r="H94" s="340">
        <f t="shared" si="16"/>
        <v>509985</v>
      </c>
      <c r="I94" s="348">
        <v>50</v>
      </c>
      <c r="J94" s="376">
        <v>10199.700000000001</v>
      </c>
      <c r="K94" s="356">
        <f t="shared" si="17"/>
        <v>1199.7</v>
      </c>
      <c r="L94" s="356">
        <f t="shared" si="18"/>
        <v>9000</v>
      </c>
      <c r="M94" s="356">
        <f t="shared" si="12"/>
        <v>9597.6</v>
      </c>
      <c r="N94" s="356">
        <f t="shared" si="13"/>
        <v>50387.4</v>
      </c>
      <c r="O94" s="348">
        <v>8</v>
      </c>
      <c r="P94" s="354">
        <f t="shared" si="19"/>
        <v>42</v>
      </c>
      <c r="Q94" s="339">
        <f t="shared" si="14"/>
        <v>81597.600000000006</v>
      </c>
      <c r="R94" s="339">
        <f t="shared" si="15"/>
        <v>428387.4</v>
      </c>
      <c r="S94" s="337"/>
    </row>
    <row r="95" spans="2:19">
      <c r="B95" s="363" t="s">
        <v>987</v>
      </c>
      <c r="C95" s="367">
        <v>91</v>
      </c>
      <c r="D95" s="337" t="s">
        <v>1437</v>
      </c>
      <c r="E95" s="337" t="s">
        <v>866</v>
      </c>
      <c r="F95" s="346">
        <v>500000</v>
      </c>
      <c r="G95" s="346">
        <v>66650</v>
      </c>
      <c r="H95" s="340">
        <f t="shared" si="16"/>
        <v>566650</v>
      </c>
      <c r="I95" s="348">
        <v>50</v>
      </c>
      <c r="J95" s="376">
        <v>11333</v>
      </c>
      <c r="K95" s="356">
        <f t="shared" si="17"/>
        <v>1333</v>
      </c>
      <c r="L95" s="356">
        <f t="shared" si="18"/>
        <v>10000</v>
      </c>
      <c r="M95" s="356">
        <f t="shared" si="12"/>
        <v>10664</v>
      </c>
      <c r="N95" s="356">
        <f t="shared" si="13"/>
        <v>55986</v>
      </c>
      <c r="O95" s="348">
        <v>8</v>
      </c>
      <c r="P95" s="354">
        <f t="shared" si="19"/>
        <v>42</v>
      </c>
      <c r="Q95" s="339">
        <f t="shared" si="14"/>
        <v>90664</v>
      </c>
      <c r="R95" s="339">
        <f t="shared" si="15"/>
        <v>475986</v>
      </c>
      <c r="S95" s="337"/>
    </row>
    <row r="96" spans="2:19">
      <c r="B96" s="364" t="s">
        <v>1321</v>
      </c>
      <c r="C96" s="367">
        <v>92</v>
      </c>
      <c r="D96" s="337" t="s">
        <v>1437</v>
      </c>
      <c r="E96" s="337" t="s">
        <v>403</v>
      </c>
      <c r="F96" s="346">
        <v>500000</v>
      </c>
      <c r="G96" s="346">
        <v>66650</v>
      </c>
      <c r="H96" s="340">
        <f t="shared" si="16"/>
        <v>566650</v>
      </c>
      <c r="I96" s="348">
        <v>50</v>
      </c>
      <c r="J96" s="376">
        <v>11333</v>
      </c>
      <c r="K96" s="356">
        <f t="shared" si="17"/>
        <v>1333</v>
      </c>
      <c r="L96" s="356">
        <f t="shared" si="18"/>
        <v>10000</v>
      </c>
      <c r="M96" s="356">
        <f t="shared" si="12"/>
        <v>7998</v>
      </c>
      <c r="N96" s="356">
        <f t="shared" si="13"/>
        <v>58652</v>
      </c>
      <c r="O96" s="348">
        <v>6</v>
      </c>
      <c r="P96" s="354">
        <f t="shared" si="19"/>
        <v>44</v>
      </c>
      <c r="Q96" s="339">
        <f t="shared" si="14"/>
        <v>67998</v>
      </c>
      <c r="R96" s="339">
        <f t="shared" si="15"/>
        <v>498652</v>
      </c>
      <c r="S96" s="337"/>
    </row>
    <row r="97" spans="2:19">
      <c r="B97" s="366" t="s">
        <v>1093</v>
      </c>
      <c r="C97" s="367">
        <v>93</v>
      </c>
      <c r="D97" s="337" t="s">
        <v>1437</v>
      </c>
      <c r="E97" s="337" t="s">
        <v>364</v>
      </c>
      <c r="F97" s="346">
        <v>450000</v>
      </c>
      <c r="G97" s="346">
        <v>59985</v>
      </c>
      <c r="H97" s="340">
        <f t="shared" si="16"/>
        <v>509985</v>
      </c>
      <c r="I97" s="348">
        <v>50</v>
      </c>
      <c r="J97" s="376">
        <v>10199.700000000001</v>
      </c>
      <c r="K97" s="356">
        <f t="shared" si="17"/>
        <v>1199.7</v>
      </c>
      <c r="L97" s="356">
        <f t="shared" si="18"/>
        <v>9000</v>
      </c>
      <c r="M97" s="356">
        <f t="shared" si="12"/>
        <v>46788.3</v>
      </c>
      <c r="N97" s="356">
        <f t="shared" si="13"/>
        <v>13196.7</v>
      </c>
      <c r="O97" s="348">
        <v>39</v>
      </c>
      <c r="P97" s="354">
        <f t="shared" si="19"/>
        <v>11</v>
      </c>
      <c r="Q97" s="339">
        <f t="shared" si="14"/>
        <v>397788.30000000005</v>
      </c>
      <c r="R97" s="339">
        <f t="shared" si="15"/>
        <v>112196.69999999995</v>
      </c>
      <c r="S97" s="337"/>
    </row>
    <row r="98" spans="2:19">
      <c r="B98" s="361" t="s">
        <v>1105</v>
      </c>
      <c r="C98" s="367">
        <v>94</v>
      </c>
      <c r="D98" s="337" t="s">
        <v>1437</v>
      </c>
      <c r="E98" s="337" t="s">
        <v>861</v>
      </c>
      <c r="F98" s="346">
        <v>500000</v>
      </c>
      <c r="G98" s="346">
        <v>66650</v>
      </c>
      <c r="H98" s="340">
        <f t="shared" si="16"/>
        <v>566650</v>
      </c>
      <c r="I98" s="348">
        <v>50</v>
      </c>
      <c r="J98" s="376">
        <v>11333</v>
      </c>
      <c r="K98" s="356">
        <f t="shared" si="17"/>
        <v>1333</v>
      </c>
      <c r="L98" s="356">
        <f t="shared" si="18"/>
        <v>10000</v>
      </c>
      <c r="M98" s="356">
        <f t="shared" si="12"/>
        <v>27993</v>
      </c>
      <c r="N98" s="356">
        <f t="shared" si="13"/>
        <v>38657</v>
      </c>
      <c r="O98" s="348">
        <v>21</v>
      </c>
      <c r="P98" s="354">
        <f t="shared" si="19"/>
        <v>29</v>
      </c>
      <c r="Q98" s="339">
        <f t="shared" si="14"/>
        <v>237993</v>
      </c>
      <c r="R98" s="339">
        <f t="shared" si="15"/>
        <v>328657</v>
      </c>
      <c r="S98" s="337"/>
    </row>
    <row r="99" spans="2:19">
      <c r="B99" s="364" t="s">
        <v>1361</v>
      </c>
      <c r="C99" s="367">
        <v>95</v>
      </c>
      <c r="D99" s="337" t="s">
        <v>1437</v>
      </c>
      <c r="E99" s="337" t="s">
        <v>1362</v>
      </c>
      <c r="F99" s="346">
        <v>450000</v>
      </c>
      <c r="G99" s="346">
        <v>59985</v>
      </c>
      <c r="H99" s="340">
        <f t="shared" si="16"/>
        <v>509985</v>
      </c>
      <c r="I99" s="348">
        <v>50</v>
      </c>
      <c r="J99" s="376">
        <v>10199.700000000001</v>
      </c>
      <c r="K99" s="356">
        <f t="shared" si="17"/>
        <v>1199.7</v>
      </c>
      <c r="L99" s="356">
        <f t="shared" si="18"/>
        <v>9000</v>
      </c>
      <c r="M99" s="356">
        <f t="shared" si="12"/>
        <v>7198.2000000000007</v>
      </c>
      <c r="N99" s="356">
        <f t="shared" si="13"/>
        <v>52786.8</v>
      </c>
      <c r="O99" s="348">
        <v>6</v>
      </c>
      <c r="P99" s="354">
        <f t="shared" si="19"/>
        <v>44</v>
      </c>
      <c r="Q99" s="339">
        <f t="shared" si="14"/>
        <v>61198.200000000004</v>
      </c>
      <c r="R99" s="339">
        <f t="shared" si="15"/>
        <v>448786.8</v>
      </c>
      <c r="S99" s="337"/>
    </row>
    <row r="100" spans="2:19">
      <c r="B100" s="364" t="s">
        <v>999</v>
      </c>
      <c r="C100" s="367">
        <v>96</v>
      </c>
      <c r="D100" s="337" t="s">
        <v>1437</v>
      </c>
      <c r="E100" s="337" t="s">
        <v>441</v>
      </c>
      <c r="F100" s="346">
        <v>500000</v>
      </c>
      <c r="G100" s="346">
        <v>66650</v>
      </c>
      <c r="H100" s="340">
        <f t="shared" si="16"/>
        <v>566650</v>
      </c>
      <c r="I100" s="348">
        <v>50</v>
      </c>
      <c r="J100" s="376">
        <v>11333</v>
      </c>
      <c r="K100" s="356">
        <f t="shared" si="17"/>
        <v>1333</v>
      </c>
      <c r="L100" s="356">
        <f t="shared" si="18"/>
        <v>10000</v>
      </c>
      <c r="M100" s="356">
        <f t="shared" si="12"/>
        <v>37324</v>
      </c>
      <c r="N100" s="356">
        <f t="shared" si="13"/>
        <v>29326</v>
      </c>
      <c r="O100" s="348">
        <v>28</v>
      </c>
      <c r="P100" s="354">
        <f t="shared" si="19"/>
        <v>22</v>
      </c>
      <c r="Q100" s="339">
        <f t="shared" si="14"/>
        <v>317324</v>
      </c>
      <c r="R100" s="339">
        <f t="shared" si="15"/>
        <v>249326</v>
      </c>
      <c r="S100" s="337"/>
    </row>
    <row r="101" spans="2:19">
      <c r="B101" s="362" t="s">
        <v>1053</v>
      </c>
      <c r="C101" s="367">
        <v>97</v>
      </c>
      <c r="D101" s="337" t="s">
        <v>1437</v>
      </c>
      <c r="E101" s="337" t="s">
        <v>845</v>
      </c>
      <c r="F101" s="346">
        <v>150000</v>
      </c>
      <c r="G101" s="346">
        <v>19995</v>
      </c>
      <c r="H101" s="340">
        <f t="shared" si="16"/>
        <v>169995</v>
      </c>
      <c r="I101" s="348">
        <v>50</v>
      </c>
      <c r="J101" s="376">
        <v>3399.9</v>
      </c>
      <c r="K101" s="356">
        <f t="shared" si="17"/>
        <v>399.9</v>
      </c>
      <c r="L101" s="356">
        <f t="shared" si="18"/>
        <v>3000</v>
      </c>
      <c r="M101" s="356">
        <f t="shared" ref="M101:M132" si="20">K101*O101</f>
        <v>15996</v>
      </c>
      <c r="N101" s="356">
        <f t="shared" ref="N101:N132" si="21">K101*P101</f>
        <v>3999</v>
      </c>
      <c r="O101" s="348">
        <v>40</v>
      </c>
      <c r="P101" s="354">
        <f t="shared" si="19"/>
        <v>10</v>
      </c>
      <c r="Q101" s="339">
        <f t="shared" ref="Q101:Q132" si="22">J101*O101</f>
        <v>135996</v>
      </c>
      <c r="R101" s="339">
        <f t="shared" ref="R101:R132" si="23">H101-Q101</f>
        <v>33999</v>
      </c>
      <c r="S101" s="337"/>
    </row>
    <row r="102" spans="2:19">
      <c r="B102" s="364" t="s">
        <v>1332</v>
      </c>
      <c r="C102" s="367">
        <v>98</v>
      </c>
      <c r="D102" s="337" t="s">
        <v>1437</v>
      </c>
      <c r="E102" s="337" t="s">
        <v>1284</v>
      </c>
      <c r="F102" s="346">
        <v>500000</v>
      </c>
      <c r="G102" s="346">
        <v>66650</v>
      </c>
      <c r="H102" s="340">
        <f t="shared" si="16"/>
        <v>566650</v>
      </c>
      <c r="I102" s="348">
        <v>50</v>
      </c>
      <c r="J102" s="376">
        <v>11333</v>
      </c>
      <c r="K102" s="356">
        <f t="shared" si="17"/>
        <v>1333</v>
      </c>
      <c r="L102" s="356">
        <f t="shared" si="18"/>
        <v>10000</v>
      </c>
      <c r="M102" s="356">
        <f t="shared" si="20"/>
        <v>30659</v>
      </c>
      <c r="N102" s="356">
        <f t="shared" si="21"/>
        <v>35991</v>
      </c>
      <c r="O102" s="348">
        <v>23</v>
      </c>
      <c r="P102" s="354">
        <f t="shared" si="19"/>
        <v>27</v>
      </c>
      <c r="Q102" s="339">
        <f t="shared" si="22"/>
        <v>260659</v>
      </c>
      <c r="R102" s="339">
        <f t="shared" si="23"/>
        <v>305991</v>
      </c>
      <c r="S102" s="337"/>
    </row>
    <row r="103" spans="2:19">
      <c r="B103" s="363" t="s">
        <v>1062</v>
      </c>
      <c r="C103" s="367">
        <v>99</v>
      </c>
      <c r="D103" s="337" t="s">
        <v>1437</v>
      </c>
      <c r="E103" s="337" t="s">
        <v>335</v>
      </c>
      <c r="F103" s="346">
        <v>500000</v>
      </c>
      <c r="G103" s="346">
        <v>66650</v>
      </c>
      <c r="H103" s="340">
        <f t="shared" si="16"/>
        <v>566650</v>
      </c>
      <c r="I103" s="348">
        <v>50</v>
      </c>
      <c r="J103" s="376">
        <v>11333</v>
      </c>
      <c r="K103" s="356">
        <f t="shared" si="17"/>
        <v>1333</v>
      </c>
      <c r="L103" s="356">
        <f t="shared" si="18"/>
        <v>10000</v>
      </c>
      <c r="M103" s="356">
        <f t="shared" si="20"/>
        <v>70649</v>
      </c>
      <c r="N103" s="356">
        <f t="shared" si="21"/>
        <v>-3999</v>
      </c>
      <c r="O103" s="348">
        <v>53</v>
      </c>
      <c r="P103" s="354">
        <f t="shared" si="19"/>
        <v>-3</v>
      </c>
      <c r="Q103" s="339">
        <f t="shared" si="22"/>
        <v>600649</v>
      </c>
      <c r="R103" s="339">
        <f t="shared" si="23"/>
        <v>-33999</v>
      </c>
      <c r="S103" s="337"/>
    </row>
    <row r="104" spans="2:19">
      <c r="B104" s="363" t="s">
        <v>1329</v>
      </c>
      <c r="C104" s="367">
        <v>100</v>
      </c>
      <c r="D104" s="337" t="s">
        <v>1437</v>
      </c>
      <c r="E104" s="337" t="s">
        <v>463</v>
      </c>
      <c r="F104" s="346">
        <v>500000</v>
      </c>
      <c r="G104" s="346">
        <v>66650</v>
      </c>
      <c r="H104" s="340">
        <f t="shared" si="16"/>
        <v>566650</v>
      </c>
      <c r="I104" s="348">
        <v>50</v>
      </c>
      <c r="J104" s="376">
        <v>11333</v>
      </c>
      <c r="K104" s="356">
        <f t="shared" si="17"/>
        <v>1333</v>
      </c>
      <c r="L104" s="356">
        <f t="shared" si="18"/>
        <v>10000</v>
      </c>
      <c r="M104" s="356">
        <f t="shared" si="20"/>
        <v>17329</v>
      </c>
      <c r="N104" s="356">
        <f t="shared" si="21"/>
        <v>49321</v>
      </c>
      <c r="O104" s="348">
        <v>13</v>
      </c>
      <c r="P104" s="354">
        <f t="shared" si="19"/>
        <v>37</v>
      </c>
      <c r="Q104" s="339">
        <f t="shared" si="22"/>
        <v>147329</v>
      </c>
      <c r="R104" s="339">
        <f t="shared" si="23"/>
        <v>419321</v>
      </c>
      <c r="S104" s="337"/>
    </row>
    <row r="105" spans="2:19">
      <c r="B105" s="365" t="s">
        <v>1358</v>
      </c>
      <c r="C105" s="367">
        <v>101</v>
      </c>
      <c r="D105" s="337" t="s">
        <v>1437</v>
      </c>
      <c r="E105" s="337" t="s">
        <v>1359</v>
      </c>
      <c r="F105" s="346">
        <v>450000</v>
      </c>
      <c r="G105" s="346">
        <v>59985</v>
      </c>
      <c r="H105" s="340">
        <f t="shared" si="16"/>
        <v>509985</v>
      </c>
      <c r="I105" s="348">
        <v>50</v>
      </c>
      <c r="J105" s="376">
        <v>10199.700000000001</v>
      </c>
      <c r="K105" s="356">
        <f t="shared" si="17"/>
        <v>1199.7</v>
      </c>
      <c r="L105" s="356">
        <f t="shared" si="18"/>
        <v>9000</v>
      </c>
      <c r="M105" s="356">
        <f t="shared" si="20"/>
        <v>3599.1000000000004</v>
      </c>
      <c r="N105" s="356">
        <f t="shared" si="21"/>
        <v>56385.9</v>
      </c>
      <c r="O105" s="348">
        <v>3</v>
      </c>
      <c r="P105" s="354">
        <f t="shared" si="19"/>
        <v>47</v>
      </c>
      <c r="Q105" s="339">
        <f t="shared" si="22"/>
        <v>30599.100000000002</v>
      </c>
      <c r="R105" s="339">
        <f t="shared" si="23"/>
        <v>479385.9</v>
      </c>
      <c r="S105" s="337"/>
    </row>
    <row r="106" spans="2:19">
      <c r="B106" s="361" t="s">
        <v>1334</v>
      </c>
      <c r="C106" s="367">
        <v>102</v>
      </c>
      <c r="D106" s="337" t="s">
        <v>1437</v>
      </c>
      <c r="E106" s="337" t="s">
        <v>1294</v>
      </c>
      <c r="F106" s="346">
        <v>500000</v>
      </c>
      <c r="G106" s="346">
        <v>66650</v>
      </c>
      <c r="H106" s="340">
        <f t="shared" si="16"/>
        <v>566650</v>
      </c>
      <c r="I106" s="348">
        <v>50</v>
      </c>
      <c r="J106" s="376">
        <v>11333</v>
      </c>
      <c r="K106" s="356">
        <f t="shared" si="17"/>
        <v>1333</v>
      </c>
      <c r="L106" s="356">
        <f t="shared" si="18"/>
        <v>10000</v>
      </c>
      <c r="M106" s="356">
        <f t="shared" si="20"/>
        <v>17329</v>
      </c>
      <c r="N106" s="356">
        <f t="shared" si="21"/>
        <v>49321</v>
      </c>
      <c r="O106" s="348">
        <v>13</v>
      </c>
      <c r="P106" s="354">
        <f t="shared" si="19"/>
        <v>37</v>
      </c>
      <c r="Q106" s="339">
        <f t="shared" si="22"/>
        <v>147329</v>
      </c>
      <c r="R106" s="339">
        <f t="shared" si="23"/>
        <v>419321</v>
      </c>
      <c r="S106" s="337"/>
    </row>
    <row r="107" spans="2:19">
      <c r="B107" s="361" t="s">
        <v>1319</v>
      </c>
      <c r="C107" s="367">
        <v>103</v>
      </c>
      <c r="D107" s="337" t="s">
        <v>1437</v>
      </c>
      <c r="E107" s="337" t="s">
        <v>305</v>
      </c>
      <c r="F107" s="346">
        <v>500000</v>
      </c>
      <c r="G107" s="346">
        <v>66650</v>
      </c>
      <c r="H107" s="340">
        <f t="shared" si="16"/>
        <v>566650</v>
      </c>
      <c r="I107" s="348">
        <v>40</v>
      </c>
      <c r="J107" s="376">
        <v>13833</v>
      </c>
      <c r="K107" s="356">
        <f t="shared" si="17"/>
        <v>1333</v>
      </c>
      <c r="L107" s="356">
        <f t="shared" si="18"/>
        <v>10000</v>
      </c>
      <c r="M107" s="356">
        <f t="shared" si="20"/>
        <v>3999</v>
      </c>
      <c r="N107" s="356">
        <f t="shared" si="21"/>
        <v>49321</v>
      </c>
      <c r="O107" s="348">
        <v>3</v>
      </c>
      <c r="P107" s="354">
        <f t="shared" si="19"/>
        <v>37</v>
      </c>
      <c r="Q107" s="339">
        <f t="shared" si="22"/>
        <v>41499</v>
      </c>
      <c r="R107" s="339">
        <f t="shared" si="23"/>
        <v>525151</v>
      </c>
      <c r="S107" s="337"/>
    </row>
    <row r="108" spans="2:19">
      <c r="B108" s="361" t="s">
        <v>1388</v>
      </c>
      <c r="C108" s="367">
        <v>104</v>
      </c>
      <c r="D108" s="337" t="s">
        <v>1437</v>
      </c>
      <c r="E108" s="337" t="s">
        <v>1389</v>
      </c>
      <c r="F108" s="346">
        <v>330000</v>
      </c>
      <c r="G108" s="346">
        <v>43989</v>
      </c>
      <c r="H108" s="340">
        <f t="shared" si="16"/>
        <v>373989</v>
      </c>
      <c r="I108" s="348">
        <v>50</v>
      </c>
      <c r="J108" s="376">
        <v>7479.78</v>
      </c>
      <c r="K108" s="356">
        <f t="shared" si="17"/>
        <v>879.78</v>
      </c>
      <c r="L108" s="356">
        <f t="shared" si="18"/>
        <v>6600</v>
      </c>
      <c r="M108" s="356">
        <f t="shared" si="20"/>
        <v>4398.8999999999996</v>
      </c>
      <c r="N108" s="356">
        <f t="shared" si="21"/>
        <v>39590.1</v>
      </c>
      <c r="O108" s="348">
        <v>5</v>
      </c>
      <c r="P108" s="354">
        <f t="shared" si="19"/>
        <v>45</v>
      </c>
      <c r="Q108" s="339">
        <f t="shared" si="22"/>
        <v>37398.9</v>
      </c>
      <c r="R108" s="339">
        <f t="shared" si="23"/>
        <v>336590.1</v>
      </c>
      <c r="S108" s="337"/>
    </row>
    <row r="109" spans="2:19">
      <c r="B109" s="362" t="s">
        <v>1317</v>
      </c>
      <c r="C109" s="367">
        <v>105</v>
      </c>
      <c r="D109" s="337" t="s">
        <v>1437</v>
      </c>
      <c r="E109" s="337" t="s">
        <v>1318</v>
      </c>
      <c r="F109" s="346">
        <v>450000</v>
      </c>
      <c r="G109" s="346">
        <v>59985</v>
      </c>
      <c r="H109" s="340">
        <f t="shared" si="16"/>
        <v>509985</v>
      </c>
      <c r="I109" s="348">
        <v>39</v>
      </c>
      <c r="J109" s="376">
        <v>14153.05</v>
      </c>
      <c r="K109" s="356">
        <f t="shared" si="17"/>
        <v>1199.7</v>
      </c>
      <c r="L109" s="356">
        <f t="shared" si="18"/>
        <v>9000</v>
      </c>
      <c r="M109" s="356">
        <f t="shared" si="20"/>
        <v>26393.4</v>
      </c>
      <c r="N109" s="356">
        <f t="shared" si="21"/>
        <v>20394.900000000001</v>
      </c>
      <c r="O109" s="348">
        <v>22</v>
      </c>
      <c r="P109" s="354">
        <f t="shared" si="19"/>
        <v>17</v>
      </c>
      <c r="Q109" s="339">
        <f t="shared" si="22"/>
        <v>311367.09999999998</v>
      </c>
      <c r="R109" s="339">
        <f t="shared" si="23"/>
        <v>198617.90000000002</v>
      </c>
      <c r="S109" s="337"/>
    </row>
    <row r="110" spans="2:19">
      <c r="B110" s="363" t="s">
        <v>1360</v>
      </c>
      <c r="C110" s="367">
        <v>106</v>
      </c>
      <c r="D110" s="337" t="s">
        <v>1437</v>
      </c>
      <c r="E110" s="337" t="s">
        <v>293</v>
      </c>
      <c r="F110" s="346">
        <v>450000</v>
      </c>
      <c r="G110" s="346">
        <v>59985</v>
      </c>
      <c r="H110" s="340">
        <f t="shared" si="16"/>
        <v>509985</v>
      </c>
      <c r="I110" s="348">
        <v>50</v>
      </c>
      <c r="J110" s="376">
        <v>10199.700000000001</v>
      </c>
      <c r="K110" s="356">
        <f t="shared" si="17"/>
        <v>1199.7</v>
      </c>
      <c r="L110" s="356">
        <f t="shared" si="18"/>
        <v>9000</v>
      </c>
      <c r="M110" s="356">
        <f t="shared" si="20"/>
        <v>17995.5</v>
      </c>
      <c r="N110" s="356">
        <f t="shared" si="21"/>
        <v>41989.5</v>
      </c>
      <c r="O110" s="348">
        <v>15</v>
      </c>
      <c r="P110" s="354">
        <f t="shared" si="19"/>
        <v>35</v>
      </c>
      <c r="Q110" s="339">
        <f t="shared" si="22"/>
        <v>152995.5</v>
      </c>
      <c r="R110" s="339">
        <f t="shared" si="23"/>
        <v>356989.5</v>
      </c>
      <c r="S110" s="337"/>
    </row>
    <row r="111" spans="2:19">
      <c r="B111" s="362" t="s">
        <v>1094</v>
      </c>
      <c r="C111" s="367">
        <v>107</v>
      </c>
      <c r="D111" s="337" t="s">
        <v>1437</v>
      </c>
      <c r="E111" s="337" t="s">
        <v>1095</v>
      </c>
      <c r="F111" s="346">
        <v>500000</v>
      </c>
      <c r="G111" s="346">
        <v>66650</v>
      </c>
      <c r="H111" s="340">
        <f t="shared" si="16"/>
        <v>566650</v>
      </c>
      <c r="I111" s="348">
        <v>50</v>
      </c>
      <c r="J111" s="376">
        <v>11333</v>
      </c>
      <c r="K111" s="356">
        <f t="shared" si="17"/>
        <v>1333</v>
      </c>
      <c r="L111" s="356">
        <f t="shared" si="18"/>
        <v>10000</v>
      </c>
      <c r="M111" s="356">
        <f t="shared" si="20"/>
        <v>26660</v>
      </c>
      <c r="N111" s="356">
        <f t="shared" si="21"/>
        <v>39990</v>
      </c>
      <c r="O111" s="348">
        <v>20</v>
      </c>
      <c r="P111" s="354">
        <f t="shared" si="19"/>
        <v>30</v>
      </c>
      <c r="Q111" s="339">
        <f t="shared" si="22"/>
        <v>226660</v>
      </c>
      <c r="R111" s="339">
        <f t="shared" si="23"/>
        <v>339990</v>
      </c>
      <c r="S111" s="337"/>
    </row>
    <row r="112" spans="2:19">
      <c r="B112" s="365" t="s">
        <v>1330</v>
      </c>
      <c r="C112" s="367">
        <v>108</v>
      </c>
      <c r="D112" s="337" t="s">
        <v>1437</v>
      </c>
      <c r="E112" s="337" t="s">
        <v>1331</v>
      </c>
      <c r="F112" s="346">
        <v>500000</v>
      </c>
      <c r="G112" s="346">
        <v>66650</v>
      </c>
      <c r="H112" s="340">
        <f t="shared" si="16"/>
        <v>566650</v>
      </c>
      <c r="I112" s="348">
        <v>50</v>
      </c>
      <c r="J112" s="376">
        <v>11333</v>
      </c>
      <c r="K112" s="356">
        <f t="shared" si="17"/>
        <v>1333</v>
      </c>
      <c r="L112" s="356">
        <f t="shared" si="18"/>
        <v>10000</v>
      </c>
      <c r="M112" s="356">
        <f t="shared" si="20"/>
        <v>19995</v>
      </c>
      <c r="N112" s="356">
        <f t="shared" si="21"/>
        <v>46655</v>
      </c>
      <c r="O112" s="348">
        <v>15</v>
      </c>
      <c r="P112" s="354">
        <f t="shared" si="19"/>
        <v>35</v>
      </c>
      <c r="Q112" s="339">
        <f t="shared" si="22"/>
        <v>169995</v>
      </c>
      <c r="R112" s="339">
        <f t="shared" si="23"/>
        <v>396655</v>
      </c>
      <c r="S112" s="337"/>
    </row>
    <row r="113" spans="2:19">
      <c r="B113" s="364" t="s">
        <v>1368</v>
      </c>
      <c r="C113" s="367">
        <v>109</v>
      </c>
      <c r="D113" s="337" t="s">
        <v>1437</v>
      </c>
      <c r="E113" s="337" t="s">
        <v>443</v>
      </c>
      <c r="F113" s="346">
        <v>330000</v>
      </c>
      <c r="G113" s="346">
        <v>43989</v>
      </c>
      <c r="H113" s="340">
        <f t="shared" si="16"/>
        <v>373989</v>
      </c>
      <c r="I113" s="348">
        <v>50</v>
      </c>
      <c r="J113" s="376">
        <v>7479.78</v>
      </c>
      <c r="K113" s="356">
        <f t="shared" si="17"/>
        <v>879.78</v>
      </c>
      <c r="L113" s="356">
        <f t="shared" si="18"/>
        <v>6600</v>
      </c>
      <c r="M113" s="356">
        <f t="shared" si="20"/>
        <v>7038.24</v>
      </c>
      <c r="N113" s="356">
        <f t="shared" si="21"/>
        <v>36950.76</v>
      </c>
      <c r="O113" s="348">
        <v>8</v>
      </c>
      <c r="P113" s="354">
        <f t="shared" si="19"/>
        <v>42</v>
      </c>
      <c r="Q113" s="339">
        <f t="shared" si="22"/>
        <v>59838.239999999998</v>
      </c>
      <c r="R113" s="339">
        <f t="shared" si="23"/>
        <v>314150.76</v>
      </c>
      <c r="S113" s="337"/>
    </row>
    <row r="114" spans="2:19">
      <c r="B114" s="364" t="s">
        <v>1006</v>
      </c>
      <c r="C114" s="367">
        <v>110</v>
      </c>
      <c r="D114" s="337" t="s">
        <v>1437</v>
      </c>
      <c r="E114" s="337" t="s">
        <v>865</v>
      </c>
      <c r="F114" s="346">
        <v>500000</v>
      </c>
      <c r="G114" s="346">
        <v>66650</v>
      </c>
      <c r="H114" s="340">
        <f t="shared" si="16"/>
        <v>566650</v>
      </c>
      <c r="I114" s="348">
        <v>50</v>
      </c>
      <c r="J114" s="376">
        <v>11333</v>
      </c>
      <c r="K114" s="356">
        <f t="shared" si="17"/>
        <v>1333</v>
      </c>
      <c r="L114" s="356">
        <f t="shared" si="18"/>
        <v>10000</v>
      </c>
      <c r="M114" s="356">
        <f t="shared" si="20"/>
        <v>71982</v>
      </c>
      <c r="N114" s="356">
        <f t="shared" si="21"/>
        <v>-5332</v>
      </c>
      <c r="O114" s="348">
        <v>54</v>
      </c>
      <c r="P114" s="354">
        <f t="shared" si="19"/>
        <v>-4</v>
      </c>
      <c r="Q114" s="339">
        <f t="shared" si="22"/>
        <v>611982</v>
      </c>
      <c r="R114" s="339">
        <f t="shared" si="23"/>
        <v>-45332</v>
      </c>
      <c r="S114" s="337"/>
    </row>
    <row r="115" spans="2:19">
      <c r="B115" s="364" t="s">
        <v>983</v>
      </c>
      <c r="C115" s="367">
        <v>111</v>
      </c>
      <c r="D115" s="337" t="s">
        <v>1437</v>
      </c>
      <c r="E115" s="337" t="s">
        <v>323</v>
      </c>
      <c r="F115" s="346">
        <v>500000</v>
      </c>
      <c r="G115" s="346">
        <v>66650</v>
      </c>
      <c r="H115" s="340">
        <f t="shared" si="16"/>
        <v>566650</v>
      </c>
      <c r="I115" s="348">
        <v>50</v>
      </c>
      <c r="J115" s="376">
        <v>11333</v>
      </c>
      <c r="K115" s="356">
        <f t="shared" si="17"/>
        <v>1333</v>
      </c>
      <c r="L115" s="356">
        <f t="shared" si="18"/>
        <v>10000</v>
      </c>
      <c r="M115" s="356">
        <f t="shared" si="20"/>
        <v>70649</v>
      </c>
      <c r="N115" s="356">
        <f t="shared" si="21"/>
        <v>-3999</v>
      </c>
      <c r="O115" s="348">
        <v>53</v>
      </c>
      <c r="P115" s="354">
        <f t="shared" si="19"/>
        <v>-3</v>
      </c>
      <c r="Q115" s="339">
        <f t="shared" si="22"/>
        <v>600649</v>
      </c>
      <c r="R115" s="339">
        <f t="shared" si="23"/>
        <v>-33999</v>
      </c>
      <c r="S115" s="337"/>
    </row>
    <row r="116" spans="2:19">
      <c r="B116" s="364" t="s">
        <v>1080</v>
      </c>
      <c r="C116" s="367">
        <v>112</v>
      </c>
      <c r="D116" s="337" t="s">
        <v>1437</v>
      </c>
      <c r="E116" s="337" t="s">
        <v>315</v>
      </c>
      <c r="F116" s="346">
        <v>500000</v>
      </c>
      <c r="G116" s="346">
        <v>66650</v>
      </c>
      <c r="H116" s="340">
        <f t="shared" si="16"/>
        <v>566650</v>
      </c>
      <c r="I116" s="348">
        <v>50</v>
      </c>
      <c r="J116" s="376">
        <v>11333</v>
      </c>
      <c r="K116" s="356">
        <f t="shared" si="17"/>
        <v>1333</v>
      </c>
      <c r="L116" s="356">
        <f t="shared" si="18"/>
        <v>10000</v>
      </c>
      <c r="M116" s="356">
        <f t="shared" si="20"/>
        <v>53320</v>
      </c>
      <c r="N116" s="356">
        <f t="shared" si="21"/>
        <v>13330</v>
      </c>
      <c r="O116" s="348">
        <v>40</v>
      </c>
      <c r="P116" s="354">
        <f t="shared" si="19"/>
        <v>10</v>
      </c>
      <c r="Q116" s="339">
        <f t="shared" si="22"/>
        <v>453320</v>
      </c>
      <c r="R116" s="339">
        <f t="shared" si="23"/>
        <v>113330</v>
      </c>
      <c r="S116" s="337"/>
    </row>
    <row r="117" spans="2:19">
      <c r="B117" s="364" t="s">
        <v>1084</v>
      </c>
      <c r="C117" s="367">
        <v>113</v>
      </c>
      <c r="D117" s="337" t="s">
        <v>1437</v>
      </c>
      <c r="E117" s="337" t="s">
        <v>353</v>
      </c>
      <c r="F117" s="346">
        <v>500000</v>
      </c>
      <c r="G117" s="346">
        <v>66650</v>
      </c>
      <c r="H117" s="340">
        <f t="shared" si="16"/>
        <v>566650</v>
      </c>
      <c r="I117" s="348">
        <v>50</v>
      </c>
      <c r="J117" s="376">
        <v>11333</v>
      </c>
      <c r="K117" s="356">
        <f t="shared" si="17"/>
        <v>1333</v>
      </c>
      <c r="L117" s="356">
        <f t="shared" si="18"/>
        <v>10000</v>
      </c>
      <c r="M117" s="356">
        <f t="shared" si="20"/>
        <v>53320</v>
      </c>
      <c r="N117" s="356">
        <f t="shared" si="21"/>
        <v>13330</v>
      </c>
      <c r="O117" s="348">
        <v>40</v>
      </c>
      <c r="P117" s="354">
        <f t="shared" si="19"/>
        <v>10</v>
      </c>
      <c r="Q117" s="339">
        <f t="shared" si="22"/>
        <v>453320</v>
      </c>
      <c r="R117" s="339">
        <f t="shared" si="23"/>
        <v>113330</v>
      </c>
      <c r="S117" s="337"/>
    </row>
    <row r="118" spans="2:19">
      <c r="B118" s="361" t="s">
        <v>1108</v>
      </c>
      <c r="C118" s="367">
        <v>114</v>
      </c>
      <c r="D118" s="337" t="s">
        <v>1437</v>
      </c>
      <c r="E118" s="337" t="s">
        <v>802</v>
      </c>
      <c r="F118" s="346">
        <v>500000</v>
      </c>
      <c r="G118" s="346">
        <v>66650</v>
      </c>
      <c r="H118" s="340">
        <f t="shared" si="16"/>
        <v>566650</v>
      </c>
      <c r="I118" s="348">
        <v>50</v>
      </c>
      <c r="J118" s="376">
        <v>11333</v>
      </c>
      <c r="K118" s="356">
        <f t="shared" si="17"/>
        <v>1333</v>
      </c>
      <c r="L118" s="356">
        <f t="shared" si="18"/>
        <v>10000</v>
      </c>
      <c r="M118" s="356">
        <f t="shared" si="20"/>
        <v>39990</v>
      </c>
      <c r="N118" s="356">
        <f t="shared" si="21"/>
        <v>26660</v>
      </c>
      <c r="O118" s="348">
        <v>30</v>
      </c>
      <c r="P118" s="354">
        <f t="shared" si="19"/>
        <v>20</v>
      </c>
      <c r="Q118" s="339">
        <f t="shared" si="22"/>
        <v>339990</v>
      </c>
      <c r="R118" s="339">
        <f t="shared" si="23"/>
        <v>226660</v>
      </c>
      <c r="S118" s="337"/>
    </row>
    <row r="119" spans="2:19">
      <c r="B119" s="362" t="s">
        <v>1333</v>
      </c>
      <c r="C119" s="367">
        <v>115</v>
      </c>
      <c r="D119" s="337" t="s">
        <v>1437</v>
      </c>
      <c r="E119" s="337" t="s">
        <v>1281</v>
      </c>
      <c r="F119" s="346">
        <v>500000</v>
      </c>
      <c r="G119" s="346">
        <v>66650</v>
      </c>
      <c r="H119" s="340">
        <f t="shared" si="16"/>
        <v>566650</v>
      </c>
      <c r="I119" s="348">
        <v>50</v>
      </c>
      <c r="J119" s="376">
        <v>11333</v>
      </c>
      <c r="K119" s="356">
        <f t="shared" si="17"/>
        <v>1333</v>
      </c>
      <c r="L119" s="356">
        <f t="shared" si="18"/>
        <v>10000</v>
      </c>
      <c r="M119" s="356">
        <f t="shared" si="20"/>
        <v>10664</v>
      </c>
      <c r="N119" s="356">
        <f t="shared" si="21"/>
        <v>55986</v>
      </c>
      <c r="O119" s="348">
        <v>8</v>
      </c>
      <c r="P119" s="354">
        <f t="shared" si="19"/>
        <v>42</v>
      </c>
      <c r="Q119" s="339">
        <f t="shared" si="22"/>
        <v>90664</v>
      </c>
      <c r="R119" s="339">
        <f t="shared" si="23"/>
        <v>475986</v>
      </c>
      <c r="S119" s="337"/>
    </row>
    <row r="120" spans="2:19">
      <c r="B120" s="364" t="s">
        <v>1057</v>
      </c>
      <c r="C120" s="367">
        <v>116</v>
      </c>
      <c r="D120" s="337" t="s">
        <v>1437</v>
      </c>
      <c r="E120" s="337" t="s">
        <v>412</v>
      </c>
      <c r="F120" s="346">
        <v>500000</v>
      </c>
      <c r="G120" s="346">
        <v>66650</v>
      </c>
      <c r="H120" s="340">
        <f t="shared" si="16"/>
        <v>566650</v>
      </c>
      <c r="I120" s="348">
        <v>50</v>
      </c>
      <c r="J120" s="376">
        <v>11333</v>
      </c>
      <c r="K120" s="356">
        <f t="shared" si="17"/>
        <v>1333</v>
      </c>
      <c r="L120" s="356">
        <f t="shared" si="18"/>
        <v>10000</v>
      </c>
      <c r="M120" s="356">
        <f t="shared" si="20"/>
        <v>30659</v>
      </c>
      <c r="N120" s="356">
        <f t="shared" si="21"/>
        <v>35991</v>
      </c>
      <c r="O120" s="348">
        <v>23</v>
      </c>
      <c r="P120" s="354">
        <f t="shared" si="19"/>
        <v>27</v>
      </c>
      <c r="Q120" s="339">
        <f t="shared" si="22"/>
        <v>260659</v>
      </c>
      <c r="R120" s="339">
        <f t="shared" si="23"/>
        <v>305991</v>
      </c>
      <c r="S120" s="337"/>
    </row>
    <row r="121" spans="2:19">
      <c r="B121" s="364" t="s">
        <v>1091</v>
      </c>
      <c r="C121" s="367">
        <v>117</v>
      </c>
      <c r="D121" s="337" t="s">
        <v>1437</v>
      </c>
      <c r="E121" s="337" t="s">
        <v>1092</v>
      </c>
      <c r="F121" s="346">
        <v>500000</v>
      </c>
      <c r="G121" s="346">
        <v>66650</v>
      </c>
      <c r="H121" s="340">
        <f t="shared" si="16"/>
        <v>566650</v>
      </c>
      <c r="I121" s="348">
        <v>50</v>
      </c>
      <c r="J121" s="376">
        <v>11333</v>
      </c>
      <c r="K121" s="356">
        <f t="shared" si="17"/>
        <v>1333</v>
      </c>
      <c r="L121" s="356">
        <f t="shared" si="18"/>
        <v>10000</v>
      </c>
      <c r="M121" s="356">
        <f t="shared" si="20"/>
        <v>70649</v>
      </c>
      <c r="N121" s="356">
        <f t="shared" si="21"/>
        <v>-3999</v>
      </c>
      <c r="O121" s="348">
        <v>53</v>
      </c>
      <c r="P121" s="354">
        <f t="shared" si="19"/>
        <v>-3</v>
      </c>
      <c r="Q121" s="339">
        <f t="shared" si="22"/>
        <v>600649</v>
      </c>
      <c r="R121" s="339">
        <f t="shared" si="23"/>
        <v>-33999</v>
      </c>
      <c r="S121" s="337"/>
    </row>
    <row r="122" spans="2:19">
      <c r="B122" s="363" t="s">
        <v>1087</v>
      </c>
      <c r="C122" s="367">
        <v>118</v>
      </c>
      <c r="D122" s="337" t="s">
        <v>1437</v>
      </c>
      <c r="E122" s="337" t="s">
        <v>1088</v>
      </c>
      <c r="F122" s="346">
        <v>500000</v>
      </c>
      <c r="G122" s="346">
        <v>66650</v>
      </c>
      <c r="H122" s="340">
        <f t="shared" si="16"/>
        <v>566650</v>
      </c>
      <c r="I122" s="348">
        <v>50</v>
      </c>
      <c r="J122" s="376">
        <v>11333</v>
      </c>
      <c r="K122" s="356">
        <f t="shared" si="17"/>
        <v>1333</v>
      </c>
      <c r="L122" s="356">
        <f t="shared" si="18"/>
        <v>10000</v>
      </c>
      <c r="M122" s="356">
        <f t="shared" si="20"/>
        <v>70649</v>
      </c>
      <c r="N122" s="356">
        <f t="shared" si="21"/>
        <v>-3999</v>
      </c>
      <c r="O122" s="348">
        <v>53</v>
      </c>
      <c r="P122" s="354">
        <f t="shared" si="19"/>
        <v>-3</v>
      </c>
      <c r="Q122" s="339">
        <f t="shared" si="22"/>
        <v>600649</v>
      </c>
      <c r="R122" s="339">
        <f t="shared" si="23"/>
        <v>-33999</v>
      </c>
      <c r="S122" s="337"/>
    </row>
    <row r="123" spans="2:19">
      <c r="B123" s="363" t="s">
        <v>1324</v>
      </c>
      <c r="C123" s="367">
        <v>119</v>
      </c>
      <c r="D123" s="337" t="s">
        <v>1437</v>
      </c>
      <c r="E123" s="337" t="s">
        <v>1325</v>
      </c>
      <c r="F123" s="346">
        <v>500000</v>
      </c>
      <c r="G123" s="346">
        <v>66650</v>
      </c>
      <c r="H123" s="340">
        <f t="shared" si="16"/>
        <v>566650</v>
      </c>
      <c r="I123" s="348">
        <v>50</v>
      </c>
      <c r="J123" s="376">
        <v>11333</v>
      </c>
      <c r="K123" s="356">
        <f t="shared" si="17"/>
        <v>1333</v>
      </c>
      <c r="L123" s="356">
        <f t="shared" si="18"/>
        <v>10000</v>
      </c>
      <c r="M123" s="356">
        <f t="shared" si="20"/>
        <v>7998</v>
      </c>
      <c r="N123" s="356">
        <f t="shared" si="21"/>
        <v>58652</v>
      </c>
      <c r="O123" s="348">
        <v>6</v>
      </c>
      <c r="P123" s="354">
        <f t="shared" si="19"/>
        <v>44</v>
      </c>
      <c r="Q123" s="339">
        <f t="shared" si="22"/>
        <v>67998</v>
      </c>
      <c r="R123" s="339">
        <f t="shared" si="23"/>
        <v>498652</v>
      </c>
      <c r="S123" s="337"/>
    </row>
    <row r="124" spans="2:19">
      <c r="B124" s="363" t="s">
        <v>1340</v>
      </c>
      <c r="C124" s="367">
        <v>120</v>
      </c>
      <c r="D124" s="337" t="s">
        <v>1437</v>
      </c>
      <c r="E124" s="337" t="s">
        <v>410</v>
      </c>
      <c r="F124" s="346">
        <v>500000</v>
      </c>
      <c r="G124" s="346">
        <v>66650</v>
      </c>
      <c r="H124" s="340">
        <f t="shared" si="16"/>
        <v>566650</v>
      </c>
      <c r="I124" s="348">
        <v>50</v>
      </c>
      <c r="J124" s="376">
        <v>11333</v>
      </c>
      <c r="K124" s="356">
        <f t="shared" si="17"/>
        <v>1333</v>
      </c>
      <c r="L124" s="356">
        <f t="shared" si="18"/>
        <v>10000</v>
      </c>
      <c r="M124" s="356">
        <f t="shared" si="20"/>
        <v>7998</v>
      </c>
      <c r="N124" s="356">
        <f t="shared" si="21"/>
        <v>58652</v>
      </c>
      <c r="O124" s="348">
        <v>6</v>
      </c>
      <c r="P124" s="354">
        <f t="shared" si="19"/>
        <v>44</v>
      </c>
      <c r="Q124" s="339">
        <f t="shared" si="22"/>
        <v>67998</v>
      </c>
      <c r="R124" s="339">
        <f t="shared" si="23"/>
        <v>498652</v>
      </c>
      <c r="S124" s="337"/>
    </row>
    <row r="125" spans="2:19">
      <c r="B125" s="363" t="s">
        <v>1021</v>
      </c>
      <c r="C125" s="367">
        <v>121</v>
      </c>
      <c r="D125" s="337" t="s">
        <v>1437</v>
      </c>
      <c r="E125" s="337" t="s">
        <v>1022</v>
      </c>
      <c r="F125" s="346">
        <v>330000</v>
      </c>
      <c r="G125" s="346">
        <v>43989</v>
      </c>
      <c r="H125" s="340">
        <f t="shared" si="16"/>
        <v>373989</v>
      </c>
      <c r="I125" s="348">
        <v>50</v>
      </c>
      <c r="J125" s="376">
        <v>7479.78</v>
      </c>
      <c r="K125" s="356">
        <f t="shared" si="17"/>
        <v>879.78</v>
      </c>
      <c r="L125" s="356">
        <f t="shared" si="18"/>
        <v>6600</v>
      </c>
      <c r="M125" s="356">
        <f t="shared" si="20"/>
        <v>17595.599999999999</v>
      </c>
      <c r="N125" s="356">
        <f t="shared" si="21"/>
        <v>26393.399999999998</v>
      </c>
      <c r="O125" s="348">
        <v>20</v>
      </c>
      <c r="P125" s="354">
        <f t="shared" si="19"/>
        <v>30</v>
      </c>
      <c r="Q125" s="339">
        <f t="shared" si="22"/>
        <v>149595.6</v>
      </c>
      <c r="R125" s="339">
        <f t="shared" si="23"/>
        <v>224393.4</v>
      </c>
      <c r="S125" s="337"/>
    </row>
    <row r="126" spans="2:19">
      <c r="B126" s="362" t="s">
        <v>1385</v>
      </c>
      <c r="C126" s="367">
        <v>122</v>
      </c>
      <c r="D126" s="337" t="s">
        <v>1437</v>
      </c>
      <c r="E126" s="337" t="s">
        <v>1295</v>
      </c>
      <c r="F126" s="346">
        <v>330000</v>
      </c>
      <c r="G126" s="346">
        <v>43989</v>
      </c>
      <c r="H126" s="340">
        <f t="shared" si="16"/>
        <v>373989</v>
      </c>
      <c r="I126" s="348">
        <v>50</v>
      </c>
      <c r="J126" s="376">
        <v>7479.78</v>
      </c>
      <c r="K126" s="356">
        <f t="shared" si="17"/>
        <v>879.78</v>
      </c>
      <c r="L126" s="356">
        <f t="shared" si="18"/>
        <v>6600</v>
      </c>
      <c r="M126" s="356">
        <f t="shared" si="20"/>
        <v>7038.24</v>
      </c>
      <c r="N126" s="356">
        <f t="shared" si="21"/>
        <v>36950.76</v>
      </c>
      <c r="O126" s="348">
        <v>8</v>
      </c>
      <c r="P126" s="354">
        <f t="shared" si="19"/>
        <v>42</v>
      </c>
      <c r="Q126" s="339">
        <f t="shared" si="22"/>
        <v>59838.239999999998</v>
      </c>
      <c r="R126" s="339">
        <f t="shared" si="23"/>
        <v>314150.76</v>
      </c>
      <c r="S126" s="337"/>
    </row>
    <row r="127" spans="2:19">
      <c r="B127" s="362" t="s">
        <v>1128</v>
      </c>
      <c r="C127" s="367">
        <v>123</v>
      </c>
      <c r="D127" s="337" t="s">
        <v>1437</v>
      </c>
      <c r="E127" s="337" t="s">
        <v>462</v>
      </c>
      <c r="F127" s="346">
        <v>450000</v>
      </c>
      <c r="G127" s="346">
        <v>59985</v>
      </c>
      <c r="H127" s="340">
        <f t="shared" si="16"/>
        <v>509985</v>
      </c>
      <c r="I127" s="348">
        <v>50</v>
      </c>
      <c r="J127" s="376">
        <v>10199.700000000001</v>
      </c>
      <c r="K127" s="356">
        <f t="shared" si="17"/>
        <v>1199.7</v>
      </c>
      <c r="L127" s="356">
        <f t="shared" si="18"/>
        <v>9000</v>
      </c>
      <c r="M127" s="356">
        <f t="shared" si="20"/>
        <v>19195.2</v>
      </c>
      <c r="N127" s="356">
        <f t="shared" si="21"/>
        <v>40789.800000000003</v>
      </c>
      <c r="O127" s="348">
        <v>16</v>
      </c>
      <c r="P127" s="354">
        <f t="shared" si="19"/>
        <v>34</v>
      </c>
      <c r="Q127" s="339">
        <f t="shared" si="22"/>
        <v>163195.20000000001</v>
      </c>
      <c r="R127" s="339">
        <f t="shared" si="23"/>
        <v>346789.8</v>
      </c>
      <c r="S127" s="337"/>
    </row>
    <row r="128" spans="2:19">
      <c r="B128" s="362" t="s">
        <v>1140</v>
      </c>
      <c r="C128" s="367">
        <v>124</v>
      </c>
      <c r="D128" s="337" t="s">
        <v>1437</v>
      </c>
      <c r="E128" s="337" t="s">
        <v>372</v>
      </c>
      <c r="F128" s="346">
        <v>330000</v>
      </c>
      <c r="G128" s="346">
        <v>43989</v>
      </c>
      <c r="H128" s="340">
        <f t="shared" si="16"/>
        <v>373989</v>
      </c>
      <c r="I128" s="348">
        <v>50</v>
      </c>
      <c r="J128" s="376">
        <v>7479.78</v>
      </c>
      <c r="K128" s="356">
        <f t="shared" si="17"/>
        <v>879.78</v>
      </c>
      <c r="L128" s="356">
        <f t="shared" si="18"/>
        <v>6600</v>
      </c>
      <c r="M128" s="356">
        <f t="shared" si="20"/>
        <v>14076.48</v>
      </c>
      <c r="N128" s="356">
        <f t="shared" si="21"/>
        <v>29912.52</v>
      </c>
      <c r="O128" s="348">
        <v>16</v>
      </c>
      <c r="P128" s="354">
        <f t="shared" si="19"/>
        <v>34</v>
      </c>
      <c r="Q128" s="339">
        <f t="shared" si="22"/>
        <v>119676.48</v>
      </c>
      <c r="R128" s="339">
        <f t="shared" si="23"/>
        <v>254312.52000000002</v>
      </c>
      <c r="S128" s="337"/>
    </row>
    <row r="129" spans="2:19">
      <c r="B129" s="362" t="s">
        <v>1136</v>
      </c>
      <c r="C129" s="367">
        <v>125</v>
      </c>
      <c r="D129" s="337" t="s">
        <v>1437</v>
      </c>
      <c r="E129" s="337" t="s">
        <v>1137</v>
      </c>
      <c r="F129" s="346">
        <v>330000</v>
      </c>
      <c r="G129" s="346">
        <v>43989</v>
      </c>
      <c r="H129" s="340">
        <f t="shared" si="16"/>
        <v>373989</v>
      </c>
      <c r="I129" s="348">
        <v>50</v>
      </c>
      <c r="J129" s="376">
        <v>7479.78</v>
      </c>
      <c r="K129" s="356">
        <f t="shared" si="17"/>
        <v>879.78</v>
      </c>
      <c r="L129" s="356">
        <f t="shared" si="18"/>
        <v>6600</v>
      </c>
      <c r="M129" s="356">
        <f t="shared" si="20"/>
        <v>14076.48</v>
      </c>
      <c r="N129" s="356">
        <f t="shared" si="21"/>
        <v>29912.52</v>
      </c>
      <c r="O129" s="348">
        <v>16</v>
      </c>
      <c r="P129" s="354">
        <f t="shared" si="19"/>
        <v>34</v>
      </c>
      <c r="Q129" s="339">
        <f t="shared" si="22"/>
        <v>119676.48</v>
      </c>
      <c r="R129" s="339">
        <f t="shared" si="23"/>
        <v>254312.52000000002</v>
      </c>
      <c r="S129" s="337"/>
    </row>
    <row r="130" spans="2:19">
      <c r="B130" s="362" t="s">
        <v>1115</v>
      </c>
      <c r="C130" s="367">
        <v>126</v>
      </c>
      <c r="D130" s="337" t="s">
        <v>1437</v>
      </c>
      <c r="E130" s="337" t="s">
        <v>1116</v>
      </c>
      <c r="F130" s="346">
        <v>200000</v>
      </c>
      <c r="G130" s="346">
        <v>26660</v>
      </c>
      <c r="H130" s="340">
        <f t="shared" si="16"/>
        <v>226660</v>
      </c>
      <c r="I130" s="348">
        <v>50</v>
      </c>
      <c r="J130" s="376">
        <v>5099.8500000000004</v>
      </c>
      <c r="K130" s="356">
        <f t="shared" si="17"/>
        <v>533.20000000000005</v>
      </c>
      <c r="L130" s="356">
        <f t="shared" si="18"/>
        <v>4000</v>
      </c>
      <c r="M130" s="356">
        <f t="shared" si="20"/>
        <v>8531.2000000000007</v>
      </c>
      <c r="N130" s="356">
        <f t="shared" si="21"/>
        <v>18128.800000000003</v>
      </c>
      <c r="O130" s="348">
        <v>16</v>
      </c>
      <c r="P130" s="354">
        <f t="shared" si="19"/>
        <v>34</v>
      </c>
      <c r="Q130" s="339">
        <f t="shared" si="22"/>
        <v>81597.600000000006</v>
      </c>
      <c r="R130" s="339">
        <f t="shared" si="23"/>
        <v>145062.39999999999</v>
      </c>
      <c r="S130" s="337"/>
    </row>
    <row r="131" spans="2:19">
      <c r="B131" s="366" t="s">
        <v>1408</v>
      </c>
      <c r="C131" s="367">
        <v>127</v>
      </c>
      <c r="D131" s="337" t="s">
        <v>1437</v>
      </c>
      <c r="E131" s="337" t="s">
        <v>406</v>
      </c>
      <c r="F131" s="346">
        <v>500000</v>
      </c>
      <c r="G131" s="346">
        <v>66650</v>
      </c>
      <c r="H131" s="340">
        <f t="shared" si="16"/>
        <v>566650</v>
      </c>
      <c r="I131" s="348">
        <v>40</v>
      </c>
      <c r="J131" s="376">
        <v>13833</v>
      </c>
      <c r="K131" s="356">
        <f t="shared" si="17"/>
        <v>1333</v>
      </c>
      <c r="L131" s="356">
        <f t="shared" si="18"/>
        <v>10000</v>
      </c>
      <c r="M131" s="356">
        <f t="shared" si="20"/>
        <v>2666</v>
      </c>
      <c r="N131" s="356">
        <f t="shared" si="21"/>
        <v>50654</v>
      </c>
      <c r="O131" s="348">
        <v>2</v>
      </c>
      <c r="P131" s="354">
        <f t="shared" si="19"/>
        <v>38</v>
      </c>
      <c r="Q131" s="339">
        <f t="shared" si="22"/>
        <v>27666</v>
      </c>
      <c r="R131" s="339">
        <f t="shared" si="23"/>
        <v>538984</v>
      </c>
      <c r="S131" s="337"/>
    </row>
    <row r="132" spans="2:19">
      <c r="B132" s="364" t="s">
        <v>1134</v>
      </c>
      <c r="C132" s="367">
        <v>128</v>
      </c>
      <c r="D132" s="337" t="s">
        <v>1437</v>
      </c>
      <c r="E132" s="337" t="s">
        <v>1135</v>
      </c>
      <c r="F132" s="346">
        <v>500000</v>
      </c>
      <c r="G132" s="346">
        <v>66650</v>
      </c>
      <c r="H132" s="340">
        <f t="shared" si="16"/>
        <v>566650</v>
      </c>
      <c r="I132" s="348">
        <v>50</v>
      </c>
      <c r="J132" s="376">
        <v>11333</v>
      </c>
      <c r="K132" s="356">
        <f t="shared" si="17"/>
        <v>1333</v>
      </c>
      <c r="L132" s="356">
        <f t="shared" si="18"/>
        <v>10000</v>
      </c>
      <c r="M132" s="356">
        <f t="shared" si="20"/>
        <v>21328</v>
      </c>
      <c r="N132" s="356">
        <f t="shared" si="21"/>
        <v>45322</v>
      </c>
      <c r="O132" s="348">
        <v>16</v>
      </c>
      <c r="P132" s="354">
        <f t="shared" si="19"/>
        <v>34</v>
      </c>
      <c r="Q132" s="339">
        <f t="shared" si="22"/>
        <v>181328</v>
      </c>
      <c r="R132" s="339">
        <f t="shared" si="23"/>
        <v>385322</v>
      </c>
      <c r="S132" s="337"/>
    </row>
    <row r="133" spans="2:19">
      <c r="B133" s="362" t="s">
        <v>1018</v>
      </c>
      <c r="C133" s="367">
        <v>129</v>
      </c>
      <c r="D133" s="337" t="s">
        <v>1437</v>
      </c>
      <c r="E133" s="337" t="s">
        <v>1019</v>
      </c>
      <c r="F133" s="346">
        <v>150000</v>
      </c>
      <c r="G133" s="346">
        <v>19995</v>
      </c>
      <c r="H133" s="340">
        <f t="shared" si="16"/>
        <v>169995</v>
      </c>
      <c r="I133" s="348">
        <v>50</v>
      </c>
      <c r="J133" s="376">
        <v>3399.9</v>
      </c>
      <c r="K133" s="356">
        <f t="shared" si="17"/>
        <v>399.9</v>
      </c>
      <c r="L133" s="356">
        <f t="shared" si="18"/>
        <v>3000</v>
      </c>
      <c r="M133" s="356">
        <f t="shared" ref="M133:M150" si="24">K133*O133</f>
        <v>8397.9</v>
      </c>
      <c r="N133" s="356">
        <f t="shared" ref="N133:N150" si="25">K133*P133</f>
        <v>11597.099999999999</v>
      </c>
      <c r="O133" s="348">
        <v>21</v>
      </c>
      <c r="P133" s="354">
        <f t="shared" si="19"/>
        <v>29</v>
      </c>
      <c r="Q133" s="339">
        <f t="shared" ref="Q133:Q150" si="26">J133*O133</f>
        <v>71397.900000000009</v>
      </c>
      <c r="R133" s="339">
        <f t="shared" ref="R133:R150" si="27">H133-Q133</f>
        <v>98597.099999999991</v>
      </c>
      <c r="S133" s="337"/>
    </row>
    <row r="134" spans="2:19">
      <c r="B134" s="365" t="s">
        <v>1048</v>
      </c>
      <c r="C134" s="367">
        <v>130</v>
      </c>
      <c r="D134" s="337" t="s">
        <v>1437</v>
      </c>
      <c r="E134" s="337" t="s">
        <v>1049</v>
      </c>
      <c r="F134" s="346">
        <v>450000</v>
      </c>
      <c r="G134" s="346">
        <v>59985</v>
      </c>
      <c r="H134" s="340">
        <f t="shared" ref="H134:H151" si="28">SUM(F134:G134)</f>
        <v>509985</v>
      </c>
      <c r="I134" s="348">
        <v>50</v>
      </c>
      <c r="J134" s="376">
        <v>10199.700000000001</v>
      </c>
      <c r="K134" s="356">
        <f t="shared" ref="K134:K159" si="29">G134/50</f>
        <v>1199.7</v>
      </c>
      <c r="L134" s="356">
        <f t="shared" ref="L134:L159" si="30">F134/50</f>
        <v>9000</v>
      </c>
      <c r="M134" s="356">
        <f t="shared" si="24"/>
        <v>46788.3</v>
      </c>
      <c r="N134" s="356">
        <f t="shared" si="25"/>
        <v>13196.7</v>
      </c>
      <c r="O134" s="348">
        <v>39</v>
      </c>
      <c r="P134" s="354">
        <f t="shared" ref="P134:P150" si="31">I134-O134</f>
        <v>11</v>
      </c>
      <c r="Q134" s="339">
        <f t="shared" si="26"/>
        <v>397788.30000000005</v>
      </c>
      <c r="R134" s="339">
        <f t="shared" si="27"/>
        <v>112196.69999999995</v>
      </c>
      <c r="S134" s="337"/>
    </row>
    <row r="135" spans="2:19">
      <c r="B135" s="364" t="s">
        <v>1090</v>
      </c>
      <c r="C135" s="367">
        <v>131</v>
      </c>
      <c r="D135" s="337" t="s">
        <v>1437</v>
      </c>
      <c r="E135" s="337" t="s">
        <v>295</v>
      </c>
      <c r="F135" s="346">
        <v>500000</v>
      </c>
      <c r="G135" s="346">
        <v>66650</v>
      </c>
      <c r="H135" s="340">
        <f t="shared" si="28"/>
        <v>566650</v>
      </c>
      <c r="I135" s="348">
        <v>50</v>
      </c>
      <c r="J135" s="376">
        <v>11333</v>
      </c>
      <c r="K135" s="356">
        <f t="shared" si="29"/>
        <v>1333</v>
      </c>
      <c r="L135" s="356">
        <f t="shared" si="30"/>
        <v>10000</v>
      </c>
      <c r="M135" s="356">
        <f t="shared" si="24"/>
        <v>30659</v>
      </c>
      <c r="N135" s="356">
        <f t="shared" si="25"/>
        <v>35991</v>
      </c>
      <c r="O135" s="348">
        <v>23</v>
      </c>
      <c r="P135" s="354">
        <f t="shared" si="31"/>
        <v>27</v>
      </c>
      <c r="Q135" s="339">
        <f t="shared" si="26"/>
        <v>260659</v>
      </c>
      <c r="R135" s="339">
        <f t="shared" si="27"/>
        <v>305991</v>
      </c>
      <c r="S135" s="337"/>
    </row>
    <row r="136" spans="2:19">
      <c r="B136" s="362" t="s">
        <v>1337</v>
      </c>
      <c r="C136" s="367">
        <v>132</v>
      </c>
      <c r="D136" s="337" t="s">
        <v>1437</v>
      </c>
      <c r="E136" s="337" t="s">
        <v>1280</v>
      </c>
      <c r="F136" s="346">
        <v>500000</v>
      </c>
      <c r="G136" s="346">
        <v>66650</v>
      </c>
      <c r="H136" s="340">
        <f t="shared" si="28"/>
        <v>566650</v>
      </c>
      <c r="I136" s="348">
        <v>50</v>
      </c>
      <c r="J136" s="376">
        <v>11333</v>
      </c>
      <c r="K136" s="356">
        <f t="shared" si="29"/>
        <v>1333</v>
      </c>
      <c r="L136" s="356">
        <f t="shared" si="30"/>
        <v>10000</v>
      </c>
      <c r="M136" s="356">
        <f t="shared" si="24"/>
        <v>10664</v>
      </c>
      <c r="N136" s="356">
        <f t="shared" si="25"/>
        <v>55986</v>
      </c>
      <c r="O136" s="348">
        <v>8</v>
      </c>
      <c r="P136" s="354">
        <f t="shared" si="31"/>
        <v>42</v>
      </c>
      <c r="Q136" s="339">
        <f t="shared" si="26"/>
        <v>90664</v>
      </c>
      <c r="R136" s="339">
        <f t="shared" si="27"/>
        <v>475986</v>
      </c>
      <c r="S136" s="337"/>
    </row>
    <row r="137" spans="2:19">
      <c r="B137" s="363" t="s">
        <v>1023</v>
      </c>
      <c r="C137" s="367">
        <v>133</v>
      </c>
      <c r="D137" s="337" t="s">
        <v>1437</v>
      </c>
      <c r="E137" s="337" t="s">
        <v>321</v>
      </c>
      <c r="F137" s="346">
        <v>500000</v>
      </c>
      <c r="G137" s="346">
        <v>66650</v>
      </c>
      <c r="H137" s="340">
        <f t="shared" si="28"/>
        <v>566650</v>
      </c>
      <c r="I137" s="348">
        <v>50</v>
      </c>
      <c r="J137" s="376">
        <v>11333</v>
      </c>
      <c r="K137" s="356">
        <f t="shared" si="29"/>
        <v>1333</v>
      </c>
      <c r="L137" s="356">
        <f t="shared" si="30"/>
        <v>10000</v>
      </c>
      <c r="M137" s="356">
        <f t="shared" si="24"/>
        <v>70649</v>
      </c>
      <c r="N137" s="356">
        <f t="shared" si="25"/>
        <v>-3999</v>
      </c>
      <c r="O137" s="348">
        <v>53</v>
      </c>
      <c r="P137" s="354">
        <f t="shared" si="31"/>
        <v>-3</v>
      </c>
      <c r="Q137" s="339">
        <f t="shared" si="26"/>
        <v>600649</v>
      </c>
      <c r="R137" s="339">
        <f t="shared" si="27"/>
        <v>-33999</v>
      </c>
      <c r="S137" s="337"/>
    </row>
    <row r="138" spans="2:19">
      <c r="B138" s="364" t="s">
        <v>1354</v>
      </c>
      <c r="C138" s="367">
        <v>134</v>
      </c>
      <c r="D138" s="337" t="s">
        <v>1437</v>
      </c>
      <c r="E138" s="337" t="s">
        <v>450</v>
      </c>
      <c r="F138" s="346">
        <v>450000</v>
      </c>
      <c r="G138" s="346">
        <v>59985</v>
      </c>
      <c r="H138" s="340">
        <f t="shared" si="28"/>
        <v>509985</v>
      </c>
      <c r="I138" s="348">
        <v>50</v>
      </c>
      <c r="J138" s="376">
        <v>10199.700000000001</v>
      </c>
      <c r="K138" s="356">
        <f t="shared" si="29"/>
        <v>1199.7</v>
      </c>
      <c r="L138" s="356">
        <f t="shared" si="30"/>
        <v>9000</v>
      </c>
      <c r="M138" s="356">
        <f t="shared" si="24"/>
        <v>17995.5</v>
      </c>
      <c r="N138" s="356">
        <f t="shared" si="25"/>
        <v>41989.5</v>
      </c>
      <c r="O138" s="348">
        <v>15</v>
      </c>
      <c r="P138" s="354">
        <f t="shared" si="31"/>
        <v>35</v>
      </c>
      <c r="Q138" s="339">
        <f t="shared" si="26"/>
        <v>152995.5</v>
      </c>
      <c r="R138" s="339">
        <f t="shared" si="27"/>
        <v>356989.5</v>
      </c>
      <c r="S138" s="337"/>
    </row>
    <row r="139" spans="2:19">
      <c r="B139" s="364" t="s">
        <v>1394</v>
      </c>
      <c r="C139" s="367">
        <v>135</v>
      </c>
      <c r="D139" s="337" t="s">
        <v>1437</v>
      </c>
      <c r="E139" s="337" t="s">
        <v>1395</v>
      </c>
      <c r="F139" s="346">
        <v>150000</v>
      </c>
      <c r="G139" s="346">
        <v>19995</v>
      </c>
      <c r="H139" s="340">
        <f t="shared" si="28"/>
        <v>169995</v>
      </c>
      <c r="I139" s="348">
        <v>40</v>
      </c>
      <c r="J139" s="376">
        <v>4149.8999999999996</v>
      </c>
      <c r="K139" s="356">
        <f t="shared" si="29"/>
        <v>399.9</v>
      </c>
      <c r="L139" s="356">
        <f t="shared" si="30"/>
        <v>3000</v>
      </c>
      <c r="M139" s="356">
        <f t="shared" si="24"/>
        <v>1199.6999999999998</v>
      </c>
      <c r="N139" s="356">
        <f t="shared" si="25"/>
        <v>14796.3</v>
      </c>
      <c r="O139" s="348">
        <v>3</v>
      </c>
      <c r="P139" s="354">
        <f t="shared" si="31"/>
        <v>37</v>
      </c>
      <c r="Q139" s="339">
        <f t="shared" si="26"/>
        <v>12449.699999999999</v>
      </c>
      <c r="R139" s="339">
        <f t="shared" si="27"/>
        <v>157545.29999999999</v>
      </c>
      <c r="S139" s="337"/>
    </row>
    <row r="140" spans="2:19">
      <c r="B140" s="363" t="s">
        <v>968</v>
      </c>
      <c r="C140" s="367">
        <v>136</v>
      </c>
      <c r="D140" s="337" t="s">
        <v>1437</v>
      </c>
      <c r="E140" s="337" t="s">
        <v>490</v>
      </c>
      <c r="F140" s="346">
        <v>330000</v>
      </c>
      <c r="G140" s="346">
        <v>43989</v>
      </c>
      <c r="H140" s="340">
        <f t="shared" si="28"/>
        <v>373989</v>
      </c>
      <c r="I140" s="348">
        <v>50</v>
      </c>
      <c r="J140" s="376">
        <v>7479.78</v>
      </c>
      <c r="K140" s="356">
        <f t="shared" si="29"/>
        <v>879.78</v>
      </c>
      <c r="L140" s="356">
        <f t="shared" si="30"/>
        <v>6600</v>
      </c>
      <c r="M140" s="356">
        <f t="shared" si="24"/>
        <v>24633.84</v>
      </c>
      <c r="N140" s="356">
        <f t="shared" si="25"/>
        <v>19355.16</v>
      </c>
      <c r="O140" s="348">
        <v>28</v>
      </c>
      <c r="P140" s="354">
        <f t="shared" si="31"/>
        <v>22</v>
      </c>
      <c r="Q140" s="339">
        <f t="shared" si="26"/>
        <v>209433.84</v>
      </c>
      <c r="R140" s="339">
        <f t="shared" si="27"/>
        <v>164555.16</v>
      </c>
      <c r="S140" s="337"/>
    </row>
    <row r="141" spans="2:19">
      <c r="B141" s="365" t="s">
        <v>1036</v>
      </c>
      <c r="C141" s="367">
        <v>137</v>
      </c>
      <c r="D141" s="337" t="s">
        <v>1437</v>
      </c>
      <c r="E141" s="337" t="s">
        <v>216</v>
      </c>
      <c r="F141" s="346">
        <v>60000</v>
      </c>
      <c r="G141" s="346">
        <v>7998</v>
      </c>
      <c r="H141" s="340">
        <f t="shared" si="28"/>
        <v>67998</v>
      </c>
      <c r="I141" s="348">
        <v>40</v>
      </c>
      <c r="J141" s="376">
        <v>1699.95</v>
      </c>
      <c r="K141" s="356">
        <f t="shared" si="29"/>
        <v>159.96</v>
      </c>
      <c r="L141" s="356">
        <f t="shared" si="30"/>
        <v>1200</v>
      </c>
      <c r="M141" s="356">
        <f t="shared" si="24"/>
        <v>4638.84</v>
      </c>
      <c r="N141" s="356">
        <f t="shared" si="25"/>
        <v>1759.5600000000002</v>
      </c>
      <c r="O141" s="348">
        <v>29</v>
      </c>
      <c r="P141" s="354">
        <f t="shared" si="31"/>
        <v>11</v>
      </c>
      <c r="Q141" s="339">
        <f t="shared" si="26"/>
        <v>49298.55</v>
      </c>
      <c r="R141" s="339">
        <f t="shared" si="27"/>
        <v>18699.449999999997</v>
      </c>
      <c r="S141" s="337"/>
    </row>
    <row r="142" spans="2:19">
      <c r="B142" s="363" t="s">
        <v>1379</v>
      </c>
      <c r="C142" s="367">
        <v>138</v>
      </c>
      <c r="D142" s="337" t="s">
        <v>1437</v>
      </c>
      <c r="E142" s="337" t="s">
        <v>1380</v>
      </c>
      <c r="F142" s="346">
        <v>330000</v>
      </c>
      <c r="G142" s="346">
        <v>43989</v>
      </c>
      <c r="H142" s="340">
        <f t="shared" si="28"/>
        <v>373989</v>
      </c>
      <c r="I142" s="348">
        <v>50</v>
      </c>
      <c r="J142" s="376">
        <v>7479.78</v>
      </c>
      <c r="K142" s="356">
        <f t="shared" si="29"/>
        <v>879.78</v>
      </c>
      <c r="L142" s="356">
        <f t="shared" si="30"/>
        <v>6600</v>
      </c>
      <c r="M142" s="356">
        <f t="shared" si="24"/>
        <v>2639.34</v>
      </c>
      <c r="N142" s="356">
        <f t="shared" si="25"/>
        <v>41349.659999999996</v>
      </c>
      <c r="O142" s="348">
        <v>3</v>
      </c>
      <c r="P142" s="354">
        <f t="shared" si="31"/>
        <v>47</v>
      </c>
      <c r="Q142" s="339">
        <f t="shared" si="26"/>
        <v>22439.34</v>
      </c>
      <c r="R142" s="339">
        <f t="shared" si="27"/>
        <v>351549.66</v>
      </c>
      <c r="S142" s="337"/>
    </row>
    <row r="143" spans="2:19">
      <c r="B143" s="362" t="s">
        <v>1372</v>
      </c>
      <c r="C143" s="367">
        <v>139</v>
      </c>
      <c r="D143" s="337" t="s">
        <v>1437</v>
      </c>
      <c r="E143" s="337" t="s">
        <v>1297</v>
      </c>
      <c r="F143" s="346">
        <v>330000</v>
      </c>
      <c r="G143" s="346">
        <v>43989</v>
      </c>
      <c r="H143" s="340">
        <f t="shared" si="28"/>
        <v>373989</v>
      </c>
      <c r="I143" s="348">
        <v>50</v>
      </c>
      <c r="J143" s="376">
        <v>7479.78</v>
      </c>
      <c r="K143" s="356">
        <f t="shared" si="29"/>
        <v>879.78</v>
      </c>
      <c r="L143" s="356">
        <f t="shared" si="30"/>
        <v>6600</v>
      </c>
      <c r="M143" s="356">
        <f t="shared" si="24"/>
        <v>11437.14</v>
      </c>
      <c r="N143" s="356">
        <f t="shared" si="25"/>
        <v>32551.86</v>
      </c>
      <c r="O143" s="348">
        <v>13</v>
      </c>
      <c r="P143" s="354">
        <f t="shared" si="31"/>
        <v>37</v>
      </c>
      <c r="Q143" s="339">
        <f t="shared" si="26"/>
        <v>97237.14</v>
      </c>
      <c r="R143" s="339">
        <f t="shared" si="27"/>
        <v>276751.86</v>
      </c>
      <c r="S143" s="337"/>
    </row>
    <row r="144" spans="2:19">
      <c r="B144" s="365" t="s">
        <v>1373</v>
      </c>
      <c r="C144" s="367">
        <v>140</v>
      </c>
      <c r="D144" s="337" t="s">
        <v>1437</v>
      </c>
      <c r="E144" s="337" t="s">
        <v>1374</v>
      </c>
      <c r="F144" s="346">
        <v>330000</v>
      </c>
      <c r="G144" s="346">
        <v>43989</v>
      </c>
      <c r="H144" s="340">
        <f t="shared" si="28"/>
        <v>373989</v>
      </c>
      <c r="I144" s="348">
        <v>50</v>
      </c>
      <c r="J144" s="376">
        <v>7479.78</v>
      </c>
      <c r="K144" s="356">
        <f t="shared" si="29"/>
        <v>879.78</v>
      </c>
      <c r="L144" s="356">
        <f t="shared" si="30"/>
        <v>6600</v>
      </c>
      <c r="M144" s="356">
        <f t="shared" si="24"/>
        <v>2639.34</v>
      </c>
      <c r="N144" s="356">
        <f t="shared" si="25"/>
        <v>41349.659999999996</v>
      </c>
      <c r="O144" s="348">
        <v>3</v>
      </c>
      <c r="P144" s="354">
        <f t="shared" si="31"/>
        <v>47</v>
      </c>
      <c r="Q144" s="339">
        <f t="shared" si="26"/>
        <v>22439.34</v>
      </c>
      <c r="R144" s="339">
        <f t="shared" si="27"/>
        <v>351549.66</v>
      </c>
      <c r="S144" s="337"/>
    </row>
    <row r="145" spans="2:19">
      <c r="B145" s="365" t="s">
        <v>1367</v>
      </c>
      <c r="C145" s="367">
        <v>141</v>
      </c>
      <c r="D145" s="337" t="s">
        <v>1437</v>
      </c>
      <c r="E145" s="337" t="s">
        <v>465</v>
      </c>
      <c r="F145" s="346">
        <v>450000</v>
      </c>
      <c r="G145" s="346">
        <v>59985</v>
      </c>
      <c r="H145" s="340">
        <f t="shared" si="28"/>
        <v>509985</v>
      </c>
      <c r="I145" s="348">
        <v>50</v>
      </c>
      <c r="J145" s="376">
        <v>10199.700000000001</v>
      </c>
      <c r="K145" s="356">
        <f t="shared" si="29"/>
        <v>1199.7</v>
      </c>
      <c r="L145" s="356">
        <f t="shared" si="30"/>
        <v>9000</v>
      </c>
      <c r="M145" s="356">
        <f t="shared" si="24"/>
        <v>27593.100000000002</v>
      </c>
      <c r="N145" s="356">
        <f t="shared" si="25"/>
        <v>32391.9</v>
      </c>
      <c r="O145" s="348">
        <v>23</v>
      </c>
      <c r="P145" s="354">
        <f t="shared" si="31"/>
        <v>27</v>
      </c>
      <c r="Q145" s="339">
        <f t="shared" si="26"/>
        <v>234593.1</v>
      </c>
      <c r="R145" s="339">
        <f t="shared" si="27"/>
        <v>275391.90000000002</v>
      </c>
      <c r="S145" s="337"/>
    </row>
    <row r="146" spans="2:19">
      <c r="B146" s="337" t="s">
        <v>1411</v>
      </c>
      <c r="C146" s="367">
        <v>142</v>
      </c>
      <c r="D146" s="337" t="s">
        <v>1437</v>
      </c>
      <c r="E146" s="337" t="s">
        <v>473</v>
      </c>
      <c r="F146" s="346">
        <v>500000</v>
      </c>
      <c r="G146" s="346">
        <v>66650</v>
      </c>
      <c r="H146" s="340">
        <f t="shared" si="28"/>
        <v>566650</v>
      </c>
      <c r="I146" s="348">
        <v>40</v>
      </c>
      <c r="J146" s="376">
        <v>13833</v>
      </c>
      <c r="K146" s="356">
        <f t="shared" si="29"/>
        <v>1333</v>
      </c>
      <c r="L146" s="356">
        <f t="shared" si="30"/>
        <v>10000</v>
      </c>
      <c r="M146" s="356">
        <f t="shared" si="24"/>
        <v>1333</v>
      </c>
      <c r="N146" s="356">
        <f t="shared" si="25"/>
        <v>51987</v>
      </c>
      <c r="O146" s="348">
        <v>1</v>
      </c>
      <c r="P146" s="354">
        <f t="shared" si="31"/>
        <v>39</v>
      </c>
      <c r="Q146" s="339">
        <f t="shared" si="26"/>
        <v>13833</v>
      </c>
      <c r="R146" s="339">
        <f t="shared" si="27"/>
        <v>552817</v>
      </c>
      <c r="S146" s="337"/>
    </row>
    <row r="147" spans="2:19">
      <c r="B147" s="337" t="s">
        <v>1412</v>
      </c>
      <c r="C147" s="367">
        <v>143</v>
      </c>
      <c r="D147" s="337" t="s">
        <v>1437</v>
      </c>
      <c r="E147" s="337" t="s">
        <v>468</v>
      </c>
      <c r="F147" s="346">
        <v>500000</v>
      </c>
      <c r="G147" s="346">
        <v>66650</v>
      </c>
      <c r="H147" s="340">
        <f t="shared" si="28"/>
        <v>566650</v>
      </c>
      <c r="I147" s="348">
        <v>50</v>
      </c>
      <c r="J147" s="376">
        <v>11333</v>
      </c>
      <c r="K147" s="356">
        <f t="shared" si="29"/>
        <v>1333</v>
      </c>
      <c r="L147" s="356">
        <f t="shared" si="30"/>
        <v>10000</v>
      </c>
      <c r="M147" s="356">
        <f t="shared" si="24"/>
        <v>1333</v>
      </c>
      <c r="N147" s="356">
        <f t="shared" si="25"/>
        <v>65317</v>
      </c>
      <c r="O147" s="348">
        <v>1</v>
      </c>
      <c r="P147" s="354">
        <f t="shared" si="31"/>
        <v>49</v>
      </c>
      <c r="Q147" s="339">
        <f t="shared" si="26"/>
        <v>11333</v>
      </c>
      <c r="R147" s="339">
        <f t="shared" si="27"/>
        <v>555317</v>
      </c>
      <c r="S147" s="337"/>
    </row>
    <row r="148" spans="2:19">
      <c r="B148" s="337" t="s">
        <v>1413</v>
      </c>
      <c r="C148" s="367">
        <v>144</v>
      </c>
      <c r="D148" s="337" t="s">
        <v>1437</v>
      </c>
      <c r="E148" s="337" t="s">
        <v>454</v>
      </c>
      <c r="F148" s="346">
        <v>500000</v>
      </c>
      <c r="G148" s="346">
        <v>66650</v>
      </c>
      <c r="H148" s="340">
        <f t="shared" si="28"/>
        <v>566650</v>
      </c>
      <c r="I148" s="348">
        <v>50</v>
      </c>
      <c r="J148" s="376">
        <v>11333</v>
      </c>
      <c r="K148" s="356">
        <f t="shared" si="29"/>
        <v>1333</v>
      </c>
      <c r="L148" s="356">
        <f t="shared" si="30"/>
        <v>10000</v>
      </c>
      <c r="M148" s="356">
        <f t="shared" si="24"/>
        <v>1333</v>
      </c>
      <c r="N148" s="356">
        <f t="shared" si="25"/>
        <v>65317</v>
      </c>
      <c r="O148" s="348">
        <v>1</v>
      </c>
      <c r="P148" s="354">
        <f t="shared" si="31"/>
        <v>49</v>
      </c>
      <c r="Q148" s="339">
        <f t="shared" si="26"/>
        <v>11333</v>
      </c>
      <c r="R148" s="339">
        <f t="shared" si="27"/>
        <v>555317</v>
      </c>
      <c r="S148" s="337"/>
    </row>
    <row r="149" spans="2:19">
      <c r="B149" s="337" t="s">
        <v>1079</v>
      </c>
      <c r="C149" s="367">
        <v>145</v>
      </c>
      <c r="D149" s="337" t="s">
        <v>1437</v>
      </c>
      <c r="E149" s="337" t="s">
        <v>302</v>
      </c>
      <c r="F149" s="346">
        <v>500000</v>
      </c>
      <c r="G149" s="346">
        <v>66650</v>
      </c>
      <c r="H149" s="340">
        <f t="shared" si="28"/>
        <v>566650</v>
      </c>
      <c r="I149" s="348">
        <v>50</v>
      </c>
      <c r="J149" s="376">
        <v>11333</v>
      </c>
      <c r="K149" s="356">
        <f t="shared" si="29"/>
        <v>1333</v>
      </c>
      <c r="L149" s="356">
        <f t="shared" si="30"/>
        <v>10000</v>
      </c>
      <c r="M149" s="356">
        <f t="shared" si="24"/>
        <v>1333</v>
      </c>
      <c r="N149" s="356">
        <f t="shared" si="25"/>
        <v>65317</v>
      </c>
      <c r="O149" s="348">
        <v>1</v>
      </c>
      <c r="P149" s="354">
        <f t="shared" si="31"/>
        <v>49</v>
      </c>
      <c r="Q149" s="339">
        <f t="shared" si="26"/>
        <v>11333</v>
      </c>
      <c r="R149" s="339">
        <f t="shared" si="27"/>
        <v>555317</v>
      </c>
      <c r="S149" s="337"/>
    </row>
    <row r="150" spans="2:19">
      <c r="B150" s="337" t="s">
        <v>1414</v>
      </c>
      <c r="C150" s="367">
        <v>146</v>
      </c>
      <c r="D150" s="337" t="s">
        <v>1437</v>
      </c>
      <c r="E150" s="337" t="s">
        <v>459</v>
      </c>
      <c r="F150" s="346">
        <v>500000</v>
      </c>
      <c r="G150" s="346">
        <v>66650</v>
      </c>
      <c r="H150" s="340">
        <f t="shared" si="28"/>
        <v>566650</v>
      </c>
      <c r="I150" s="348">
        <v>50</v>
      </c>
      <c r="J150" s="376">
        <v>11333</v>
      </c>
      <c r="K150" s="356">
        <f t="shared" si="29"/>
        <v>1333</v>
      </c>
      <c r="L150" s="356">
        <f t="shared" si="30"/>
        <v>10000</v>
      </c>
      <c r="M150" s="356">
        <f t="shared" si="24"/>
        <v>1333</v>
      </c>
      <c r="N150" s="356">
        <f t="shared" si="25"/>
        <v>65317</v>
      </c>
      <c r="O150" s="348">
        <v>1</v>
      </c>
      <c r="P150" s="354">
        <f t="shared" si="31"/>
        <v>49</v>
      </c>
      <c r="Q150" s="339">
        <f t="shared" si="26"/>
        <v>11333</v>
      </c>
      <c r="R150" s="339">
        <f t="shared" si="27"/>
        <v>555317</v>
      </c>
      <c r="S150" s="337"/>
    </row>
    <row r="151" spans="2:19">
      <c r="B151" s="337" t="s">
        <v>1415</v>
      </c>
      <c r="C151" s="367">
        <v>147</v>
      </c>
      <c r="D151" s="337" t="s">
        <v>1437</v>
      </c>
      <c r="E151" s="337" t="s">
        <v>1416</v>
      </c>
      <c r="F151" s="346">
        <v>500000</v>
      </c>
      <c r="G151" s="346">
        <v>66650</v>
      </c>
      <c r="H151" s="340">
        <f t="shared" si="28"/>
        <v>566650</v>
      </c>
      <c r="I151" s="358">
        <v>50</v>
      </c>
      <c r="J151" s="377">
        <v>11333</v>
      </c>
      <c r="K151" s="356">
        <f t="shared" si="29"/>
        <v>1333</v>
      </c>
      <c r="L151" s="356">
        <f t="shared" si="30"/>
        <v>10000</v>
      </c>
      <c r="M151" s="356">
        <f t="shared" ref="M151:M159" si="32">K151*O151</f>
        <v>1333</v>
      </c>
      <c r="N151" s="356">
        <f t="shared" ref="N151:N159" si="33">K151*P151</f>
        <v>65317</v>
      </c>
      <c r="O151" s="358">
        <v>1</v>
      </c>
      <c r="P151" s="354">
        <f>I151-O151</f>
        <v>49</v>
      </c>
      <c r="Q151" s="339">
        <f t="shared" ref="Q151:Q159" si="34">J151*O151</f>
        <v>11333</v>
      </c>
      <c r="R151" s="339">
        <f t="shared" ref="R151:R159" si="35">H151-Q151</f>
        <v>555317</v>
      </c>
      <c r="S151" s="337"/>
    </row>
    <row r="152" spans="2:19">
      <c r="B152" s="337" t="s">
        <v>984</v>
      </c>
      <c r="C152" s="367">
        <v>148</v>
      </c>
      <c r="D152" s="337" t="s">
        <v>1437</v>
      </c>
      <c r="E152" s="337" t="s">
        <v>287</v>
      </c>
      <c r="F152" s="346">
        <v>450000</v>
      </c>
      <c r="G152" s="346">
        <v>59985</v>
      </c>
      <c r="H152" s="340">
        <f>SUM(F152:G152)</f>
        <v>509985</v>
      </c>
      <c r="I152" s="358">
        <v>50</v>
      </c>
      <c r="J152" s="377">
        <v>10199.700000000001</v>
      </c>
      <c r="K152" s="356">
        <f t="shared" si="29"/>
        <v>1199.7</v>
      </c>
      <c r="L152" s="356">
        <f t="shared" si="30"/>
        <v>9000</v>
      </c>
      <c r="M152" s="356">
        <f t="shared" si="32"/>
        <v>1199.7</v>
      </c>
      <c r="N152" s="356">
        <f t="shared" si="33"/>
        <v>58785.3</v>
      </c>
      <c r="O152" s="358">
        <v>1</v>
      </c>
      <c r="P152" s="354">
        <f t="shared" ref="P152:P159" si="36">I152-O152</f>
        <v>49</v>
      </c>
      <c r="Q152" s="339">
        <f t="shared" si="34"/>
        <v>10199.700000000001</v>
      </c>
      <c r="R152" s="339">
        <f t="shared" si="35"/>
        <v>499785.3</v>
      </c>
      <c r="S152" s="337"/>
    </row>
    <row r="153" spans="2:19">
      <c r="B153" s="337" t="s">
        <v>1417</v>
      </c>
      <c r="C153" s="367">
        <v>149</v>
      </c>
      <c r="D153" s="337" t="s">
        <v>1437</v>
      </c>
      <c r="E153" s="337" t="s">
        <v>477</v>
      </c>
      <c r="F153" s="346">
        <v>330000</v>
      </c>
      <c r="G153" s="346">
        <v>43989</v>
      </c>
      <c r="H153" s="340">
        <f t="shared" ref="H153:H159" si="37">SUM(F153:G153)</f>
        <v>373989</v>
      </c>
      <c r="I153" s="358">
        <v>50</v>
      </c>
      <c r="J153" s="377">
        <v>7479.78</v>
      </c>
      <c r="K153" s="356">
        <f t="shared" si="29"/>
        <v>879.78</v>
      </c>
      <c r="L153" s="356">
        <f t="shared" si="30"/>
        <v>6600</v>
      </c>
      <c r="M153" s="356">
        <f t="shared" si="32"/>
        <v>879.78</v>
      </c>
      <c r="N153" s="356">
        <f t="shared" si="33"/>
        <v>43109.22</v>
      </c>
      <c r="O153" s="358">
        <v>1</v>
      </c>
      <c r="P153" s="354">
        <f t="shared" si="36"/>
        <v>49</v>
      </c>
      <c r="Q153" s="339">
        <f t="shared" si="34"/>
        <v>7479.78</v>
      </c>
      <c r="R153" s="339">
        <f t="shared" si="35"/>
        <v>366509.22</v>
      </c>
      <c r="S153" s="337"/>
    </row>
    <row r="154" spans="2:19">
      <c r="B154" s="337" t="s">
        <v>1418</v>
      </c>
      <c r="C154" s="367">
        <v>150</v>
      </c>
      <c r="D154" s="337" t="s">
        <v>1437</v>
      </c>
      <c r="E154" s="337" t="s">
        <v>455</v>
      </c>
      <c r="F154" s="346">
        <v>150000</v>
      </c>
      <c r="G154" s="346">
        <v>19995</v>
      </c>
      <c r="H154" s="340">
        <f t="shared" si="37"/>
        <v>169995</v>
      </c>
      <c r="I154" s="358">
        <v>50</v>
      </c>
      <c r="J154" s="377">
        <v>3399.9</v>
      </c>
      <c r="K154" s="356">
        <f t="shared" si="29"/>
        <v>399.9</v>
      </c>
      <c r="L154" s="356">
        <f t="shared" si="30"/>
        <v>3000</v>
      </c>
      <c r="M154" s="356">
        <f t="shared" si="32"/>
        <v>399.9</v>
      </c>
      <c r="N154" s="356">
        <f t="shared" si="33"/>
        <v>19595.099999999999</v>
      </c>
      <c r="O154" s="358">
        <v>1</v>
      </c>
      <c r="P154" s="354">
        <f t="shared" si="36"/>
        <v>49</v>
      </c>
      <c r="Q154" s="339">
        <f t="shared" si="34"/>
        <v>3399.9</v>
      </c>
      <c r="R154" s="339">
        <f t="shared" si="35"/>
        <v>166595.1</v>
      </c>
      <c r="S154" s="337"/>
    </row>
    <row r="155" spans="2:19">
      <c r="B155" s="337"/>
      <c r="C155" s="367">
        <v>151</v>
      </c>
      <c r="D155" s="337" t="s">
        <v>1437</v>
      </c>
      <c r="E155" s="337" t="s">
        <v>1270</v>
      </c>
      <c r="F155" s="346">
        <v>150000</v>
      </c>
      <c r="G155" s="346">
        <v>19995</v>
      </c>
      <c r="H155" s="340">
        <f t="shared" si="37"/>
        <v>169995</v>
      </c>
      <c r="I155" s="358">
        <v>50</v>
      </c>
      <c r="J155" s="346">
        <v>3399.9</v>
      </c>
      <c r="K155" s="356">
        <f t="shared" si="29"/>
        <v>399.9</v>
      </c>
      <c r="L155" s="356">
        <f t="shared" si="30"/>
        <v>3000</v>
      </c>
      <c r="M155" s="356">
        <f t="shared" si="32"/>
        <v>15596.099999999999</v>
      </c>
      <c r="N155" s="356">
        <f t="shared" si="33"/>
        <v>4398.8999999999996</v>
      </c>
      <c r="O155" s="358">
        <v>39</v>
      </c>
      <c r="P155" s="354">
        <f t="shared" si="36"/>
        <v>11</v>
      </c>
      <c r="Q155" s="339">
        <f t="shared" si="34"/>
        <v>132596.1</v>
      </c>
      <c r="R155" s="339">
        <f t="shared" si="35"/>
        <v>37398.899999999994</v>
      </c>
      <c r="S155" s="337"/>
    </row>
    <row r="156" spans="2:19">
      <c r="B156" s="337"/>
      <c r="C156" s="367">
        <v>152</v>
      </c>
      <c r="D156" s="337" t="s">
        <v>1437</v>
      </c>
      <c r="E156" s="337" t="s">
        <v>1272</v>
      </c>
      <c r="F156" s="346">
        <v>450000</v>
      </c>
      <c r="G156" s="346">
        <v>59985</v>
      </c>
      <c r="H156" s="340">
        <f t="shared" si="37"/>
        <v>509985</v>
      </c>
      <c r="I156" s="358">
        <v>50</v>
      </c>
      <c r="J156" s="346">
        <v>10199.700000000001</v>
      </c>
      <c r="K156" s="356">
        <f t="shared" si="29"/>
        <v>1199.7</v>
      </c>
      <c r="L156" s="356">
        <f t="shared" si="30"/>
        <v>9000</v>
      </c>
      <c r="M156" s="356">
        <f t="shared" si="32"/>
        <v>15596.1</v>
      </c>
      <c r="N156" s="356">
        <f t="shared" si="33"/>
        <v>44388.9</v>
      </c>
      <c r="O156" s="358">
        <v>13</v>
      </c>
      <c r="P156" s="354">
        <f t="shared" si="36"/>
        <v>37</v>
      </c>
      <c r="Q156" s="339">
        <f t="shared" si="34"/>
        <v>132596.1</v>
      </c>
      <c r="R156" s="339">
        <f t="shared" si="35"/>
        <v>377388.9</v>
      </c>
      <c r="S156" s="337"/>
    </row>
    <row r="157" spans="2:19">
      <c r="B157" s="337"/>
      <c r="C157" s="367">
        <v>153</v>
      </c>
      <c r="D157" s="337" t="s">
        <v>1437</v>
      </c>
      <c r="E157" s="337" t="s">
        <v>1268</v>
      </c>
      <c r="F157" s="346">
        <v>500000</v>
      </c>
      <c r="G157" s="346">
        <v>66650</v>
      </c>
      <c r="H157" s="340">
        <f t="shared" si="37"/>
        <v>566650</v>
      </c>
      <c r="I157" s="358">
        <v>50</v>
      </c>
      <c r="J157" s="346">
        <v>11749.67</v>
      </c>
      <c r="K157" s="356">
        <f t="shared" si="29"/>
        <v>1333</v>
      </c>
      <c r="L157" s="356">
        <f t="shared" si="30"/>
        <v>10000</v>
      </c>
      <c r="M157" s="356">
        <f t="shared" si="32"/>
        <v>37324</v>
      </c>
      <c r="N157" s="356">
        <f t="shared" si="33"/>
        <v>29326</v>
      </c>
      <c r="O157" s="358">
        <v>28</v>
      </c>
      <c r="P157" s="354">
        <f t="shared" si="36"/>
        <v>22</v>
      </c>
      <c r="Q157" s="339">
        <f t="shared" si="34"/>
        <v>328990.76</v>
      </c>
      <c r="R157" s="339">
        <f t="shared" si="35"/>
        <v>237659.24</v>
      </c>
      <c r="S157" s="337"/>
    </row>
    <row r="158" spans="2:19">
      <c r="B158" s="337"/>
      <c r="C158" s="367">
        <v>154</v>
      </c>
      <c r="D158" s="337" t="s">
        <v>1437</v>
      </c>
      <c r="E158" s="337" t="s">
        <v>1420</v>
      </c>
      <c r="F158" s="346">
        <v>450000</v>
      </c>
      <c r="G158" s="346">
        <v>59985</v>
      </c>
      <c r="H158" s="340">
        <f t="shared" si="37"/>
        <v>509985</v>
      </c>
      <c r="I158" s="358">
        <v>50</v>
      </c>
      <c r="J158" s="346">
        <v>10199.700000000001</v>
      </c>
      <c r="K158" s="356">
        <f t="shared" si="29"/>
        <v>1199.7</v>
      </c>
      <c r="L158" s="356">
        <f t="shared" si="30"/>
        <v>9000</v>
      </c>
      <c r="M158" s="356">
        <f t="shared" si="32"/>
        <v>3599.1000000000004</v>
      </c>
      <c r="N158" s="356">
        <f t="shared" si="33"/>
        <v>56385.9</v>
      </c>
      <c r="O158" s="358">
        <v>3</v>
      </c>
      <c r="P158" s="354">
        <f t="shared" si="36"/>
        <v>47</v>
      </c>
      <c r="Q158" s="339">
        <f t="shared" si="34"/>
        <v>30599.100000000002</v>
      </c>
      <c r="R158" s="339">
        <f t="shared" si="35"/>
        <v>479385.9</v>
      </c>
      <c r="S158" s="337"/>
    </row>
    <row r="159" spans="2:19">
      <c r="B159" s="337"/>
      <c r="C159" s="367">
        <v>155</v>
      </c>
      <c r="D159" s="337" t="s">
        <v>1437</v>
      </c>
      <c r="E159" s="337" t="s">
        <v>1269</v>
      </c>
      <c r="F159" s="346">
        <v>450000</v>
      </c>
      <c r="G159" s="346">
        <v>59985</v>
      </c>
      <c r="H159" s="340">
        <f t="shared" si="37"/>
        <v>509985</v>
      </c>
      <c r="I159" s="358">
        <v>50</v>
      </c>
      <c r="J159" s="346">
        <v>10199.700000000001</v>
      </c>
      <c r="K159" s="356">
        <f t="shared" si="29"/>
        <v>1199.7</v>
      </c>
      <c r="L159" s="356">
        <f t="shared" si="30"/>
        <v>9000</v>
      </c>
      <c r="M159" s="356">
        <f t="shared" si="32"/>
        <v>41989.5</v>
      </c>
      <c r="N159" s="356">
        <f t="shared" si="33"/>
        <v>17995.5</v>
      </c>
      <c r="O159" s="358">
        <v>35</v>
      </c>
      <c r="P159" s="354">
        <f t="shared" si="36"/>
        <v>15</v>
      </c>
      <c r="Q159" s="339">
        <f t="shared" si="34"/>
        <v>356989.5</v>
      </c>
      <c r="R159" s="339">
        <f t="shared" si="35"/>
        <v>152995.5</v>
      </c>
      <c r="S159" s="337"/>
    </row>
    <row r="160" spans="2:19">
      <c r="B160" s="337"/>
      <c r="C160" s="337"/>
      <c r="D160" s="337"/>
      <c r="E160" s="337"/>
      <c r="F160" s="346">
        <f>SUM(F5:F159)</f>
        <v>64770000</v>
      </c>
      <c r="G160" s="346">
        <f>SUM(G5:G159)</f>
        <v>8621524.1999999993</v>
      </c>
      <c r="H160" s="346">
        <f>SUM(H5:H159)</f>
        <v>73391524.200000003</v>
      </c>
      <c r="I160" s="357"/>
      <c r="J160" s="346">
        <f>SUM(J5:J159)</f>
        <v>1520170.15</v>
      </c>
      <c r="K160" s="346">
        <f>SUM(K5:K159)</f>
        <v>172430.48399999994</v>
      </c>
      <c r="L160" s="346">
        <f>SUM(L5:L159)</f>
        <v>1295400</v>
      </c>
      <c r="M160" s="346">
        <f>SUM(M5:M159)</f>
        <v>3429716.2880000006</v>
      </c>
      <c r="N160" s="346">
        <f>SUM(N5:N159)</f>
        <v>4993786.9959999993</v>
      </c>
      <c r="O160" s="358"/>
      <c r="P160" s="358"/>
      <c r="Q160" s="346">
        <f>SUM(Q5:Q159)</f>
        <v>29595684.020000007</v>
      </c>
      <c r="R160" s="346">
        <f>SUM(R5:R159)</f>
        <v>43795840.179999992</v>
      </c>
      <c r="S160" s="337"/>
    </row>
  </sheetData>
  <mergeCells count="3">
    <mergeCell ref="C1:S1"/>
    <mergeCell ref="C2:S2"/>
    <mergeCell ref="C3:S3"/>
  </mergeCells>
  <conditionalFormatting sqref="B99:B100">
    <cfRule type="duplicateValues" dxfId="29" priority="2"/>
  </conditionalFormatting>
  <conditionalFormatting sqref="B106:B109 B4:B92 B98:B100 B115:B121 B129:B143">
    <cfRule type="duplicateValues" dxfId="28" priority="1"/>
  </conditionalFormatting>
  <pageMargins left="0.7" right="0.7" top="0.75" bottom="0.75" header="0.3" footer="0.3"/>
  <pageSetup paperSize="9" scale="50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B1:T161"/>
  <sheetViews>
    <sheetView topLeftCell="B1" zoomScale="90" zoomScaleNormal="90" workbookViewId="0">
      <selection activeCell="D2" sqref="D2:T161"/>
    </sheetView>
  </sheetViews>
  <sheetFormatPr defaultRowHeight="15.75"/>
  <cols>
    <col min="1" max="1" width="9.140625" style="336"/>
    <col min="2" max="2" width="14.5703125" style="336" bestFit="1" customWidth="1"/>
    <col min="3" max="3" width="18.7109375" style="336" customWidth="1"/>
    <col min="4" max="4" width="5.5703125" style="336" customWidth="1"/>
    <col min="5" max="5" width="13.5703125" style="336" customWidth="1"/>
    <col min="6" max="6" width="37.140625" style="336" customWidth="1"/>
    <col min="7" max="8" width="16.85546875" style="342" customWidth="1"/>
    <col min="9" max="9" width="17.42578125" style="342" customWidth="1"/>
    <col min="10" max="10" width="7.28515625" style="343" customWidth="1"/>
    <col min="11" max="11" width="16.5703125" style="342" customWidth="1"/>
    <col min="12" max="12" width="14.140625" style="355" customWidth="1"/>
    <col min="13" max="13" width="16.85546875" style="355" customWidth="1"/>
    <col min="14" max="14" width="16.5703125" style="355" customWidth="1"/>
    <col min="15" max="15" width="15.85546875" style="355" customWidth="1"/>
    <col min="16" max="16" width="10.140625" style="344" customWidth="1"/>
    <col min="17" max="17" width="12.140625" style="344" customWidth="1"/>
    <col min="18" max="18" width="17" style="342" customWidth="1"/>
    <col min="19" max="19" width="16.85546875" style="342" customWidth="1"/>
    <col min="20" max="20" width="10.85546875" style="336" customWidth="1"/>
    <col min="21" max="16384" width="9.140625" style="336"/>
  </cols>
  <sheetData>
    <row r="1" spans="2:20" ht="22.5">
      <c r="D1" s="425" t="s">
        <v>1421</v>
      </c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</row>
    <row r="2" spans="2:20" customFormat="1" ht="20.25">
      <c r="C2" s="360"/>
      <c r="D2" s="419" t="s">
        <v>245</v>
      </c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</row>
    <row r="3" spans="2:20" customFormat="1" ht="18">
      <c r="C3" s="360"/>
      <c r="D3" s="426" t="s">
        <v>1442</v>
      </c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</row>
    <row r="4" spans="2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70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4" t="s">
        <v>1436</v>
      </c>
    </row>
    <row r="5" spans="2:20">
      <c r="B5" s="378"/>
      <c r="C5" s="361" t="s">
        <v>1369</v>
      </c>
      <c r="D5" s="367">
        <v>1</v>
      </c>
      <c r="E5" s="337" t="s">
        <v>1437</v>
      </c>
      <c r="F5" s="338" t="s">
        <v>1282</v>
      </c>
      <c r="G5" s="339">
        <v>330000</v>
      </c>
      <c r="H5" s="339">
        <v>43989</v>
      </c>
      <c r="I5" s="340">
        <f t="shared" ref="I5:I36" si="0">SUM(G5:H5)</f>
        <v>373989</v>
      </c>
      <c r="J5" s="347">
        <v>50</v>
      </c>
      <c r="K5" s="349">
        <v>7479.78</v>
      </c>
      <c r="L5" s="356">
        <f t="shared" ref="L5:L36" si="1">H5/50</f>
        <v>879.78</v>
      </c>
      <c r="M5" s="356">
        <f t="shared" ref="M5:M36" si="2">G5/50</f>
        <v>6600</v>
      </c>
      <c r="N5" s="356">
        <f t="shared" ref="N5:N36" si="3">L5*P5</f>
        <v>7918.0199999999995</v>
      </c>
      <c r="O5" s="356">
        <f t="shared" ref="O5:O36" si="4">L5*Q5</f>
        <v>36070.979999999996</v>
      </c>
      <c r="P5" s="352">
        <v>9</v>
      </c>
      <c r="Q5" s="354">
        <f t="shared" ref="Q5:Q36" si="5">J5-P5</f>
        <v>41</v>
      </c>
      <c r="R5" s="339">
        <f t="shared" ref="R5:R36" si="6">K5*P5</f>
        <v>67318.02</v>
      </c>
      <c r="S5" s="339">
        <f t="shared" ref="S5:S36" si="7">I5-R5</f>
        <v>306670.98</v>
      </c>
      <c r="T5" s="341"/>
    </row>
    <row r="6" spans="2:20">
      <c r="B6" s="378"/>
      <c r="C6" s="361" t="s">
        <v>1396</v>
      </c>
      <c r="D6" s="367">
        <v>2</v>
      </c>
      <c r="E6" s="337" t="s">
        <v>1437</v>
      </c>
      <c r="F6" s="341" t="s">
        <v>1397</v>
      </c>
      <c r="G6" s="339">
        <v>150000</v>
      </c>
      <c r="H6" s="339">
        <v>19995</v>
      </c>
      <c r="I6" s="340">
        <f t="shared" si="0"/>
        <v>169995</v>
      </c>
      <c r="J6" s="347">
        <v>50</v>
      </c>
      <c r="K6" s="349">
        <v>3399.9</v>
      </c>
      <c r="L6" s="356">
        <f t="shared" si="1"/>
        <v>399.9</v>
      </c>
      <c r="M6" s="356">
        <f t="shared" si="2"/>
        <v>3000</v>
      </c>
      <c r="N6" s="356">
        <f t="shared" si="3"/>
        <v>4398.8999999999996</v>
      </c>
      <c r="O6" s="356">
        <f t="shared" si="4"/>
        <v>15596.099999999999</v>
      </c>
      <c r="P6" s="352">
        <v>11</v>
      </c>
      <c r="Q6" s="354">
        <f t="shared" si="5"/>
        <v>39</v>
      </c>
      <c r="R6" s="339">
        <f t="shared" si="6"/>
        <v>37398.9</v>
      </c>
      <c r="S6" s="339">
        <f t="shared" si="7"/>
        <v>132596.1</v>
      </c>
      <c r="T6" s="341"/>
    </row>
    <row r="7" spans="2:20">
      <c r="B7" s="378"/>
      <c r="C7" s="337" t="s">
        <v>1412</v>
      </c>
      <c r="D7" s="367">
        <v>3</v>
      </c>
      <c r="E7" s="337" t="s">
        <v>1437</v>
      </c>
      <c r="F7" s="337" t="s">
        <v>468</v>
      </c>
      <c r="G7" s="346">
        <v>500000</v>
      </c>
      <c r="H7" s="346">
        <v>66650</v>
      </c>
      <c r="I7" s="340">
        <f t="shared" si="0"/>
        <v>566650</v>
      </c>
      <c r="J7" s="348">
        <v>50</v>
      </c>
      <c r="K7" s="351">
        <v>11333</v>
      </c>
      <c r="L7" s="356">
        <f t="shared" si="1"/>
        <v>1333</v>
      </c>
      <c r="M7" s="356">
        <f t="shared" si="2"/>
        <v>10000</v>
      </c>
      <c r="N7" s="356">
        <f t="shared" si="3"/>
        <v>2666</v>
      </c>
      <c r="O7" s="356">
        <f t="shared" si="4"/>
        <v>63984</v>
      </c>
      <c r="P7" s="348">
        <v>2</v>
      </c>
      <c r="Q7" s="354">
        <f t="shared" si="5"/>
        <v>48</v>
      </c>
      <c r="R7" s="339">
        <f t="shared" si="6"/>
        <v>22666</v>
      </c>
      <c r="S7" s="339">
        <f t="shared" si="7"/>
        <v>543984</v>
      </c>
      <c r="T7" s="337"/>
    </row>
    <row r="8" spans="2:20">
      <c r="B8" s="378"/>
      <c r="C8" s="362" t="s">
        <v>1047</v>
      </c>
      <c r="D8" s="367">
        <v>4</v>
      </c>
      <c r="E8" s="337" t="s">
        <v>1437</v>
      </c>
      <c r="F8" s="338" t="s">
        <v>873</v>
      </c>
      <c r="G8" s="339">
        <v>450000</v>
      </c>
      <c r="H8" s="339">
        <v>59985</v>
      </c>
      <c r="I8" s="340">
        <f t="shared" si="0"/>
        <v>509985</v>
      </c>
      <c r="J8" s="347">
        <v>50</v>
      </c>
      <c r="K8" s="349">
        <v>10199.700000000001</v>
      </c>
      <c r="L8" s="356">
        <f t="shared" si="1"/>
        <v>1199.7</v>
      </c>
      <c r="M8" s="356">
        <f t="shared" si="2"/>
        <v>9000</v>
      </c>
      <c r="N8" s="356">
        <f t="shared" si="3"/>
        <v>28792.800000000003</v>
      </c>
      <c r="O8" s="356">
        <f t="shared" si="4"/>
        <v>31192.2</v>
      </c>
      <c r="P8" s="352">
        <v>24</v>
      </c>
      <c r="Q8" s="354">
        <f t="shared" si="5"/>
        <v>26</v>
      </c>
      <c r="R8" s="339">
        <f t="shared" si="6"/>
        <v>244792.80000000002</v>
      </c>
      <c r="S8" s="339">
        <f t="shared" si="7"/>
        <v>265192.19999999995</v>
      </c>
      <c r="T8" s="341"/>
    </row>
    <row r="9" spans="2:20">
      <c r="B9" s="378"/>
      <c r="C9" s="337" t="s">
        <v>1418</v>
      </c>
      <c r="D9" s="367">
        <v>5</v>
      </c>
      <c r="E9" s="337" t="s">
        <v>1437</v>
      </c>
      <c r="F9" s="337" t="s">
        <v>455</v>
      </c>
      <c r="G9" s="346">
        <v>150000</v>
      </c>
      <c r="H9" s="346">
        <v>19995</v>
      </c>
      <c r="I9" s="340">
        <f t="shared" si="0"/>
        <v>169995</v>
      </c>
      <c r="J9" s="358">
        <v>50</v>
      </c>
      <c r="K9" s="346">
        <v>3399.9</v>
      </c>
      <c r="L9" s="356">
        <f t="shared" si="1"/>
        <v>399.9</v>
      </c>
      <c r="M9" s="356">
        <f t="shared" si="2"/>
        <v>3000</v>
      </c>
      <c r="N9" s="356">
        <f t="shared" si="3"/>
        <v>799.8</v>
      </c>
      <c r="O9" s="356">
        <f t="shared" si="4"/>
        <v>19195.199999999997</v>
      </c>
      <c r="P9" s="358">
        <v>2</v>
      </c>
      <c r="Q9" s="354">
        <f t="shared" si="5"/>
        <v>48</v>
      </c>
      <c r="R9" s="339">
        <f t="shared" si="6"/>
        <v>6799.8</v>
      </c>
      <c r="S9" s="339">
        <f t="shared" si="7"/>
        <v>163195.20000000001</v>
      </c>
      <c r="T9" s="337"/>
    </row>
    <row r="10" spans="2:20">
      <c r="B10" s="378"/>
      <c r="C10" s="363" t="s">
        <v>1034</v>
      </c>
      <c r="D10" s="367">
        <v>6</v>
      </c>
      <c r="E10" s="337" t="s">
        <v>1437</v>
      </c>
      <c r="F10" s="341" t="s">
        <v>1035</v>
      </c>
      <c r="G10" s="339">
        <v>500000</v>
      </c>
      <c r="H10" s="339">
        <v>66650</v>
      </c>
      <c r="I10" s="340">
        <f t="shared" si="0"/>
        <v>566650</v>
      </c>
      <c r="J10" s="347">
        <v>50</v>
      </c>
      <c r="K10" s="349">
        <v>11333</v>
      </c>
      <c r="L10" s="356">
        <f t="shared" si="1"/>
        <v>1333</v>
      </c>
      <c r="M10" s="356">
        <f t="shared" si="2"/>
        <v>10000</v>
      </c>
      <c r="N10" s="356">
        <f t="shared" si="3"/>
        <v>31992</v>
      </c>
      <c r="O10" s="356">
        <f t="shared" si="4"/>
        <v>34658</v>
      </c>
      <c r="P10" s="347">
        <v>24</v>
      </c>
      <c r="Q10" s="354">
        <f t="shared" si="5"/>
        <v>26</v>
      </c>
      <c r="R10" s="339">
        <f t="shared" si="6"/>
        <v>271992</v>
      </c>
      <c r="S10" s="339">
        <f t="shared" si="7"/>
        <v>294658</v>
      </c>
      <c r="T10" s="341"/>
    </row>
    <row r="11" spans="2:20">
      <c r="B11" s="378"/>
      <c r="C11" s="362" t="s">
        <v>1382</v>
      </c>
      <c r="D11" s="367">
        <v>7</v>
      </c>
      <c r="E11" s="337" t="s">
        <v>1437</v>
      </c>
      <c r="F11" s="341" t="s">
        <v>1130</v>
      </c>
      <c r="G11" s="339">
        <v>330000</v>
      </c>
      <c r="H11" s="339">
        <v>43989</v>
      </c>
      <c r="I11" s="340">
        <f t="shared" si="0"/>
        <v>373989</v>
      </c>
      <c r="J11" s="347">
        <v>50</v>
      </c>
      <c r="K11" s="349">
        <v>7479.78</v>
      </c>
      <c r="L11" s="356">
        <f t="shared" si="1"/>
        <v>879.78</v>
      </c>
      <c r="M11" s="356">
        <f t="shared" si="2"/>
        <v>6600</v>
      </c>
      <c r="N11" s="356">
        <f t="shared" si="3"/>
        <v>14076.48</v>
      </c>
      <c r="O11" s="356">
        <f t="shared" si="4"/>
        <v>29912.52</v>
      </c>
      <c r="P11" s="353">
        <v>16</v>
      </c>
      <c r="Q11" s="354">
        <f t="shared" si="5"/>
        <v>34</v>
      </c>
      <c r="R11" s="339">
        <f t="shared" si="6"/>
        <v>119676.48</v>
      </c>
      <c r="S11" s="339">
        <f t="shared" si="7"/>
        <v>254312.52000000002</v>
      </c>
      <c r="T11" s="341"/>
    </row>
    <row r="12" spans="2:20">
      <c r="B12" s="378"/>
      <c r="C12" s="364" t="s">
        <v>1071</v>
      </c>
      <c r="D12" s="367">
        <v>8</v>
      </c>
      <c r="E12" s="337" t="s">
        <v>1437</v>
      </c>
      <c r="F12" s="338" t="s">
        <v>496</v>
      </c>
      <c r="G12" s="340">
        <v>500000</v>
      </c>
      <c r="H12" s="339">
        <v>66650</v>
      </c>
      <c r="I12" s="340">
        <f t="shared" si="0"/>
        <v>566650</v>
      </c>
      <c r="J12" s="347">
        <v>50</v>
      </c>
      <c r="K12" s="350">
        <v>11333</v>
      </c>
      <c r="L12" s="356">
        <f t="shared" si="1"/>
        <v>1333</v>
      </c>
      <c r="M12" s="356">
        <f t="shared" si="2"/>
        <v>10000</v>
      </c>
      <c r="N12" s="356">
        <f t="shared" si="3"/>
        <v>35991</v>
      </c>
      <c r="O12" s="356">
        <f t="shared" si="4"/>
        <v>30659</v>
      </c>
      <c r="P12" s="352">
        <v>27</v>
      </c>
      <c r="Q12" s="354">
        <f t="shared" si="5"/>
        <v>23</v>
      </c>
      <c r="R12" s="339">
        <f t="shared" si="6"/>
        <v>305991</v>
      </c>
      <c r="S12" s="339">
        <f t="shared" si="7"/>
        <v>260659</v>
      </c>
      <c r="T12" s="341"/>
    </row>
    <row r="13" spans="2:20">
      <c r="B13" s="378"/>
      <c r="C13" s="362" t="s">
        <v>1350</v>
      </c>
      <c r="D13" s="367">
        <v>9</v>
      </c>
      <c r="E13" s="337" t="s">
        <v>1437</v>
      </c>
      <c r="F13" s="338" t="s">
        <v>1117</v>
      </c>
      <c r="G13" s="339">
        <v>500000</v>
      </c>
      <c r="H13" s="339">
        <v>66650</v>
      </c>
      <c r="I13" s="340">
        <f t="shared" si="0"/>
        <v>566650</v>
      </c>
      <c r="J13" s="347">
        <v>50</v>
      </c>
      <c r="K13" s="349">
        <v>11333</v>
      </c>
      <c r="L13" s="356">
        <f t="shared" si="1"/>
        <v>1333</v>
      </c>
      <c r="M13" s="356">
        <f t="shared" si="2"/>
        <v>10000</v>
      </c>
      <c r="N13" s="356">
        <f t="shared" si="3"/>
        <v>21328</v>
      </c>
      <c r="O13" s="356">
        <f t="shared" si="4"/>
        <v>45322</v>
      </c>
      <c r="P13" s="352">
        <v>16</v>
      </c>
      <c r="Q13" s="354">
        <f t="shared" si="5"/>
        <v>34</v>
      </c>
      <c r="R13" s="339">
        <f t="shared" si="6"/>
        <v>181328</v>
      </c>
      <c r="S13" s="339">
        <f t="shared" si="7"/>
        <v>385322</v>
      </c>
      <c r="T13" s="341"/>
    </row>
    <row r="14" spans="2:20">
      <c r="B14" s="378"/>
      <c r="C14" s="361" t="s">
        <v>1338</v>
      </c>
      <c r="D14" s="367">
        <v>10</v>
      </c>
      <c r="E14" s="337" t="s">
        <v>1437</v>
      </c>
      <c r="F14" s="341" t="s">
        <v>438</v>
      </c>
      <c r="G14" s="339">
        <v>500000</v>
      </c>
      <c r="H14" s="339">
        <v>66650</v>
      </c>
      <c r="I14" s="340">
        <f t="shared" si="0"/>
        <v>566650</v>
      </c>
      <c r="J14" s="347">
        <v>50</v>
      </c>
      <c r="K14" s="349">
        <v>11333</v>
      </c>
      <c r="L14" s="356">
        <f t="shared" si="1"/>
        <v>1333</v>
      </c>
      <c r="M14" s="356">
        <f t="shared" si="2"/>
        <v>10000</v>
      </c>
      <c r="N14" s="356">
        <f t="shared" si="3"/>
        <v>5332</v>
      </c>
      <c r="O14" s="356">
        <f t="shared" si="4"/>
        <v>61318</v>
      </c>
      <c r="P14" s="352">
        <v>4</v>
      </c>
      <c r="Q14" s="354">
        <f t="shared" si="5"/>
        <v>46</v>
      </c>
      <c r="R14" s="339">
        <f t="shared" si="6"/>
        <v>45332</v>
      </c>
      <c r="S14" s="339">
        <f t="shared" si="7"/>
        <v>521318</v>
      </c>
      <c r="T14" s="341"/>
    </row>
    <row r="15" spans="2:20">
      <c r="B15" s="378"/>
      <c r="C15" s="337" t="s">
        <v>1413</v>
      </c>
      <c r="D15" s="367">
        <v>11</v>
      </c>
      <c r="E15" s="337" t="s">
        <v>1437</v>
      </c>
      <c r="F15" s="337" t="s">
        <v>454</v>
      </c>
      <c r="G15" s="346">
        <v>500000</v>
      </c>
      <c r="H15" s="346">
        <v>66650</v>
      </c>
      <c r="I15" s="340">
        <f t="shared" si="0"/>
        <v>566650</v>
      </c>
      <c r="J15" s="348">
        <v>50</v>
      </c>
      <c r="K15" s="351">
        <v>11333</v>
      </c>
      <c r="L15" s="356">
        <f t="shared" si="1"/>
        <v>1333</v>
      </c>
      <c r="M15" s="356">
        <f t="shared" si="2"/>
        <v>10000</v>
      </c>
      <c r="N15" s="356">
        <f t="shared" si="3"/>
        <v>2666</v>
      </c>
      <c r="O15" s="356">
        <f t="shared" si="4"/>
        <v>63984</v>
      </c>
      <c r="P15" s="348">
        <v>2</v>
      </c>
      <c r="Q15" s="354">
        <f t="shared" si="5"/>
        <v>48</v>
      </c>
      <c r="R15" s="339">
        <f t="shared" si="6"/>
        <v>22666</v>
      </c>
      <c r="S15" s="339">
        <f t="shared" si="7"/>
        <v>543984</v>
      </c>
      <c r="T15" s="337"/>
    </row>
    <row r="16" spans="2:20">
      <c r="B16" s="378"/>
      <c r="C16" s="363" t="s">
        <v>1363</v>
      </c>
      <c r="D16" s="367">
        <v>12</v>
      </c>
      <c r="E16" s="337" t="s">
        <v>1437</v>
      </c>
      <c r="F16" s="341" t="s">
        <v>1364</v>
      </c>
      <c r="G16" s="339">
        <v>450000</v>
      </c>
      <c r="H16" s="339">
        <v>59985</v>
      </c>
      <c r="I16" s="340">
        <f t="shared" si="0"/>
        <v>509985</v>
      </c>
      <c r="J16" s="347">
        <v>50</v>
      </c>
      <c r="K16" s="349">
        <v>10199.700000000001</v>
      </c>
      <c r="L16" s="356">
        <f t="shared" si="1"/>
        <v>1199.7</v>
      </c>
      <c r="M16" s="356">
        <f t="shared" si="2"/>
        <v>9000</v>
      </c>
      <c r="N16" s="356">
        <f t="shared" si="3"/>
        <v>8397.9</v>
      </c>
      <c r="O16" s="356">
        <f t="shared" si="4"/>
        <v>51587.1</v>
      </c>
      <c r="P16" s="353">
        <v>7</v>
      </c>
      <c r="Q16" s="354">
        <f t="shared" si="5"/>
        <v>43</v>
      </c>
      <c r="R16" s="339">
        <f t="shared" si="6"/>
        <v>71397.900000000009</v>
      </c>
      <c r="S16" s="339">
        <f t="shared" si="7"/>
        <v>438587.1</v>
      </c>
      <c r="T16" s="341"/>
    </row>
    <row r="17" spans="2:20">
      <c r="B17" s="378"/>
      <c r="C17" s="361" t="s">
        <v>1343</v>
      </c>
      <c r="D17" s="367">
        <v>13</v>
      </c>
      <c r="E17" s="337" t="s">
        <v>1437</v>
      </c>
      <c r="F17" s="341" t="s">
        <v>451</v>
      </c>
      <c r="G17" s="339">
        <v>500000</v>
      </c>
      <c r="H17" s="339">
        <v>66650</v>
      </c>
      <c r="I17" s="340">
        <f t="shared" si="0"/>
        <v>566650</v>
      </c>
      <c r="J17" s="347">
        <v>50</v>
      </c>
      <c r="K17" s="349">
        <v>11333</v>
      </c>
      <c r="L17" s="356">
        <f t="shared" si="1"/>
        <v>1333</v>
      </c>
      <c r="M17" s="356">
        <f t="shared" si="2"/>
        <v>10000</v>
      </c>
      <c r="N17" s="356">
        <f t="shared" si="3"/>
        <v>18662</v>
      </c>
      <c r="O17" s="356">
        <f t="shared" si="4"/>
        <v>47988</v>
      </c>
      <c r="P17" s="353">
        <v>14</v>
      </c>
      <c r="Q17" s="354">
        <f t="shared" si="5"/>
        <v>36</v>
      </c>
      <c r="R17" s="339">
        <f t="shared" si="6"/>
        <v>158662</v>
      </c>
      <c r="S17" s="339">
        <f t="shared" si="7"/>
        <v>407988</v>
      </c>
      <c r="T17" s="341"/>
    </row>
    <row r="18" spans="2:20">
      <c r="B18" s="378"/>
      <c r="C18" s="363" t="s">
        <v>1107</v>
      </c>
      <c r="D18" s="367">
        <v>14</v>
      </c>
      <c r="E18" s="337" t="s">
        <v>1437</v>
      </c>
      <c r="F18" s="341" t="s">
        <v>734</v>
      </c>
      <c r="G18" s="339">
        <v>500000</v>
      </c>
      <c r="H18" s="339">
        <v>66650</v>
      </c>
      <c r="I18" s="340">
        <f t="shared" si="0"/>
        <v>566650</v>
      </c>
      <c r="J18" s="347">
        <v>50</v>
      </c>
      <c r="K18" s="349">
        <v>11333</v>
      </c>
      <c r="L18" s="356">
        <f t="shared" si="1"/>
        <v>1333</v>
      </c>
      <c r="M18" s="356">
        <f t="shared" si="2"/>
        <v>10000</v>
      </c>
      <c r="N18" s="356">
        <f t="shared" si="3"/>
        <v>5332</v>
      </c>
      <c r="O18" s="356">
        <f t="shared" si="4"/>
        <v>61318</v>
      </c>
      <c r="P18" s="353">
        <v>4</v>
      </c>
      <c r="Q18" s="354">
        <f t="shared" si="5"/>
        <v>46</v>
      </c>
      <c r="R18" s="339">
        <f t="shared" si="6"/>
        <v>45332</v>
      </c>
      <c r="S18" s="339">
        <f t="shared" si="7"/>
        <v>521318</v>
      </c>
      <c r="T18" s="341"/>
    </row>
    <row r="19" spans="2:20">
      <c r="B19" s="378"/>
      <c r="C19" s="337" t="s">
        <v>984</v>
      </c>
      <c r="D19" s="367">
        <v>15</v>
      </c>
      <c r="E19" s="337" t="s">
        <v>1437</v>
      </c>
      <c r="F19" s="337" t="s">
        <v>287</v>
      </c>
      <c r="G19" s="346">
        <v>450000</v>
      </c>
      <c r="H19" s="346">
        <v>59985</v>
      </c>
      <c r="I19" s="340">
        <f t="shared" si="0"/>
        <v>509985</v>
      </c>
      <c r="J19" s="358">
        <v>50</v>
      </c>
      <c r="K19" s="346">
        <v>10199.700000000001</v>
      </c>
      <c r="L19" s="356">
        <f t="shared" si="1"/>
        <v>1199.7</v>
      </c>
      <c r="M19" s="356">
        <f t="shared" si="2"/>
        <v>9000</v>
      </c>
      <c r="N19" s="356">
        <f t="shared" si="3"/>
        <v>2399.4</v>
      </c>
      <c r="O19" s="356">
        <f t="shared" si="4"/>
        <v>57585.600000000006</v>
      </c>
      <c r="P19" s="358">
        <v>2</v>
      </c>
      <c r="Q19" s="354">
        <f t="shared" si="5"/>
        <v>48</v>
      </c>
      <c r="R19" s="339">
        <f t="shared" si="6"/>
        <v>20399.400000000001</v>
      </c>
      <c r="S19" s="339">
        <f t="shared" si="7"/>
        <v>489585.6</v>
      </c>
      <c r="T19" s="337"/>
    </row>
    <row r="20" spans="2:20">
      <c r="B20" s="378"/>
      <c r="C20" s="363" t="s">
        <v>1344</v>
      </c>
      <c r="D20" s="367">
        <v>16</v>
      </c>
      <c r="E20" s="337" t="s">
        <v>1437</v>
      </c>
      <c r="F20" s="341" t="s">
        <v>1345</v>
      </c>
      <c r="G20" s="339">
        <v>500000</v>
      </c>
      <c r="H20" s="339">
        <v>66650</v>
      </c>
      <c r="I20" s="340">
        <f t="shared" si="0"/>
        <v>566650</v>
      </c>
      <c r="J20" s="347">
        <v>50</v>
      </c>
      <c r="K20" s="349">
        <v>11333</v>
      </c>
      <c r="L20" s="356">
        <f t="shared" si="1"/>
        <v>1333</v>
      </c>
      <c r="M20" s="356">
        <f t="shared" si="2"/>
        <v>10000</v>
      </c>
      <c r="N20" s="356">
        <f t="shared" si="3"/>
        <v>9331</v>
      </c>
      <c r="O20" s="356">
        <f t="shared" si="4"/>
        <v>57319</v>
      </c>
      <c r="P20" s="352">
        <v>7</v>
      </c>
      <c r="Q20" s="354">
        <f t="shared" si="5"/>
        <v>43</v>
      </c>
      <c r="R20" s="339">
        <f t="shared" si="6"/>
        <v>79331</v>
      </c>
      <c r="S20" s="339">
        <f t="shared" si="7"/>
        <v>487319</v>
      </c>
      <c r="T20" s="341"/>
    </row>
    <row r="21" spans="2:20">
      <c r="B21" s="378"/>
      <c r="C21" s="364" t="s">
        <v>1100</v>
      </c>
      <c r="D21" s="367">
        <v>17</v>
      </c>
      <c r="E21" s="337" t="s">
        <v>1437</v>
      </c>
      <c r="F21" s="341" t="s">
        <v>351</v>
      </c>
      <c r="G21" s="340">
        <v>500000</v>
      </c>
      <c r="H21" s="339">
        <v>66650</v>
      </c>
      <c r="I21" s="340">
        <f t="shared" si="0"/>
        <v>566650</v>
      </c>
      <c r="J21" s="347">
        <v>50</v>
      </c>
      <c r="K21" s="349">
        <v>11333</v>
      </c>
      <c r="L21" s="356">
        <f t="shared" si="1"/>
        <v>1333</v>
      </c>
      <c r="M21" s="356">
        <f t="shared" si="2"/>
        <v>10000</v>
      </c>
      <c r="N21" s="356">
        <f t="shared" si="3"/>
        <v>71982</v>
      </c>
      <c r="O21" s="356">
        <f t="shared" si="4"/>
        <v>-5332</v>
      </c>
      <c r="P21" s="352">
        <v>54</v>
      </c>
      <c r="Q21" s="354">
        <f t="shared" si="5"/>
        <v>-4</v>
      </c>
      <c r="R21" s="339">
        <f t="shared" si="6"/>
        <v>611982</v>
      </c>
      <c r="S21" s="339">
        <f t="shared" si="7"/>
        <v>-45332</v>
      </c>
      <c r="T21" s="341"/>
    </row>
    <row r="22" spans="2:20">
      <c r="B22" s="378"/>
      <c r="C22" s="362" t="s">
        <v>989</v>
      </c>
      <c r="D22" s="367">
        <v>18</v>
      </c>
      <c r="E22" s="337" t="s">
        <v>1437</v>
      </c>
      <c r="F22" s="338" t="s">
        <v>864</v>
      </c>
      <c r="G22" s="339">
        <v>500000</v>
      </c>
      <c r="H22" s="339">
        <v>66650</v>
      </c>
      <c r="I22" s="340">
        <f t="shared" si="0"/>
        <v>566650</v>
      </c>
      <c r="J22" s="347">
        <v>50</v>
      </c>
      <c r="K22" s="349">
        <v>11333</v>
      </c>
      <c r="L22" s="356">
        <f t="shared" si="1"/>
        <v>1333</v>
      </c>
      <c r="M22" s="356">
        <f t="shared" si="2"/>
        <v>10000</v>
      </c>
      <c r="N22" s="356">
        <f t="shared" si="3"/>
        <v>31992</v>
      </c>
      <c r="O22" s="356">
        <f t="shared" si="4"/>
        <v>34658</v>
      </c>
      <c r="P22" s="352">
        <v>24</v>
      </c>
      <c r="Q22" s="354">
        <f t="shared" si="5"/>
        <v>26</v>
      </c>
      <c r="R22" s="339">
        <f t="shared" si="6"/>
        <v>271992</v>
      </c>
      <c r="S22" s="339">
        <f t="shared" si="7"/>
        <v>294658</v>
      </c>
      <c r="T22" s="341"/>
    </row>
    <row r="23" spans="2:20">
      <c r="B23" s="378"/>
      <c r="C23" s="363" t="s">
        <v>991</v>
      </c>
      <c r="D23" s="367">
        <v>19</v>
      </c>
      <c r="E23" s="337" t="s">
        <v>1437</v>
      </c>
      <c r="F23" s="341" t="s">
        <v>992</v>
      </c>
      <c r="G23" s="339">
        <v>330000</v>
      </c>
      <c r="H23" s="339">
        <v>31672.200000000012</v>
      </c>
      <c r="I23" s="340">
        <f t="shared" si="0"/>
        <v>361672.2</v>
      </c>
      <c r="J23" s="347">
        <v>36</v>
      </c>
      <c r="K23" s="349">
        <v>10046.450000000001</v>
      </c>
      <c r="L23" s="356">
        <f t="shared" si="1"/>
        <v>633.44400000000019</v>
      </c>
      <c r="M23" s="356">
        <f t="shared" si="2"/>
        <v>6600</v>
      </c>
      <c r="N23" s="356">
        <f t="shared" si="3"/>
        <v>17736.432000000004</v>
      </c>
      <c r="O23" s="356">
        <f t="shared" si="4"/>
        <v>5067.5520000000015</v>
      </c>
      <c r="P23" s="347">
        <v>28</v>
      </c>
      <c r="Q23" s="354">
        <f t="shared" si="5"/>
        <v>8</v>
      </c>
      <c r="R23" s="339">
        <f t="shared" si="6"/>
        <v>281300.60000000003</v>
      </c>
      <c r="S23" s="339">
        <f t="shared" si="7"/>
        <v>80371.599999999977</v>
      </c>
      <c r="T23" s="341"/>
    </row>
    <row r="24" spans="2:20">
      <c r="B24" s="378"/>
      <c r="C24" s="363" t="s">
        <v>1352</v>
      </c>
      <c r="D24" s="367">
        <v>20</v>
      </c>
      <c r="E24" s="337" t="s">
        <v>1437</v>
      </c>
      <c r="F24" s="341" t="s">
        <v>1353</v>
      </c>
      <c r="G24" s="339">
        <v>500000</v>
      </c>
      <c r="H24" s="339">
        <v>66650</v>
      </c>
      <c r="I24" s="340">
        <f t="shared" si="0"/>
        <v>566650</v>
      </c>
      <c r="J24" s="347">
        <v>50</v>
      </c>
      <c r="K24" s="349">
        <v>11333</v>
      </c>
      <c r="L24" s="356">
        <f t="shared" si="1"/>
        <v>1333</v>
      </c>
      <c r="M24" s="356">
        <f t="shared" si="2"/>
        <v>10000</v>
      </c>
      <c r="N24" s="356">
        <f t="shared" si="3"/>
        <v>5332</v>
      </c>
      <c r="O24" s="356">
        <f t="shared" si="4"/>
        <v>61318</v>
      </c>
      <c r="P24" s="347">
        <v>4</v>
      </c>
      <c r="Q24" s="354">
        <f t="shared" si="5"/>
        <v>46</v>
      </c>
      <c r="R24" s="339">
        <f t="shared" si="6"/>
        <v>45332</v>
      </c>
      <c r="S24" s="339">
        <f t="shared" si="7"/>
        <v>521318</v>
      </c>
      <c r="T24" s="341"/>
    </row>
    <row r="25" spans="2:20">
      <c r="B25" s="378"/>
      <c r="C25" s="362" t="s">
        <v>1141</v>
      </c>
      <c r="D25" s="367">
        <v>21</v>
      </c>
      <c r="E25" s="337" t="s">
        <v>1437</v>
      </c>
      <c r="F25" s="338" t="s">
        <v>1142</v>
      </c>
      <c r="G25" s="339">
        <v>330000</v>
      </c>
      <c r="H25" s="339">
        <v>43989</v>
      </c>
      <c r="I25" s="340">
        <f t="shared" si="0"/>
        <v>373989</v>
      </c>
      <c r="J25" s="347">
        <v>50</v>
      </c>
      <c r="K25" s="349">
        <v>7479.78</v>
      </c>
      <c r="L25" s="356">
        <f t="shared" si="1"/>
        <v>879.78</v>
      </c>
      <c r="M25" s="356">
        <f t="shared" si="2"/>
        <v>6600</v>
      </c>
      <c r="N25" s="356">
        <f t="shared" si="3"/>
        <v>14956.26</v>
      </c>
      <c r="O25" s="356">
        <f t="shared" si="4"/>
        <v>29032.739999999998</v>
      </c>
      <c r="P25" s="352">
        <v>17</v>
      </c>
      <c r="Q25" s="354">
        <f t="shared" si="5"/>
        <v>33</v>
      </c>
      <c r="R25" s="339">
        <f t="shared" si="6"/>
        <v>127156.26</v>
      </c>
      <c r="S25" s="339">
        <f t="shared" si="7"/>
        <v>246832.74</v>
      </c>
      <c r="T25" s="341"/>
    </row>
    <row r="26" spans="2:20">
      <c r="B26" s="378"/>
      <c r="C26" s="364" t="s">
        <v>966</v>
      </c>
      <c r="D26" s="367">
        <v>22</v>
      </c>
      <c r="E26" s="337" t="s">
        <v>1437</v>
      </c>
      <c r="F26" s="337" t="s">
        <v>29</v>
      </c>
      <c r="G26" s="346">
        <v>450000</v>
      </c>
      <c r="H26" s="346">
        <v>59985</v>
      </c>
      <c r="I26" s="340">
        <f t="shared" si="0"/>
        <v>509985</v>
      </c>
      <c r="J26" s="348">
        <v>50</v>
      </c>
      <c r="K26" s="351">
        <v>10199.700000000001</v>
      </c>
      <c r="L26" s="356">
        <f t="shared" si="1"/>
        <v>1199.7</v>
      </c>
      <c r="M26" s="356">
        <f t="shared" si="2"/>
        <v>9000</v>
      </c>
      <c r="N26" s="356">
        <f t="shared" si="3"/>
        <v>49187.700000000004</v>
      </c>
      <c r="O26" s="356">
        <f t="shared" si="4"/>
        <v>10797.300000000001</v>
      </c>
      <c r="P26" s="348">
        <v>41</v>
      </c>
      <c r="Q26" s="354">
        <f t="shared" si="5"/>
        <v>9</v>
      </c>
      <c r="R26" s="339">
        <f t="shared" si="6"/>
        <v>418187.7</v>
      </c>
      <c r="S26" s="339">
        <f t="shared" si="7"/>
        <v>91797.299999999988</v>
      </c>
      <c r="T26" s="337"/>
    </row>
    <row r="27" spans="2:20">
      <c r="B27" s="378"/>
      <c r="C27" s="362" t="s">
        <v>993</v>
      </c>
      <c r="D27" s="367">
        <v>23</v>
      </c>
      <c r="E27" s="337" t="s">
        <v>1437</v>
      </c>
      <c r="F27" s="337" t="s">
        <v>994</v>
      </c>
      <c r="G27" s="346">
        <v>150000</v>
      </c>
      <c r="H27" s="346">
        <v>19995</v>
      </c>
      <c r="I27" s="340">
        <f t="shared" si="0"/>
        <v>169995</v>
      </c>
      <c r="J27" s="348">
        <v>50</v>
      </c>
      <c r="K27" s="351">
        <v>3399.9</v>
      </c>
      <c r="L27" s="356">
        <f t="shared" si="1"/>
        <v>399.9</v>
      </c>
      <c r="M27" s="356">
        <f t="shared" si="2"/>
        <v>3000</v>
      </c>
      <c r="N27" s="356">
        <f t="shared" si="3"/>
        <v>9597.5999999999985</v>
      </c>
      <c r="O27" s="356">
        <f t="shared" si="4"/>
        <v>10397.4</v>
      </c>
      <c r="P27" s="348">
        <v>24</v>
      </c>
      <c r="Q27" s="354">
        <f t="shared" si="5"/>
        <v>26</v>
      </c>
      <c r="R27" s="339">
        <f t="shared" si="6"/>
        <v>81597.600000000006</v>
      </c>
      <c r="S27" s="339">
        <f t="shared" si="7"/>
        <v>88397.4</v>
      </c>
      <c r="T27" s="337"/>
    </row>
    <row r="28" spans="2:20">
      <c r="B28" s="378"/>
      <c r="C28" s="364" t="s">
        <v>1099</v>
      </c>
      <c r="D28" s="367">
        <v>24</v>
      </c>
      <c r="E28" s="337" t="s">
        <v>1437</v>
      </c>
      <c r="F28" s="337" t="s">
        <v>487</v>
      </c>
      <c r="G28" s="346">
        <v>500000</v>
      </c>
      <c r="H28" s="346">
        <v>66650</v>
      </c>
      <c r="I28" s="340">
        <f t="shared" si="0"/>
        <v>566650</v>
      </c>
      <c r="J28" s="348">
        <v>50</v>
      </c>
      <c r="K28" s="351">
        <v>11333</v>
      </c>
      <c r="L28" s="356">
        <f t="shared" si="1"/>
        <v>1333</v>
      </c>
      <c r="M28" s="356">
        <f t="shared" si="2"/>
        <v>10000</v>
      </c>
      <c r="N28" s="356">
        <f t="shared" si="3"/>
        <v>38657</v>
      </c>
      <c r="O28" s="356">
        <f t="shared" si="4"/>
        <v>27993</v>
      </c>
      <c r="P28" s="348">
        <v>29</v>
      </c>
      <c r="Q28" s="354">
        <f t="shared" si="5"/>
        <v>21</v>
      </c>
      <c r="R28" s="339">
        <f t="shared" si="6"/>
        <v>328657</v>
      </c>
      <c r="S28" s="339">
        <f t="shared" si="7"/>
        <v>237993</v>
      </c>
      <c r="T28" s="337"/>
    </row>
    <row r="29" spans="2:20">
      <c r="B29" s="378"/>
      <c r="C29" s="364" t="s">
        <v>1069</v>
      </c>
      <c r="D29" s="367">
        <v>25</v>
      </c>
      <c r="E29" s="337" t="s">
        <v>1437</v>
      </c>
      <c r="F29" s="337" t="s">
        <v>358</v>
      </c>
      <c r="G29" s="346">
        <v>500000</v>
      </c>
      <c r="H29" s="346">
        <v>66650</v>
      </c>
      <c r="I29" s="340">
        <f t="shared" si="0"/>
        <v>566650</v>
      </c>
      <c r="J29" s="348">
        <v>50</v>
      </c>
      <c r="K29" s="351">
        <v>11333</v>
      </c>
      <c r="L29" s="356">
        <f t="shared" si="1"/>
        <v>1333</v>
      </c>
      <c r="M29" s="356">
        <f t="shared" si="2"/>
        <v>10000</v>
      </c>
      <c r="N29" s="356">
        <f t="shared" si="3"/>
        <v>54653</v>
      </c>
      <c r="O29" s="356">
        <f t="shared" si="4"/>
        <v>11997</v>
      </c>
      <c r="P29" s="348">
        <v>41</v>
      </c>
      <c r="Q29" s="354">
        <f t="shared" si="5"/>
        <v>9</v>
      </c>
      <c r="R29" s="339">
        <f t="shared" si="6"/>
        <v>464653</v>
      </c>
      <c r="S29" s="339">
        <f t="shared" si="7"/>
        <v>101997</v>
      </c>
      <c r="T29" s="337"/>
    </row>
    <row r="30" spans="2:20">
      <c r="B30" s="378"/>
      <c r="C30" s="364" t="s">
        <v>1106</v>
      </c>
      <c r="D30" s="367">
        <v>26</v>
      </c>
      <c r="E30" s="337" t="s">
        <v>1437</v>
      </c>
      <c r="F30" s="337" t="s">
        <v>314</v>
      </c>
      <c r="G30" s="346">
        <v>500000</v>
      </c>
      <c r="H30" s="346">
        <v>66650</v>
      </c>
      <c r="I30" s="340">
        <f t="shared" si="0"/>
        <v>566650</v>
      </c>
      <c r="J30" s="348">
        <v>50</v>
      </c>
      <c r="K30" s="351">
        <v>11333</v>
      </c>
      <c r="L30" s="356">
        <f t="shared" si="1"/>
        <v>1333</v>
      </c>
      <c r="M30" s="356">
        <f t="shared" si="2"/>
        <v>10000</v>
      </c>
      <c r="N30" s="356">
        <f t="shared" si="3"/>
        <v>54653</v>
      </c>
      <c r="O30" s="356">
        <f t="shared" si="4"/>
        <v>11997</v>
      </c>
      <c r="P30" s="348">
        <v>41</v>
      </c>
      <c r="Q30" s="354">
        <f t="shared" si="5"/>
        <v>9</v>
      </c>
      <c r="R30" s="339">
        <f t="shared" si="6"/>
        <v>464653</v>
      </c>
      <c r="S30" s="339">
        <f t="shared" si="7"/>
        <v>101997</v>
      </c>
      <c r="T30" s="337"/>
    </row>
    <row r="31" spans="2:20">
      <c r="B31" s="378"/>
      <c r="C31" s="364" t="s">
        <v>1046</v>
      </c>
      <c r="D31" s="367">
        <v>27</v>
      </c>
      <c r="E31" s="337" t="s">
        <v>1437</v>
      </c>
      <c r="F31" s="337" t="s">
        <v>349</v>
      </c>
      <c r="G31" s="346">
        <v>500000</v>
      </c>
      <c r="H31" s="346">
        <v>66650</v>
      </c>
      <c r="I31" s="340">
        <f t="shared" si="0"/>
        <v>566650</v>
      </c>
      <c r="J31" s="348">
        <v>50</v>
      </c>
      <c r="K31" s="351">
        <v>11333</v>
      </c>
      <c r="L31" s="356">
        <f t="shared" si="1"/>
        <v>1333</v>
      </c>
      <c r="M31" s="356">
        <f t="shared" si="2"/>
        <v>10000</v>
      </c>
      <c r="N31" s="356">
        <f t="shared" si="3"/>
        <v>43989</v>
      </c>
      <c r="O31" s="356">
        <f t="shared" si="4"/>
        <v>22661</v>
      </c>
      <c r="P31" s="348">
        <v>33</v>
      </c>
      <c r="Q31" s="354">
        <f t="shared" si="5"/>
        <v>17</v>
      </c>
      <c r="R31" s="339">
        <f t="shared" si="6"/>
        <v>373989</v>
      </c>
      <c r="S31" s="339">
        <f t="shared" si="7"/>
        <v>192661</v>
      </c>
      <c r="T31" s="337"/>
    </row>
    <row r="32" spans="2:20">
      <c r="B32" s="378"/>
      <c r="C32" s="364" t="s">
        <v>1009</v>
      </c>
      <c r="D32" s="367">
        <v>28</v>
      </c>
      <c r="E32" s="337" t="s">
        <v>1437</v>
      </c>
      <c r="F32" s="337" t="s">
        <v>332</v>
      </c>
      <c r="G32" s="346">
        <v>500000</v>
      </c>
      <c r="H32" s="346">
        <v>66650</v>
      </c>
      <c r="I32" s="340">
        <f t="shared" si="0"/>
        <v>566650</v>
      </c>
      <c r="J32" s="348">
        <v>50</v>
      </c>
      <c r="K32" s="351">
        <v>11333</v>
      </c>
      <c r="L32" s="356">
        <f t="shared" si="1"/>
        <v>1333</v>
      </c>
      <c r="M32" s="356">
        <f t="shared" si="2"/>
        <v>10000</v>
      </c>
      <c r="N32" s="356">
        <f t="shared" si="3"/>
        <v>54653</v>
      </c>
      <c r="O32" s="356">
        <f t="shared" si="4"/>
        <v>11997</v>
      </c>
      <c r="P32" s="348">
        <v>41</v>
      </c>
      <c r="Q32" s="354">
        <f t="shared" si="5"/>
        <v>9</v>
      </c>
      <c r="R32" s="339">
        <f t="shared" si="6"/>
        <v>464653</v>
      </c>
      <c r="S32" s="339">
        <f t="shared" si="7"/>
        <v>101997</v>
      </c>
      <c r="T32" s="337"/>
    </row>
    <row r="33" spans="2:20">
      <c r="B33" s="378"/>
      <c r="C33" s="361" t="s">
        <v>1342</v>
      </c>
      <c r="D33" s="367">
        <v>29</v>
      </c>
      <c r="E33" s="337" t="s">
        <v>1437</v>
      </c>
      <c r="F33" s="337" t="s">
        <v>1290</v>
      </c>
      <c r="G33" s="346">
        <v>500000</v>
      </c>
      <c r="H33" s="346">
        <v>66650</v>
      </c>
      <c r="I33" s="340">
        <f t="shared" si="0"/>
        <v>566650</v>
      </c>
      <c r="J33" s="348">
        <v>50</v>
      </c>
      <c r="K33" s="351">
        <v>11333</v>
      </c>
      <c r="L33" s="356">
        <f t="shared" si="1"/>
        <v>1333</v>
      </c>
      <c r="M33" s="356">
        <f t="shared" si="2"/>
        <v>10000</v>
      </c>
      <c r="N33" s="356">
        <f t="shared" si="3"/>
        <v>18662</v>
      </c>
      <c r="O33" s="356">
        <f t="shared" si="4"/>
        <v>47988</v>
      </c>
      <c r="P33" s="348">
        <v>14</v>
      </c>
      <c r="Q33" s="354">
        <f t="shared" si="5"/>
        <v>36</v>
      </c>
      <c r="R33" s="339">
        <f t="shared" si="6"/>
        <v>158662</v>
      </c>
      <c r="S33" s="339">
        <f t="shared" si="7"/>
        <v>407988</v>
      </c>
      <c r="T33" s="337"/>
    </row>
    <row r="34" spans="2:20">
      <c r="B34" s="378"/>
      <c r="C34" s="364" t="s">
        <v>995</v>
      </c>
      <c r="D34" s="367">
        <v>30</v>
      </c>
      <c r="E34" s="337" t="s">
        <v>1437</v>
      </c>
      <c r="F34" s="337" t="s">
        <v>339</v>
      </c>
      <c r="G34" s="346">
        <v>500000</v>
      </c>
      <c r="H34" s="346">
        <v>66650</v>
      </c>
      <c r="I34" s="340">
        <f t="shared" si="0"/>
        <v>566650</v>
      </c>
      <c r="J34" s="348">
        <v>50</v>
      </c>
      <c r="K34" s="351">
        <v>11333</v>
      </c>
      <c r="L34" s="356">
        <f t="shared" si="1"/>
        <v>1333</v>
      </c>
      <c r="M34" s="356">
        <f t="shared" si="2"/>
        <v>10000</v>
      </c>
      <c r="N34" s="356">
        <f t="shared" si="3"/>
        <v>54653</v>
      </c>
      <c r="O34" s="356">
        <f t="shared" si="4"/>
        <v>11997</v>
      </c>
      <c r="P34" s="348">
        <v>41</v>
      </c>
      <c r="Q34" s="354">
        <f t="shared" si="5"/>
        <v>9</v>
      </c>
      <c r="R34" s="339">
        <f t="shared" si="6"/>
        <v>464653</v>
      </c>
      <c r="S34" s="339">
        <f t="shared" si="7"/>
        <v>101997</v>
      </c>
      <c r="T34" s="337"/>
    </row>
    <row r="35" spans="2:20">
      <c r="B35" s="378"/>
      <c r="C35" s="362" t="s">
        <v>1366</v>
      </c>
      <c r="D35" s="367">
        <v>31</v>
      </c>
      <c r="E35" s="337" t="s">
        <v>1437</v>
      </c>
      <c r="F35" s="337" t="s">
        <v>1138</v>
      </c>
      <c r="G35" s="346">
        <v>450000</v>
      </c>
      <c r="H35" s="346">
        <v>59985</v>
      </c>
      <c r="I35" s="340">
        <f t="shared" si="0"/>
        <v>509985</v>
      </c>
      <c r="J35" s="348">
        <v>50</v>
      </c>
      <c r="K35" s="351">
        <v>10199.700000000001</v>
      </c>
      <c r="L35" s="356">
        <f t="shared" si="1"/>
        <v>1199.7</v>
      </c>
      <c r="M35" s="356">
        <f t="shared" si="2"/>
        <v>9000</v>
      </c>
      <c r="N35" s="356">
        <f t="shared" si="3"/>
        <v>19195.2</v>
      </c>
      <c r="O35" s="356">
        <f t="shared" si="4"/>
        <v>40789.800000000003</v>
      </c>
      <c r="P35" s="348">
        <v>16</v>
      </c>
      <c r="Q35" s="354">
        <f t="shared" si="5"/>
        <v>34</v>
      </c>
      <c r="R35" s="339">
        <f t="shared" si="6"/>
        <v>163195.20000000001</v>
      </c>
      <c r="S35" s="339">
        <f t="shared" si="7"/>
        <v>346789.8</v>
      </c>
      <c r="T35" s="337"/>
    </row>
    <row r="36" spans="2:20">
      <c r="B36" s="378"/>
      <c r="C36" s="364" t="s">
        <v>998</v>
      </c>
      <c r="D36" s="367">
        <v>32</v>
      </c>
      <c r="E36" s="337" t="s">
        <v>1437</v>
      </c>
      <c r="F36" s="337" t="s">
        <v>363</v>
      </c>
      <c r="G36" s="346">
        <v>450000</v>
      </c>
      <c r="H36" s="346">
        <v>59985</v>
      </c>
      <c r="I36" s="340">
        <f t="shared" si="0"/>
        <v>509985</v>
      </c>
      <c r="J36" s="348">
        <v>50</v>
      </c>
      <c r="K36" s="351">
        <v>10199.700000000001</v>
      </c>
      <c r="L36" s="356">
        <f t="shared" si="1"/>
        <v>1199.7</v>
      </c>
      <c r="M36" s="356">
        <f t="shared" si="2"/>
        <v>9000</v>
      </c>
      <c r="N36" s="356">
        <f t="shared" si="3"/>
        <v>39590.1</v>
      </c>
      <c r="O36" s="356">
        <f t="shared" si="4"/>
        <v>20394.900000000001</v>
      </c>
      <c r="P36" s="348">
        <v>33</v>
      </c>
      <c r="Q36" s="354">
        <f t="shared" si="5"/>
        <v>17</v>
      </c>
      <c r="R36" s="339">
        <f t="shared" si="6"/>
        <v>336590.10000000003</v>
      </c>
      <c r="S36" s="339">
        <f t="shared" si="7"/>
        <v>173394.89999999997</v>
      </c>
      <c r="T36" s="337"/>
    </row>
    <row r="37" spans="2:20">
      <c r="B37" s="378"/>
      <c r="C37" s="337" t="s">
        <v>1079</v>
      </c>
      <c r="D37" s="367">
        <v>33</v>
      </c>
      <c r="E37" s="337" t="s">
        <v>1437</v>
      </c>
      <c r="F37" s="337" t="s">
        <v>302</v>
      </c>
      <c r="G37" s="346">
        <v>500000</v>
      </c>
      <c r="H37" s="346">
        <v>31992</v>
      </c>
      <c r="I37" s="340">
        <f t="shared" ref="I37:I68" si="8">SUM(G37:H37)</f>
        <v>531992</v>
      </c>
      <c r="J37" s="348">
        <v>24</v>
      </c>
      <c r="K37" s="351">
        <v>32999.68</v>
      </c>
      <c r="L37" s="356">
        <f>H37/24</f>
        <v>1333</v>
      </c>
      <c r="M37" s="356">
        <f t="shared" ref="M37:M68" si="9">G37/50</f>
        <v>10000</v>
      </c>
      <c r="N37" s="356">
        <f t="shared" ref="N37:N68" si="10">L37*P37</f>
        <v>2666</v>
      </c>
      <c r="O37" s="356">
        <f t="shared" ref="O37:O68" si="11">L37*Q37</f>
        <v>29326</v>
      </c>
      <c r="P37" s="348">
        <v>2</v>
      </c>
      <c r="Q37" s="354">
        <f t="shared" ref="Q37:Q68" si="12">J37-P37</f>
        <v>22</v>
      </c>
      <c r="R37" s="339">
        <f t="shared" ref="R37:R68" si="13">K37*P37</f>
        <v>65999.360000000001</v>
      </c>
      <c r="S37" s="339">
        <f t="shared" ref="S37:S68" si="14">I37-R37</f>
        <v>465992.64</v>
      </c>
      <c r="T37" s="337"/>
    </row>
    <row r="38" spans="2:20">
      <c r="B38" s="378"/>
      <c r="C38" s="361" t="s">
        <v>1320</v>
      </c>
      <c r="D38" s="367">
        <v>34</v>
      </c>
      <c r="E38" s="337" t="s">
        <v>1437</v>
      </c>
      <c r="F38" s="337" t="s">
        <v>464</v>
      </c>
      <c r="G38" s="346">
        <v>500000</v>
      </c>
      <c r="H38" s="346">
        <v>66650</v>
      </c>
      <c r="I38" s="340">
        <f t="shared" si="8"/>
        <v>566650</v>
      </c>
      <c r="J38" s="348">
        <v>40</v>
      </c>
      <c r="K38" s="351">
        <v>13833</v>
      </c>
      <c r="L38" s="356">
        <f t="shared" ref="L38:L47" si="15">H38/50</f>
        <v>1333</v>
      </c>
      <c r="M38" s="356">
        <f t="shared" si="9"/>
        <v>10000</v>
      </c>
      <c r="N38" s="356">
        <f t="shared" si="10"/>
        <v>5332</v>
      </c>
      <c r="O38" s="356">
        <f t="shared" si="11"/>
        <v>47988</v>
      </c>
      <c r="P38" s="348">
        <v>4</v>
      </c>
      <c r="Q38" s="354">
        <f t="shared" si="12"/>
        <v>36</v>
      </c>
      <c r="R38" s="339">
        <f t="shared" si="13"/>
        <v>55332</v>
      </c>
      <c r="S38" s="339">
        <f t="shared" si="14"/>
        <v>511318</v>
      </c>
      <c r="T38" s="337"/>
    </row>
    <row r="39" spans="2:20">
      <c r="B39" s="378"/>
      <c r="C39" s="363" t="s">
        <v>1348</v>
      </c>
      <c r="D39" s="367">
        <v>35</v>
      </c>
      <c r="E39" s="337" t="s">
        <v>1437</v>
      </c>
      <c r="F39" s="337" t="s">
        <v>1349</v>
      </c>
      <c r="G39" s="346">
        <v>500000</v>
      </c>
      <c r="H39" s="346">
        <v>66650</v>
      </c>
      <c r="I39" s="340">
        <f t="shared" si="8"/>
        <v>566650</v>
      </c>
      <c r="J39" s="348">
        <v>50</v>
      </c>
      <c r="K39" s="351">
        <v>11333</v>
      </c>
      <c r="L39" s="356">
        <f t="shared" si="15"/>
        <v>1333</v>
      </c>
      <c r="M39" s="356">
        <f t="shared" si="9"/>
        <v>10000</v>
      </c>
      <c r="N39" s="356">
        <f t="shared" si="10"/>
        <v>9331</v>
      </c>
      <c r="O39" s="356">
        <f t="shared" si="11"/>
        <v>57319</v>
      </c>
      <c r="P39" s="348">
        <v>7</v>
      </c>
      <c r="Q39" s="354">
        <f t="shared" si="12"/>
        <v>43</v>
      </c>
      <c r="R39" s="339">
        <f t="shared" si="13"/>
        <v>79331</v>
      </c>
      <c r="S39" s="339">
        <f t="shared" si="14"/>
        <v>487319</v>
      </c>
      <c r="T39" s="337"/>
    </row>
    <row r="40" spans="2:20">
      <c r="B40" s="378"/>
      <c r="C40" s="362" t="s">
        <v>1012</v>
      </c>
      <c r="D40" s="367">
        <v>36</v>
      </c>
      <c r="E40" s="337" t="s">
        <v>1437</v>
      </c>
      <c r="F40" s="337" t="s">
        <v>852</v>
      </c>
      <c r="G40" s="346">
        <v>330000</v>
      </c>
      <c r="H40" s="346">
        <v>43989</v>
      </c>
      <c r="I40" s="340">
        <f t="shared" si="8"/>
        <v>373989</v>
      </c>
      <c r="J40" s="348">
        <v>50</v>
      </c>
      <c r="K40" s="351">
        <v>7479.78</v>
      </c>
      <c r="L40" s="356">
        <f t="shared" si="15"/>
        <v>879.78</v>
      </c>
      <c r="M40" s="356">
        <f t="shared" si="9"/>
        <v>6600</v>
      </c>
      <c r="N40" s="356">
        <f t="shared" si="10"/>
        <v>21114.720000000001</v>
      </c>
      <c r="O40" s="356">
        <f t="shared" si="11"/>
        <v>22874.28</v>
      </c>
      <c r="P40" s="348">
        <v>24</v>
      </c>
      <c r="Q40" s="354">
        <f t="shared" si="12"/>
        <v>26</v>
      </c>
      <c r="R40" s="339">
        <f t="shared" si="13"/>
        <v>179514.72</v>
      </c>
      <c r="S40" s="339">
        <f t="shared" si="14"/>
        <v>194474.28</v>
      </c>
      <c r="T40" s="337"/>
    </row>
    <row r="41" spans="2:20">
      <c r="B41" s="378"/>
      <c r="C41" s="363" t="s">
        <v>1065</v>
      </c>
      <c r="D41" s="367">
        <v>37</v>
      </c>
      <c r="E41" s="337" t="s">
        <v>1437</v>
      </c>
      <c r="F41" s="337" t="s">
        <v>1066</v>
      </c>
      <c r="G41" s="346">
        <v>330000</v>
      </c>
      <c r="H41" s="346">
        <v>43989</v>
      </c>
      <c r="I41" s="340">
        <f t="shared" si="8"/>
        <v>373989</v>
      </c>
      <c r="J41" s="348">
        <v>50</v>
      </c>
      <c r="K41" s="351">
        <v>7479.78</v>
      </c>
      <c r="L41" s="356">
        <f t="shared" si="15"/>
        <v>879.78</v>
      </c>
      <c r="M41" s="356">
        <f t="shared" si="9"/>
        <v>6600</v>
      </c>
      <c r="N41" s="356">
        <f t="shared" si="10"/>
        <v>18475.38</v>
      </c>
      <c r="O41" s="356">
        <f t="shared" si="11"/>
        <v>25513.62</v>
      </c>
      <c r="P41" s="348">
        <v>21</v>
      </c>
      <c r="Q41" s="354">
        <f t="shared" si="12"/>
        <v>29</v>
      </c>
      <c r="R41" s="339">
        <f t="shared" si="13"/>
        <v>157075.38</v>
      </c>
      <c r="S41" s="339">
        <f t="shared" si="14"/>
        <v>216913.62</v>
      </c>
      <c r="T41" s="337"/>
    </row>
    <row r="42" spans="2:20">
      <c r="B42" s="378"/>
      <c r="C42" s="364" t="s">
        <v>1029</v>
      </c>
      <c r="D42" s="367">
        <v>38</v>
      </c>
      <c r="E42" s="337" t="s">
        <v>1437</v>
      </c>
      <c r="F42" s="337" t="s">
        <v>1030</v>
      </c>
      <c r="G42" s="346">
        <v>450000</v>
      </c>
      <c r="H42" s="346">
        <v>59985</v>
      </c>
      <c r="I42" s="340">
        <f t="shared" si="8"/>
        <v>509985</v>
      </c>
      <c r="J42" s="348">
        <v>50</v>
      </c>
      <c r="K42" s="351">
        <v>10199.700000000001</v>
      </c>
      <c r="L42" s="356">
        <f t="shared" si="15"/>
        <v>1199.7</v>
      </c>
      <c r="M42" s="356">
        <f t="shared" si="9"/>
        <v>9000</v>
      </c>
      <c r="N42" s="356">
        <f t="shared" si="10"/>
        <v>25193.7</v>
      </c>
      <c r="O42" s="356">
        <f t="shared" si="11"/>
        <v>34791.300000000003</v>
      </c>
      <c r="P42" s="348">
        <v>21</v>
      </c>
      <c r="Q42" s="354">
        <f t="shared" si="12"/>
        <v>29</v>
      </c>
      <c r="R42" s="339">
        <f t="shared" si="13"/>
        <v>214193.7</v>
      </c>
      <c r="S42" s="339">
        <f t="shared" si="14"/>
        <v>295791.3</v>
      </c>
      <c r="T42" s="337"/>
    </row>
    <row r="43" spans="2:20">
      <c r="B43" s="378"/>
      <c r="C43" s="361" t="s">
        <v>1377</v>
      </c>
      <c r="D43" s="367">
        <v>39</v>
      </c>
      <c r="E43" s="337" t="s">
        <v>1437</v>
      </c>
      <c r="F43" s="337" t="s">
        <v>1378</v>
      </c>
      <c r="G43" s="346">
        <v>330000</v>
      </c>
      <c r="H43" s="346">
        <v>43989</v>
      </c>
      <c r="I43" s="340">
        <f t="shared" si="8"/>
        <v>373989</v>
      </c>
      <c r="J43" s="348">
        <v>50</v>
      </c>
      <c r="K43" s="351">
        <v>7479.78</v>
      </c>
      <c r="L43" s="356">
        <f t="shared" si="15"/>
        <v>879.78</v>
      </c>
      <c r="M43" s="356">
        <f t="shared" si="9"/>
        <v>6600</v>
      </c>
      <c r="N43" s="356">
        <f t="shared" si="10"/>
        <v>6158.46</v>
      </c>
      <c r="O43" s="356">
        <f t="shared" si="11"/>
        <v>37830.54</v>
      </c>
      <c r="P43" s="348">
        <v>7</v>
      </c>
      <c r="Q43" s="354">
        <f t="shared" si="12"/>
        <v>43</v>
      </c>
      <c r="R43" s="339">
        <f t="shared" si="13"/>
        <v>52358.46</v>
      </c>
      <c r="S43" s="339">
        <f t="shared" si="14"/>
        <v>321630.53999999998</v>
      </c>
      <c r="T43" s="337"/>
    </row>
    <row r="44" spans="2:20">
      <c r="B44" s="378"/>
      <c r="C44" s="361" t="s">
        <v>1339</v>
      </c>
      <c r="D44" s="367">
        <v>40</v>
      </c>
      <c r="E44" s="337" t="s">
        <v>1437</v>
      </c>
      <c r="F44" s="337" t="s">
        <v>408</v>
      </c>
      <c r="G44" s="346">
        <v>500000</v>
      </c>
      <c r="H44" s="346">
        <v>66650</v>
      </c>
      <c r="I44" s="340">
        <f t="shared" si="8"/>
        <v>566650</v>
      </c>
      <c r="J44" s="348">
        <v>50</v>
      </c>
      <c r="K44" s="351">
        <v>11333</v>
      </c>
      <c r="L44" s="356">
        <f t="shared" si="15"/>
        <v>1333</v>
      </c>
      <c r="M44" s="356">
        <f t="shared" si="9"/>
        <v>10000</v>
      </c>
      <c r="N44" s="356">
        <f t="shared" si="10"/>
        <v>5332</v>
      </c>
      <c r="O44" s="356">
        <f t="shared" si="11"/>
        <v>61318</v>
      </c>
      <c r="P44" s="348">
        <v>4</v>
      </c>
      <c r="Q44" s="354">
        <f t="shared" si="12"/>
        <v>46</v>
      </c>
      <c r="R44" s="339">
        <f t="shared" si="13"/>
        <v>45332</v>
      </c>
      <c r="S44" s="339">
        <f t="shared" si="14"/>
        <v>521318</v>
      </c>
      <c r="T44" s="337"/>
    </row>
    <row r="45" spans="2:20">
      <c r="B45" s="378"/>
      <c r="C45" s="363" t="s">
        <v>1383</v>
      </c>
      <c r="D45" s="367">
        <v>41</v>
      </c>
      <c r="E45" s="337" t="s">
        <v>1437</v>
      </c>
      <c r="F45" s="337" t="s">
        <v>1384</v>
      </c>
      <c r="G45" s="346">
        <v>330000</v>
      </c>
      <c r="H45" s="346">
        <v>43989</v>
      </c>
      <c r="I45" s="340">
        <f t="shared" si="8"/>
        <v>373989</v>
      </c>
      <c r="J45" s="348">
        <v>50</v>
      </c>
      <c r="K45" s="351">
        <v>7479.78</v>
      </c>
      <c r="L45" s="356">
        <f t="shared" si="15"/>
        <v>879.78</v>
      </c>
      <c r="M45" s="356">
        <f t="shared" si="9"/>
        <v>6600</v>
      </c>
      <c r="N45" s="356">
        <f t="shared" si="10"/>
        <v>3519.12</v>
      </c>
      <c r="O45" s="356">
        <f t="shared" si="11"/>
        <v>40469.879999999997</v>
      </c>
      <c r="P45" s="348">
        <v>4</v>
      </c>
      <c r="Q45" s="354">
        <f t="shared" si="12"/>
        <v>46</v>
      </c>
      <c r="R45" s="339">
        <f t="shared" si="13"/>
        <v>29919.119999999999</v>
      </c>
      <c r="S45" s="339">
        <f t="shared" si="14"/>
        <v>344069.88</v>
      </c>
      <c r="T45" s="337"/>
    </row>
    <row r="46" spans="2:20">
      <c r="B46" s="378"/>
      <c r="C46" s="361" t="s">
        <v>1409</v>
      </c>
      <c r="D46" s="367">
        <v>42</v>
      </c>
      <c r="E46" s="337" t="s">
        <v>1437</v>
      </c>
      <c r="F46" s="337" t="s">
        <v>1407</v>
      </c>
      <c r="G46" s="346">
        <v>500000</v>
      </c>
      <c r="H46" s="346">
        <v>66650</v>
      </c>
      <c r="I46" s="340">
        <f t="shared" si="8"/>
        <v>566650</v>
      </c>
      <c r="J46" s="348">
        <v>50</v>
      </c>
      <c r="K46" s="351">
        <v>11333</v>
      </c>
      <c r="L46" s="356">
        <f t="shared" si="15"/>
        <v>1333</v>
      </c>
      <c r="M46" s="356">
        <f t="shared" si="9"/>
        <v>10000</v>
      </c>
      <c r="N46" s="356">
        <f t="shared" si="10"/>
        <v>31992</v>
      </c>
      <c r="O46" s="356">
        <f t="shared" si="11"/>
        <v>34658</v>
      </c>
      <c r="P46" s="348">
        <v>24</v>
      </c>
      <c r="Q46" s="354">
        <f t="shared" si="12"/>
        <v>26</v>
      </c>
      <c r="R46" s="339">
        <f t="shared" si="13"/>
        <v>271992</v>
      </c>
      <c r="S46" s="339">
        <f t="shared" si="14"/>
        <v>294658</v>
      </c>
      <c r="T46" s="337"/>
    </row>
    <row r="47" spans="2:20">
      <c r="B47" s="378"/>
      <c r="C47" s="363" t="s">
        <v>1370</v>
      </c>
      <c r="D47" s="367">
        <v>43</v>
      </c>
      <c r="E47" s="337" t="s">
        <v>1437</v>
      </c>
      <c r="F47" s="337" t="s">
        <v>1371</v>
      </c>
      <c r="G47" s="346">
        <v>330000</v>
      </c>
      <c r="H47" s="346">
        <v>43989</v>
      </c>
      <c r="I47" s="340">
        <f t="shared" si="8"/>
        <v>373989</v>
      </c>
      <c r="J47" s="348">
        <v>50</v>
      </c>
      <c r="K47" s="351">
        <v>7479.78</v>
      </c>
      <c r="L47" s="356">
        <f t="shared" si="15"/>
        <v>879.78</v>
      </c>
      <c r="M47" s="356">
        <f t="shared" si="9"/>
        <v>6600</v>
      </c>
      <c r="N47" s="356">
        <f t="shared" si="10"/>
        <v>6158.46</v>
      </c>
      <c r="O47" s="356">
        <f t="shared" si="11"/>
        <v>37830.54</v>
      </c>
      <c r="P47" s="348">
        <v>7</v>
      </c>
      <c r="Q47" s="354">
        <f t="shared" si="12"/>
        <v>43</v>
      </c>
      <c r="R47" s="339">
        <f t="shared" si="13"/>
        <v>52358.46</v>
      </c>
      <c r="S47" s="339">
        <f t="shared" si="14"/>
        <v>321630.53999999998</v>
      </c>
      <c r="T47" s="337"/>
    </row>
    <row r="48" spans="2:20">
      <c r="B48" s="378"/>
      <c r="C48" s="361" t="s">
        <v>1313</v>
      </c>
      <c r="D48" s="367">
        <v>44</v>
      </c>
      <c r="E48" s="337" t="s">
        <v>1437</v>
      </c>
      <c r="F48" s="337" t="s">
        <v>1314</v>
      </c>
      <c r="G48" s="346">
        <v>450000</v>
      </c>
      <c r="H48" s="346">
        <v>28792.799999999999</v>
      </c>
      <c r="I48" s="340">
        <f t="shared" si="8"/>
        <v>478792.8</v>
      </c>
      <c r="J48" s="348">
        <v>24</v>
      </c>
      <c r="K48" s="351">
        <v>19949.7</v>
      </c>
      <c r="L48" s="356">
        <f>H48/24</f>
        <v>1199.7</v>
      </c>
      <c r="M48" s="356">
        <f t="shared" si="9"/>
        <v>9000</v>
      </c>
      <c r="N48" s="356">
        <f t="shared" si="10"/>
        <v>4798.8</v>
      </c>
      <c r="O48" s="356">
        <f t="shared" si="11"/>
        <v>23994</v>
      </c>
      <c r="P48" s="348">
        <v>4</v>
      </c>
      <c r="Q48" s="354">
        <f t="shared" si="12"/>
        <v>20</v>
      </c>
      <c r="R48" s="339">
        <f t="shared" si="13"/>
        <v>79798.8</v>
      </c>
      <c r="S48" s="339">
        <f t="shared" si="14"/>
        <v>398994</v>
      </c>
      <c r="T48" s="337"/>
    </row>
    <row r="49" spans="2:20">
      <c r="B49" s="378"/>
      <c r="C49" s="362" t="s">
        <v>1400</v>
      </c>
      <c r="D49" s="367">
        <v>45</v>
      </c>
      <c r="E49" s="337" t="s">
        <v>1437</v>
      </c>
      <c r="F49" s="337" t="s">
        <v>1401</v>
      </c>
      <c r="G49" s="346">
        <v>150000</v>
      </c>
      <c r="H49" s="346">
        <v>19995</v>
      </c>
      <c r="I49" s="340">
        <f t="shared" si="8"/>
        <v>169995</v>
      </c>
      <c r="J49" s="348">
        <v>50</v>
      </c>
      <c r="K49" s="351">
        <v>3399.9</v>
      </c>
      <c r="L49" s="356">
        <f t="shared" ref="L49:L88" si="16">H49/50</f>
        <v>399.9</v>
      </c>
      <c r="M49" s="356">
        <f t="shared" si="9"/>
        <v>3000</v>
      </c>
      <c r="N49" s="356">
        <f t="shared" si="10"/>
        <v>3599.1</v>
      </c>
      <c r="O49" s="356">
        <f t="shared" si="11"/>
        <v>16395.899999999998</v>
      </c>
      <c r="P49" s="348">
        <v>9</v>
      </c>
      <c r="Q49" s="354">
        <f t="shared" si="12"/>
        <v>41</v>
      </c>
      <c r="R49" s="339">
        <f t="shared" si="13"/>
        <v>30599.100000000002</v>
      </c>
      <c r="S49" s="339">
        <f t="shared" si="14"/>
        <v>139395.9</v>
      </c>
      <c r="T49" s="337"/>
    </row>
    <row r="50" spans="2:20">
      <c r="B50" s="378"/>
      <c r="C50" s="362" t="s">
        <v>1386</v>
      </c>
      <c r="D50" s="367">
        <v>46</v>
      </c>
      <c r="E50" s="337" t="s">
        <v>1437</v>
      </c>
      <c r="F50" s="337" t="s">
        <v>1387</v>
      </c>
      <c r="G50" s="346">
        <v>330000</v>
      </c>
      <c r="H50" s="346">
        <v>43989</v>
      </c>
      <c r="I50" s="340">
        <f t="shared" si="8"/>
        <v>373989</v>
      </c>
      <c r="J50" s="348">
        <v>50</v>
      </c>
      <c r="K50" s="351">
        <v>7479.78</v>
      </c>
      <c r="L50" s="356">
        <f t="shared" si="16"/>
        <v>879.78</v>
      </c>
      <c r="M50" s="356">
        <f t="shared" si="9"/>
        <v>6600</v>
      </c>
      <c r="N50" s="356">
        <f t="shared" si="10"/>
        <v>14076.48</v>
      </c>
      <c r="O50" s="356">
        <f t="shared" si="11"/>
        <v>29912.52</v>
      </c>
      <c r="P50" s="348">
        <v>16</v>
      </c>
      <c r="Q50" s="354">
        <f t="shared" si="12"/>
        <v>34</v>
      </c>
      <c r="R50" s="339">
        <f t="shared" si="13"/>
        <v>119676.48</v>
      </c>
      <c r="S50" s="339">
        <f t="shared" si="14"/>
        <v>254312.52000000002</v>
      </c>
      <c r="T50" s="337"/>
    </row>
    <row r="51" spans="2:20">
      <c r="B51" s="378"/>
      <c r="C51" s="362" t="s">
        <v>975</v>
      </c>
      <c r="D51" s="367">
        <v>47</v>
      </c>
      <c r="E51" s="337" t="s">
        <v>1437</v>
      </c>
      <c r="F51" s="337" t="s">
        <v>875</v>
      </c>
      <c r="G51" s="346">
        <v>450000</v>
      </c>
      <c r="H51" s="346">
        <v>59985</v>
      </c>
      <c r="I51" s="340">
        <f t="shared" si="8"/>
        <v>509985</v>
      </c>
      <c r="J51" s="348">
        <v>50</v>
      </c>
      <c r="K51" s="351">
        <v>10199.700000000001</v>
      </c>
      <c r="L51" s="356">
        <f t="shared" si="16"/>
        <v>1199.7</v>
      </c>
      <c r="M51" s="356">
        <f t="shared" si="9"/>
        <v>9000</v>
      </c>
      <c r="N51" s="356">
        <f t="shared" si="10"/>
        <v>28792.800000000003</v>
      </c>
      <c r="O51" s="356">
        <f t="shared" si="11"/>
        <v>31192.2</v>
      </c>
      <c r="P51" s="348">
        <v>24</v>
      </c>
      <c r="Q51" s="354">
        <f t="shared" si="12"/>
        <v>26</v>
      </c>
      <c r="R51" s="339">
        <f t="shared" si="13"/>
        <v>244792.80000000002</v>
      </c>
      <c r="S51" s="339">
        <f t="shared" si="14"/>
        <v>265192.19999999995</v>
      </c>
      <c r="T51" s="337"/>
    </row>
    <row r="52" spans="2:20">
      <c r="B52" s="378"/>
      <c r="C52" s="364" t="s">
        <v>1357</v>
      </c>
      <c r="D52" s="367">
        <v>48</v>
      </c>
      <c r="E52" s="337" t="s">
        <v>1437</v>
      </c>
      <c r="F52" s="337" t="s">
        <v>858</v>
      </c>
      <c r="G52" s="346">
        <v>450000</v>
      </c>
      <c r="H52" s="346">
        <v>59985</v>
      </c>
      <c r="I52" s="340">
        <f t="shared" si="8"/>
        <v>509985</v>
      </c>
      <c r="J52" s="348">
        <v>50</v>
      </c>
      <c r="K52" s="351">
        <v>10199.700000000001</v>
      </c>
      <c r="L52" s="356">
        <f t="shared" si="16"/>
        <v>1199.7</v>
      </c>
      <c r="M52" s="356">
        <f t="shared" si="9"/>
        <v>9000</v>
      </c>
      <c r="N52" s="356">
        <f t="shared" si="10"/>
        <v>19195.2</v>
      </c>
      <c r="O52" s="356">
        <f t="shared" si="11"/>
        <v>40789.800000000003</v>
      </c>
      <c r="P52" s="348">
        <v>16</v>
      </c>
      <c r="Q52" s="354">
        <f t="shared" si="12"/>
        <v>34</v>
      </c>
      <c r="R52" s="339">
        <f t="shared" si="13"/>
        <v>163195.20000000001</v>
      </c>
      <c r="S52" s="339">
        <f t="shared" si="14"/>
        <v>346789.8</v>
      </c>
      <c r="T52" s="337"/>
    </row>
    <row r="53" spans="2:20">
      <c r="B53" s="378"/>
      <c r="C53" s="363" t="s">
        <v>1097</v>
      </c>
      <c r="D53" s="367">
        <v>49</v>
      </c>
      <c r="E53" s="337" t="s">
        <v>1437</v>
      </c>
      <c r="F53" s="337" t="s">
        <v>286</v>
      </c>
      <c r="G53" s="346">
        <v>450000</v>
      </c>
      <c r="H53" s="346">
        <v>59985</v>
      </c>
      <c r="I53" s="340">
        <f t="shared" si="8"/>
        <v>509985</v>
      </c>
      <c r="J53" s="348">
        <v>50</v>
      </c>
      <c r="K53" s="351">
        <v>10199.700000000001</v>
      </c>
      <c r="L53" s="356">
        <f t="shared" si="16"/>
        <v>1199.7</v>
      </c>
      <c r="M53" s="356">
        <f t="shared" si="9"/>
        <v>9000</v>
      </c>
      <c r="N53" s="356">
        <f t="shared" si="10"/>
        <v>51587.1</v>
      </c>
      <c r="O53" s="356">
        <f t="shared" si="11"/>
        <v>8397.9</v>
      </c>
      <c r="P53" s="348">
        <v>43</v>
      </c>
      <c r="Q53" s="354">
        <f t="shared" si="12"/>
        <v>7</v>
      </c>
      <c r="R53" s="339">
        <f t="shared" si="13"/>
        <v>438587.10000000003</v>
      </c>
      <c r="S53" s="339">
        <f t="shared" si="14"/>
        <v>71397.899999999965</v>
      </c>
      <c r="T53" s="337"/>
    </row>
    <row r="54" spans="2:20">
      <c r="B54" s="378"/>
      <c r="C54" s="361" t="s">
        <v>1346</v>
      </c>
      <c r="D54" s="367">
        <v>50</v>
      </c>
      <c r="E54" s="337" t="s">
        <v>1437</v>
      </c>
      <c r="F54" s="337" t="s">
        <v>1347</v>
      </c>
      <c r="G54" s="346">
        <v>500000</v>
      </c>
      <c r="H54" s="346">
        <v>66650</v>
      </c>
      <c r="I54" s="340">
        <f t="shared" si="8"/>
        <v>566650</v>
      </c>
      <c r="J54" s="348">
        <v>50</v>
      </c>
      <c r="K54" s="351">
        <v>11333</v>
      </c>
      <c r="L54" s="356">
        <f t="shared" si="16"/>
        <v>1333</v>
      </c>
      <c r="M54" s="356">
        <f t="shared" si="9"/>
        <v>10000</v>
      </c>
      <c r="N54" s="356">
        <f t="shared" si="10"/>
        <v>11997</v>
      </c>
      <c r="O54" s="356">
        <f t="shared" si="11"/>
        <v>54653</v>
      </c>
      <c r="P54" s="348">
        <v>9</v>
      </c>
      <c r="Q54" s="354">
        <f t="shared" si="12"/>
        <v>41</v>
      </c>
      <c r="R54" s="339">
        <f t="shared" si="13"/>
        <v>101997</v>
      </c>
      <c r="S54" s="339">
        <f t="shared" si="14"/>
        <v>464653</v>
      </c>
      <c r="T54" s="337"/>
    </row>
    <row r="55" spans="2:20">
      <c r="B55" s="378"/>
      <c r="C55" s="364" t="s">
        <v>1356</v>
      </c>
      <c r="D55" s="367">
        <v>51</v>
      </c>
      <c r="E55" s="337" t="s">
        <v>1437</v>
      </c>
      <c r="F55" s="337" t="s">
        <v>1286</v>
      </c>
      <c r="G55" s="346">
        <v>450000</v>
      </c>
      <c r="H55" s="346">
        <v>59985</v>
      </c>
      <c r="I55" s="340">
        <f t="shared" si="8"/>
        <v>509985</v>
      </c>
      <c r="J55" s="348">
        <v>50</v>
      </c>
      <c r="K55" s="351">
        <v>10199.700000000001</v>
      </c>
      <c r="L55" s="356">
        <f t="shared" si="16"/>
        <v>1199.7</v>
      </c>
      <c r="M55" s="356">
        <f t="shared" si="9"/>
        <v>9000</v>
      </c>
      <c r="N55" s="356">
        <f t="shared" si="10"/>
        <v>10797.300000000001</v>
      </c>
      <c r="O55" s="356">
        <f t="shared" si="11"/>
        <v>49187.700000000004</v>
      </c>
      <c r="P55" s="348">
        <v>9</v>
      </c>
      <c r="Q55" s="354">
        <f t="shared" si="12"/>
        <v>41</v>
      </c>
      <c r="R55" s="339">
        <f t="shared" si="13"/>
        <v>91797.3</v>
      </c>
      <c r="S55" s="339">
        <f t="shared" si="14"/>
        <v>418187.7</v>
      </c>
      <c r="T55" s="337"/>
    </row>
    <row r="56" spans="2:20">
      <c r="B56" s="378"/>
      <c r="C56" s="364" t="s">
        <v>964</v>
      </c>
      <c r="D56" s="367">
        <v>52</v>
      </c>
      <c r="E56" s="337" t="s">
        <v>1437</v>
      </c>
      <c r="F56" s="337" t="s">
        <v>341</v>
      </c>
      <c r="G56" s="346">
        <v>500000</v>
      </c>
      <c r="H56" s="346">
        <v>66650</v>
      </c>
      <c r="I56" s="340">
        <f t="shared" si="8"/>
        <v>566650</v>
      </c>
      <c r="J56" s="348">
        <v>50</v>
      </c>
      <c r="K56" s="351">
        <v>11333</v>
      </c>
      <c r="L56" s="356">
        <f t="shared" si="16"/>
        <v>1333</v>
      </c>
      <c r="M56" s="356">
        <f t="shared" si="9"/>
        <v>10000</v>
      </c>
      <c r="N56" s="356">
        <f t="shared" si="10"/>
        <v>54653</v>
      </c>
      <c r="O56" s="356">
        <f t="shared" si="11"/>
        <v>11997</v>
      </c>
      <c r="P56" s="348">
        <v>41</v>
      </c>
      <c r="Q56" s="354">
        <f t="shared" si="12"/>
        <v>9</v>
      </c>
      <c r="R56" s="339">
        <f t="shared" si="13"/>
        <v>464653</v>
      </c>
      <c r="S56" s="339">
        <f t="shared" si="14"/>
        <v>101997</v>
      </c>
      <c r="T56" s="337"/>
    </row>
    <row r="57" spans="2:20">
      <c r="B57" s="378"/>
      <c r="C57" s="364" t="s">
        <v>1103</v>
      </c>
      <c r="D57" s="367">
        <v>53</v>
      </c>
      <c r="E57" s="337" t="s">
        <v>1437</v>
      </c>
      <c r="F57" s="337" t="s">
        <v>310</v>
      </c>
      <c r="G57" s="346">
        <v>500000</v>
      </c>
      <c r="H57" s="346">
        <v>66650</v>
      </c>
      <c r="I57" s="340">
        <f t="shared" si="8"/>
        <v>566650</v>
      </c>
      <c r="J57" s="348">
        <v>50</v>
      </c>
      <c r="K57" s="351">
        <v>11333</v>
      </c>
      <c r="L57" s="356">
        <f t="shared" si="16"/>
        <v>1333</v>
      </c>
      <c r="M57" s="356">
        <f t="shared" si="9"/>
        <v>10000</v>
      </c>
      <c r="N57" s="356">
        <f t="shared" si="10"/>
        <v>54653</v>
      </c>
      <c r="O57" s="356">
        <f t="shared" si="11"/>
        <v>11997</v>
      </c>
      <c r="P57" s="348">
        <v>41</v>
      </c>
      <c r="Q57" s="354">
        <f t="shared" si="12"/>
        <v>9</v>
      </c>
      <c r="R57" s="339">
        <f t="shared" si="13"/>
        <v>464653</v>
      </c>
      <c r="S57" s="339">
        <f t="shared" si="14"/>
        <v>101997</v>
      </c>
      <c r="T57" s="337"/>
    </row>
    <row r="58" spans="2:20">
      <c r="B58" s="378"/>
      <c r="C58" s="364" t="s">
        <v>1043</v>
      </c>
      <c r="D58" s="367">
        <v>54</v>
      </c>
      <c r="E58" s="337" t="s">
        <v>1437</v>
      </c>
      <c r="F58" s="337" t="s">
        <v>444</v>
      </c>
      <c r="G58" s="346">
        <v>500000</v>
      </c>
      <c r="H58" s="346">
        <v>66650</v>
      </c>
      <c r="I58" s="340">
        <f t="shared" si="8"/>
        <v>566650</v>
      </c>
      <c r="J58" s="348">
        <v>50</v>
      </c>
      <c r="K58" s="351">
        <v>11333</v>
      </c>
      <c r="L58" s="356">
        <f t="shared" si="16"/>
        <v>1333</v>
      </c>
      <c r="M58" s="356">
        <f t="shared" si="9"/>
        <v>10000</v>
      </c>
      <c r="N58" s="356">
        <f t="shared" si="10"/>
        <v>38657</v>
      </c>
      <c r="O58" s="356">
        <f t="shared" si="11"/>
        <v>27993</v>
      </c>
      <c r="P58" s="348">
        <v>29</v>
      </c>
      <c r="Q58" s="354">
        <f t="shared" si="12"/>
        <v>21</v>
      </c>
      <c r="R58" s="339">
        <f t="shared" si="13"/>
        <v>328657</v>
      </c>
      <c r="S58" s="339">
        <f t="shared" si="14"/>
        <v>237993</v>
      </c>
      <c r="T58" s="337"/>
    </row>
    <row r="59" spans="2:20">
      <c r="B59" s="378"/>
      <c r="C59" s="363" t="s">
        <v>1001</v>
      </c>
      <c r="D59" s="367">
        <v>55</v>
      </c>
      <c r="E59" s="337" t="s">
        <v>1437</v>
      </c>
      <c r="F59" s="337" t="s">
        <v>834</v>
      </c>
      <c r="G59" s="346">
        <v>330000</v>
      </c>
      <c r="H59" s="346">
        <v>43989</v>
      </c>
      <c r="I59" s="340">
        <f t="shared" si="8"/>
        <v>373989</v>
      </c>
      <c r="J59" s="348">
        <v>50</v>
      </c>
      <c r="K59" s="351">
        <v>7479.78</v>
      </c>
      <c r="L59" s="356">
        <f t="shared" si="16"/>
        <v>879.78</v>
      </c>
      <c r="M59" s="356">
        <f t="shared" si="9"/>
        <v>6600</v>
      </c>
      <c r="N59" s="356">
        <f t="shared" si="10"/>
        <v>25513.62</v>
      </c>
      <c r="O59" s="356">
        <f t="shared" si="11"/>
        <v>18475.38</v>
      </c>
      <c r="P59" s="348">
        <v>29</v>
      </c>
      <c r="Q59" s="354">
        <f t="shared" si="12"/>
        <v>21</v>
      </c>
      <c r="R59" s="339">
        <f t="shared" si="13"/>
        <v>216913.62</v>
      </c>
      <c r="S59" s="339">
        <f t="shared" si="14"/>
        <v>157075.38</v>
      </c>
      <c r="T59" s="337"/>
    </row>
    <row r="60" spans="2:20">
      <c r="B60" s="378"/>
      <c r="C60" s="361" t="s">
        <v>996</v>
      </c>
      <c r="D60" s="367">
        <v>56</v>
      </c>
      <c r="E60" s="337" t="s">
        <v>1437</v>
      </c>
      <c r="F60" s="337" t="s">
        <v>338</v>
      </c>
      <c r="G60" s="346">
        <v>500000</v>
      </c>
      <c r="H60" s="346">
        <v>66650</v>
      </c>
      <c r="I60" s="340">
        <f t="shared" si="8"/>
        <v>566650</v>
      </c>
      <c r="J60" s="348">
        <v>40</v>
      </c>
      <c r="K60" s="351">
        <v>13833</v>
      </c>
      <c r="L60" s="356">
        <f t="shared" si="16"/>
        <v>1333</v>
      </c>
      <c r="M60" s="356">
        <f t="shared" si="9"/>
        <v>10000</v>
      </c>
      <c r="N60" s="356">
        <f t="shared" si="10"/>
        <v>5332</v>
      </c>
      <c r="O60" s="356">
        <f t="shared" si="11"/>
        <v>47988</v>
      </c>
      <c r="P60" s="348">
        <v>4</v>
      </c>
      <c r="Q60" s="354">
        <f t="shared" si="12"/>
        <v>36</v>
      </c>
      <c r="R60" s="339">
        <f t="shared" si="13"/>
        <v>55332</v>
      </c>
      <c r="S60" s="339">
        <f t="shared" si="14"/>
        <v>511318</v>
      </c>
      <c r="T60" s="337"/>
    </row>
    <row r="61" spans="2:20">
      <c r="B61" s="378"/>
      <c r="C61" s="361" t="s">
        <v>1335</v>
      </c>
      <c r="D61" s="367">
        <v>57</v>
      </c>
      <c r="E61" s="337" t="s">
        <v>1437</v>
      </c>
      <c r="F61" s="337" t="s">
        <v>1336</v>
      </c>
      <c r="G61" s="346">
        <v>500000</v>
      </c>
      <c r="H61" s="346">
        <v>66650</v>
      </c>
      <c r="I61" s="340">
        <f t="shared" si="8"/>
        <v>566650</v>
      </c>
      <c r="J61" s="348">
        <v>50</v>
      </c>
      <c r="K61" s="351">
        <v>11333</v>
      </c>
      <c r="L61" s="356">
        <f t="shared" si="16"/>
        <v>1333</v>
      </c>
      <c r="M61" s="356">
        <f t="shared" si="9"/>
        <v>10000</v>
      </c>
      <c r="N61" s="356">
        <f t="shared" si="10"/>
        <v>14663</v>
      </c>
      <c r="O61" s="356">
        <f t="shared" si="11"/>
        <v>51987</v>
      </c>
      <c r="P61" s="348">
        <v>11</v>
      </c>
      <c r="Q61" s="354">
        <f t="shared" si="12"/>
        <v>39</v>
      </c>
      <c r="R61" s="339">
        <f t="shared" si="13"/>
        <v>124663</v>
      </c>
      <c r="S61" s="339">
        <f t="shared" si="14"/>
        <v>441987</v>
      </c>
      <c r="T61" s="337"/>
    </row>
    <row r="62" spans="2:20">
      <c r="B62" s="378"/>
      <c r="C62" s="364" t="s">
        <v>1312</v>
      </c>
      <c r="D62" s="367">
        <v>58</v>
      </c>
      <c r="E62" s="337" t="s">
        <v>1437</v>
      </c>
      <c r="F62" s="337" t="s">
        <v>436</v>
      </c>
      <c r="G62" s="346">
        <v>500000</v>
      </c>
      <c r="H62" s="346">
        <v>66650</v>
      </c>
      <c r="I62" s="340">
        <f t="shared" si="8"/>
        <v>566650</v>
      </c>
      <c r="J62" s="348">
        <v>25</v>
      </c>
      <c r="K62" s="351">
        <v>21333</v>
      </c>
      <c r="L62" s="356">
        <f t="shared" si="16"/>
        <v>1333</v>
      </c>
      <c r="M62" s="356">
        <f t="shared" si="9"/>
        <v>10000</v>
      </c>
      <c r="N62" s="356">
        <f t="shared" si="10"/>
        <v>11997</v>
      </c>
      <c r="O62" s="356">
        <f t="shared" si="11"/>
        <v>21328</v>
      </c>
      <c r="P62" s="348">
        <v>9</v>
      </c>
      <c r="Q62" s="354">
        <f t="shared" si="12"/>
        <v>16</v>
      </c>
      <c r="R62" s="339">
        <f t="shared" si="13"/>
        <v>191997</v>
      </c>
      <c r="S62" s="339">
        <f t="shared" si="14"/>
        <v>374653</v>
      </c>
      <c r="T62" s="337"/>
    </row>
    <row r="63" spans="2:20">
      <c r="B63" s="378"/>
      <c r="C63" s="361" t="s">
        <v>1044</v>
      </c>
      <c r="D63" s="367">
        <v>59</v>
      </c>
      <c r="E63" s="337" t="s">
        <v>1437</v>
      </c>
      <c r="F63" s="337" t="s">
        <v>844</v>
      </c>
      <c r="G63" s="346">
        <v>150000</v>
      </c>
      <c r="H63" s="346">
        <v>19995</v>
      </c>
      <c r="I63" s="340">
        <f t="shared" si="8"/>
        <v>169995</v>
      </c>
      <c r="J63" s="348">
        <v>50</v>
      </c>
      <c r="K63" s="351">
        <v>3399.9</v>
      </c>
      <c r="L63" s="356">
        <f t="shared" si="16"/>
        <v>399.9</v>
      </c>
      <c r="M63" s="356">
        <f t="shared" si="9"/>
        <v>3000</v>
      </c>
      <c r="N63" s="356">
        <f t="shared" si="10"/>
        <v>11597.099999999999</v>
      </c>
      <c r="O63" s="356">
        <f t="shared" si="11"/>
        <v>8397.9</v>
      </c>
      <c r="P63" s="348">
        <v>29</v>
      </c>
      <c r="Q63" s="354">
        <f t="shared" si="12"/>
        <v>21</v>
      </c>
      <c r="R63" s="339">
        <f t="shared" si="13"/>
        <v>98597.1</v>
      </c>
      <c r="S63" s="339">
        <f t="shared" si="14"/>
        <v>71397.899999999994</v>
      </c>
      <c r="T63" s="337"/>
    </row>
    <row r="64" spans="2:20">
      <c r="B64" s="378"/>
      <c r="C64" s="364" t="s">
        <v>1328</v>
      </c>
      <c r="D64" s="367">
        <v>60</v>
      </c>
      <c r="E64" s="337" t="s">
        <v>1437</v>
      </c>
      <c r="F64" s="337" t="s">
        <v>433</v>
      </c>
      <c r="G64" s="346">
        <v>500000</v>
      </c>
      <c r="H64" s="346">
        <v>66650</v>
      </c>
      <c r="I64" s="340">
        <f t="shared" si="8"/>
        <v>566650</v>
      </c>
      <c r="J64" s="348">
        <v>50</v>
      </c>
      <c r="K64" s="351">
        <v>11333</v>
      </c>
      <c r="L64" s="356">
        <f t="shared" si="16"/>
        <v>1333</v>
      </c>
      <c r="M64" s="356">
        <f t="shared" si="9"/>
        <v>10000</v>
      </c>
      <c r="N64" s="356">
        <f t="shared" si="10"/>
        <v>18662</v>
      </c>
      <c r="O64" s="356">
        <f t="shared" si="11"/>
        <v>47988</v>
      </c>
      <c r="P64" s="348">
        <v>14</v>
      </c>
      <c r="Q64" s="354">
        <f t="shared" si="12"/>
        <v>36</v>
      </c>
      <c r="R64" s="339">
        <f t="shared" si="13"/>
        <v>158662</v>
      </c>
      <c r="S64" s="339">
        <f t="shared" si="14"/>
        <v>407988</v>
      </c>
      <c r="T64" s="337"/>
    </row>
    <row r="65" spans="2:20">
      <c r="B65" s="378"/>
      <c r="C65" s="362" t="s">
        <v>1058</v>
      </c>
      <c r="D65" s="367">
        <v>61</v>
      </c>
      <c r="E65" s="337" t="s">
        <v>1437</v>
      </c>
      <c r="F65" s="337" t="s">
        <v>346</v>
      </c>
      <c r="G65" s="346">
        <v>500000</v>
      </c>
      <c r="H65" s="346">
        <v>66650</v>
      </c>
      <c r="I65" s="340">
        <f t="shared" si="8"/>
        <v>566650</v>
      </c>
      <c r="J65" s="348">
        <v>50</v>
      </c>
      <c r="K65" s="351">
        <v>11333</v>
      </c>
      <c r="L65" s="356">
        <f t="shared" si="16"/>
        <v>1333</v>
      </c>
      <c r="M65" s="356">
        <f t="shared" si="9"/>
        <v>10000</v>
      </c>
      <c r="N65" s="356">
        <f t="shared" si="10"/>
        <v>53320</v>
      </c>
      <c r="O65" s="356">
        <f t="shared" si="11"/>
        <v>13330</v>
      </c>
      <c r="P65" s="348">
        <v>40</v>
      </c>
      <c r="Q65" s="354">
        <f t="shared" si="12"/>
        <v>10</v>
      </c>
      <c r="R65" s="339">
        <f t="shared" si="13"/>
        <v>453320</v>
      </c>
      <c r="S65" s="339">
        <f t="shared" si="14"/>
        <v>113330</v>
      </c>
      <c r="T65" s="337"/>
    </row>
    <row r="66" spans="2:20">
      <c r="B66" s="378"/>
      <c r="C66" s="364" t="s">
        <v>1322</v>
      </c>
      <c r="D66" s="367">
        <v>62</v>
      </c>
      <c r="E66" s="337" t="s">
        <v>1437</v>
      </c>
      <c r="F66" s="337" t="s">
        <v>1122</v>
      </c>
      <c r="G66" s="346">
        <v>500000</v>
      </c>
      <c r="H66" s="346">
        <v>66650</v>
      </c>
      <c r="I66" s="340">
        <f t="shared" si="8"/>
        <v>566650</v>
      </c>
      <c r="J66" s="348">
        <v>50</v>
      </c>
      <c r="K66" s="351">
        <v>11333</v>
      </c>
      <c r="L66" s="356">
        <f t="shared" si="16"/>
        <v>1333</v>
      </c>
      <c r="M66" s="356">
        <f t="shared" si="9"/>
        <v>10000</v>
      </c>
      <c r="N66" s="356">
        <f t="shared" si="10"/>
        <v>21328</v>
      </c>
      <c r="O66" s="356">
        <f t="shared" si="11"/>
        <v>45322</v>
      </c>
      <c r="P66" s="348">
        <v>16</v>
      </c>
      <c r="Q66" s="354">
        <f t="shared" si="12"/>
        <v>34</v>
      </c>
      <c r="R66" s="339">
        <f t="shared" si="13"/>
        <v>181328</v>
      </c>
      <c r="S66" s="339">
        <f t="shared" si="14"/>
        <v>385322</v>
      </c>
      <c r="T66" s="337"/>
    </row>
    <row r="67" spans="2:20">
      <c r="B67" s="378"/>
      <c r="C67" s="362" t="s">
        <v>1098</v>
      </c>
      <c r="D67" s="367">
        <v>63</v>
      </c>
      <c r="E67" s="337" t="s">
        <v>1437</v>
      </c>
      <c r="F67" s="337" t="s">
        <v>345</v>
      </c>
      <c r="G67" s="346">
        <v>500000</v>
      </c>
      <c r="H67" s="346">
        <v>66650</v>
      </c>
      <c r="I67" s="340">
        <f t="shared" si="8"/>
        <v>566650</v>
      </c>
      <c r="J67" s="348">
        <v>50</v>
      </c>
      <c r="K67" s="351">
        <v>11333</v>
      </c>
      <c r="L67" s="356">
        <f t="shared" si="16"/>
        <v>1333</v>
      </c>
      <c r="M67" s="356">
        <f t="shared" si="9"/>
        <v>10000</v>
      </c>
      <c r="N67" s="356">
        <f t="shared" si="10"/>
        <v>54653</v>
      </c>
      <c r="O67" s="356">
        <f t="shared" si="11"/>
        <v>11997</v>
      </c>
      <c r="P67" s="348">
        <v>41</v>
      </c>
      <c r="Q67" s="354">
        <f t="shared" si="12"/>
        <v>9</v>
      </c>
      <c r="R67" s="339">
        <f t="shared" si="13"/>
        <v>464653</v>
      </c>
      <c r="S67" s="339">
        <f t="shared" si="14"/>
        <v>101997</v>
      </c>
      <c r="T67" s="337"/>
    </row>
    <row r="68" spans="2:20">
      <c r="B68" s="378"/>
      <c r="C68" s="362" t="s">
        <v>1125</v>
      </c>
      <c r="D68" s="367">
        <v>64</v>
      </c>
      <c r="E68" s="337" t="s">
        <v>1437</v>
      </c>
      <c r="F68" s="337" t="s">
        <v>452</v>
      </c>
      <c r="G68" s="346">
        <v>500000</v>
      </c>
      <c r="H68" s="346">
        <v>66650</v>
      </c>
      <c r="I68" s="340">
        <f t="shared" si="8"/>
        <v>566650</v>
      </c>
      <c r="J68" s="348">
        <v>50</v>
      </c>
      <c r="K68" s="351">
        <v>11333</v>
      </c>
      <c r="L68" s="356">
        <f t="shared" si="16"/>
        <v>1333</v>
      </c>
      <c r="M68" s="356">
        <f t="shared" si="9"/>
        <v>10000</v>
      </c>
      <c r="N68" s="356">
        <f t="shared" si="10"/>
        <v>22661</v>
      </c>
      <c r="O68" s="356">
        <f t="shared" si="11"/>
        <v>43989</v>
      </c>
      <c r="P68" s="348">
        <v>17</v>
      </c>
      <c r="Q68" s="354">
        <f t="shared" si="12"/>
        <v>33</v>
      </c>
      <c r="R68" s="339">
        <f t="shared" si="13"/>
        <v>192661</v>
      </c>
      <c r="S68" s="339">
        <f t="shared" si="14"/>
        <v>373989</v>
      </c>
      <c r="T68" s="337"/>
    </row>
    <row r="69" spans="2:20">
      <c r="B69" s="378"/>
      <c r="C69" s="364" t="s">
        <v>1390</v>
      </c>
      <c r="D69" s="367">
        <v>65</v>
      </c>
      <c r="E69" s="337" t="s">
        <v>1437</v>
      </c>
      <c r="F69" s="337" t="s">
        <v>1391</v>
      </c>
      <c r="G69" s="346">
        <v>150000</v>
      </c>
      <c r="H69" s="346">
        <v>19995</v>
      </c>
      <c r="I69" s="340">
        <f t="shared" ref="I69:I100" si="17">SUM(G69:H69)</f>
        <v>169995</v>
      </c>
      <c r="J69" s="348">
        <v>40</v>
      </c>
      <c r="K69" s="351">
        <v>4149.8999999999996</v>
      </c>
      <c r="L69" s="356">
        <f t="shared" si="16"/>
        <v>399.9</v>
      </c>
      <c r="M69" s="356">
        <f t="shared" ref="M69:M100" si="18">G69/50</f>
        <v>3000</v>
      </c>
      <c r="N69" s="356">
        <f t="shared" ref="N69:N100" si="19">L69*P69</f>
        <v>6398.4</v>
      </c>
      <c r="O69" s="356">
        <f t="shared" ref="O69:O100" si="20">L69*Q69</f>
        <v>9597.5999999999985</v>
      </c>
      <c r="P69" s="348">
        <v>16</v>
      </c>
      <c r="Q69" s="354">
        <f t="shared" ref="Q69:Q100" si="21">J69-P69</f>
        <v>24</v>
      </c>
      <c r="R69" s="339">
        <f t="shared" ref="R69:R100" si="22">K69*P69</f>
        <v>66398.399999999994</v>
      </c>
      <c r="S69" s="339">
        <f t="shared" ref="S69:S100" si="23">I69-R69</f>
        <v>103596.6</v>
      </c>
      <c r="T69" s="337"/>
    </row>
    <row r="70" spans="2:20">
      <c r="B70" s="378"/>
      <c r="C70" s="362" t="s">
        <v>1067</v>
      </c>
      <c r="D70" s="367">
        <v>66</v>
      </c>
      <c r="E70" s="337" t="s">
        <v>1437</v>
      </c>
      <c r="F70" s="337" t="s">
        <v>368</v>
      </c>
      <c r="G70" s="346">
        <v>450000</v>
      </c>
      <c r="H70" s="346">
        <v>59985</v>
      </c>
      <c r="I70" s="340">
        <f t="shared" si="17"/>
        <v>509985</v>
      </c>
      <c r="J70" s="348">
        <v>50</v>
      </c>
      <c r="K70" s="351">
        <v>10199.700000000001</v>
      </c>
      <c r="L70" s="356">
        <f t="shared" si="16"/>
        <v>1199.7</v>
      </c>
      <c r="M70" s="356">
        <f t="shared" si="18"/>
        <v>9000</v>
      </c>
      <c r="N70" s="356">
        <f t="shared" si="19"/>
        <v>47988</v>
      </c>
      <c r="O70" s="356">
        <f t="shared" si="20"/>
        <v>11997</v>
      </c>
      <c r="P70" s="348">
        <v>40</v>
      </c>
      <c r="Q70" s="354">
        <f t="shared" si="21"/>
        <v>10</v>
      </c>
      <c r="R70" s="339">
        <f t="shared" si="22"/>
        <v>407988</v>
      </c>
      <c r="S70" s="339">
        <f t="shared" si="23"/>
        <v>101997</v>
      </c>
      <c r="T70" s="337"/>
    </row>
    <row r="71" spans="2:20">
      <c r="B71" s="378"/>
      <c r="C71" s="362" t="s">
        <v>1078</v>
      </c>
      <c r="D71" s="367">
        <v>67</v>
      </c>
      <c r="E71" s="337" t="s">
        <v>1437</v>
      </c>
      <c r="F71" s="337" t="s">
        <v>446</v>
      </c>
      <c r="G71" s="346">
        <v>330000</v>
      </c>
      <c r="H71" s="346">
        <v>43989</v>
      </c>
      <c r="I71" s="340">
        <f t="shared" si="17"/>
        <v>373989</v>
      </c>
      <c r="J71" s="348">
        <v>50</v>
      </c>
      <c r="K71" s="351">
        <v>7479.78</v>
      </c>
      <c r="L71" s="356">
        <f t="shared" si="16"/>
        <v>879.78</v>
      </c>
      <c r="M71" s="356">
        <f t="shared" si="18"/>
        <v>6600</v>
      </c>
      <c r="N71" s="356">
        <f t="shared" si="19"/>
        <v>21114.720000000001</v>
      </c>
      <c r="O71" s="356">
        <f t="shared" si="20"/>
        <v>22874.28</v>
      </c>
      <c r="P71" s="348">
        <v>24</v>
      </c>
      <c r="Q71" s="354">
        <f t="shared" si="21"/>
        <v>26</v>
      </c>
      <c r="R71" s="339">
        <f t="shared" si="22"/>
        <v>179514.72</v>
      </c>
      <c r="S71" s="339">
        <f t="shared" si="23"/>
        <v>194474.28</v>
      </c>
      <c r="T71" s="337"/>
    </row>
    <row r="72" spans="2:20">
      <c r="B72" s="378"/>
      <c r="C72" s="361" t="s">
        <v>1120</v>
      </c>
      <c r="D72" s="367">
        <v>68</v>
      </c>
      <c r="E72" s="337" t="s">
        <v>1437</v>
      </c>
      <c r="F72" s="337" t="s">
        <v>1121</v>
      </c>
      <c r="G72" s="346">
        <v>150000</v>
      </c>
      <c r="H72" s="346">
        <v>19995</v>
      </c>
      <c r="I72" s="340">
        <f t="shared" si="17"/>
        <v>169995</v>
      </c>
      <c r="J72" s="348">
        <v>50</v>
      </c>
      <c r="K72" s="351">
        <v>3399.9</v>
      </c>
      <c r="L72" s="356">
        <f t="shared" si="16"/>
        <v>399.9</v>
      </c>
      <c r="M72" s="356">
        <f t="shared" si="18"/>
        <v>3000</v>
      </c>
      <c r="N72" s="356">
        <f t="shared" si="19"/>
        <v>6798.2999999999993</v>
      </c>
      <c r="O72" s="356">
        <f t="shared" si="20"/>
        <v>13196.699999999999</v>
      </c>
      <c r="P72" s="348">
        <v>17</v>
      </c>
      <c r="Q72" s="354">
        <f t="shared" si="21"/>
        <v>33</v>
      </c>
      <c r="R72" s="339">
        <f t="shared" si="22"/>
        <v>57798.3</v>
      </c>
      <c r="S72" s="339">
        <f t="shared" si="23"/>
        <v>112196.7</v>
      </c>
      <c r="T72" s="337"/>
    </row>
    <row r="73" spans="2:20">
      <c r="B73" s="378"/>
      <c r="C73" s="362" t="s">
        <v>1375</v>
      </c>
      <c r="D73" s="367">
        <v>69</v>
      </c>
      <c r="E73" s="337" t="s">
        <v>1437</v>
      </c>
      <c r="F73" s="337" t="s">
        <v>1376</v>
      </c>
      <c r="G73" s="346">
        <v>330000</v>
      </c>
      <c r="H73" s="346">
        <v>43989</v>
      </c>
      <c r="I73" s="340">
        <f t="shared" si="17"/>
        <v>373989</v>
      </c>
      <c r="J73" s="348">
        <v>50</v>
      </c>
      <c r="K73" s="351">
        <v>7479.78</v>
      </c>
      <c r="L73" s="356">
        <f t="shared" si="16"/>
        <v>879.78</v>
      </c>
      <c r="M73" s="356">
        <f t="shared" si="18"/>
        <v>6600</v>
      </c>
      <c r="N73" s="356">
        <f t="shared" si="19"/>
        <v>6158.46</v>
      </c>
      <c r="O73" s="356">
        <f t="shared" si="20"/>
        <v>37830.54</v>
      </c>
      <c r="P73" s="348">
        <v>7</v>
      </c>
      <c r="Q73" s="354">
        <f t="shared" si="21"/>
        <v>43</v>
      </c>
      <c r="R73" s="339">
        <f t="shared" si="22"/>
        <v>52358.46</v>
      </c>
      <c r="S73" s="339">
        <f t="shared" si="23"/>
        <v>321630.53999999998</v>
      </c>
      <c r="T73" s="337"/>
    </row>
    <row r="74" spans="2:20">
      <c r="B74" s="378"/>
      <c r="C74" s="364" t="s">
        <v>1392</v>
      </c>
      <c r="D74" s="367">
        <v>70</v>
      </c>
      <c r="E74" s="337" t="s">
        <v>1437</v>
      </c>
      <c r="F74" s="337" t="s">
        <v>1393</v>
      </c>
      <c r="G74" s="346">
        <v>150000</v>
      </c>
      <c r="H74" s="346">
        <v>19995</v>
      </c>
      <c r="I74" s="340">
        <f t="shared" si="17"/>
        <v>169995</v>
      </c>
      <c r="J74" s="348">
        <v>40</v>
      </c>
      <c r="K74" s="351">
        <v>4149.8999999999996</v>
      </c>
      <c r="L74" s="356">
        <f t="shared" si="16"/>
        <v>399.9</v>
      </c>
      <c r="M74" s="356">
        <f t="shared" si="18"/>
        <v>3000</v>
      </c>
      <c r="N74" s="356">
        <f t="shared" si="19"/>
        <v>6398.4</v>
      </c>
      <c r="O74" s="356">
        <f t="shared" si="20"/>
        <v>9597.5999999999985</v>
      </c>
      <c r="P74" s="348">
        <v>16</v>
      </c>
      <c r="Q74" s="354">
        <f t="shared" si="21"/>
        <v>24</v>
      </c>
      <c r="R74" s="339">
        <f t="shared" si="22"/>
        <v>66398.399999999994</v>
      </c>
      <c r="S74" s="339">
        <f t="shared" si="23"/>
        <v>103596.6</v>
      </c>
      <c r="T74" s="337"/>
    </row>
    <row r="75" spans="2:20">
      <c r="B75" s="378"/>
      <c r="C75" s="364" t="s">
        <v>982</v>
      </c>
      <c r="D75" s="367">
        <v>71</v>
      </c>
      <c r="E75" s="337" t="s">
        <v>1437</v>
      </c>
      <c r="F75" s="337" t="s">
        <v>350</v>
      </c>
      <c r="G75" s="346">
        <v>500000</v>
      </c>
      <c r="H75" s="346">
        <v>66650</v>
      </c>
      <c r="I75" s="340">
        <f t="shared" si="17"/>
        <v>566650</v>
      </c>
      <c r="J75" s="348">
        <v>50</v>
      </c>
      <c r="K75" s="351">
        <v>11333</v>
      </c>
      <c r="L75" s="356">
        <f t="shared" si="16"/>
        <v>1333</v>
      </c>
      <c r="M75" s="356">
        <f t="shared" si="18"/>
        <v>10000</v>
      </c>
      <c r="N75" s="356">
        <f t="shared" si="19"/>
        <v>43989</v>
      </c>
      <c r="O75" s="356">
        <f t="shared" si="20"/>
        <v>22661</v>
      </c>
      <c r="P75" s="348">
        <v>33</v>
      </c>
      <c r="Q75" s="354">
        <f t="shared" si="21"/>
        <v>17</v>
      </c>
      <c r="R75" s="339">
        <f t="shared" si="22"/>
        <v>373989</v>
      </c>
      <c r="S75" s="339">
        <f t="shared" si="23"/>
        <v>192661</v>
      </c>
      <c r="T75" s="337"/>
    </row>
    <row r="76" spans="2:20">
      <c r="B76" s="378"/>
      <c r="C76" s="363" t="s">
        <v>965</v>
      </c>
      <c r="D76" s="367">
        <v>72</v>
      </c>
      <c r="E76" s="337" t="s">
        <v>1437</v>
      </c>
      <c r="F76" s="337" t="s">
        <v>334</v>
      </c>
      <c r="G76" s="346">
        <v>500000</v>
      </c>
      <c r="H76" s="346">
        <v>66650</v>
      </c>
      <c r="I76" s="340">
        <f t="shared" si="17"/>
        <v>566650</v>
      </c>
      <c r="J76" s="348">
        <v>50</v>
      </c>
      <c r="K76" s="351">
        <v>11333</v>
      </c>
      <c r="L76" s="356">
        <f t="shared" si="16"/>
        <v>1333</v>
      </c>
      <c r="M76" s="356">
        <f t="shared" si="18"/>
        <v>10000</v>
      </c>
      <c r="N76" s="356">
        <f t="shared" si="19"/>
        <v>54653</v>
      </c>
      <c r="O76" s="356">
        <f t="shared" si="20"/>
        <v>11997</v>
      </c>
      <c r="P76" s="348">
        <v>41</v>
      </c>
      <c r="Q76" s="354">
        <f t="shared" si="21"/>
        <v>9</v>
      </c>
      <c r="R76" s="339">
        <f t="shared" si="22"/>
        <v>464653</v>
      </c>
      <c r="S76" s="339">
        <f t="shared" si="23"/>
        <v>101997</v>
      </c>
      <c r="T76" s="337"/>
    </row>
    <row r="77" spans="2:20">
      <c r="B77" s="378"/>
      <c r="C77" s="365" t="s">
        <v>1402</v>
      </c>
      <c r="D77" s="367">
        <v>73</v>
      </c>
      <c r="E77" s="337" t="s">
        <v>1437</v>
      </c>
      <c r="F77" s="337" t="s">
        <v>1403</v>
      </c>
      <c r="G77" s="346">
        <v>150000</v>
      </c>
      <c r="H77" s="346">
        <v>19995</v>
      </c>
      <c r="I77" s="340">
        <f t="shared" si="17"/>
        <v>169995</v>
      </c>
      <c r="J77" s="348">
        <v>50</v>
      </c>
      <c r="K77" s="351">
        <v>3399.9</v>
      </c>
      <c r="L77" s="356">
        <f t="shared" si="16"/>
        <v>399.9</v>
      </c>
      <c r="M77" s="356">
        <f t="shared" si="18"/>
        <v>3000</v>
      </c>
      <c r="N77" s="356">
        <f t="shared" si="19"/>
        <v>1599.6</v>
      </c>
      <c r="O77" s="356">
        <f t="shared" si="20"/>
        <v>18395.399999999998</v>
      </c>
      <c r="P77" s="348">
        <v>4</v>
      </c>
      <c r="Q77" s="354">
        <f t="shared" si="21"/>
        <v>46</v>
      </c>
      <c r="R77" s="339">
        <f t="shared" si="22"/>
        <v>13599.6</v>
      </c>
      <c r="S77" s="339">
        <f t="shared" si="23"/>
        <v>156395.4</v>
      </c>
      <c r="T77" s="337"/>
    </row>
    <row r="78" spans="2:20">
      <c r="B78" s="378"/>
      <c r="C78" s="361" t="s">
        <v>1355</v>
      </c>
      <c r="D78" s="367">
        <v>74</v>
      </c>
      <c r="E78" s="337" t="s">
        <v>1437</v>
      </c>
      <c r="F78" s="337" t="s">
        <v>1287</v>
      </c>
      <c r="G78" s="346">
        <v>450000</v>
      </c>
      <c r="H78" s="346">
        <v>59985</v>
      </c>
      <c r="I78" s="340">
        <f t="shared" si="17"/>
        <v>509985</v>
      </c>
      <c r="J78" s="348">
        <v>50</v>
      </c>
      <c r="K78" s="351">
        <v>10199.700000000001</v>
      </c>
      <c r="L78" s="356">
        <f t="shared" si="16"/>
        <v>1199.7</v>
      </c>
      <c r="M78" s="356">
        <f t="shared" si="18"/>
        <v>9000</v>
      </c>
      <c r="N78" s="356">
        <f t="shared" si="19"/>
        <v>10797.300000000001</v>
      </c>
      <c r="O78" s="356">
        <f t="shared" si="20"/>
        <v>49187.700000000004</v>
      </c>
      <c r="P78" s="348">
        <v>9</v>
      </c>
      <c r="Q78" s="354">
        <f t="shared" si="21"/>
        <v>41</v>
      </c>
      <c r="R78" s="339">
        <f t="shared" si="22"/>
        <v>91797.3</v>
      </c>
      <c r="S78" s="339">
        <f t="shared" si="23"/>
        <v>418187.7</v>
      </c>
      <c r="T78" s="337"/>
    </row>
    <row r="79" spans="2:20">
      <c r="B79" s="378"/>
      <c r="C79" s="365" t="s">
        <v>1102</v>
      </c>
      <c r="D79" s="367">
        <v>75</v>
      </c>
      <c r="E79" s="337" t="s">
        <v>1437</v>
      </c>
      <c r="F79" s="337" t="s">
        <v>485</v>
      </c>
      <c r="G79" s="346">
        <v>500000</v>
      </c>
      <c r="H79" s="346">
        <v>66650</v>
      </c>
      <c r="I79" s="340">
        <f t="shared" si="17"/>
        <v>566650</v>
      </c>
      <c r="J79" s="348">
        <v>50</v>
      </c>
      <c r="K79" s="351">
        <v>11333</v>
      </c>
      <c r="L79" s="356">
        <f t="shared" si="16"/>
        <v>1333</v>
      </c>
      <c r="M79" s="356">
        <f t="shared" si="18"/>
        <v>10000</v>
      </c>
      <c r="N79" s="356">
        <f t="shared" si="19"/>
        <v>7998</v>
      </c>
      <c r="O79" s="356">
        <f t="shared" si="20"/>
        <v>58652</v>
      </c>
      <c r="P79" s="348">
        <v>6</v>
      </c>
      <c r="Q79" s="354">
        <f t="shared" si="21"/>
        <v>44</v>
      </c>
      <c r="R79" s="339">
        <f t="shared" si="22"/>
        <v>67998</v>
      </c>
      <c r="S79" s="339">
        <f t="shared" si="23"/>
        <v>498652</v>
      </c>
      <c r="T79" s="337"/>
    </row>
    <row r="80" spans="2:20">
      <c r="B80" s="378"/>
      <c r="C80" s="364" t="s">
        <v>1351</v>
      </c>
      <c r="D80" s="367">
        <v>76</v>
      </c>
      <c r="E80" s="337" t="s">
        <v>1437</v>
      </c>
      <c r="F80" s="337" t="s">
        <v>1285</v>
      </c>
      <c r="G80" s="346">
        <v>500000</v>
      </c>
      <c r="H80" s="346">
        <v>66650</v>
      </c>
      <c r="I80" s="340">
        <f t="shared" si="17"/>
        <v>566650</v>
      </c>
      <c r="J80" s="348">
        <v>50</v>
      </c>
      <c r="K80" s="351">
        <v>11333</v>
      </c>
      <c r="L80" s="356">
        <f t="shared" si="16"/>
        <v>1333</v>
      </c>
      <c r="M80" s="356">
        <f t="shared" si="18"/>
        <v>10000</v>
      </c>
      <c r="N80" s="356">
        <f t="shared" si="19"/>
        <v>11997</v>
      </c>
      <c r="O80" s="356">
        <f t="shared" si="20"/>
        <v>54653</v>
      </c>
      <c r="P80" s="348">
        <v>9</v>
      </c>
      <c r="Q80" s="354">
        <f t="shared" si="21"/>
        <v>41</v>
      </c>
      <c r="R80" s="339">
        <f t="shared" si="22"/>
        <v>101997</v>
      </c>
      <c r="S80" s="339">
        <f t="shared" si="23"/>
        <v>464653</v>
      </c>
      <c r="T80" s="337"/>
    </row>
    <row r="81" spans="2:20">
      <c r="B81" s="378"/>
      <c r="C81" s="364" t="s">
        <v>960</v>
      </c>
      <c r="D81" s="367">
        <v>77</v>
      </c>
      <c r="E81" s="337" t="s">
        <v>1437</v>
      </c>
      <c r="F81" s="337" t="s">
        <v>488</v>
      </c>
      <c r="G81" s="346">
        <v>500000</v>
      </c>
      <c r="H81" s="346">
        <v>66650</v>
      </c>
      <c r="I81" s="340">
        <f t="shared" si="17"/>
        <v>566650</v>
      </c>
      <c r="J81" s="348">
        <v>50</v>
      </c>
      <c r="K81" s="351">
        <v>11333</v>
      </c>
      <c r="L81" s="356">
        <f t="shared" si="16"/>
        <v>1333</v>
      </c>
      <c r="M81" s="356">
        <f t="shared" si="18"/>
        <v>10000</v>
      </c>
      <c r="N81" s="356">
        <f t="shared" si="19"/>
        <v>38657</v>
      </c>
      <c r="O81" s="356">
        <f t="shared" si="20"/>
        <v>27993</v>
      </c>
      <c r="P81" s="348">
        <v>29</v>
      </c>
      <c r="Q81" s="354">
        <f t="shared" si="21"/>
        <v>21</v>
      </c>
      <c r="R81" s="339">
        <f t="shared" si="22"/>
        <v>328657</v>
      </c>
      <c r="S81" s="339">
        <f t="shared" si="23"/>
        <v>237993</v>
      </c>
      <c r="T81" s="337"/>
    </row>
    <row r="82" spans="2:20">
      <c r="B82" s="378"/>
      <c r="C82" s="362" t="s">
        <v>1024</v>
      </c>
      <c r="D82" s="367">
        <v>78</v>
      </c>
      <c r="E82" s="337" t="s">
        <v>1437</v>
      </c>
      <c r="F82" s="337" t="s">
        <v>810</v>
      </c>
      <c r="G82" s="346">
        <v>450000</v>
      </c>
      <c r="H82" s="346">
        <v>59985</v>
      </c>
      <c r="I82" s="340">
        <f t="shared" si="17"/>
        <v>509985</v>
      </c>
      <c r="J82" s="348">
        <v>50</v>
      </c>
      <c r="K82" s="351">
        <v>10199.700000000001</v>
      </c>
      <c r="L82" s="356">
        <f t="shared" si="16"/>
        <v>1199.7</v>
      </c>
      <c r="M82" s="356">
        <f t="shared" si="18"/>
        <v>9000</v>
      </c>
      <c r="N82" s="356">
        <f t="shared" si="19"/>
        <v>64783.8</v>
      </c>
      <c r="O82" s="356">
        <f t="shared" si="20"/>
        <v>-4798.8</v>
      </c>
      <c r="P82" s="348">
        <v>54</v>
      </c>
      <c r="Q82" s="354">
        <f t="shared" si="21"/>
        <v>-4</v>
      </c>
      <c r="R82" s="339">
        <f t="shared" si="22"/>
        <v>550783.80000000005</v>
      </c>
      <c r="S82" s="339">
        <f t="shared" si="23"/>
        <v>-40798.800000000047</v>
      </c>
      <c r="T82" s="337"/>
    </row>
    <row r="83" spans="2:20">
      <c r="B83" s="378"/>
      <c r="C83" s="363" t="s">
        <v>1011</v>
      </c>
      <c r="D83" s="367">
        <v>79</v>
      </c>
      <c r="E83" s="337" t="s">
        <v>1437</v>
      </c>
      <c r="F83" s="337" t="s">
        <v>863</v>
      </c>
      <c r="G83" s="346">
        <v>500000</v>
      </c>
      <c r="H83" s="346">
        <v>66650</v>
      </c>
      <c r="I83" s="340">
        <f t="shared" si="17"/>
        <v>566650</v>
      </c>
      <c r="J83" s="348">
        <v>50</v>
      </c>
      <c r="K83" s="351">
        <v>11333</v>
      </c>
      <c r="L83" s="356">
        <f t="shared" si="16"/>
        <v>1333</v>
      </c>
      <c r="M83" s="356">
        <f t="shared" si="18"/>
        <v>10000</v>
      </c>
      <c r="N83" s="356">
        <f t="shared" si="19"/>
        <v>31992</v>
      </c>
      <c r="O83" s="356">
        <f t="shared" si="20"/>
        <v>34658</v>
      </c>
      <c r="P83" s="348">
        <v>24</v>
      </c>
      <c r="Q83" s="354">
        <f t="shared" si="21"/>
        <v>26</v>
      </c>
      <c r="R83" s="339">
        <f t="shared" si="22"/>
        <v>271992</v>
      </c>
      <c r="S83" s="339">
        <f t="shared" si="23"/>
        <v>294658</v>
      </c>
      <c r="T83" s="337"/>
    </row>
    <row r="84" spans="2:20">
      <c r="B84" s="378"/>
      <c r="C84" s="364" t="s">
        <v>1042</v>
      </c>
      <c r="D84" s="367">
        <v>80</v>
      </c>
      <c r="E84" s="337" t="s">
        <v>1437</v>
      </c>
      <c r="F84" s="337" t="s">
        <v>359</v>
      </c>
      <c r="G84" s="346">
        <v>500000</v>
      </c>
      <c r="H84" s="346">
        <v>66650</v>
      </c>
      <c r="I84" s="340">
        <f t="shared" si="17"/>
        <v>566650</v>
      </c>
      <c r="J84" s="348">
        <v>50</v>
      </c>
      <c r="K84" s="351">
        <v>11333</v>
      </c>
      <c r="L84" s="356">
        <f t="shared" si="16"/>
        <v>1333</v>
      </c>
      <c r="M84" s="356">
        <f t="shared" si="18"/>
        <v>10000</v>
      </c>
      <c r="N84" s="356">
        <f t="shared" si="19"/>
        <v>5332</v>
      </c>
      <c r="O84" s="356">
        <f t="shared" si="20"/>
        <v>61318</v>
      </c>
      <c r="P84" s="348">
        <v>4</v>
      </c>
      <c r="Q84" s="354">
        <f t="shared" si="21"/>
        <v>46</v>
      </c>
      <c r="R84" s="339">
        <f t="shared" si="22"/>
        <v>45332</v>
      </c>
      <c r="S84" s="339">
        <f t="shared" si="23"/>
        <v>521318</v>
      </c>
      <c r="T84" s="337"/>
    </row>
    <row r="85" spans="2:20">
      <c r="B85" s="378"/>
      <c r="C85" s="361" t="s">
        <v>1045</v>
      </c>
      <c r="D85" s="367">
        <v>81</v>
      </c>
      <c r="E85" s="337" t="s">
        <v>1437</v>
      </c>
      <c r="F85" s="337" t="s">
        <v>867</v>
      </c>
      <c r="G85" s="346">
        <v>500000</v>
      </c>
      <c r="H85" s="346">
        <v>66650</v>
      </c>
      <c r="I85" s="340">
        <f t="shared" si="17"/>
        <v>566650</v>
      </c>
      <c r="J85" s="348">
        <v>50</v>
      </c>
      <c r="K85" s="351">
        <v>11333</v>
      </c>
      <c r="L85" s="356">
        <f t="shared" si="16"/>
        <v>1333</v>
      </c>
      <c r="M85" s="356">
        <f t="shared" si="18"/>
        <v>10000</v>
      </c>
      <c r="N85" s="356">
        <f t="shared" si="19"/>
        <v>83979</v>
      </c>
      <c r="O85" s="356">
        <f t="shared" si="20"/>
        <v>-17329</v>
      </c>
      <c r="P85" s="348">
        <v>63</v>
      </c>
      <c r="Q85" s="354">
        <f t="shared" si="21"/>
        <v>-13</v>
      </c>
      <c r="R85" s="339">
        <f t="shared" si="22"/>
        <v>713979</v>
      </c>
      <c r="S85" s="339">
        <f t="shared" si="23"/>
        <v>-147329</v>
      </c>
      <c r="T85" s="337"/>
    </row>
    <row r="86" spans="2:20">
      <c r="B86" s="378"/>
      <c r="C86" s="364" t="s">
        <v>1323</v>
      </c>
      <c r="D86" s="367">
        <v>82</v>
      </c>
      <c r="E86" s="337" t="s">
        <v>1437</v>
      </c>
      <c r="F86" s="337" t="s">
        <v>448</v>
      </c>
      <c r="G86" s="346">
        <v>500000</v>
      </c>
      <c r="H86" s="346">
        <v>66650</v>
      </c>
      <c r="I86" s="340">
        <f t="shared" si="17"/>
        <v>566650</v>
      </c>
      <c r="J86" s="348">
        <v>50</v>
      </c>
      <c r="K86" s="351">
        <v>11333</v>
      </c>
      <c r="L86" s="356">
        <f t="shared" si="16"/>
        <v>1333</v>
      </c>
      <c r="M86" s="356">
        <f t="shared" si="18"/>
        <v>10000</v>
      </c>
      <c r="N86" s="356">
        <f t="shared" si="19"/>
        <v>18662</v>
      </c>
      <c r="O86" s="356">
        <f t="shared" si="20"/>
        <v>47988</v>
      </c>
      <c r="P86" s="348">
        <v>14</v>
      </c>
      <c r="Q86" s="354">
        <f t="shared" si="21"/>
        <v>36</v>
      </c>
      <c r="R86" s="339">
        <f t="shared" si="22"/>
        <v>158662</v>
      </c>
      <c r="S86" s="339">
        <f t="shared" si="23"/>
        <v>407988</v>
      </c>
      <c r="T86" s="337"/>
    </row>
    <row r="87" spans="2:20">
      <c r="B87" s="378"/>
      <c r="C87" s="363" t="s">
        <v>1037</v>
      </c>
      <c r="D87" s="367">
        <v>83</v>
      </c>
      <c r="E87" s="337" t="s">
        <v>1437</v>
      </c>
      <c r="F87" s="337" t="s">
        <v>326</v>
      </c>
      <c r="G87" s="346">
        <v>500000</v>
      </c>
      <c r="H87" s="346">
        <v>66650</v>
      </c>
      <c r="I87" s="340">
        <f t="shared" si="17"/>
        <v>566650</v>
      </c>
      <c r="J87" s="348">
        <v>50</v>
      </c>
      <c r="K87" s="351">
        <v>11333</v>
      </c>
      <c r="L87" s="356">
        <f t="shared" si="16"/>
        <v>1333</v>
      </c>
      <c r="M87" s="356">
        <f t="shared" si="18"/>
        <v>10000</v>
      </c>
      <c r="N87" s="356">
        <f t="shared" si="19"/>
        <v>53320</v>
      </c>
      <c r="O87" s="356">
        <f t="shared" si="20"/>
        <v>13330</v>
      </c>
      <c r="P87" s="348">
        <v>40</v>
      </c>
      <c r="Q87" s="354">
        <f t="shared" si="21"/>
        <v>10</v>
      </c>
      <c r="R87" s="339">
        <f t="shared" si="22"/>
        <v>453320</v>
      </c>
      <c r="S87" s="339">
        <f t="shared" si="23"/>
        <v>113330</v>
      </c>
      <c r="T87" s="337"/>
    </row>
    <row r="88" spans="2:20">
      <c r="B88" s="378"/>
      <c r="C88" s="363" t="s">
        <v>1002</v>
      </c>
      <c r="D88" s="367">
        <v>84</v>
      </c>
      <c r="E88" s="337" t="s">
        <v>1437</v>
      </c>
      <c r="F88" s="337" t="s">
        <v>1003</v>
      </c>
      <c r="G88" s="346">
        <v>150000</v>
      </c>
      <c r="H88" s="346">
        <v>19995</v>
      </c>
      <c r="I88" s="340">
        <f t="shared" si="17"/>
        <v>169995</v>
      </c>
      <c r="J88" s="348">
        <v>50</v>
      </c>
      <c r="K88" s="351">
        <v>3399.9</v>
      </c>
      <c r="L88" s="356">
        <f t="shared" si="16"/>
        <v>399.9</v>
      </c>
      <c r="M88" s="356">
        <f t="shared" si="18"/>
        <v>3000</v>
      </c>
      <c r="N88" s="356">
        <f t="shared" si="19"/>
        <v>8397.9</v>
      </c>
      <c r="O88" s="356">
        <f t="shared" si="20"/>
        <v>11597.099999999999</v>
      </c>
      <c r="P88" s="348">
        <v>21</v>
      </c>
      <c r="Q88" s="354">
        <f t="shared" si="21"/>
        <v>29</v>
      </c>
      <c r="R88" s="339">
        <f t="shared" si="22"/>
        <v>71397.900000000009</v>
      </c>
      <c r="S88" s="339">
        <f t="shared" si="23"/>
        <v>98597.099999999991</v>
      </c>
      <c r="T88" s="337"/>
    </row>
    <row r="89" spans="2:20">
      <c r="B89" s="378"/>
      <c r="C89" s="363" t="s">
        <v>1315</v>
      </c>
      <c r="D89" s="367">
        <v>85</v>
      </c>
      <c r="E89" s="337" t="s">
        <v>1437</v>
      </c>
      <c r="F89" s="337" t="s">
        <v>1316</v>
      </c>
      <c r="G89" s="346">
        <v>450000</v>
      </c>
      <c r="H89" s="346">
        <v>28792.799999999999</v>
      </c>
      <c r="I89" s="340">
        <f t="shared" si="17"/>
        <v>478792.8</v>
      </c>
      <c r="J89" s="348">
        <v>24</v>
      </c>
      <c r="K89" s="351">
        <v>19949.7</v>
      </c>
      <c r="L89" s="356">
        <f>H89/24</f>
        <v>1199.7</v>
      </c>
      <c r="M89" s="356">
        <f t="shared" si="18"/>
        <v>9000</v>
      </c>
      <c r="N89" s="356">
        <f t="shared" si="19"/>
        <v>4798.8</v>
      </c>
      <c r="O89" s="356">
        <f t="shared" si="20"/>
        <v>23994</v>
      </c>
      <c r="P89" s="348">
        <v>4</v>
      </c>
      <c r="Q89" s="354">
        <f t="shared" si="21"/>
        <v>20</v>
      </c>
      <c r="R89" s="339">
        <f t="shared" si="22"/>
        <v>79798.8</v>
      </c>
      <c r="S89" s="339">
        <f t="shared" si="23"/>
        <v>398994</v>
      </c>
      <c r="T89" s="337"/>
    </row>
    <row r="90" spans="2:20">
      <c r="B90" s="378"/>
      <c r="C90" s="362" t="s">
        <v>1404</v>
      </c>
      <c r="D90" s="367">
        <v>86</v>
      </c>
      <c r="E90" s="337" t="s">
        <v>1437</v>
      </c>
      <c r="F90" s="337" t="s">
        <v>1405</v>
      </c>
      <c r="G90" s="346">
        <v>150000</v>
      </c>
      <c r="H90" s="346">
        <v>19995</v>
      </c>
      <c r="I90" s="340">
        <f t="shared" si="17"/>
        <v>169995</v>
      </c>
      <c r="J90" s="348">
        <v>50</v>
      </c>
      <c r="K90" s="351">
        <v>3399.9</v>
      </c>
      <c r="L90" s="356">
        <f t="shared" ref="L90:L114" si="24">H90/50</f>
        <v>399.9</v>
      </c>
      <c r="M90" s="356">
        <f t="shared" si="18"/>
        <v>3000</v>
      </c>
      <c r="N90" s="356">
        <f t="shared" si="19"/>
        <v>1599.6</v>
      </c>
      <c r="O90" s="356">
        <f t="shared" si="20"/>
        <v>18395.399999999998</v>
      </c>
      <c r="P90" s="348">
        <v>4</v>
      </c>
      <c r="Q90" s="354">
        <f t="shared" si="21"/>
        <v>46</v>
      </c>
      <c r="R90" s="339">
        <f t="shared" si="22"/>
        <v>13599.6</v>
      </c>
      <c r="S90" s="339">
        <f t="shared" si="23"/>
        <v>156395.4</v>
      </c>
      <c r="T90" s="337"/>
    </row>
    <row r="91" spans="2:20">
      <c r="B91" s="378"/>
      <c r="C91" s="366" t="s">
        <v>1381</v>
      </c>
      <c r="D91" s="367">
        <v>87</v>
      </c>
      <c r="E91" s="337" t="s">
        <v>1437</v>
      </c>
      <c r="F91" s="337" t="s">
        <v>1129</v>
      </c>
      <c r="G91" s="346">
        <v>330000</v>
      </c>
      <c r="H91" s="346">
        <v>43989</v>
      </c>
      <c r="I91" s="340">
        <f t="shared" si="17"/>
        <v>373989</v>
      </c>
      <c r="J91" s="348">
        <v>50</v>
      </c>
      <c r="K91" s="351">
        <v>7479.78</v>
      </c>
      <c r="L91" s="356">
        <f t="shared" si="24"/>
        <v>879.78</v>
      </c>
      <c r="M91" s="356">
        <f t="shared" si="18"/>
        <v>6600</v>
      </c>
      <c r="N91" s="356">
        <f t="shared" si="19"/>
        <v>14076.48</v>
      </c>
      <c r="O91" s="356">
        <f t="shared" si="20"/>
        <v>29912.52</v>
      </c>
      <c r="P91" s="348">
        <v>16</v>
      </c>
      <c r="Q91" s="354">
        <f t="shared" si="21"/>
        <v>34</v>
      </c>
      <c r="R91" s="339">
        <f t="shared" si="22"/>
        <v>119676.48</v>
      </c>
      <c r="S91" s="339">
        <f t="shared" si="23"/>
        <v>254312.52000000002</v>
      </c>
      <c r="T91" s="337"/>
    </row>
    <row r="92" spans="2:20">
      <c r="B92" s="378"/>
      <c r="C92" s="337" t="s">
        <v>1417</v>
      </c>
      <c r="D92" s="367">
        <v>88</v>
      </c>
      <c r="E92" s="337" t="s">
        <v>1437</v>
      </c>
      <c r="F92" s="337" t="s">
        <v>477</v>
      </c>
      <c r="G92" s="346">
        <v>330000</v>
      </c>
      <c r="H92" s="346">
        <v>43989</v>
      </c>
      <c r="I92" s="340">
        <f t="shared" si="17"/>
        <v>373989</v>
      </c>
      <c r="J92" s="358">
        <v>50</v>
      </c>
      <c r="K92" s="346">
        <v>7479.78</v>
      </c>
      <c r="L92" s="356">
        <f t="shared" si="24"/>
        <v>879.78</v>
      </c>
      <c r="M92" s="356">
        <f t="shared" si="18"/>
        <v>6600</v>
      </c>
      <c r="N92" s="356">
        <f t="shared" si="19"/>
        <v>1759.56</v>
      </c>
      <c r="O92" s="356">
        <f t="shared" si="20"/>
        <v>42229.440000000002</v>
      </c>
      <c r="P92" s="358">
        <v>2</v>
      </c>
      <c r="Q92" s="354">
        <f t="shared" si="21"/>
        <v>48</v>
      </c>
      <c r="R92" s="339">
        <f t="shared" si="22"/>
        <v>14959.56</v>
      </c>
      <c r="S92" s="339">
        <f t="shared" si="23"/>
        <v>359029.44</v>
      </c>
      <c r="T92" s="337"/>
    </row>
    <row r="93" spans="2:20">
      <c r="B93" s="378"/>
      <c r="C93" s="363" t="s">
        <v>1061</v>
      </c>
      <c r="D93" s="367">
        <v>89</v>
      </c>
      <c r="E93" s="337" t="s">
        <v>1437</v>
      </c>
      <c r="F93" s="337" t="s">
        <v>854</v>
      </c>
      <c r="G93" s="346">
        <v>330000</v>
      </c>
      <c r="H93" s="346">
        <v>43989</v>
      </c>
      <c r="I93" s="340">
        <f t="shared" si="17"/>
        <v>373989</v>
      </c>
      <c r="J93" s="348">
        <v>50</v>
      </c>
      <c r="K93" s="351">
        <v>7479.78</v>
      </c>
      <c r="L93" s="356">
        <f t="shared" si="24"/>
        <v>879.78</v>
      </c>
      <c r="M93" s="356">
        <f t="shared" si="18"/>
        <v>6600</v>
      </c>
      <c r="N93" s="356">
        <f t="shared" si="19"/>
        <v>19355.16</v>
      </c>
      <c r="O93" s="356">
        <f t="shared" si="20"/>
        <v>24633.84</v>
      </c>
      <c r="P93" s="348">
        <v>22</v>
      </c>
      <c r="Q93" s="354">
        <f t="shared" si="21"/>
        <v>28</v>
      </c>
      <c r="R93" s="339">
        <f t="shared" si="22"/>
        <v>164555.16</v>
      </c>
      <c r="S93" s="339">
        <f t="shared" si="23"/>
        <v>209433.84</v>
      </c>
      <c r="T93" s="337"/>
    </row>
    <row r="94" spans="2:20">
      <c r="B94" s="378"/>
      <c r="C94" s="362" t="s">
        <v>969</v>
      </c>
      <c r="D94" s="367">
        <v>90</v>
      </c>
      <c r="E94" s="337" t="s">
        <v>1437</v>
      </c>
      <c r="F94" s="337" t="s">
        <v>851</v>
      </c>
      <c r="G94" s="346">
        <v>150000</v>
      </c>
      <c r="H94" s="346">
        <v>19995</v>
      </c>
      <c r="I94" s="340">
        <f t="shared" si="17"/>
        <v>169995</v>
      </c>
      <c r="J94" s="348">
        <v>50</v>
      </c>
      <c r="K94" s="351">
        <v>3399.9</v>
      </c>
      <c r="L94" s="356">
        <f t="shared" si="24"/>
        <v>399.9</v>
      </c>
      <c r="M94" s="356">
        <f t="shared" si="18"/>
        <v>3000</v>
      </c>
      <c r="N94" s="356">
        <f t="shared" si="19"/>
        <v>1599.6</v>
      </c>
      <c r="O94" s="356">
        <f t="shared" si="20"/>
        <v>18395.399999999998</v>
      </c>
      <c r="P94" s="348">
        <v>4</v>
      </c>
      <c r="Q94" s="354">
        <f t="shared" si="21"/>
        <v>46</v>
      </c>
      <c r="R94" s="339">
        <f t="shared" si="22"/>
        <v>13599.6</v>
      </c>
      <c r="S94" s="339">
        <f t="shared" si="23"/>
        <v>156395.4</v>
      </c>
      <c r="T94" s="337"/>
    </row>
    <row r="95" spans="2:20">
      <c r="B95" s="378"/>
      <c r="C95" s="363" t="s">
        <v>1341</v>
      </c>
      <c r="D95" s="367">
        <v>91</v>
      </c>
      <c r="E95" s="337" t="s">
        <v>1437</v>
      </c>
      <c r="F95" s="337" t="s">
        <v>1139</v>
      </c>
      <c r="G95" s="346">
        <v>500000</v>
      </c>
      <c r="H95" s="346">
        <v>66650</v>
      </c>
      <c r="I95" s="340">
        <f t="shared" si="17"/>
        <v>566650</v>
      </c>
      <c r="J95" s="348">
        <v>50</v>
      </c>
      <c r="K95" s="351">
        <v>11333</v>
      </c>
      <c r="L95" s="356">
        <f t="shared" si="24"/>
        <v>1333</v>
      </c>
      <c r="M95" s="356">
        <f t="shared" si="18"/>
        <v>10000</v>
      </c>
      <c r="N95" s="356">
        <f t="shared" si="19"/>
        <v>21328</v>
      </c>
      <c r="O95" s="356">
        <f t="shared" si="20"/>
        <v>45322</v>
      </c>
      <c r="P95" s="348">
        <v>16</v>
      </c>
      <c r="Q95" s="354">
        <f t="shared" si="21"/>
        <v>34</v>
      </c>
      <c r="R95" s="339">
        <f t="shared" si="22"/>
        <v>181328</v>
      </c>
      <c r="S95" s="339">
        <f t="shared" si="23"/>
        <v>385322</v>
      </c>
      <c r="T95" s="337"/>
    </row>
    <row r="96" spans="2:20">
      <c r="B96" s="378"/>
      <c r="C96" s="362" t="s">
        <v>1398</v>
      </c>
      <c r="D96" s="367">
        <v>92</v>
      </c>
      <c r="E96" s="337" t="s">
        <v>1437</v>
      </c>
      <c r="F96" s="337" t="s">
        <v>1399</v>
      </c>
      <c r="G96" s="346">
        <v>150000</v>
      </c>
      <c r="H96" s="346">
        <v>19995</v>
      </c>
      <c r="I96" s="340">
        <f t="shared" si="17"/>
        <v>169995</v>
      </c>
      <c r="J96" s="348">
        <v>50</v>
      </c>
      <c r="K96" s="351">
        <v>3399.9</v>
      </c>
      <c r="L96" s="356">
        <f t="shared" si="24"/>
        <v>399.9</v>
      </c>
      <c r="M96" s="356">
        <f t="shared" si="18"/>
        <v>3000</v>
      </c>
      <c r="N96" s="356">
        <f t="shared" si="19"/>
        <v>1599.6</v>
      </c>
      <c r="O96" s="356">
        <f t="shared" si="20"/>
        <v>18395.399999999998</v>
      </c>
      <c r="P96" s="348">
        <v>4</v>
      </c>
      <c r="Q96" s="354">
        <f t="shared" si="21"/>
        <v>46</v>
      </c>
      <c r="R96" s="339">
        <f t="shared" si="22"/>
        <v>13599.6</v>
      </c>
      <c r="S96" s="339">
        <f t="shared" si="23"/>
        <v>156395.4</v>
      </c>
      <c r="T96" s="337"/>
    </row>
    <row r="97" spans="2:20">
      <c r="B97" s="378"/>
      <c r="C97" s="362" t="s">
        <v>1118</v>
      </c>
      <c r="D97" s="367">
        <v>93</v>
      </c>
      <c r="E97" s="337" t="s">
        <v>1437</v>
      </c>
      <c r="F97" s="337" t="s">
        <v>1119</v>
      </c>
      <c r="G97" s="346">
        <v>500000</v>
      </c>
      <c r="H97" s="346">
        <v>66650</v>
      </c>
      <c r="I97" s="340">
        <f t="shared" si="17"/>
        <v>566650</v>
      </c>
      <c r="J97" s="348">
        <v>50</v>
      </c>
      <c r="K97" s="351">
        <v>11333</v>
      </c>
      <c r="L97" s="356">
        <f t="shared" si="24"/>
        <v>1333</v>
      </c>
      <c r="M97" s="356">
        <f t="shared" si="18"/>
        <v>10000</v>
      </c>
      <c r="N97" s="356">
        <f t="shared" si="19"/>
        <v>22661</v>
      </c>
      <c r="O97" s="356">
        <f t="shared" si="20"/>
        <v>43989</v>
      </c>
      <c r="P97" s="348">
        <v>17</v>
      </c>
      <c r="Q97" s="354">
        <f t="shared" si="21"/>
        <v>33</v>
      </c>
      <c r="R97" s="339">
        <f t="shared" si="22"/>
        <v>192661</v>
      </c>
      <c r="S97" s="339">
        <f t="shared" si="23"/>
        <v>373989</v>
      </c>
      <c r="T97" s="337"/>
    </row>
    <row r="98" spans="2:20">
      <c r="B98" s="378"/>
      <c r="C98" s="363" t="s">
        <v>1123</v>
      </c>
      <c r="D98" s="367">
        <v>94</v>
      </c>
      <c r="E98" s="337" t="s">
        <v>1437</v>
      </c>
      <c r="F98" s="337" t="s">
        <v>439</v>
      </c>
      <c r="G98" s="346">
        <v>330000</v>
      </c>
      <c r="H98" s="346">
        <v>43989</v>
      </c>
      <c r="I98" s="340">
        <f t="shared" si="17"/>
        <v>373989</v>
      </c>
      <c r="J98" s="348">
        <v>50</v>
      </c>
      <c r="K98" s="351">
        <v>7479.78</v>
      </c>
      <c r="L98" s="356">
        <f t="shared" si="24"/>
        <v>879.78</v>
      </c>
      <c r="M98" s="356">
        <f t="shared" si="18"/>
        <v>6600</v>
      </c>
      <c r="N98" s="356">
        <f t="shared" si="19"/>
        <v>14956.26</v>
      </c>
      <c r="O98" s="356">
        <f t="shared" si="20"/>
        <v>29032.739999999998</v>
      </c>
      <c r="P98" s="348">
        <v>17</v>
      </c>
      <c r="Q98" s="354">
        <f t="shared" si="21"/>
        <v>33</v>
      </c>
      <c r="R98" s="339">
        <f t="shared" si="22"/>
        <v>127156.26</v>
      </c>
      <c r="S98" s="339">
        <f t="shared" si="23"/>
        <v>246832.74</v>
      </c>
      <c r="T98" s="337"/>
    </row>
    <row r="99" spans="2:20">
      <c r="B99" s="378"/>
      <c r="C99" s="361" t="s">
        <v>1365</v>
      </c>
      <c r="D99" s="367">
        <v>95</v>
      </c>
      <c r="E99" s="337" t="s">
        <v>1437</v>
      </c>
      <c r="F99" s="337" t="s">
        <v>449</v>
      </c>
      <c r="G99" s="346">
        <v>450000</v>
      </c>
      <c r="H99" s="346">
        <v>59985</v>
      </c>
      <c r="I99" s="340">
        <f t="shared" si="17"/>
        <v>509985</v>
      </c>
      <c r="J99" s="348">
        <v>50</v>
      </c>
      <c r="K99" s="351">
        <v>10199.700000000001</v>
      </c>
      <c r="L99" s="356">
        <f t="shared" si="24"/>
        <v>1199.7</v>
      </c>
      <c r="M99" s="356">
        <f t="shared" si="18"/>
        <v>9000</v>
      </c>
      <c r="N99" s="356">
        <f t="shared" si="19"/>
        <v>10797.300000000001</v>
      </c>
      <c r="O99" s="356">
        <f t="shared" si="20"/>
        <v>49187.700000000004</v>
      </c>
      <c r="P99" s="348">
        <v>9</v>
      </c>
      <c r="Q99" s="354">
        <f t="shared" si="21"/>
        <v>41</v>
      </c>
      <c r="R99" s="339">
        <f t="shared" si="22"/>
        <v>91797.3</v>
      </c>
      <c r="S99" s="339">
        <f t="shared" si="23"/>
        <v>418187.7</v>
      </c>
      <c r="T99" s="337"/>
    </row>
    <row r="100" spans="2:20">
      <c r="B100" s="378"/>
      <c r="C100" s="363" t="s">
        <v>987</v>
      </c>
      <c r="D100" s="367">
        <v>96</v>
      </c>
      <c r="E100" s="337" t="s">
        <v>1437</v>
      </c>
      <c r="F100" s="337" t="s">
        <v>866</v>
      </c>
      <c r="G100" s="346">
        <v>500000</v>
      </c>
      <c r="H100" s="346">
        <v>66650</v>
      </c>
      <c r="I100" s="340">
        <f t="shared" si="17"/>
        <v>566650</v>
      </c>
      <c r="J100" s="348">
        <v>50</v>
      </c>
      <c r="K100" s="351">
        <v>11333</v>
      </c>
      <c r="L100" s="356">
        <f t="shared" si="24"/>
        <v>1333</v>
      </c>
      <c r="M100" s="356">
        <f t="shared" si="18"/>
        <v>10000</v>
      </c>
      <c r="N100" s="356">
        <f t="shared" si="19"/>
        <v>11997</v>
      </c>
      <c r="O100" s="356">
        <f t="shared" si="20"/>
        <v>54653</v>
      </c>
      <c r="P100" s="348">
        <v>9</v>
      </c>
      <c r="Q100" s="354">
        <f t="shared" si="21"/>
        <v>41</v>
      </c>
      <c r="R100" s="339">
        <f t="shared" si="22"/>
        <v>101997</v>
      </c>
      <c r="S100" s="339">
        <f t="shared" si="23"/>
        <v>464653</v>
      </c>
      <c r="T100" s="337"/>
    </row>
    <row r="101" spans="2:20">
      <c r="B101" s="378"/>
      <c r="C101" s="364" t="s">
        <v>1321</v>
      </c>
      <c r="D101" s="367">
        <v>97</v>
      </c>
      <c r="E101" s="337" t="s">
        <v>1437</v>
      </c>
      <c r="F101" s="337" t="s">
        <v>403</v>
      </c>
      <c r="G101" s="346">
        <v>500000</v>
      </c>
      <c r="H101" s="346">
        <v>66650</v>
      </c>
      <c r="I101" s="340">
        <f t="shared" ref="I101:I132" si="25">SUM(G101:H101)</f>
        <v>566650</v>
      </c>
      <c r="J101" s="348">
        <v>50</v>
      </c>
      <c r="K101" s="351">
        <v>11333</v>
      </c>
      <c r="L101" s="356">
        <f t="shared" si="24"/>
        <v>1333</v>
      </c>
      <c r="M101" s="356">
        <f t="shared" ref="M101:M132" si="26">G101/50</f>
        <v>10000</v>
      </c>
      <c r="N101" s="356">
        <f t="shared" ref="N101:N132" si="27">L101*P101</f>
        <v>9331</v>
      </c>
      <c r="O101" s="356">
        <f t="shared" ref="O101:O132" si="28">L101*Q101</f>
        <v>57319</v>
      </c>
      <c r="P101" s="348">
        <v>7</v>
      </c>
      <c r="Q101" s="354">
        <f t="shared" ref="Q101:Q132" si="29">J101-P101</f>
        <v>43</v>
      </c>
      <c r="R101" s="339">
        <f t="shared" ref="R101:R132" si="30">K101*P101</f>
        <v>79331</v>
      </c>
      <c r="S101" s="339">
        <f t="shared" ref="S101:S132" si="31">I101-R101</f>
        <v>487319</v>
      </c>
      <c r="T101" s="337"/>
    </row>
    <row r="102" spans="2:20">
      <c r="B102" s="378"/>
      <c r="C102" s="366" t="s">
        <v>1093</v>
      </c>
      <c r="D102" s="367">
        <v>98</v>
      </c>
      <c r="E102" s="337" t="s">
        <v>1437</v>
      </c>
      <c r="F102" s="337" t="s">
        <v>364</v>
      </c>
      <c r="G102" s="346">
        <v>450000</v>
      </c>
      <c r="H102" s="346">
        <v>59985</v>
      </c>
      <c r="I102" s="340">
        <f t="shared" si="25"/>
        <v>509985</v>
      </c>
      <c r="J102" s="348">
        <v>50</v>
      </c>
      <c r="K102" s="351">
        <v>10199.700000000001</v>
      </c>
      <c r="L102" s="356">
        <f t="shared" si="24"/>
        <v>1199.7</v>
      </c>
      <c r="M102" s="356">
        <f t="shared" si="26"/>
        <v>9000</v>
      </c>
      <c r="N102" s="356">
        <f t="shared" si="27"/>
        <v>47988</v>
      </c>
      <c r="O102" s="356">
        <f t="shared" si="28"/>
        <v>11997</v>
      </c>
      <c r="P102" s="348">
        <v>40</v>
      </c>
      <c r="Q102" s="354">
        <f t="shared" si="29"/>
        <v>10</v>
      </c>
      <c r="R102" s="339">
        <f t="shared" si="30"/>
        <v>407988</v>
      </c>
      <c r="S102" s="339">
        <f t="shared" si="31"/>
        <v>101997</v>
      </c>
      <c r="T102" s="337"/>
    </row>
    <row r="103" spans="2:20">
      <c r="B103" s="378"/>
      <c r="C103" s="361" t="s">
        <v>1105</v>
      </c>
      <c r="D103" s="367">
        <v>99</v>
      </c>
      <c r="E103" s="337" t="s">
        <v>1437</v>
      </c>
      <c r="F103" s="337" t="s">
        <v>861</v>
      </c>
      <c r="G103" s="346">
        <v>500000</v>
      </c>
      <c r="H103" s="346">
        <v>66650</v>
      </c>
      <c r="I103" s="340">
        <f t="shared" si="25"/>
        <v>566650</v>
      </c>
      <c r="J103" s="348">
        <v>50</v>
      </c>
      <c r="K103" s="351">
        <v>11333</v>
      </c>
      <c r="L103" s="356">
        <f t="shared" si="24"/>
        <v>1333</v>
      </c>
      <c r="M103" s="356">
        <f t="shared" si="26"/>
        <v>10000</v>
      </c>
      <c r="N103" s="356">
        <f t="shared" si="27"/>
        <v>29326</v>
      </c>
      <c r="O103" s="356">
        <f t="shared" si="28"/>
        <v>37324</v>
      </c>
      <c r="P103" s="348">
        <v>22</v>
      </c>
      <c r="Q103" s="354">
        <f t="shared" si="29"/>
        <v>28</v>
      </c>
      <c r="R103" s="339">
        <f t="shared" si="30"/>
        <v>249326</v>
      </c>
      <c r="S103" s="339">
        <f t="shared" si="31"/>
        <v>317324</v>
      </c>
      <c r="T103" s="337"/>
    </row>
    <row r="104" spans="2:20">
      <c r="B104" s="378"/>
      <c r="C104" s="364" t="s">
        <v>1361</v>
      </c>
      <c r="D104" s="367">
        <v>100</v>
      </c>
      <c r="E104" s="337" t="s">
        <v>1437</v>
      </c>
      <c r="F104" s="337" t="s">
        <v>1362</v>
      </c>
      <c r="G104" s="346">
        <v>450000</v>
      </c>
      <c r="H104" s="346">
        <v>59985</v>
      </c>
      <c r="I104" s="340">
        <f t="shared" si="25"/>
        <v>509985</v>
      </c>
      <c r="J104" s="348">
        <v>50</v>
      </c>
      <c r="K104" s="351">
        <v>10199.700000000001</v>
      </c>
      <c r="L104" s="356">
        <f t="shared" si="24"/>
        <v>1199.7</v>
      </c>
      <c r="M104" s="356">
        <f t="shared" si="26"/>
        <v>9000</v>
      </c>
      <c r="N104" s="356">
        <f t="shared" si="27"/>
        <v>8397.9</v>
      </c>
      <c r="O104" s="356">
        <f t="shared" si="28"/>
        <v>51587.1</v>
      </c>
      <c r="P104" s="348">
        <v>7</v>
      </c>
      <c r="Q104" s="354">
        <f t="shared" si="29"/>
        <v>43</v>
      </c>
      <c r="R104" s="339">
        <f t="shared" si="30"/>
        <v>71397.900000000009</v>
      </c>
      <c r="S104" s="339">
        <f t="shared" si="31"/>
        <v>438587.1</v>
      </c>
      <c r="T104" s="337"/>
    </row>
    <row r="105" spans="2:20">
      <c r="B105" s="378"/>
      <c r="C105" s="364" t="s">
        <v>999</v>
      </c>
      <c r="D105" s="367">
        <v>101</v>
      </c>
      <c r="E105" s="337" t="s">
        <v>1437</v>
      </c>
      <c r="F105" s="337" t="s">
        <v>441</v>
      </c>
      <c r="G105" s="346">
        <v>500000</v>
      </c>
      <c r="H105" s="346">
        <v>66650</v>
      </c>
      <c r="I105" s="340">
        <f t="shared" si="25"/>
        <v>566650</v>
      </c>
      <c r="J105" s="348">
        <v>50</v>
      </c>
      <c r="K105" s="351">
        <v>11333</v>
      </c>
      <c r="L105" s="356">
        <f t="shared" si="24"/>
        <v>1333</v>
      </c>
      <c r="M105" s="356">
        <f t="shared" si="26"/>
        <v>10000</v>
      </c>
      <c r="N105" s="356">
        <f t="shared" si="27"/>
        <v>38657</v>
      </c>
      <c r="O105" s="356">
        <f t="shared" si="28"/>
        <v>27993</v>
      </c>
      <c r="P105" s="348">
        <v>29</v>
      </c>
      <c r="Q105" s="354">
        <f t="shared" si="29"/>
        <v>21</v>
      </c>
      <c r="R105" s="339">
        <f t="shared" si="30"/>
        <v>328657</v>
      </c>
      <c r="S105" s="339">
        <f t="shared" si="31"/>
        <v>237993</v>
      </c>
      <c r="T105" s="337"/>
    </row>
    <row r="106" spans="2:20">
      <c r="B106" s="378"/>
      <c r="C106" s="362" t="s">
        <v>1053</v>
      </c>
      <c r="D106" s="367">
        <v>102</v>
      </c>
      <c r="E106" s="337" t="s">
        <v>1437</v>
      </c>
      <c r="F106" s="337" t="s">
        <v>845</v>
      </c>
      <c r="G106" s="346">
        <v>150000</v>
      </c>
      <c r="H106" s="346">
        <v>19995</v>
      </c>
      <c r="I106" s="340">
        <f t="shared" si="25"/>
        <v>169995</v>
      </c>
      <c r="J106" s="348">
        <v>50</v>
      </c>
      <c r="K106" s="351">
        <v>3399.9</v>
      </c>
      <c r="L106" s="356">
        <f t="shared" si="24"/>
        <v>399.9</v>
      </c>
      <c r="M106" s="356">
        <f t="shared" si="26"/>
        <v>3000</v>
      </c>
      <c r="N106" s="356">
        <f t="shared" si="27"/>
        <v>16395.899999999998</v>
      </c>
      <c r="O106" s="356">
        <f t="shared" si="28"/>
        <v>3599.1</v>
      </c>
      <c r="P106" s="348">
        <v>41</v>
      </c>
      <c r="Q106" s="354">
        <f t="shared" si="29"/>
        <v>9</v>
      </c>
      <c r="R106" s="339">
        <f t="shared" si="30"/>
        <v>139395.9</v>
      </c>
      <c r="S106" s="339">
        <f t="shared" si="31"/>
        <v>30599.100000000006</v>
      </c>
      <c r="T106" s="337"/>
    </row>
    <row r="107" spans="2:20">
      <c r="B107" s="378"/>
      <c r="C107" s="364" t="s">
        <v>1332</v>
      </c>
      <c r="D107" s="367">
        <v>103</v>
      </c>
      <c r="E107" s="337" t="s">
        <v>1437</v>
      </c>
      <c r="F107" s="337" t="s">
        <v>1284</v>
      </c>
      <c r="G107" s="346">
        <v>500000</v>
      </c>
      <c r="H107" s="346">
        <v>66650</v>
      </c>
      <c r="I107" s="340">
        <f t="shared" si="25"/>
        <v>566650</v>
      </c>
      <c r="J107" s="348">
        <v>50</v>
      </c>
      <c r="K107" s="351">
        <v>11333</v>
      </c>
      <c r="L107" s="356">
        <f t="shared" si="24"/>
        <v>1333</v>
      </c>
      <c r="M107" s="356">
        <f t="shared" si="26"/>
        <v>10000</v>
      </c>
      <c r="N107" s="356">
        <f t="shared" si="27"/>
        <v>31992</v>
      </c>
      <c r="O107" s="356">
        <f t="shared" si="28"/>
        <v>34658</v>
      </c>
      <c r="P107" s="348">
        <v>24</v>
      </c>
      <c r="Q107" s="354">
        <f t="shared" si="29"/>
        <v>26</v>
      </c>
      <c r="R107" s="339">
        <f t="shared" si="30"/>
        <v>271992</v>
      </c>
      <c r="S107" s="339">
        <f t="shared" si="31"/>
        <v>294658</v>
      </c>
      <c r="T107" s="337"/>
    </row>
    <row r="108" spans="2:20">
      <c r="B108" s="378"/>
      <c r="C108" s="363" t="s">
        <v>1062</v>
      </c>
      <c r="D108" s="367">
        <v>104</v>
      </c>
      <c r="E108" s="337" t="s">
        <v>1437</v>
      </c>
      <c r="F108" s="337" t="s">
        <v>335</v>
      </c>
      <c r="G108" s="346">
        <v>500000</v>
      </c>
      <c r="H108" s="346">
        <v>66650</v>
      </c>
      <c r="I108" s="340">
        <f t="shared" si="25"/>
        <v>566650</v>
      </c>
      <c r="J108" s="348">
        <v>50</v>
      </c>
      <c r="K108" s="351">
        <v>11333</v>
      </c>
      <c r="L108" s="356">
        <f t="shared" si="24"/>
        <v>1333</v>
      </c>
      <c r="M108" s="356">
        <f t="shared" si="26"/>
        <v>10000</v>
      </c>
      <c r="N108" s="356">
        <f t="shared" si="27"/>
        <v>71982</v>
      </c>
      <c r="O108" s="356">
        <f t="shared" si="28"/>
        <v>-5332</v>
      </c>
      <c r="P108" s="348">
        <v>54</v>
      </c>
      <c r="Q108" s="354">
        <f t="shared" si="29"/>
        <v>-4</v>
      </c>
      <c r="R108" s="339">
        <f t="shared" si="30"/>
        <v>611982</v>
      </c>
      <c r="S108" s="339">
        <f t="shared" si="31"/>
        <v>-45332</v>
      </c>
      <c r="T108" s="337"/>
    </row>
    <row r="109" spans="2:20">
      <c r="B109" s="378"/>
      <c r="C109" s="337" t="s">
        <v>1411</v>
      </c>
      <c r="D109" s="367">
        <v>105</v>
      </c>
      <c r="E109" s="337" t="s">
        <v>1437</v>
      </c>
      <c r="F109" s="337" t="s">
        <v>473</v>
      </c>
      <c r="G109" s="346">
        <v>500000</v>
      </c>
      <c r="H109" s="346">
        <v>66650</v>
      </c>
      <c r="I109" s="340">
        <f t="shared" si="25"/>
        <v>566650</v>
      </c>
      <c r="J109" s="348">
        <v>40</v>
      </c>
      <c r="K109" s="351">
        <v>13833</v>
      </c>
      <c r="L109" s="356">
        <f t="shared" si="24"/>
        <v>1333</v>
      </c>
      <c r="M109" s="356">
        <f t="shared" si="26"/>
        <v>10000</v>
      </c>
      <c r="N109" s="356">
        <f t="shared" si="27"/>
        <v>2666</v>
      </c>
      <c r="O109" s="356">
        <f t="shared" si="28"/>
        <v>50654</v>
      </c>
      <c r="P109" s="348">
        <v>2</v>
      </c>
      <c r="Q109" s="354">
        <f t="shared" si="29"/>
        <v>38</v>
      </c>
      <c r="R109" s="339">
        <f t="shared" si="30"/>
        <v>27666</v>
      </c>
      <c r="S109" s="339">
        <f t="shared" si="31"/>
        <v>538984</v>
      </c>
      <c r="T109" s="337"/>
    </row>
    <row r="110" spans="2:20">
      <c r="B110" s="378"/>
      <c r="C110" s="363" t="s">
        <v>1329</v>
      </c>
      <c r="D110" s="367">
        <v>106</v>
      </c>
      <c r="E110" s="337" t="s">
        <v>1437</v>
      </c>
      <c r="F110" s="337" t="s">
        <v>463</v>
      </c>
      <c r="G110" s="346">
        <v>500000</v>
      </c>
      <c r="H110" s="346">
        <v>66650</v>
      </c>
      <c r="I110" s="340">
        <f t="shared" si="25"/>
        <v>566650</v>
      </c>
      <c r="J110" s="348">
        <v>50</v>
      </c>
      <c r="K110" s="351">
        <v>11333</v>
      </c>
      <c r="L110" s="356">
        <f t="shared" si="24"/>
        <v>1333</v>
      </c>
      <c r="M110" s="356">
        <f t="shared" si="26"/>
        <v>10000</v>
      </c>
      <c r="N110" s="356">
        <f t="shared" si="27"/>
        <v>18662</v>
      </c>
      <c r="O110" s="356">
        <f t="shared" si="28"/>
        <v>47988</v>
      </c>
      <c r="P110" s="348">
        <v>14</v>
      </c>
      <c r="Q110" s="354">
        <f t="shared" si="29"/>
        <v>36</v>
      </c>
      <c r="R110" s="339">
        <f t="shared" si="30"/>
        <v>158662</v>
      </c>
      <c r="S110" s="339">
        <f t="shared" si="31"/>
        <v>407988</v>
      </c>
      <c r="T110" s="337"/>
    </row>
    <row r="111" spans="2:20">
      <c r="B111" s="378"/>
      <c r="C111" s="365" t="s">
        <v>1358</v>
      </c>
      <c r="D111" s="367">
        <v>107</v>
      </c>
      <c r="E111" s="337" t="s">
        <v>1437</v>
      </c>
      <c r="F111" s="337" t="s">
        <v>1359</v>
      </c>
      <c r="G111" s="346">
        <v>450000</v>
      </c>
      <c r="H111" s="346">
        <v>59985</v>
      </c>
      <c r="I111" s="340">
        <f t="shared" si="25"/>
        <v>509985</v>
      </c>
      <c r="J111" s="348">
        <v>50</v>
      </c>
      <c r="K111" s="351">
        <v>10199.700000000001</v>
      </c>
      <c r="L111" s="356">
        <f t="shared" si="24"/>
        <v>1199.7</v>
      </c>
      <c r="M111" s="356">
        <f t="shared" si="26"/>
        <v>9000</v>
      </c>
      <c r="N111" s="356">
        <f t="shared" si="27"/>
        <v>4798.8</v>
      </c>
      <c r="O111" s="356">
        <f t="shared" si="28"/>
        <v>55186.200000000004</v>
      </c>
      <c r="P111" s="348">
        <v>4</v>
      </c>
      <c r="Q111" s="354">
        <f t="shared" si="29"/>
        <v>46</v>
      </c>
      <c r="R111" s="339">
        <f t="shared" si="30"/>
        <v>40798.800000000003</v>
      </c>
      <c r="S111" s="339">
        <f t="shared" si="31"/>
        <v>469186.2</v>
      </c>
      <c r="T111" s="337"/>
    </row>
    <row r="112" spans="2:20">
      <c r="B112" s="378"/>
      <c r="C112" s="361" t="s">
        <v>1334</v>
      </c>
      <c r="D112" s="367">
        <v>108</v>
      </c>
      <c r="E112" s="337" t="s">
        <v>1437</v>
      </c>
      <c r="F112" s="337" t="s">
        <v>1294</v>
      </c>
      <c r="G112" s="346">
        <v>500000</v>
      </c>
      <c r="H112" s="346">
        <v>66650</v>
      </c>
      <c r="I112" s="340">
        <f t="shared" si="25"/>
        <v>566650</v>
      </c>
      <c r="J112" s="348">
        <v>50</v>
      </c>
      <c r="K112" s="351">
        <v>11333</v>
      </c>
      <c r="L112" s="356">
        <f t="shared" si="24"/>
        <v>1333</v>
      </c>
      <c r="M112" s="356">
        <f t="shared" si="26"/>
        <v>10000</v>
      </c>
      <c r="N112" s="356">
        <f t="shared" si="27"/>
        <v>18662</v>
      </c>
      <c r="O112" s="356">
        <f t="shared" si="28"/>
        <v>47988</v>
      </c>
      <c r="P112" s="348">
        <v>14</v>
      </c>
      <c r="Q112" s="354">
        <f t="shared" si="29"/>
        <v>36</v>
      </c>
      <c r="R112" s="339">
        <f t="shared" si="30"/>
        <v>158662</v>
      </c>
      <c r="S112" s="339">
        <f t="shared" si="31"/>
        <v>407988</v>
      </c>
      <c r="T112" s="337"/>
    </row>
    <row r="113" spans="2:20">
      <c r="B113" s="378"/>
      <c r="C113" s="361" t="s">
        <v>1319</v>
      </c>
      <c r="D113" s="367">
        <v>109</v>
      </c>
      <c r="E113" s="337" t="s">
        <v>1437</v>
      </c>
      <c r="F113" s="337" t="s">
        <v>305</v>
      </c>
      <c r="G113" s="346">
        <v>500000</v>
      </c>
      <c r="H113" s="346">
        <v>66650</v>
      </c>
      <c r="I113" s="340">
        <f t="shared" si="25"/>
        <v>566650</v>
      </c>
      <c r="J113" s="348">
        <v>40</v>
      </c>
      <c r="K113" s="351">
        <v>13833</v>
      </c>
      <c r="L113" s="356">
        <f t="shared" si="24"/>
        <v>1333</v>
      </c>
      <c r="M113" s="356">
        <f t="shared" si="26"/>
        <v>10000</v>
      </c>
      <c r="N113" s="356">
        <f t="shared" si="27"/>
        <v>5332</v>
      </c>
      <c r="O113" s="356">
        <f t="shared" si="28"/>
        <v>47988</v>
      </c>
      <c r="P113" s="348">
        <v>4</v>
      </c>
      <c r="Q113" s="354">
        <f t="shared" si="29"/>
        <v>36</v>
      </c>
      <c r="R113" s="339">
        <f t="shared" si="30"/>
        <v>55332</v>
      </c>
      <c r="S113" s="339">
        <f t="shared" si="31"/>
        <v>511318</v>
      </c>
      <c r="T113" s="337"/>
    </row>
    <row r="114" spans="2:20">
      <c r="B114" s="378"/>
      <c r="C114" s="361" t="s">
        <v>1388</v>
      </c>
      <c r="D114" s="367">
        <v>110</v>
      </c>
      <c r="E114" s="337" t="s">
        <v>1437</v>
      </c>
      <c r="F114" s="337" t="s">
        <v>1389</v>
      </c>
      <c r="G114" s="346">
        <v>330000</v>
      </c>
      <c r="H114" s="346">
        <v>43989</v>
      </c>
      <c r="I114" s="340">
        <f t="shared" si="25"/>
        <v>373989</v>
      </c>
      <c r="J114" s="348">
        <v>50</v>
      </c>
      <c r="K114" s="351">
        <v>7479.78</v>
      </c>
      <c r="L114" s="356">
        <f t="shared" si="24"/>
        <v>879.78</v>
      </c>
      <c r="M114" s="356">
        <f t="shared" si="26"/>
        <v>6600</v>
      </c>
      <c r="N114" s="356">
        <f t="shared" si="27"/>
        <v>5278.68</v>
      </c>
      <c r="O114" s="356">
        <f t="shared" si="28"/>
        <v>38710.32</v>
      </c>
      <c r="P114" s="348">
        <v>6</v>
      </c>
      <c r="Q114" s="354">
        <f t="shared" si="29"/>
        <v>44</v>
      </c>
      <c r="R114" s="339">
        <f t="shared" si="30"/>
        <v>44878.68</v>
      </c>
      <c r="S114" s="339">
        <f t="shared" si="31"/>
        <v>329110.32</v>
      </c>
      <c r="T114" s="337"/>
    </row>
    <row r="115" spans="2:20">
      <c r="B115" s="378"/>
      <c r="C115" s="362" t="s">
        <v>1317</v>
      </c>
      <c r="D115" s="367">
        <v>111</v>
      </c>
      <c r="E115" s="337" t="s">
        <v>1437</v>
      </c>
      <c r="F115" s="337" t="s">
        <v>1318</v>
      </c>
      <c r="G115" s="346">
        <v>450000</v>
      </c>
      <c r="H115" s="346">
        <v>43189.2</v>
      </c>
      <c r="I115" s="340">
        <f t="shared" si="25"/>
        <v>493189.2</v>
      </c>
      <c r="J115" s="348">
        <v>36</v>
      </c>
      <c r="K115" s="351">
        <v>14153.05</v>
      </c>
      <c r="L115" s="356">
        <f>H115/36</f>
        <v>1199.6999999999998</v>
      </c>
      <c r="M115" s="356">
        <f t="shared" si="26"/>
        <v>9000</v>
      </c>
      <c r="N115" s="356">
        <f t="shared" si="27"/>
        <v>27593.099999999995</v>
      </c>
      <c r="O115" s="356">
        <f t="shared" si="28"/>
        <v>15596.099999999999</v>
      </c>
      <c r="P115" s="348">
        <v>23</v>
      </c>
      <c r="Q115" s="354">
        <f t="shared" si="29"/>
        <v>13</v>
      </c>
      <c r="R115" s="339">
        <f t="shared" si="30"/>
        <v>325520.14999999997</v>
      </c>
      <c r="S115" s="339">
        <f t="shared" si="31"/>
        <v>167669.05000000005</v>
      </c>
      <c r="T115" s="337"/>
    </row>
    <row r="116" spans="2:20">
      <c r="B116" s="378"/>
      <c r="C116" s="363" t="s">
        <v>1360</v>
      </c>
      <c r="D116" s="367">
        <v>112</v>
      </c>
      <c r="E116" s="337" t="s">
        <v>1437</v>
      </c>
      <c r="F116" s="337" t="s">
        <v>293</v>
      </c>
      <c r="G116" s="346">
        <v>450000</v>
      </c>
      <c r="H116" s="346">
        <v>59985</v>
      </c>
      <c r="I116" s="340">
        <f t="shared" si="25"/>
        <v>509985</v>
      </c>
      <c r="J116" s="348">
        <v>50</v>
      </c>
      <c r="K116" s="351">
        <v>10199.700000000001</v>
      </c>
      <c r="L116" s="356">
        <f t="shared" ref="L116:L160" si="32">H116/50</f>
        <v>1199.7</v>
      </c>
      <c r="M116" s="356">
        <f t="shared" si="26"/>
        <v>9000</v>
      </c>
      <c r="N116" s="356">
        <f t="shared" si="27"/>
        <v>19195.2</v>
      </c>
      <c r="O116" s="356">
        <f t="shared" si="28"/>
        <v>40789.800000000003</v>
      </c>
      <c r="P116" s="348">
        <v>16</v>
      </c>
      <c r="Q116" s="354">
        <f t="shared" si="29"/>
        <v>34</v>
      </c>
      <c r="R116" s="339">
        <f t="shared" si="30"/>
        <v>163195.20000000001</v>
      </c>
      <c r="S116" s="339">
        <f t="shared" si="31"/>
        <v>346789.8</v>
      </c>
      <c r="T116" s="337"/>
    </row>
    <row r="117" spans="2:20">
      <c r="B117" s="378"/>
      <c r="C117" s="362" t="s">
        <v>1094</v>
      </c>
      <c r="D117" s="367">
        <v>113</v>
      </c>
      <c r="E117" s="337" t="s">
        <v>1437</v>
      </c>
      <c r="F117" s="337" t="s">
        <v>1095</v>
      </c>
      <c r="G117" s="346">
        <v>500000</v>
      </c>
      <c r="H117" s="346">
        <v>66650</v>
      </c>
      <c r="I117" s="340">
        <f t="shared" si="25"/>
        <v>566650</v>
      </c>
      <c r="J117" s="348">
        <v>50</v>
      </c>
      <c r="K117" s="351">
        <v>11333</v>
      </c>
      <c r="L117" s="356">
        <f t="shared" si="32"/>
        <v>1333</v>
      </c>
      <c r="M117" s="356">
        <f t="shared" si="26"/>
        <v>10000</v>
      </c>
      <c r="N117" s="356">
        <f t="shared" si="27"/>
        <v>27993</v>
      </c>
      <c r="O117" s="356">
        <f t="shared" si="28"/>
        <v>38657</v>
      </c>
      <c r="P117" s="348">
        <v>21</v>
      </c>
      <c r="Q117" s="354">
        <f t="shared" si="29"/>
        <v>29</v>
      </c>
      <c r="R117" s="339">
        <f t="shared" si="30"/>
        <v>237993</v>
      </c>
      <c r="S117" s="339">
        <f t="shared" si="31"/>
        <v>328657</v>
      </c>
      <c r="T117" s="337"/>
    </row>
    <row r="118" spans="2:20">
      <c r="B118" s="378"/>
      <c r="C118" s="365" t="s">
        <v>1330</v>
      </c>
      <c r="D118" s="367">
        <v>114</v>
      </c>
      <c r="E118" s="337" t="s">
        <v>1437</v>
      </c>
      <c r="F118" s="337" t="s">
        <v>1331</v>
      </c>
      <c r="G118" s="346">
        <v>500000</v>
      </c>
      <c r="H118" s="346">
        <v>66650</v>
      </c>
      <c r="I118" s="340">
        <f t="shared" si="25"/>
        <v>566650</v>
      </c>
      <c r="J118" s="348">
        <v>50</v>
      </c>
      <c r="K118" s="351">
        <v>11333</v>
      </c>
      <c r="L118" s="356">
        <f t="shared" si="32"/>
        <v>1333</v>
      </c>
      <c r="M118" s="356">
        <f t="shared" si="26"/>
        <v>10000</v>
      </c>
      <c r="N118" s="356">
        <f t="shared" si="27"/>
        <v>21328</v>
      </c>
      <c r="O118" s="356">
        <f t="shared" si="28"/>
        <v>45322</v>
      </c>
      <c r="P118" s="348">
        <v>16</v>
      </c>
      <c r="Q118" s="354">
        <f t="shared" si="29"/>
        <v>34</v>
      </c>
      <c r="R118" s="339">
        <f t="shared" si="30"/>
        <v>181328</v>
      </c>
      <c r="S118" s="339">
        <f t="shared" si="31"/>
        <v>385322</v>
      </c>
      <c r="T118" s="337"/>
    </row>
    <row r="119" spans="2:20">
      <c r="B119" s="378"/>
      <c r="C119" s="364" t="s">
        <v>1368</v>
      </c>
      <c r="D119" s="367">
        <v>115</v>
      </c>
      <c r="E119" s="337" t="s">
        <v>1437</v>
      </c>
      <c r="F119" s="337" t="s">
        <v>443</v>
      </c>
      <c r="G119" s="346">
        <v>330000</v>
      </c>
      <c r="H119" s="346">
        <v>43989</v>
      </c>
      <c r="I119" s="340">
        <f t="shared" si="25"/>
        <v>373989</v>
      </c>
      <c r="J119" s="348">
        <v>50</v>
      </c>
      <c r="K119" s="351">
        <v>7479.78</v>
      </c>
      <c r="L119" s="356">
        <f t="shared" si="32"/>
        <v>879.78</v>
      </c>
      <c r="M119" s="356">
        <f t="shared" si="26"/>
        <v>6600</v>
      </c>
      <c r="N119" s="356">
        <f t="shared" si="27"/>
        <v>7918.0199999999995</v>
      </c>
      <c r="O119" s="356">
        <f t="shared" si="28"/>
        <v>36070.979999999996</v>
      </c>
      <c r="P119" s="348">
        <v>9</v>
      </c>
      <c r="Q119" s="354">
        <f t="shared" si="29"/>
        <v>41</v>
      </c>
      <c r="R119" s="339">
        <f t="shared" si="30"/>
        <v>67318.02</v>
      </c>
      <c r="S119" s="339">
        <f t="shared" si="31"/>
        <v>306670.98</v>
      </c>
      <c r="T119" s="337"/>
    </row>
    <row r="120" spans="2:20">
      <c r="B120" s="378"/>
      <c r="C120" s="364" t="s">
        <v>1006</v>
      </c>
      <c r="D120" s="367">
        <v>116</v>
      </c>
      <c r="E120" s="337" t="s">
        <v>1437</v>
      </c>
      <c r="F120" s="337" t="s">
        <v>865</v>
      </c>
      <c r="G120" s="346">
        <v>500000</v>
      </c>
      <c r="H120" s="346">
        <v>66650</v>
      </c>
      <c r="I120" s="340">
        <f t="shared" si="25"/>
        <v>566650</v>
      </c>
      <c r="J120" s="348">
        <v>50</v>
      </c>
      <c r="K120" s="351">
        <v>11333</v>
      </c>
      <c r="L120" s="356">
        <f t="shared" si="32"/>
        <v>1333</v>
      </c>
      <c r="M120" s="356">
        <f t="shared" si="26"/>
        <v>10000</v>
      </c>
      <c r="N120" s="356">
        <f t="shared" si="27"/>
        <v>73315</v>
      </c>
      <c r="O120" s="356">
        <f t="shared" si="28"/>
        <v>-6665</v>
      </c>
      <c r="P120" s="348">
        <v>55</v>
      </c>
      <c r="Q120" s="354">
        <f t="shared" si="29"/>
        <v>-5</v>
      </c>
      <c r="R120" s="339">
        <f t="shared" si="30"/>
        <v>623315</v>
      </c>
      <c r="S120" s="339">
        <f t="shared" si="31"/>
        <v>-56665</v>
      </c>
      <c r="T120" s="337"/>
    </row>
    <row r="121" spans="2:20">
      <c r="B121" s="378"/>
      <c r="C121" s="337" t="s">
        <v>1414</v>
      </c>
      <c r="D121" s="367">
        <v>117</v>
      </c>
      <c r="E121" s="337" t="s">
        <v>1437</v>
      </c>
      <c r="F121" s="337" t="s">
        <v>459</v>
      </c>
      <c r="G121" s="346">
        <v>500000</v>
      </c>
      <c r="H121" s="346">
        <v>66650</v>
      </c>
      <c r="I121" s="340">
        <f t="shared" si="25"/>
        <v>566650</v>
      </c>
      <c r="J121" s="348">
        <v>50</v>
      </c>
      <c r="K121" s="351">
        <v>11333</v>
      </c>
      <c r="L121" s="356">
        <f t="shared" si="32"/>
        <v>1333</v>
      </c>
      <c r="M121" s="356">
        <f t="shared" si="26"/>
        <v>10000</v>
      </c>
      <c r="N121" s="356">
        <f t="shared" si="27"/>
        <v>2666</v>
      </c>
      <c r="O121" s="356">
        <f t="shared" si="28"/>
        <v>63984</v>
      </c>
      <c r="P121" s="348">
        <v>2</v>
      </c>
      <c r="Q121" s="354">
        <f t="shared" si="29"/>
        <v>48</v>
      </c>
      <c r="R121" s="339">
        <f t="shared" si="30"/>
        <v>22666</v>
      </c>
      <c r="S121" s="339">
        <f t="shared" si="31"/>
        <v>543984</v>
      </c>
      <c r="T121" s="337"/>
    </row>
    <row r="122" spans="2:20">
      <c r="B122" s="378"/>
      <c r="C122" s="364" t="s">
        <v>983</v>
      </c>
      <c r="D122" s="367">
        <v>118</v>
      </c>
      <c r="E122" s="337" t="s">
        <v>1437</v>
      </c>
      <c r="F122" s="337" t="s">
        <v>323</v>
      </c>
      <c r="G122" s="346">
        <v>500000</v>
      </c>
      <c r="H122" s="346">
        <v>66650</v>
      </c>
      <c r="I122" s="340">
        <f t="shared" si="25"/>
        <v>566650</v>
      </c>
      <c r="J122" s="348">
        <v>50</v>
      </c>
      <c r="K122" s="351">
        <v>11333</v>
      </c>
      <c r="L122" s="356">
        <f t="shared" si="32"/>
        <v>1333</v>
      </c>
      <c r="M122" s="356">
        <f t="shared" si="26"/>
        <v>10000</v>
      </c>
      <c r="N122" s="356">
        <f t="shared" si="27"/>
        <v>71982</v>
      </c>
      <c r="O122" s="356">
        <f t="shared" si="28"/>
        <v>-5332</v>
      </c>
      <c r="P122" s="348">
        <v>54</v>
      </c>
      <c r="Q122" s="354">
        <f t="shared" si="29"/>
        <v>-4</v>
      </c>
      <c r="R122" s="339">
        <f t="shared" si="30"/>
        <v>611982</v>
      </c>
      <c r="S122" s="339">
        <f t="shared" si="31"/>
        <v>-45332</v>
      </c>
      <c r="T122" s="337"/>
    </row>
    <row r="123" spans="2:20">
      <c r="B123" s="378"/>
      <c r="C123" s="364" t="s">
        <v>1080</v>
      </c>
      <c r="D123" s="367">
        <v>119</v>
      </c>
      <c r="E123" s="337" t="s">
        <v>1437</v>
      </c>
      <c r="F123" s="337" t="s">
        <v>315</v>
      </c>
      <c r="G123" s="346">
        <v>500000</v>
      </c>
      <c r="H123" s="346">
        <v>66650</v>
      </c>
      <c r="I123" s="340">
        <f t="shared" si="25"/>
        <v>566650</v>
      </c>
      <c r="J123" s="348">
        <v>50</v>
      </c>
      <c r="K123" s="351">
        <v>11333</v>
      </c>
      <c r="L123" s="356">
        <f t="shared" si="32"/>
        <v>1333</v>
      </c>
      <c r="M123" s="356">
        <f t="shared" si="26"/>
        <v>10000</v>
      </c>
      <c r="N123" s="356">
        <f t="shared" si="27"/>
        <v>54653</v>
      </c>
      <c r="O123" s="356">
        <f t="shared" si="28"/>
        <v>11997</v>
      </c>
      <c r="P123" s="348">
        <v>41</v>
      </c>
      <c r="Q123" s="354">
        <f t="shared" si="29"/>
        <v>9</v>
      </c>
      <c r="R123" s="339">
        <f t="shared" si="30"/>
        <v>464653</v>
      </c>
      <c r="S123" s="339">
        <f t="shared" si="31"/>
        <v>101997</v>
      </c>
      <c r="T123" s="337"/>
    </row>
    <row r="124" spans="2:20">
      <c r="B124" s="378"/>
      <c r="C124" s="364" t="s">
        <v>1084</v>
      </c>
      <c r="D124" s="367">
        <v>120</v>
      </c>
      <c r="E124" s="337" t="s">
        <v>1437</v>
      </c>
      <c r="F124" s="337" t="s">
        <v>353</v>
      </c>
      <c r="G124" s="346">
        <v>500000</v>
      </c>
      <c r="H124" s="346">
        <v>66650</v>
      </c>
      <c r="I124" s="340">
        <f t="shared" si="25"/>
        <v>566650</v>
      </c>
      <c r="J124" s="348">
        <v>50</v>
      </c>
      <c r="K124" s="351">
        <v>11333</v>
      </c>
      <c r="L124" s="356">
        <f t="shared" si="32"/>
        <v>1333</v>
      </c>
      <c r="M124" s="356">
        <f t="shared" si="26"/>
        <v>10000</v>
      </c>
      <c r="N124" s="356">
        <f t="shared" si="27"/>
        <v>54653</v>
      </c>
      <c r="O124" s="356">
        <f t="shared" si="28"/>
        <v>11997</v>
      </c>
      <c r="P124" s="348">
        <v>41</v>
      </c>
      <c r="Q124" s="354">
        <f t="shared" si="29"/>
        <v>9</v>
      </c>
      <c r="R124" s="339">
        <f t="shared" si="30"/>
        <v>464653</v>
      </c>
      <c r="S124" s="339">
        <f t="shared" si="31"/>
        <v>101997</v>
      </c>
      <c r="T124" s="337"/>
    </row>
    <row r="125" spans="2:20">
      <c r="B125" s="378"/>
      <c r="C125" s="361" t="s">
        <v>1108</v>
      </c>
      <c r="D125" s="367">
        <v>121</v>
      </c>
      <c r="E125" s="337" t="s">
        <v>1437</v>
      </c>
      <c r="F125" s="337" t="s">
        <v>802</v>
      </c>
      <c r="G125" s="346">
        <v>500000</v>
      </c>
      <c r="H125" s="346">
        <v>66650</v>
      </c>
      <c r="I125" s="340">
        <f t="shared" si="25"/>
        <v>566650</v>
      </c>
      <c r="J125" s="348">
        <v>50</v>
      </c>
      <c r="K125" s="351">
        <v>11333</v>
      </c>
      <c r="L125" s="356">
        <f t="shared" si="32"/>
        <v>1333</v>
      </c>
      <c r="M125" s="356">
        <f t="shared" si="26"/>
        <v>10000</v>
      </c>
      <c r="N125" s="356">
        <f t="shared" si="27"/>
        <v>41323</v>
      </c>
      <c r="O125" s="356">
        <f t="shared" si="28"/>
        <v>25327</v>
      </c>
      <c r="P125" s="348">
        <v>31</v>
      </c>
      <c r="Q125" s="354">
        <f t="shared" si="29"/>
        <v>19</v>
      </c>
      <c r="R125" s="339">
        <f t="shared" si="30"/>
        <v>351323</v>
      </c>
      <c r="S125" s="339">
        <f t="shared" si="31"/>
        <v>215327</v>
      </c>
      <c r="T125" s="337"/>
    </row>
    <row r="126" spans="2:20">
      <c r="B126" s="378"/>
      <c r="C126" s="362" t="s">
        <v>1333</v>
      </c>
      <c r="D126" s="367">
        <v>122</v>
      </c>
      <c r="E126" s="337" t="s">
        <v>1437</v>
      </c>
      <c r="F126" s="337" t="s">
        <v>1281</v>
      </c>
      <c r="G126" s="346">
        <v>500000</v>
      </c>
      <c r="H126" s="346">
        <v>66650</v>
      </c>
      <c r="I126" s="340">
        <f t="shared" si="25"/>
        <v>566650</v>
      </c>
      <c r="J126" s="348">
        <v>50</v>
      </c>
      <c r="K126" s="351">
        <v>11333</v>
      </c>
      <c r="L126" s="356">
        <f t="shared" si="32"/>
        <v>1333</v>
      </c>
      <c r="M126" s="356">
        <f t="shared" si="26"/>
        <v>10000</v>
      </c>
      <c r="N126" s="356">
        <f t="shared" si="27"/>
        <v>11997</v>
      </c>
      <c r="O126" s="356">
        <f t="shared" si="28"/>
        <v>54653</v>
      </c>
      <c r="P126" s="348">
        <v>9</v>
      </c>
      <c r="Q126" s="354">
        <f t="shared" si="29"/>
        <v>41</v>
      </c>
      <c r="R126" s="339">
        <f t="shared" si="30"/>
        <v>101997</v>
      </c>
      <c r="S126" s="339">
        <f t="shared" si="31"/>
        <v>464653</v>
      </c>
      <c r="T126" s="337"/>
    </row>
    <row r="127" spans="2:20">
      <c r="B127" s="378"/>
      <c r="C127" s="364" t="s">
        <v>1057</v>
      </c>
      <c r="D127" s="367">
        <v>123</v>
      </c>
      <c r="E127" s="337" t="s">
        <v>1437</v>
      </c>
      <c r="F127" s="337" t="s">
        <v>412</v>
      </c>
      <c r="G127" s="346">
        <v>500000</v>
      </c>
      <c r="H127" s="346">
        <v>66650</v>
      </c>
      <c r="I127" s="340">
        <f t="shared" si="25"/>
        <v>566650</v>
      </c>
      <c r="J127" s="348">
        <v>50</v>
      </c>
      <c r="K127" s="351">
        <v>11333</v>
      </c>
      <c r="L127" s="356">
        <f t="shared" si="32"/>
        <v>1333</v>
      </c>
      <c r="M127" s="356">
        <f t="shared" si="26"/>
        <v>10000</v>
      </c>
      <c r="N127" s="356">
        <f t="shared" si="27"/>
        <v>31992</v>
      </c>
      <c r="O127" s="356">
        <f t="shared" si="28"/>
        <v>34658</v>
      </c>
      <c r="P127" s="348">
        <v>24</v>
      </c>
      <c r="Q127" s="354">
        <f t="shared" si="29"/>
        <v>26</v>
      </c>
      <c r="R127" s="339">
        <f t="shared" si="30"/>
        <v>271992</v>
      </c>
      <c r="S127" s="339">
        <f t="shared" si="31"/>
        <v>294658</v>
      </c>
      <c r="T127" s="337"/>
    </row>
    <row r="128" spans="2:20">
      <c r="B128" s="378"/>
      <c r="C128" s="364" t="s">
        <v>1091</v>
      </c>
      <c r="D128" s="367">
        <v>124</v>
      </c>
      <c r="E128" s="337" t="s">
        <v>1437</v>
      </c>
      <c r="F128" s="337" t="s">
        <v>1092</v>
      </c>
      <c r="G128" s="346">
        <v>500000</v>
      </c>
      <c r="H128" s="346">
        <v>66650</v>
      </c>
      <c r="I128" s="340">
        <f t="shared" si="25"/>
        <v>566650</v>
      </c>
      <c r="J128" s="348">
        <v>50</v>
      </c>
      <c r="K128" s="351">
        <v>11333</v>
      </c>
      <c r="L128" s="356">
        <f t="shared" si="32"/>
        <v>1333</v>
      </c>
      <c r="M128" s="356">
        <f t="shared" si="26"/>
        <v>10000</v>
      </c>
      <c r="N128" s="356">
        <f t="shared" si="27"/>
        <v>71982</v>
      </c>
      <c r="O128" s="356">
        <f t="shared" si="28"/>
        <v>-5332</v>
      </c>
      <c r="P128" s="348">
        <v>54</v>
      </c>
      <c r="Q128" s="354">
        <f t="shared" si="29"/>
        <v>-4</v>
      </c>
      <c r="R128" s="339">
        <f t="shared" si="30"/>
        <v>611982</v>
      </c>
      <c r="S128" s="339">
        <f t="shared" si="31"/>
        <v>-45332</v>
      </c>
      <c r="T128" s="337"/>
    </row>
    <row r="129" spans="2:20">
      <c r="B129" s="378"/>
      <c r="C129" s="363" t="s">
        <v>1087</v>
      </c>
      <c r="D129" s="367">
        <v>125</v>
      </c>
      <c r="E129" s="337" t="s">
        <v>1437</v>
      </c>
      <c r="F129" s="337" t="s">
        <v>1088</v>
      </c>
      <c r="G129" s="346">
        <v>500000</v>
      </c>
      <c r="H129" s="346">
        <v>66650</v>
      </c>
      <c r="I129" s="340">
        <f t="shared" si="25"/>
        <v>566650</v>
      </c>
      <c r="J129" s="348">
        <v>50</v>
      </c>
      <c r="K129" s="351">
        <v>11333</v>
      </c>
      <c r="L129" s="356">
        <f t="shared" si="32"/>
        <v>1333</v>
      </c>
      <c r="M129" s="356">
        <f t="shared" si="26"/>
        <v>10000</v>
      </c>
      <c r="N129" s="356">
        <f t="shared" si="27"/>
        <v>71982</v>
      </c>
      <c r="O129" s="356">
        <f t="shared" si="28"/>
        <v>-5332</v>
      </c>
      <c r="P129" s="348">
        <v>54</v>
      </c>
      <c r="Q129" s="354">
        <f t="shared" si="29"/>
        <v>-4</v>
      </c>
      <c r="R129" s="339">
        <f t="shared" si="30"/>
        <v>611982</v>
      </c>
      <c r="S129" s="339">
        <f t="shared" si="31"/>
        <v>-45332</v>
      </c>
      <c r="T129" s="337"/>
    </row>
    <row r="130" spans="2:20">
      <c r="B130" s="378"/>
      <c r="C130" s="363" t="s">
        <v>1324</v>
      </c>
      <c r="D130" s="367">
        <v>126</v>
      </c>
      <c r="E130" s="337" t="s">
        <v>1437</v>
      </c>
      <c r="F130" s="337" t="s">
        <v>1325</v>
      </c>
      <c r="G130" s="346">
        <v>500000</v>
      </c>
      <c r="H130" s="346">
        <v>66650</v>
      </c>
      <c r="I130" s="340">
        <f t="shared" si="25"/>
        <v>566650</v>
      </c>
      <c r="J130" s="348">
        <v>50</v>
      </c>
      <c r="K130" s="351">
        <v>11333</v>
      </c>
      <c r="L130" s="356">
        <f t="shared" si="32"/>
        <v>1333</v>
      </c>
      <c r="M130" s="356">
        <f t="shared" si="26"/>
        <v>10000</v>
      </c>
      <c r="N130" s="356">
        <f t="shared" si="27"/>
        <v>9331</v>
      </c>
      <c r="O130" s="356">
        <f t="shared" si="28"/>
        <v>57319</v>
      </c>
      <c r="P130" s="348">
        <v>7</v>
      </c>
      <c r="Q130" s="354">
        <f t="shared" si="29"/>
        <v>43</v>
      </c>
      <c r="R130" s="339">
        <f t="shared" si="30"/>
        <v>79331</v>
      </c>
      <c r="S130" s="339">
        <f t="shared" si="31"/>
        <v>487319</v>
      </c>
      <c r="T130" s="337"/>
    </row>
    <row r="131" spans="2:20">
      <c r="B131" s="378"/>
      <c r="C131" s="363" t="s">
        <v>1340</v>
      </c>
      <c r="D131" s="367">
        <v>127</v>
      </c>
      <c r="E131" s="337" t="s">
        <v>1437</v>
      </c>
      <c r="F131" s="337" t="s">
        <v>410</v>
      </c>
      <c r="G131" s="346">
        <v>500000</v>
      </c>
      <c r="H131" s="346">
        <v>66650</v>
      </c>
      <c r="I131" s="340">
        <f t="shared" si="25"/>
        <v>566650</v>
      </c>
      <c r="J131" s="348">
        <v>50</v>
      </c>
      <c r="K131" s="351">
        <v>11333</v>
      </c>
      <c r="L131" s="356">
        <f t="shared" si="32"/>
        <v>1333</v>
      </c>
      <c r="M131" s="356">
        <f t="shared" si="26"/>
        <v>10000</v>
      </c>
      <c r="N131" s="356">
        <f t="shared" si="27"/>
        <v>9331</v>
      </c>
      <c r="O131" s="356">
        <f t="shared" si="28"/>
        <v>57319</v>
      </c>
      <c r="P131" s="348">
        <v>7</v>
      </c>
      <c r="Q131" s="354">
        <f t="shared" si="29"/>
        <v>43</v>
      </c>
      <c r="R131" s="339">
        <f t="shared" si="30"/>
        <v>79331</v>
      </c>
      <c r="S131" s="339">
        <f t="shared" si="31"/>
        <v>487319</v>
      </c>
      <c r="T131" s="337"/>
    </row>
    <row r="132" spans="2:20">
      <c r="B132" s="378"/>
      <c r="C132" s="363" t="s">
        <v>1021</v>
      </c>
      <c r="D132" s="367">
        <v>128</v>
      </c>
      <c r="E132" s="337" t="s">
        <v>1437</v>
      </c>
      <c r="F132" s="337" t="s">
        <v>1022</v>
      </c>
      <c r="G132" s="346">
        <v>330000</v>
      </c>
      <c r="H132" s="346">
        <v>43989</v>
      </c>
      <c r="I132" s="340">
        <f t="shared" si="25"/>
        <v>373989</v>
      </c>
      <c r="J132" s="348">
        <v>50</v>
      </c>
      <c r="K132" s="351">
        <v>7479.78</v>
      </c>
      <c r="L132" s="356">
        <f t="shared" si="32"/>
        <v>879.78</v>
      </c>
      <c r="M132" s="356">
        <f t="shared" si="26"/>
        <v>6600</v>
      </c>
      <c r="N132" s="356">
        <f t="shared" si="27"/>
        <v>18475.38</v>
      </c>
      <c r="O132" s="356">
        <f t="shared" si="28"/>
        <v>25513.62</v>
      </c>
      <c r="P132" s="348">
        <v>21</v>
      </c>
      <c r="Q132" s="354">
        <f t="shared" si="29"/>
        <v>29</v>
      </c>
      <c r="R132" s="339">
        <f t="shared" si="30"/>
        <v>157075.38</v>
      </c>
      <c r="S132" s="339">
        <f t="shared" si="31"/>
        <v>216913.62</v>
      </c>
      <c r="T132" s="337"/>
    </row>
    <row r="133" spans="2:20">
      <c r="B133" s="378"/>
      <c r="C133" s="362" t="s">
        <v>1385</v>
      </c>
      <c r="D133" s="367">
        <v>129</v>
      </c>
      <c r="E133" s="337" t="s">
        <v>1437</v>
      </c>
      <c r="F133" s="337" t="s">
        <v>1295</v>
      </c>
      <c r="G133" s="346">
        <v>330000</v>
      </c>
      <c r="H133" s="346">
        <v>43989</v>
      </c>
      <c r="I133" s="340">
        <f t="shared" ref="I133:I153" si="33">SUM(G133:H133)</f>
        <v>373989</v>
      </c>
      <c r="J133" s="348">
        <v>50</v>
      </c>
      <c r="K133" s="351">
        <v>7479.78</v>
      </c>
      <c r="L133" s="356">
        <f t="shared" si="32"/>
        <v>879.78</v>
      </c>
      <c r="M133" s="356">
        <f t="shared" ref="M133:M153" si="34">G133/50</f>
        <v>6600</v>
      </c>
      <c r="N133" s="356">
        <f t="shared" ref="N133:N153" si="35">L133*P133</f>
        <v>7918.0199999999995</v>
      </c>
      <c r="O133" s="356">
        <f t="shared" ref="O133:O160" si="36">L133*Q133</f>
        <v>36070.979999999996</v>
      </c>
      <c r="P133" s="348">
        <v>9</v>
      </c>
      <c r="Q133" s="354">
        <f t="shared" ref="Q133:Q153" si="37">J133-P133</f>
        <v>41</v>
      </c>
      <c r="R133" s="339">
        <f t="shared" ref="R133:R153" si="38">K133*P133</f>
        <v>67318.02</v>
      </c>
      <c r="S133" s="339">
        <f t="shared" ref="S133:S153" si="39">I133-R133</f>
        <v>306670.98</v>
      </c>
      <c r="T133" s="337"/>
    </row>
    <row r="134" spans="2:20">
      <c r="B134" s="378"/>
      <c r="C134" s="362" t="s">
        <v>1128</v>
      </c>
      <c r="D134" s="367">
        <v>130</v>
      </c>
      <c r="E134" s="337" t="s">
        <v>1437</v>
      </c>
      <c r="F134" s="337" t="s">
        <v>462</v>
      </c>
      <c r="G134" s="346">
        <v>450000</v>
      </c>
      <c r="H134" s="346">
        <v>59985</v>
      </c>
      <c r="I134" s="340">
        <f t="shared" si="33"/>
        <v>509985</v>
      </c>
      <c r="J134" s="348">
        <v>50</v>
      </c>
      <c r="K134" s="351">
        <v>10199.700000000001</v>
      </c>
      <c r="L134" s="356">
        <f t="shared" si="32"/>
        <v>1199.7</v>
      </c>
      <c r="M134" s="356">
        <f t="shared" si="34"/>
        <v>9000</v>
      </c>
      <c r="N134" s="356">
        <f t="shared" si="35"/>
        <v>20394.900000000001</v>
      </c>
      <c r="O134" s="356">
        <f t="shared" si="36"/>
        <v>39590.1</v>
      </c>
      <c r="P134" s="348">
        <v>17</v>
      </c>
      <c r="Q134" s="354">
        <f t="shared" si="37"/>
        <v>33</v>
      </c>
      <c r="R134" s="339">
        <f t="shared" si="38"/>
        <v>173394.90000000002</v>
      </c>
      <c r="S134" s="339">
        <f t="shared" si="39"/>
        <v>336590.1</v>
      </c>
      <c r="T134" s="337"/>
    </row>
    <row r="135" spans="2:20">
      <c r="B135" s="378"/>
      <c r="C135" s="362" t="s">
        <v>1140</v>
      </c>
      <c r="D135" s="367">
        <v>131</v>
      </c>
      <c r="E135" s="337" t="s">
        <v>1437</v>
      </c>
      <c r="F135" s="337" t="s">
        <v>372</v>
      </c>
      <c r="G135" s="346">
        <v>330000</v>
      </c>
      <c r="H135" s="346">
        <v>43989</v>
      </c>
      <c r="I135" s="340">
        <f t="shared" si="33"/>
        <v>373989</v>
      </c>
      <c r="J135" s="348">
        <v>50</v>
      </c>
      <c r="K135" s="351">
        <v>7479.78</v>
      </c>
      <c r="L135" s="356">
        <f t="shared" si="32"/>
        <v>879.78</v>
      </c>
      <c r="M135" s="356">
        <f t="shared" si="34"/>
        <v>6600</v>
      </c>
      <c r="N135" s="356">
        <f t="shared" si="35"/>
        <v>14956.26</v>
      </c>
      <c r="O135" s="356">
        <f t="shared" si="36"/>
        <v>29032.739999999998</v>
      </c>
      <c r="P135" s="348">
        <v>17</v>
      </c>
      <c r="Q135" s="354">
        <f t="shared" si="37"/>
        <v>33</v>
      </c>
      <c r="R135" s="339">
        <f t="shared" si="38"/>
        <v>127156.26</v>
      </c>
      <c r="S135" s="339">
        <f t="shared" si="39"/>
        <v>246832.74</v>
      </c>
      <c r="T135" s="337"/>
    </row>
    <row r="136" spans="2:20">
      <c r="B136" s="378"/>
      <c r="C136" s="362" t="s">
        <v>1136</v>
      </c>
      <c r="D136" s="367">
        <v>132</v>
      </c>
      <c r="E136" s="337" t="s">
        <v>1437</v>
      </c>
      <c r="F136" s="337" t="s">
        <v>1137</v>
      </c>
      <c r="G136" s="346">
        <v>330000</v>
      </c>
      <c r="H136" s="346">
        <v>43989</v>
      </c>
      <c r="I136" s="340">
        <f t="shared" si="33"/>
        <v>373989</v>
      </c>
      <c r="J136" s="348">
        <v>50</v>
      </c>
      <c r="K136" s="351">
        <v>7479.78</v>
      </c>
      <c r="L136" s="356">
        <f t="shared" si="32"/>
        <v>879.78</v>
      </c>
      <c r="M136" s="356">
        <f t="shared" si="34"/>
        <v>6600</v>
      </c>
      <c r="N136" s="356">
        <f t="shared" si="35"/>
        <v>14956.26</v>
      </c>
      <c r="O136" s="356">
        <f t="shared" si="36"/>
        <v>29032.739999999998</v>
      </c>
      <c r="P136" s="348">
        <v>17</v>
      </c>
      <c r="Q136" s="354">
        <f t="shared" si="37"/>
        <v>33</v>
      </c>
      <c r="R136" s="339">
        <f t="shared" si="38"/>
        <v>127156.26</v>
      </c>
      <c r="S136" s="339">
        <f t="shared" si="39"/>
        <v>246832.74</v>
      </c>
      <c r="T136" s="337"/>
    </row>
    <row r="137" spans="2:20">
      <c r="B137" s="378"/>
      <c r="C137" s="362" t="s">
        <v>1115</v>
      </c>
      <c r="D137" s="367">
        <v>133</v>
      </c>
      <c r="E137" s="337" t="s">
        <v>1437</v>
      </c>
      <c r="F137" s="337" t="s">
        <v>1116</v>
      </c>
      <c r="G137" s="346">
        <v>200000</v>
      </c>
      <c r="H137" s="346">
        <v>26660</v>
      </c>
      <c r="I137" s="340">
        <f t="shared" si="33"/>
        <v>226660</v>
      </c>
      <c r="J137" s="348">
        <v>50</v>
      </c>
      <c r="K137" s="351">
        <v>5099.8500000000004</v>
      </c>
      <c r="L137" s="356">
        <f t="shared" si="32"/>
        <v>533.20000000000005</v>
      </c>
      <c r="M137" s="356">
        <f t="shared" si="34"/>
        <v>4000</v>
      </c>
      <c r="N137" s="356">
        <f t="shared" si="35"/>
        <v>9064.4000000000015</v>
      </c>
      <c r="O137" s="356">
        <f t="shared" si="36"/>
        <v>17595.600000000002</v>
      </c>
      <c r="P137" s="348">
        <v>17</v>
      </c>
      <c r="Q137" s="354">
        <f t="shared" si="37"/>
        <v>33</v>
      </c>
      <c r="R137" s="339">
        <f t="shared" si="38"/>
        <v>86697.450000000012</v>
      </c>
      <c r="S137" s="339">
        <f t="shared" si="39"/>
        <v>139962.54999999999</v>
      </c>
      <c r="T137" s="337"/>
    </row>
    <row r="138" spans="2:20">
      <c r="B138" s="378"/>
      <c r="C138" s="366" t="s">
        <v>1408</v>
      </c>
      <c r="D138" s="367">
        <v>134</v>
      </c>
      <c r="E138" s="337" t="s">
        <v>1437</v>
      </c>
      <c r="F138" s="337" t="s">
        <v>406</v>
      </c>
      <c r="G138" s="346">
        <v>500000</v>
      </c>
      <c r="H138" s="346">
        <v>66650</v>
      </c>
      <c r="I138" s="340">
        <f t="shared" si="33"/>
        <v>566650</v>
      </c>
      <c r="J138" s="348">
        <v>40</v>
      </c>
      <c r="K138" s="351">
        <v>13833</v>
      </c>
      <c r="L138" s="356">
        <f t="shared" si="32"/>
        <v>1333</v>
      </c>
      <c r="M138" s="356">
        <f t="shared" si="34"/>
        <v>10000</v>
      </c>
      <c r="N138" s="356">
        <f t="shared" si="35"/>
        <v>3999</v>
      </c>
      <c r="O138" s="356">
        <f t="shared" si="36"/>
        <v>49321</v>
      </c>
      <c r="P138" s="348">
        <v>3</v>
      </c>
      <c r="Q138" s="354">
        <f t="shared" si="37"/>
        <v>37</v>
      </c>
      <c r="R138" s="339">
        <f t="shared" si="38"/>
        <v>41499</v>
      </c>
      <c r="S138" s="339">
        <f t="shared" si="39"/>
        <v>525151</v>
      </c>
      <c r="T138" s="337"/>
    </row>
    <row r="139" spans="2:20">
      <c r="B139" s="378"/>
      <c r="C139" s="364" t="s">
        <v>1134</v>
      </c>
      <c r="D139" s="367">
        <v>135</v>
      </c>
      <c r="E139" s="337" t="s">
        <v>1437</v>
      </c>
      <c r="F139" s="337" t="s">
        <v>1135</v>
      </c>
      <c r="G139" s="346">
        <v>500000</v>
      </c>
      <c r="H139" s="346">
        <v>66650</v>
      </c>
      <c r="I139" s="340">
        <f t="shared" si="33"/>
        <v>566650</v>
      </c>
      <c r="J139" s="348">
        <v>50</v>
      </c>
      <c r="K139" s="351">
        <v>11333</v>
      </c>
      <c r="L139" s="356">
        <f t="shared" si="32"/>
        <v>1333</v>
      </c>
      <c r="M139" s="356">
        <f t="shared" si="34"/>
        <v>10000</v>
      </c>
      <c r="N139" s="356">
        <f t="shared" si="35"/>
        <v>22661</v>
      </c>
      <c r="O139" s="356">
        <f t="shared" si="36"/>
        <v>43989</v>
      </c>
      <c r="P139" s="348">
        <v>17</v>
      </c>
      <c r="Q139" s="354">
        <f t="shared" si="37"/>
        <v>33</v>
      </c>
      <c r="R139" s="339">
        <f t="shared" si="38"/>
        <v>192661</v>
      </c>
      <c r="S139" s="339">
        <f t="shared" si="39"/>
        <v>373989</v>
      </c>
      <c r="T139" s="337"/>
    </row>
    <row r="140" spans="2:20">
      <c r="B140" s="378"/>
      <c r="C140" s="362" t="s">
        <v>1018</v>
      </c>
      <c r="D140" s="367">
        <v>136</v>
      </c>
      <c r="E140" s="337" t="s">
        <v>1437</v>
      </c>
      <c r="F140" s="337" t="s">
        <v>1019</v>
      </c>
      <c r="G140" s="346">
        <v>150000</v>
      </c>
      <c r="H140" s="346">
        <v>19995</v>
      </c>
      <c r="I140" s="340">
        <f t="shared" si="33"/>
        <v>169995</v>
      </c>
      <c r="J140" s="348">
        <v>50</v>
      </c>
      <c r="K140" s="351">
        <v>3399.9</v>
      </c>
      <c r="L140" s="356">
        <f t="shared" si="32"/>
        <v>399.9</v>
      </c>
      <c r="M140" s="356">
        <f t="shared" si="34"/>
        <v>3000</v>
      </c>
      <c r="N140" s="356">
        <f t="shared" si="35"/>
        <v>8797.7999999999993</v>
      </c>
      <c r="O140" s="356">
        <f t="shared" si="36"/>
        <v>11197.199999999999</v>
      </c>
      <c r="P140" s="348">
        <v>22</v>
      </c>
      <c r="Q140" s="354">
        <f t="shared" si="37"/>
        <v>28</v>
      </c>
      <c r="R140" s="339">
        <f t="shared" si="38"/>
        <v>74797.8</v>
      </c>
      <c r="S140" s="339">
        <f t="shared" si="39"/>
        <v>95197.2</v>
      </c>
      <c r="T140" s="337"/>
    </row>
    <row r="141" spans="2:20">
      <c r="B141" s="378"/>
      <c r="C141" s="365" t="s">
        <v>1048</v>
      </c>
      <c r="D141" s="367">
        <v>137</v>
      </c>
      <c r="E141" s="337" t="s">
        <v>1437</v>
      </c>
      <c r="F141" s="337" t="s">
        <v>1049</v>
      </c>
      <c r="G141" s="346">
        <v>450000</v>
      </c>
      <c r="H141" s="346">
        <v>59985</v>
      </c>
      <c r="I141" s="340">
        <f t="shared" si="33"/>
        <v>509985</v>
      </c>
      <c r="J141" s="348">
        <v>50</v>
      </c>
      <c r="K141" s="351">
        <v>10199.700000000001</v>
      </c>
      <c r="L141" s="356">
        <f t="shared" si="32"/>
        <v>1199.7</v>
      </c>
      <c r="M141" s="356">
        <f t="shared" si="34"/>
        <v>9000</v>
      </c>
      <c r="N141" s="356">
        <f t="shared" si="35"/>
        <v>47988</v>
      </c>
      <c r="O141" s="356">
        <f t="shared" si="36"/>
        <v>11997</v>
      </c>
      <c r="P141" s="348">
        <v>40</v>
      </c>
      <c r="Q141" s="354">
        <f t="shared" si="37"/>
        <v>10</v>
      </c>
      <c r="R141" s="339">
        <f t="shared" si="38"/>
        <v>407988</v>
      </c>
      <c r="S141" s="339">
        <f t="shared" si="39"/>
        <v>101997</v>
      </c>
      <c r="T141" s="337"/>
    </row>
    <row r="142" spans="2:20">
      <c r="B142" s="378"/>
      <c r="C142" s="364" t="s">
        <v>1090</v>
      </c>
      <c r="D142" s="367">
        <v>138</v>
      </c>
      <c r="E142" s="337" t="s">
        <v>1437</v>
      </c>
      <c r="F142" s="337" t="s">
        <v>295</v>
      </c>
      <c r="G142" s="346">
        <v>500000</v>
      </c>
      <c r="H142" s="346">
        <v>66650</v>
      </c>
      <c r="I142" s="340">
        <f t="shared" si="33"/>
        <v>566650</v>
      </c>
      <c r="J142" s="348">
        <v>50</v>
      </c>
      <c r="K142" s="351">
        <v>11333</v>
      </c>
      <c r="L142" s="356">
        <f t="shared" si="32"/>
        <v>1333</v>
      </c>
      <c r="M142" s="356">
        <f t="shared" si="34"/>
        <v>10000</v>
      </c>
      <c r="N142" s="356">
        <f t="shared" si="35"/>
        <v>31992</v>
      </c>
      <c r="O142" s="356">
        <f t="shared" si="36"/>
        <v>34658</v>
      </c>
      <c r="P142" s="348">
        <v>24</v>
      </c>
      <c r="Q142" s="354">
        <f t="shared" si="37"/>
        <v>26</v>
      </c>
      <c r="R142" s="339">
        <f t="shared" si="38"/>
        <v>271992</v>
      </c>
      <c r="S142" s="339">
        <f t="shared" si="39"/>
        <v>294658</v>
      </c>
      <c r="T142" s="337"/>
    </row>
    <row r="143" spans="2:20">
      <c r="B143" s="378"/>
      <c r="C143" s="362" t="s">
        <v>1337</v>
      </c>
      <c r="D143" s="367">
        <v>139</v>
      </c>
      <c r="E143" s="337" t="s">
        <v>1437</v>
      </c>
      <c r="F143" s="337" t="s">
        <v>1280</v>
      </c>
      <c r="G143" s="346">
        <v>500000</v>
      </c>
      <c r="H143" s="346">
        <v>66650</v>
      </c>
      <c r="I143" s="340">
        <f t="shared" si="33"/>
        <v>566650</v>
      </c>
      <c r="J143" s="348">
        <v>50</v>
      </c>
      <c r="K143" s="351">
        <v>11333</v>
      </c>
      <c r="L143" s="356">
        <f t="shared" si="32"/>
        <v>1333</v>
      </c>
      <c r="M143" s="356">
        <f t="shared" si="34"/>
        <v>10000</v>
      </c>
      <c r="N143" s="356">
        <f t="shared" si="35"/>
        <v>11997</v>
      </c>
      <c r="O143" s="356">
        <f t="shared" si="36"/>
        <v>54653</v>
      </c>
      <c r="P143" s="348">
        <v>9</v>
      </c>
      <c r="Q143" s="354">
        <f t="shared" si="37"/>
        <v>41</v>
      </c>
      <c r="R143" s="339">
        <f t="shared" si="38"/>
        <v>101997</v>
      </c>
      <c r="S143" s="339">
        <f t="shared" si="39"/>
        <v>464653</v>
      </c>
      <c r="T143" s="337"/>
    </row>
    <row r="144" spans="2:20">
      <c r="B144" s="378"/>
      <c r="C144" s="337" t="s">
        <v>1415</v>
      </c>
      <c r="D144" s="367">
        <v>140</v>
      </c>
      <c r="E144" s="337" t="s">
        <v>1437</v>
      </c>
      <c r="F144" s="337" t="s">
        <v>1416</v>
      </c>
      <c r="G144" s="346">
        <v>500000</v>
      </c>
      <c r="H144" s="346">
        <v>66650</v>
      </c>
      <c r="I144" s="340">
        <f t="shared" si="33"/>
        <v>566650</v>
      </c>
      <c r="J144" s="358">
        <v>50</v>
      </c>
      <c r="K144" s="346">
        <v>11333</v>
      </c>
      <c r="L144" s="356">
        <f t="shared" si="32"/>
        <v>1333</v>
      </c>
      <c r="M144" s="356">
        <f t="shared" si="34"/>
        <v>10000</v>
      </c>
      <c r="N144" s="356">
        <f t="shared" si="35"/>
        <v>2666</v>
      </c>
      <c r="O144" s="356">
        <f t="shared" si="36"/>
        <v>63984</v>
      </c>
      <c r="P144" s="358">
        <v>2</v>
      </c>
      <c r="Q144" s="354">
        <f t="shared" si="37"/>
        <v>48</v>
      </c>
      <c r="R144" s="339">
        <f t="shared" si="38"/>
        <v>22666</v>
      </c>
      <c r="S144" s="339">
        <f t="shared" si="39"/>
        <v>543984</v>
      </c>
      <c r="T144" s="337"/>
    </row>
    <row r="145" spans="2:20">
      <c r="B145" s="378"/>
      <c r="C145" s="363" t="s">
        <v>1023</v>
      </c>
      <c r="D145" s="367">
        <v>141</v>
      </c>
      <c r="E145" s="337" t="s">
        <v>1437</v>
      </c>
      <c r="F145" s="337" t="s">
        <v>321</v>
      </c>
      <c r="G145" s="346">
        <v>500000</v>
      </c>
      <c r="H145" s="346">
        <v>66650</v>
      </c>
      <c r="I145" s="340">
        <f t="shared" si="33"/>
        <v>566650</v>
      </c>
      <c r="J145" s="348">
        <v>50</v>
      </c>
      <c r="K145" s="351">
        <v>11333</v>
      </c>
      <c r="L145" s="356">
        <f t="shared" si="32"/>
        <v>1333</v>
      </c>
      <c r="M145" s="356">
        <f t="shared" si="34"/>
        <v>10000</v>
      </c>
      <c r="N145" s="356">
        <f t="shared" si="35"/>
        <v>71982</v>
      </c>
      <c r="O145" s="356">
        <f t="shared" si="36"/>
        <v>-5332</v>
      </c>
      <c r="P145" s="348">
        <v>54</v>
      </c>
      <c r="Q145" s="354">
        <f t="shared" si="37"/>
        <v>-4</v>
      </c>
      <c r="R145" s="339">
        <f t="shared" si="38"/>
        <v>611982</v>
      </c>
      <c r="S145" s="339">
        <f t="shared" si="39"/>
        <v>-45332</v>
      </c>
      <c r="T145" s="337"/>
    </row>
    <row r="146" spans="2:20">
      <c r="B146" s="378"/>
      <c r="C146" s="364" t="s">
        <v>1354</v>
      </c>
      <c r="D146" s="367">
        <v>142</v>
      </c>
      <c r="E146" s="337" t="s">
        <v>1437</v>
      </c>
      <c r="F146" s="337" t="s">
        <v>450</v>
      </c>
      <c r="G146" s="346">
        <v>450000</v>
      </c>
      <c r="H146" s="346">
        <v>59985</v>
      </c>
      <c r="I146" s="340">
        <f t="shared" si="33"/>
        <v>509985</v>
      </c>
      <c r="J146" s="348">
        <v>50</v>
      </c>
      <c r="K146" s="351">
        <v>10199.700000000001</v>
      </c>
      <c r="L146" s="356">
        <f t="shared" si="32"/>
        <v>1199.7</v>
      </c>
      <c r="M146" s="356">
        <f t="shared" si="34"/>
        <v>9000</v>
      </c>
      <c r="N146" s="356">
        <f t="shared" si="35"/>
        <v>19195.2</v>
      </c>
      <c r="O146" s="356">
        <f t="shared" si="36"/>
        <v>40789.800000000003</v>
      </c>
      <c r="P146" s="348">
        <v>16</v>
      </c>
      <c r="Q146" s="354">
        <f t="shared" si="37"/>
        <v>34</v>
      </c>
      <c r="R146" s="339">
        <f t="shared" si="38"/>
        <v>163195.20000000001</v>
      </c>
      <c r="S146" s="339">
        <f t="shared" si="39"/>
        <v>346789.8</v>
      </c>
      <c r="T146" s="337"/>
    </row>
    <row r="147" spans="2:20">
      <c r="B147" s="378"/>
      <c r="C147" s="364" t="s">
        <v>1394</v>
      </c>
      <c r="D147" s="367">
        <v>143</v>
      </c>
      <c r="E147" s="337" t="s">
        <v>1437</v>
      </c>
      <c r="F147" s="337" t="s">
        <v>1395</v>
      </c>
      <c r="G147" s="346">
        <v>150000</v>
      </c>
      <c r="H147" s="346">
        <v>19995</v>
      </c>
      <c r="I147" s="340">
        <f t="shared" si="33"/>
        <v>169995</v>
      </c>
      <c r="J147" s="348">
        <v>40</v>
      </c>
      <c r="K147" s="351">
        <v>4149.8999999999996</v>
      </c>
      <c r="L147" s="356">
        <f t="shared" si="32"/>
        <v>399.9</v>
      </c>
      <c r="M147" s="356">
        <f t="shared" si="34"/>
        <v>3000</v>
      </c>
      <c r="N147" s="356">
        <f t="shared" si="35"/>
        <v>1599.6</v>
      </c>
      <c r="O147" s="356">
        <f t="shared" si="36"/>
        <v>14396.4</v>
      </c>
      <c r="P147" s="348">
        <v>4</v>
      </c>
      <c r="Q147" s="354">
        <f t="shared" si="37"/>
        <v>36</v>
      </c>
      <c r="R147" s="339">
        <f t="shared" si="38"/>
        <v>16599.599999999999</v>
      </c>
      <c r="S147" s="339">
        <f t="shared" si="39"/>
        <v>153395.4</v>
      </c>
      <c r="T147" s="337"/>
    </row>
    <row r="148" spans="2:20">
      <c r="B148" s="378"/>
      <c r="C148" s="363" t="s">
        <v>968</v>
      </c>
      <c r="D148" s="367">
        <v>144</v>
      </c>
      <c r="E148" s="337" t="s">
        <v>1437</v>
      </c>
      <c r="F148" s="337" t="s">
        <v>490</v>
      </c>
      <c r="G148" s="346">
        <v>330000</v>
      </c>
      <c r="H148" s="346">
        <v>43989</v>
      </c>
      <c r="I148" s="340">
        <f t="shared" si="33"/>
        <v>373989</v>
      </c>
      <c r="J148" s="348">
        <v>50</v>
      </c>
      <c r="K148" s="351">
        <v>7479.78</v>
      </c>
      <c r="L148" s="356">
        <f t="shared" si="32"/>
        <v>879.78</v>
      </c>
      <c r="M148" s="356">
        <f t="shared" si="34"/>
        <v>6600</v>
      </c>
      <c r="N148" s="356">
        <f t="shared" si="35"/>
        <v>25513.62</v>
      </c>
      <c r="O148" s="356">
        <f t="shared" si="36"/>
        <v>18475.38</v>
      </c>
      <c r="P148" s="348">
        <v>29</v>
      </c>
      <c r="Q148" s="354">
        <f t="shared" si="37"/>
        <v>21</v>
      </c>
      <c r="R148" s="339">
        <f t="shared" si="38"/>
        <v>216913.62</v>
      </c>
      <c r="S148" s="339">
        <f t="shared" si="39"/>
        <v>157075.38</v>
      </c>
      <c r="T148" s="337"/>
    </row>
    <row r="149" spans="2:20">
      <c r="B149" s="378"/>
      <c r="C149" s="365" t="s">
        <v>1036</v>
      </c>
      <c r="D149" s="367">
        <v>145</v>
      </c>
      <c r="E149" s="337" t="s">
        <v>1437</v>
      </c>
      <c r="F149" s="337" t="s">
        <v>216</v>
      </c>
      <c r="G149" s="346">
        <v>60000</v>
      </c>
      <c r="H149" s="346">
        <v>7998</v>
      </c>
      <c r="I149" s="340">
        <f t="shared" si="33"/>
        <v>67998</v>
      </c>
      <c r="J149" s="348">
        <v>40</v>
      </c>
      <c r="K149" s="351">
        <v>1699.95</v>
      </c>
      <c r="L149" s="356">
        <f t="shared" si="32"/>
        <v>159.96</v>
      </c>
      <c r="M149" s="356">
        <f t="shared" si="34"/>
        <v>1200</v>
      </c>
      <c r="N149" s="356">
        <f t="shared" si="35"/>
        <v>4798.8</v>
      </c>
      <c r="O149" s="356">
        <f t="shared" si="36"/>
        <v>1599.6000000000001</v>
      </c>
      <c r="P149" s="348">
        <v>30</v>
      </c>
      <c r="Q149" s="354">
        <f t="shared" si="37"/>
        <v>10</v>
      </c>
      <c r="R149" s="339">
        <f t="shared" si="38"/>
        <v>50998.5</v>
      </c>
      <c r="S149" s="339">
        <f t="shared" si="39"/>
        <v>16999.5</v>
      </c>
      <c r="T149" s="337"/>
    </row>
    <row r="150" spans="2:20">
      <c r="B150" s="378"/>
      <c r="C150" s="363" t="s">
        <v>1379</v>
      </c>
      <c r="D150" s="367">
        <v>146</v>
      </c>
      <c r="E150" s="337" t="s">
        <v>1437</v>
      </c>
      <c r="F150" s="337" t="s">
        <v>1380</v>
      </c>
      <c r="G150" s="346">
        <v>330000</v>
      </c>
      <c r="H150" s="346">
        <v>43989</v>
      </c>
      <c r="I150" s="340">
        <f t="shared" si="33"/>
        <v>373989</v>
      </c>
      <c r="J150" s="348">
        <v>50</v>
      </c>
      <c r="K150" s="351">
        <v>7479.78</v>
      </c>
      <c r="L150" s="356">
        <f t="shared" si="32"/>
        <v>879.78</v>
      </c>
      <c r="M150" s="356">
        <f t="shared" si="34"/>
        <v>6600</v>
      </c>
      <c r="N150" s="356">
        <f t="shared" si="35"/>
        <v>3519.12</v>
      </c>
      <c r="O150" s="356">
        <f t="shared" si="36"/>
        <v>40469.879999999997</v>
      </c>
      <c r="P150" s="348">
        <v>4</v>
      </c>
      <c r="Q150" s="354">
        <f t="shared" si="37"/>
        <v>46</v>
      </c>
      <c r="R150" s="339">
        <f t="shared" si="38"/>
        <v>29919.119999999999</v>
      </c>
      <c r="S150" s="339">
        <f t="shared" si="39"/>
        <v>344069.88</v>
      </c>
      <c r="T150" s="337"/>
    </row>
    <row r="151" spans="2:20">
      <c r="B151" s="378"/>
      <c r="C151" s="362" t="s">
        <v>1372</v>
      </c>
      <c r="D151" s="367">
        <v>147</v>
      </c>
      <c r="E151" s="337" t="s">
        <v>1437</v>
      </c>
      <c r="F151" s="337" t="s">
        <v>1297</v>
      </c>
      <c r="G151" s="346">
        <v>330000</v>
      </c>
      <c r="H151" s="346">
        <v>43989</v>
      </c>
      <c r="I151" s="340">
        <f t="shared" si="33"/>
        <v>373989</v>
      </c>
      <c r="J151" s="348">
        <v>50</v>
      </c>
      <c r="K151" s="351">
        <v>7479.78</v>
      </c>
      <c r="L151" s="356">
        <f t="shared" si="32"/>
        <v>879.78</v>
      </c>
      <c r="M151" s="356">
        <f t="shared" si="34"/>
        <v>6600</v>
      </c>
      <c r="N151" s="356">
        <f t="shared" si="35"/>
        <v>12316.92</v>
      </c>
      <c r="O151" s="356">
        <f t="shared" si="36"/>
        <v>31672.079999999998</v>
      </c>
      <c r="P151" s="348">
        <v>14</v>
      </c>
      <c r="Q151" s="354">
        <f t="shared" si="37"/>
        <v>36</v>
      </c>
      <c r="R151" s="339">
        <f t="shared" si="38"/>
        <v>104716.92</v>
      </c>
      <c r="S151" s="339">
        <f t="shared" si="39"/>
        <v>269272.08</v>
      </c>
      <c r="T151" s="337"/>
    </row>
    <row r="152" spans="2:20">
      <c r="B152" s="378"/>
      <c r="C152" s="365" t="s">
        <v>1373</v>
      </c>
      <c r="D152" s="367">
        <v>148</v>
      </c>
      <c r="E152" s="337" t="s">
        <v>1437</v>
      </c>
      <c r="F152" s="337" t="s">
        <v>1374</v>
      </c>
      <c r="G152" s="346">
        <v>330000</v>
      </c>
      <c r="H152" s="346">
        <v>43989</v>
      </c>
      <c r="I152" s="340">
        <f t="shared" si="33"/>
        <v>373989</v>
      </c>
      <c r="J152" s="348">
        <v>50</v>
      </c>
      <c r="K152" s="351">
        <v>7479.78</v>
      </c>
      <c r="L152" s="356">
        <f t="shared" si="32"/>
        <v>879.78</v>
      </c>
      <c r="M152" s="356">
        <f t="shared" si="34"/>
        <v>6600</v>
      </c>
      <c r="N152" s="356">
        <f t="shared" si="35"/>
        <v>3519.12</v>
      </c>
      <c r="O152" s="356">
        <f t="shared" si="36"/>
        <v>40469.879999999997</v>
      </c>
      <c r="P152" s="348">
        <v>4</v>
      </c>
      <c r="Q152" s="354">
        <f t="shared" si="37"/>
        <v>46</v>
      </c>
      <c r="R152" s="339">
        <f t="shared" si="38"/>
        <v>29919.119999999999</v>
      </c>
      <c r="S152" s="339">
        <f t="shared" si="39"/>
        <v>344069.88</v>
      </c>
      <c r="T152" s="337"/>
    </row>
    <row r="153" spans="2:20">
      <c r="B153" s="378"/>
      <c r="C153" s="365" t="s">
        <v>1367</v>
      </c>
      <c r="D153" s="367">
        <v>149</v>
      </c>
      <c r="E153" s="337" t="s">
        <v>1437</v>
      </c>
      <c r="F153" s="337" t="s">
        <v>465</v>
      </c>
      <c r="G153" s="346">
        <v>450000</v>
      </c>
      <c r="H153" s="346">
        <v>59985</v>
      </c>
      <c r="I153" s="340">
        <f t="shared" si="33"/>
        <v>509985</v>
      </c>
      <c r="J153" s="348">
        <v>50</v>
      </c>
      <c r="K153" s="351">
        <v>10199.700000000001</v>
      </c>
      <c r="L153" s="356">
        <f t="shared" si="32"/>
        <v>1199.7</v>
      </c>
      <c r="M153" s="356">
        <f t="shared" si="34"/>
        <v>9000</v>
      </c>
      <c r="N153" s="356">
        <f t="shared" si="35"/>
        <v>28792.800000000003</v>
      </c>
      <c r="O153" s="356">
        <f t="shared" si="36"/>
        <v>31192.2</v>
      </c>
      <c r="P153" s="348">
        <v>24</v>
      </c>
      <c r="Q153" s="354">
        <f t="shared" si="37"/>
        <v>26</v>
      </c>
      <c r="R153" s="339">
        <f t="shared" si="38"/>
        <v>244792.80000000002</v>
      </c>
      <c r="S153" s="339">
        <f t="shared" si="39"/>
        <v>265192.19999999995</v>
      </c>
      <c r="T153" s="337"/>
    </row>
    <row r="154" spans="2:20">
      <c r="B154" s="378"/>
      <c r="C154" s="337" t="s">
        <v>1440</v>
      </c>
      <c r="D154" s="367">
        <v>150</v>
      </c>
      <c r="E154" s="337" t="s">
        <v>1437</v>
      </c>
      <c r="F154" s="337" t="s">
        <v>1441</v>
      </c>
      <c r="G154" s="346">
        <v>500000</v>
      </c>
      <c r="H154" s="346">
        <v>66650</v>
      </c>
      <c r="I154" s="340">
        <f t="shared" ref="I154:I160" si="40">SUM(G154:H154)</f>
        <v>566650</v>
      </c>
      <c r="J154" s="348">
        <v>50</v>
      </c>
      <c r="K154" s="346">
        <v>11333</v>
      </c>
      <c r="L154" s="356">
        <f t="shared" si="32"/>
        <v>1333</v>
      </c>
      <c r="M154" s="356">
        <f t="shared" ref="M154:M160" si="41">G154/50</f>
        <v>10000</v>
      </c>
      <c r="N154" s="356">
        <f t="shared" ref="N154:N160" si="42">L154*P154</f>
        <v>54653</v>
      </c>
      <c r="O154" s="356">
        <f t="shared" si="36"/>
        <v>11997</v>
      </c>
      <c r="P154" s="358">
        <v>41</v>
      </c>
      <c r="Q154" s="354">
        <f t="shared" ref="Q154:Q160" si="43">J154-P154</f>
        <v>9</v>
      </c>
      <c r="R154" s="339">
        <f t="shared" ref="R154:R160" si="44">K154*P154</f>
        <v>464653</v>
      </c>
      <c r="S154" s="339">
        <f t="shared" ref="S154:S160" si="45">I154-R154</f>
        <v>101997</v>
      </c>
      <c r="T154" s="385" t="s">
        <v>1444</v>
      </c>
    </row>
    <row r="155" spans="2:20">
      <c r="C155" s="337" t="s">
        <v>1438</v>
      </c>
      <c r="D155" s="367">
        <v>151</v>
      </c>
      <c r="E155" s="337" t="s">
        <v>1437</v>
      </c>
      <c r="F155" s="337" t="s">
        <v>1439</v>
      </c>
      <c r="G155" s="346">
        <v>450000</v>
      </c>
      <c r="H155" s="346">
        <v>59985</v>
      </c>
      <c r="I155" s="340">
        <f t="shared" si="40"/>
        <v>509985</v>
      </c>
      <c r="J155" s="348">
        <v>50</v>
      </c>
      <c r="K155" s="346">
        <v>10199.700000000001</v>
      </c>
      <c r="L155" s="356">
        <f t="shared" si="32"/>
        <v>1199.7</v>
      </c>
      <c r="M155" s="356">
        <f t="shared" si="41"/>
        <v>9000</v>
      </c>
      <c r="N155" s="356">
        <f t="shared" si="42"/>
        <v>45588.6</v>
      </c>
      <c r="O155" s="356">
        <f t="shared" si="36"/>
        <v>14396.400000000001</v>
      </c>
      <c r="P155" s="358">
        <v>38</v>
      </c>
      <c r="Q155" s="354">
        <f t="shared" si="43"/>
        <v>12</v>
      </c>
      <c r="R155" s="339">
        <f t="shared" si="44"/>
        <v>387588.60000000003</v>
      </c>
      <c r="S155" s="339">
        <f t="shared" si="45"/>
        <v>122396.39999999997</v>
      </c>
      <c r="T155" s="385" t="s">
        <v>1443</v>
      </c>
    </row>
    <row r="156" spans="2:20">
      <c r="C156" s="337"/>
      <c r="D156" s="367">
        <v>152</v>
      </c>
      <c r="E156" s="337" t="s">
        <v>1437</v>
      </c>
      <c r="F156" s="337" t="s">
        <v>1270</v>
      </c>
      <c r="G156" s="346">
        <v>150000</v>
      </c>
      <c r="H156" s="346">
        <v>19995</v>
      </c>
      <c r="I156" s="340">
        <f t="shared" si="40"/>
        <v>169995</v>
      </c>
      <c r="J156" s="358">
        <v>50</v>
      </c>
      <c r="K156" s="346">
        <v>3399.9</v>
      </c>
      <c r="L156" s="356">
        <f t="shared" si="32"/>
        <v>399.9</v>
      </c>
      <c r="M156" s="356">
        <f t="shared" si="41"/>
        <v>3000</v>
      </c>
      <c r="N156" s="356">
        <f t="shared" si="42"/>
        <v>15996</v>
      </c>
      <c r="O156" s="356">
        <f t="shared" si="36"/>
        <v>3999</v>
      </c>
      <c r="P156" s="358">
        <v>40</v>
      </c>
      <c r="Q156" s="354">
        <f t="shared" si="43"/>
        <v>10</v>
      </c>
      <c r="R156" s="339">
        <f t="shared" si="44"/>
        <v>135996</v>
      </c>
      <c r="S156" s="339">
        <f t="shared" si="45"/>
        <v>33999</v>
      </c>
      <c r="T156" s="337"/>
    </row>
    <row r="157" spans="2:20">
      <c r="C157" s="337"/>
      <c r="D157" s="367">
        <v>153</v>
      </c>
      <c r="E157" s="337" t="s">
        <v>1437</v>
      </c>
      <c r="F157" s="337" t="s">
        <v>1272</v>
      </c>
      <c r="G157" s="346">
        <v>450000</v>
      </c>
      <c r="H157" s="346">
        <v>59985</v>
      </c>
      <c r="I157" s="340">
        <f t="shared" si="40"/>
        <v>509985</v>
      </c>
      <c r="J157" s="358">
        <v>50</v>
      </c>
      <c r="K157" s="346">
        <v>10199.700000000001</v>
      </c>
      <c r="L157" s="356">
        <f t="shared" si="32"/>
        <v>1199.7</v>
      </c>
      <c r="M157" s="356">
        <f t="shared" si="41"/>
        <v>9000</v>
      </c>
      <c r="N157" s="356">
        <f t="shared" si="42"/>
        <v>16795.8</v>
      </c>
      <c r="O157" s="356">
        <f t="shared" si="36"/>
        <v>43189.200000000004</v>
      </c>
      <c r="P157" s="358">
        <v>14</v>
      </c>
      <c r="Q157" s="354">
        <f t="shared" si="43"/>
        <v>36</v>
      </c>
      <c r="R157" s="339">
        <f t="shared" si="44"/>
        <v>142795.80000000002</v>
      </c>
      <c r="S157" s="339">
        <f t="shared" si="45"/>
        <v>367189.19999999995</v>
      </c>
      <c r="T157" s="337"/>
    </row>
    <row r="158" spans="2:20">
      <c r="C158" s="337"/>
      <c r="D158" s="367">
        <v>154</v>
      </c>
      <c r="E158" s="337" t="s">
        <v>1437</v>
      </c>
      <c r="F158" s="337" t="s">
        <v>1268</v>
      </c>
      <c r="G158" s="346">
        <v>500000</v>
      </c>
      <c r="H158" s="346">
        <v>66650</v>
      </c>
      <c r="I158" s="340">
        <f t="shared" si="40"/>
        <v>566650</v>
      </c>
      <c r="J158" s="358">
        <v>50</v>
      </c>
      <c r="K158" s="346">
        <v>11749.67</v>
      </c>
      <c r="L158" s="356">
        <f t="shared" si="32"/>
        <v>1333</v>
      </c>
      <c r="M158" s="356">
        <f t="shared" si="41"/>
        <v>10000</v>
      </c>
      <c r="N158" s="356">
        <f t="shared" si="42"/>
        <v>38657</v>
      </c>
      <c r="O158" s="356">
        <f t="shared" si="36"/>
        <v>27993</v>
      </c>
      <c r="P158" s="358">
        <v>29</v>
      </c>
      <c r="Q158" s="354">
        <f t="shared" si="43"/>
        <v>21</v>
      </c>
      <c r="R158" s="339">
        <f t="shared" si="44"/>
        <v>340740.43</v>
      </c>
      <c r="S158" s="339">
        <f t="shared" si="45"/>
        <v>225909.57</v>
      </c>
      <c r="T158" s="337"/>
    </row>
    <row r="159" spans="2:20">
      <c r="C159" s="337"/>
      <c r="D159" s="367">
        <v>155</v>
      </c>
      <c r="E159" s="337" t="s">
        <v>1437</v>
      </c>
      <c r="F159" s="337" t="s">
        <v>1420</v>
      </c>
      <c r="G159" s="346">
        <v>450000</v>
      </c>
      <c r="H159" s="346">
        <v>59985</v>
      </c>
      <c r="I159" s="340">
        <f t="shared" si="40"/>
        <v>509985</v>
      </c>
      <c r="J159" s="358">
        <v>50</v>
      </c>
      <c r="K159" s="346">
        <v>10199.700000000001</v>
      </c>
      <c r="L159" s="356">
        <f t="shared" si="32"/>
        <v>1199.7</v>
      </c>
      <c r="M159" s="356">
        <f t="shared" si="41"/>
        <v>9000</v>
      </c>
      <c r="N159" s="356">
        <f t="shared" si="42"/>
        <v>4798.8</v>
      </c>
      <c r="O159" s="356">
        <f t="shared" si="36"/>
        <v>55186.200000000004</v>
      </c>
      <c r="P159" s="358">
        <v>4</v>
      </c>
      <c r="Q159" s="354">
        <f t="shared" si="43"/>
        <v>46</v>
      </c>
      <c r="R159" s="339">
        <f t="shared" si="44"/>
        <v>40798.800000000003</v>
      </c>
      <c r="S159" s="339">
        <f t="shared" si="45"/>
        <v>469186.2</v>
      </c>
      <c r="T159" s="337"/>
    </row>
    <row r="160" spans="2:20">
      <c r="C160" s="337"/>
      <c r="D160" s="367">
        <v>156</v>
      </c>
      <c r="E160" s="337" t="s">
        <v>1437</v>
      </c>
      <c r="F160" s="337" t="s">
        <v>1269</v>
      </c>
      <c r="G160" s="346">
        <v>450000</v>
      </c>
      <c r="H160" s="346">
        <v>59985</v>
      </c>
      <c r="I160" s="340">
        <f t="shared" si="40"/>
        <v>509985</v>
      </c>
      <c r="J160" s="358">
        <v>50</v>
      </c>
      <c r="K160" s="346">
        <v>10199.700000000001</v>
      </c>
      <c r="L160" s="356">
        <f t="shared" si="32"/>
        <v>1199.7</v>
      </c>
      <c r="M160" s="356">
        <f t="shared" si="41"/>
        <v>9000</v>
      </c>
      <c r="N160" s="356">
        <f t="shared" si="42"/>
        <v>43189.200000000004</v>
      </c>
      <c r="O160" s="356">
        <f t="shared" si="36"/>
        <v>16795.8</v>
      </c>
      <c r="P160" s="358">
        <v>36</v>
      </c>
      <c r="Q160" s="354">
        <f t="shared" si="43"/>
        <v>14</v>
      </c>
      <c r="R160" s="339">
        <f t="shared" si="44"/>
        <v>367189.2</v>
      </c>
      <c r="S160" s="339">
        <f t="shared" si="45"/>
        <v>142795.79999999999</v>
      </c>
      <c r="T160" s="337"/>
    </row>
    <row r="161" spans="3:20">
      <c r="C161" s="337"/>
      <c r="D161" s="337"/>
      <c r="E161" s="337"/>
      <c r="F161" s="337"/>
      <c r="G161" s="386">
        <f>SUM(G5:G160)</f>
        <v>65220000</v>
      </c>
      <c r="H161" s="386">
        <f>SUM(H5:H160)</f>
        <v>8567671</v>
      </c>
      <c r="I161" s="386">
        <f>SUM(I5:I160)</f>
        <v>73787671</v>
      </c>
      <c r="J161" s="387"/>
      <c r="K161" s="386">
        <f>SUM(K5:K160)</f>
        <v>1552036.5299999998</v>
      </c>
      <c r="L161" s="386">
        <f>SUM(L5:L160)</f>
        <v>173630.18399999995</v>
      </c>
      <c r="M161" s="386">
        <f>SUM(M5:M160)</f>
        <v>1304400</v>
      </c>
      <c r="N161" s="386">
        <f>SUM(N5:N160)</f>
        <v>3630406.3719999995</v>
      </c>
      <c r="O161" s="386">
        <f>SUM(O5:O160)</f>
        <v>4814824.8120000018</v>
      </c>
      <c r="P161" s="388"/>
      <c r="Q161" s="388"/>
      <c r="R161" s="386">
        <f>SUM(R5:R160)</f>
        <v>31399447.130000014</v>
      </c>
      <c r="S161" s="386">
        <f>SUM(S5:S160)</f>
        <v>42388223.870000005</v>
      </c>
      <c r="T161" s="337"/>
    </row>
  </sheetData>
  <sortState ref="C5:T154">
    <sortCondition ref="C5:C154"/>
  </sortState>
  <mergeCells count="3">
    <mergeCell ref="D1:T1"/>
    <mergeCell ref="D2:T2"/>
    <mergeCell ref="D3:T3"/>
  </mergeCells>
  <conditionalFormatting sqref="C98:C99">
    <cfRule type="duplicateValues" dxfId="27" priority="2"/>
  </conditionalFormatting>
  <conditionalFormatting sqref="C105:C108 C4:C91 C97:C99 C114:C120 C128:C142">
    <cfRule type="duplicateValues" dxfId="26" priority="4"/>
  </conditionalFormatting>
  <pageMargins left="0.2" right="0.2" top="0.25" bottom="0.25" header="0.3" footer="0.3"/>
  <pageSetup paperSize="9" scale="5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B1:T167"/>
  <sheetViews>
    <sheetView topLeftCell="A148" zoomScale="90" zoomScaleNormal="90" workbookViewId="0">
      <selection activeCell="G167" sqref="G167"/>
    </sheetView>
  </sheetViews>
  <sheetFormatPr defaultRowHeight="15.75"/>
  <cols>
    <col min="1" max="1" width="9.140625" style="336"/>
    <col min="2" max="2" width="14.5703125" style="336" bestFit="1" customWidth="1"/>
    <col min="3" max="3" width="18.7109375" style="336" customWidth="1"/>
    <col min="4" max="4" width="5.42578125" style="336" customWidth="1"/>
    <col min="5" max="5" width="13.5703125" style="336" customWidth="1"/>
    <col min="6" max="6" width="36.5703125" style="336" customWidth="1"/>
    <col min="7" max="7" width="16.85546875" style="342" customWidth="1"/>
    <col min="8" max="8" width="16" style="342" customWidth="1"/>
    <col min="9" max="9" width="17.42578125" style="342" customWidth="1"/>
    <col min="10" max="10" width="8.28515625" style="343" customWidth="1"/>
    <col min="11" max="11" width="16.5703125" style="342" customWidth="1"/>
    <col min="12" max="12" width="14.140625" style="355" customWidth="1"/>
    <col min="13" max="13" width="16.85546875" style="355" customWidth="1"/>
    <col min="14" max="14" width="16.5703125" style="355" customWidth="1"/>
    <col min="15" max="15" width="15.85546875" style="355" customWidth="1"/>
    <col min="16" max="16" width="10.140625" style="344" customWidth="1"/>
    <col min="17" max="17" width="12.140625" style="344" customWidth="1"/>
    <col min="18" max="18" width="17" style="342" customWidth="1"/>
    <col min="19" max="19" width="16.85546875" style="342" customWidth="1"/>
    <col min="20" max="20" width="9.5703125" style="336" customWidth="1"/>
    <col min="21" max="16384" width="9.140625" style="336"/>
  </cols>
  <sheetData>
    <row r="1" spans="2:20" ht="22.5">
      <c r="D1" s="425" t="s">
        <v>1421</v>
      </c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</row>
    <row r="2" spans="2:20" customFormat="1" ht="20.25">
      <c r="C2" s="360"/>
      <c r="D2" s="419" t="s">
        <v>245</v>
      </c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</row>
    <row r="3" spans="2:20" customFormat="1" ht="18">
      <c r="C3" s="360"/>
      <c r="D3" s="426" t="s">
        <v>1454</v>
      </c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</row>
    <row r="4" spans="2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70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2:20">
      <c r="B5" s="378"/>
      <c r="C5" s="361" t="s">
        <v>1369</v>
      </c>
      <c r="D5" s="367">
        <v>1</v>
      </c>
      <c r="E5" s="337" t="s">
        <v>1437</v>
      </c>
      <c r="F5" s="338" t="s">
        <v>1282</v>
      </c>
      <c r="G5" s="339">
        <v>330000</v>
      </c>
      <c r="H5" s="339">
        <v>43989</v>
      </c>
      <c r="I5" s="340">
        <f t="shared" ref="I5:I36" si="0">SUM(G5:H5)</f>
        <v>373989</v>
      </c>
      <c r="J5" s="347">
        <v>50</v>
      </c>
      <c r="K5" s="379">
        <v>7479.78</v>
      </c>
      <c r="L5" s="356">
        <f t="shared" ref="L5:L36" si="1">H5/50</f>
        <v>879.78</v>
      </c>
      <c r="M5" s="356">
        <f t="shared" ref="M5:M36" si="2">G5/50</f>
        <v>6600</v>
      </c>
      <c r="N5" s="356">
        <f t="shared" ref="N5:N36" si="3">L5*P5</f>
        <v>8797.7999999999993</v>
      </c>
      <c r="O5" s="356">
        <f t="shared" ref="O5:O36" si="4">L5*Q5</f>
        <v>35191.199999999997</v>
      </c>
      <c r="P5" s="352">
        <v>10</v>
      </c>
      <c r="Q5" s="354">
        <f t="shared" ref="Q5:Q36" si="5">J5-P5</f>
        <v>40</v>
      </c>
      <c r="R5" s="339">
        <f t="shared" ref="R5:R36" si="6">K5*P5</f>
        <v>74797.8</v>
      </c>
      <c r="S5" s="339">
        <f t="shared" ref="S5:S36" si="7">I5-R5</f>
        <v>299191.2</v>
      </c>
      <c r="T5" s="341"/>
    </row>
    <row r="6" spans="2:20">
      <c r="B6" s="378"/>
      <c r="C6" s="361" t="s">
        <v>1396</v>
      </c>
      <c r="D6" s="367">
        <v>2</v>
      </c>
      <c r="E6" s="337" t="s">
        <v>1437</v>
      </c>
      <c r="F6" s="341" t="s">
        <v>1397</v>
      </c>
      <c r="G6" s="339">
        <v>150000</v>
      </c>
      <c r="H6" s="339">
        <v>19995</v>
      </c>
      <c r="I6" s="340">
        <f t="shared" si="0"/>
        <v>169995</v>
      </c>
      <c r="J6" s="347">
        <v>50</v>
      </c>
      <c r="K6" s="379">
        <v>3399.9</v>
      </c>
      <c r="L6" s="356">
        <f t="shared" si="1"/>
        <v>399.9</v>
      </c>
      <c r="M6" s="356">
        <f t="shared" si="2"/>
        <v>3000</v>
      </c>
      <c r="N6" s="356">
        <f t="shared" si="3"/>
        <v>4798.7999999999993</v>
      </c>
      <c r="O6" s="356">
        <f t="shared" si="4"/>
        <v>15196.199999999999</v>
      </c>
      <c r="P6" s="352">
        <v>12</v>
      </c>
      <c r="Q6" s="354">
        <f t="shared" si="5"/>
        <v>38</v>
      </c>
      <c r="R6" s="339">
        <f t="shared" si="6"/>
        <v>40798.800000000003</v>
      </c>
      <c r="S6" s="339">
        <f t="shared" si="7"/>
        <v>129196.2</v>
      </c>
      <c r="T6" s="341"/>
    </row>
    <row r="7" spans="2:20">
      <c r="B7" s="378"/>
      <c r="C7" s="337" t="s">
        <v>1412</v>
      </c>
      <c r="D7" s="367">
        <v>3</v>
      </c>
      <c r="E7" s="337" t="s">
        <v>1437</v>
      </c>
      <c r="F7" s="337" t="s">
        <v>468</v>
      </c>
      <c r="G7" s="346">
        <v>500000</v>
      </c>
      <c r="H7" s="346">
        <v>66650</v>
      </c>
      <c r="I7" s="340">
        <f t="shared" si="0"/>
        <v>566650</v>
      </c>
      <c r="J7" s="348">
        <v>50</v>
      </c>
      <c r="K7" s="380">
        <v>11333</v>
      </c>
      <c r="L7" s="356">
        <f t="shared" si="1"/>
        <v>1333</v>
      </c>
      <c r="M7" s="356">
        <f t="shared" si="2"/>
        <v>10000</v>
      </c>
      <c r="N7" s="356">
        <f t="shared" si="3"/>
        <v>3999</v>
      </c>
      <c r="O7" s="356">
        <f t="shared" si="4"/>
        <v>62651</v>
      </c>
      <c r="P7" s="348">
        <v>3</v>
      </c>
      <c r="Q7" s="354">
        <f t="shared" si="5"/>
        <v>47</v>
      </c>
      <c r="R7" s="339">
        <f t="shared" si="6"/>
        <v>33999</v>
      </c>
      <c r="S7" s="339">
        <f t="shared" si="7"/>
        <v>532651</v>
      </c>
      <c r="T7" s="337"/>
    </row>
    <row r="8" spans="2:20">
      <c r="B8" s="378"/>
      <c r="C8" s="362" t="s">
        <v>1047</v>
      </c>
      <c r="D8" s="367">
        <v>4</v>
      </c>
      <c r="E8" s="337" t="s">
        <v>1437</v>
      </c>
      <c r="F8" s="338" t="s">
        <v>873</v>
      </c>
      <c r="G8" s="339">
        <v>450000</v>
      </c>
      <c r="H8" s="339">
        <v>59985</v>
      </c>
      <c r="I8" s="340">
        <f t="shared" si="0"/>
        <v>509985</v>
      </c>
      <c r="J8" s="347">
        <v>50</v>
      </c>
      <c r="K8" s="379">
        <v>10199.700000000001</v>
      </c>
      <c r="L8" s="356">
        <f t="shared" si="1"/>
        <v>1199.7</v>
      </c>
      <c r="M8" s="356">
        <f t="shared" si="2"/>
        <v>9000</v>
      </c>
      <c r="N8" s="356">
        <f t="shared" si="3"/>
        <v>29992.5</v>
      </c>
      <c r="O8" s="356">
        <f t="shared" si="4"/>
        <v>29992.5</v>
      </c>
      <c r="P8" s="352">
        <v>25</v>
      </c>
      <c r="Q8" s="354">
        <f t="shared" si="5"/>
        <v>25</v>
      </c>
      <c r="R8" s="339">
        <f t="shared" si="6"/>
        <v>254992.50000000003</v>
      </c>
      <c r="S8" s="339">
        <f t="shared" si="7"/>
        <v>254992.49999999997</v>
      </c>
      <c r="T8" s="341"/>
    </row>
    <row r="9" spans="2:20">
      <c r="B9" s="378"/>
      <c r="C9" s="337" t="s">
        <v>1418</v>
      </c>
      <c r="D9" s="367">
        <v>5</v>
      </c>
      <c r="E9" s="337" t="s">
        <v>1437</v>
      </c>
      <c r="F9" s="337" t="s">
        <v>455</v>
      </c>
      <c r="G9" s="346">
        <v>150000</v>
      </c>
      <c r="H9" s="346">
        <v>19995</v>
      </c>
      <c r="I9" s="340">
        <f t="shared" si="0"/>
        <v>169995</v>
      </c>
      <c r="J9" s="358">
        <v>50</v>
      </c>
      <c r="K9" s="381">
        <v>3399.9</v>
      </c>
      <c r="L9" s="356">
        <f t="shared" si="1"/>
        <v>399.9</v>
      </c>
      <c r="M9" s="356">
        <f t="shared" si="2"/>
        <v>3000</v>
      </c>
      <c r="N9" s="356">
        <f t="shared" si="3"/>
        <v>1199.6999999999998</v>
      </c>
      <c r="O9" s="356">
        <f t="shared" si="4"/>
        <v>18795.3</v>
      </c>
      <c r="P9" s="358">
        <v>3</v>
      </c>
      <c r="Q9" s="354">
        <f t="shared" si="5"/>
        <v>47</v>
      </c>
      <c r="R9" s="339">
        <f t="shared" si="6"/>
        <v>10199.700000000001</v>
      </c>
      <c r="S9" s="339">
        <f t="shared" si="7"/>
        <v>159795.29999999999</v>
      </c>
      <c r="T9" s="337"/>
    </row>
    <row r="10" spans="2:20">
      <c r="B10" s="378"/>
      <c r="C10" s="363" t="s">
        <v>1034</v>
      </c>
      <c r="D10" s="367">
        <v>6</v>
      </c>
      <c r="E10" s="337" t="s">
        <v>1437</v>
      </c>
      <c r="F10" s="341" t="s">
        <v>1035</v>
      </c>
      <c r="G10" s="339">
        <v>500000</v>
      </c>
      <c r="H10" s="339">
        <v>66650</v>
      </c>
      <c r="I10" s="340">
        <f t="shared" si="0"/>
        <v>566650</v>
      </c>
      <c r="J10" s="347">
        <v>50</v>
      </c>
      <c r="K10" s="379">
        <v>11333</v>
      </c>
      <c r="L10" s="356">
        <f t="shared" si="1"/>
        <v>1333</v>
      </c>
      <c r="M10" s="356">
        <f t="shared" si="2"/>
        <v>10000</v>
      </c>
      <c r="N10" s="356">
        <f t="shared" si="3"/>
        <v>33325</v>
      </c>
      <c r="O10" s="356">
        <f t="shared" si="4"/>
        <v>33325</v>
      </c>
      <c r="P10" s="347">
        <v>25</v>
      </c>
      <c r="Q10" s="354">
        <f t="shared" si="5"/>
        <v>25</v>
      </c>
      <c r="R10" s="339">
        <f t="shared" si="6"/>
        <v>283325</v>
      </c>
      <c r="S10" s="339">
        <f t="shared" si="7"/>
        <v>283325</v>
      </c>
      <c r="T10" s="341"/>
    </row>
    <row r="11" spans="2:20">
      <c r="B11" s="378"/>
      <c r="C11" s="362" t="s">
        <v>1382</v>
      </c>
      <c r="D11" s="367">
        <v>7</v>
      </c>
      <c r="E11" s="337" t="s">
        <v>1437</v>
      </c>
      <c r="F11" s="341" t="s">
        <v>1130</v>
      </c>
      <c r="G11" s="339">
        <v>330000</v>
      </c>
      <c r="H11" s="339">
        <v>43989</v>
      </c>
      <c r="I11" s="340">
        <f t="shared" si="0"/>
        <v>373989</v>
      </c>
      <c r="J11" s="347">
        <v>50</v>
      </c>
      <c r="K11" s="379">
        <v>7479.78</v>
      </c>
      <c r="L11" s="356">
        <f t="shared" si="1"/>
        <v>879.78</v>
      </c>
      <c r="M11" s="356">
        <f t="shared" si="2"/>
        <v>6600</v>
      </c>
      <c r="N11" s="356">
        <f t="shared" si="3"/>
        <v>14956.26</v>
      </c>
      <c r="O11" s="356">
        <f t="shared" si="4"/>
        <v>29032.739999999998</v>
      </c>
      <c r="P11" s="353">
        <v>17</v>
      </c>
      <c r="Q11" s="354">
        <f t="shared" si="5"/>
        <v>33</v>
      </c>
      <c r="R11" s="339">
        <f t="shared" si="6"/>
        <v>127156.26</v>
      </c>
      <c r="S11" s="339">
        <f t="shared" si="7"/>
        <v>246832.74</v>
      </c>
      <c r="T11" s="341"/>
    </row>
    <row r="12" spans="2:20">
      <c r="B12" s="378"/>
      <c r="C12" s="362" t="s">
        <v>1350</v>
      </c>
      <c r="D12" s="367">
        <v>8</v>
      </c>
      <c r="E12" s="337" t="s">
        <v>1437</v>
      </c>
      <c r="F12" s="338" t="s">
        <v>1117</v>
      </c>
      <c r="G12" s="339">
        <v>500000</v>
      </c>
      <c r="H12" s="339">
        <v>66650</v>
      </c>
      <c r="I12" s="340">
        <f t="shared" si="0"/>
        <v>566650</v>
      </c>
      <c r="J12" s="347">
        <v>50</v>
      </c>
      <c r="K12" s="379">
        <v>11333</v>
      </c>
      <c r="L12" s="356">
        <f t="shared" si="1"/>
        <v>1333</v>
      </c>
      <c r="M12" s="356">
        <f t="shared" si="2"/>
        <v>10000</v>
      </c>
      <c r="N12" s="356">
        <f t="shared" si="3"/>
        <v>22661</v>
      </c>
      <c r="O12" s="356">
        <f t="shared" si="4"/>
        <v>43989</v>
      </c>
      <c r="P12" s="352">
        <v>17</v>
      </c>
      <c r="Q12" s="354">
        <f t="shared" si="5"/>
        <v>33</v>
      </c>
      <c r="R12" s="339">
        <f t="shared" si="6"/>
        <v>192661</v>
      </c>
      <c r="S12" s="339">
        <f t="shared" si="7"/>
        <v>373989</v>
      </c>
      <c r="T12" s="341"/>
    </row>
    <row r="13" spans="2:20">
      <c r="B13" s="378"/>
      <c r="C13" s="361" t="s">
        <v>1338</v>
      </c>
      <c r="D13" s="367">
        <v>9</v>
      </c>
      <c r="E13" s="337" t="s">
        <v>1437</v>
      </c>
      <c r="F13" s="341" t="s">
        <v>438</v>
      </c>
      <c r="G13" s="339">
        <v>500000</v>
      </c>
      <c r="H13" s="339">
        <v>66650</v>
      </c>
      <c r="I13" s="340">
        <f t="shared" si="0"/>
        <v>566650</v>
      </c>
      <c r="J13" s="347">
        <v>50</v>
      </c>
      <c r="K13" s="379">
        <v>11333</v>
      </c>
      <c r="L13" s="356">
        <f t="shared" si="1"/>
        <v>1333</v>
      </c>
      <c r="M13" s="356">
        <f t="shared" si="2"/>
        <v>10000</v>
      </c>
      <c r="N13" s="356">
        <f t="shared" si="3"/>
        <v>6665</v>
      </c>
      <c r="O13" s="356">
        <f t="shared" si="4"/>
        <v>59985</v>
      </c>
      <c r="P13" s="352">
        <v>5</v>
      </c>
      <c r="Q13" s="354">
        <f t="shared" si="5"/>
        <v>45</v>
      </c>
      <c r="R13" s="339">
        <f t="shared" si="6"/>
        <v>56665</v>
      </c>
      <c r="S13" s="339">
        <f t="shared" si="7"/>
        <v>509985</v>
      </c>
      <c r="T13" s="341"/>
    </row>
    <row r="14" spans="2:20">
      <c r="B14" s="378"/>
      <c r="C14" s="337" t="s">
        <v>1413</v>
      </c>
      <c r="D14" s="367">
        <v>10</v>
      </c>
      <c r="E14" s="337" t="s">
        <v>1437</v>
      </c>
      <c r="F14" s="337" t="s">
        <v>454</v>
      </c>
      <c r="G14" s="346">
        <v>500000</v>
      </c>
      <c r="H14" s="346">
        <v>66650</v>
      </c>
      <c r="I14" s="340">
        <f t="shared" si="0"/>
        <v>566650</v>
      </c>
      <c r="J14" s="348">
        <v>50</v>
      </c>
      <c r="K14" s="380">
        <v>11333</v>
      </c>
      <c r="L14" s="356">
        <f t="shared" si="1"/>
        <v>1333</v>
      </c>
      <c r="M14" s="356">
        <f t="shared" si="2"/>
        <v>10000</v>
      </c>
      <c r="N14" s="356">
        <f t="shared" si="3"/>
        <v>3999</v>
      </c>
      <c r="O14" s="356">
        <f t="shared" si="4"/>
        <v>62651</v>
      </c>
      <c r="P14" s="348">
        <v>3</v>
      </c>
      <c r="Q14" s="354">
        <f t="shared" si="5"/>
        <v>47</v>
      </c>
      <c r="R14" s="339">
        <f t="shared" si="6"/>
        <v>33999</v>
      </c>
      <c r="S14" s="339">
        <f t="shared" si="7"/>
        <v>532651</v>
      </c>
      <c r="T14" s="337"/>
    </row>
    <row r="15" spans="2:20">
      <c r="B15" s="378"/>
      <c r="C15" s="363" t="s">
        <v>1363</v>
      </c>
      <c r="D15" s="367">
        <v>11</v>
      </c>
      <c r="E15" s="337" t="s">
        <v>1437</v>
      </c>
      <c r="F15" s="341" t="s">
        <v>1364</v>
      </c>
      <c r="G15" s="339">
        <v>450000</v>
      </c>
      <c r="H15" s="339">
        <v>59985</v>
      </c>
      <c r="I15" s="340">
        <f t="shared" si="0"/>
        <v>509985</v>
      </c>
      <c r="J15" s="347">
        <v>50</v>
      </c>
      <c r="K15" s="379">
        <v>10199.700000000001</v>
      </c>
      <c r="L15" s="356">
        <f t="shared" si="1"/>
        <v>1199.7</v>
      </c>
      <c r="M15" s="356">
        <f t="shared" si="2"/>
        <v>9000</v>
      </c>
      <c r="N15" s="356">
        <f t="shared" si="3"/>
        <v>9597.6</v>
      </c>
      <c r="O15" s="356">
        <f t="shared" si="4"/>
        <v>50387.4</v>
      </c>
      <c r="P15" s="353">
        <v>8</v>
      </c>
      <c r="Q15" s="354">
        <f t="shared" si="5"/>
        <v>42</v>
      </c>
      <c r="R15" s="339">
        <f t="shared" si="6"/>
        <v>81597.600000000006</v>
      </c>
      <c r="S15" s="339">
        <f t="shared" si="7"/>
        <v>428387.4</v>
      </c>
      <c r="T15" s="341"/>
    </row>
    <row r="16" spans="2:20">
      <c r="B16" s="378"/>
      <c r="C16" s="361" t="s">
        <v>1343</v>
      </c>
      <c r="D16" s="367">
        <v>12</v>
      </c>
      <c r="E16" s="337" t="s">
        <v>1437</v>
      </c>
      <c r="F16" s="341" t="s">
        <v>451</v>
      </c>
      <c r="G16" s="339">
        <v>500000</v>
      </c>
      <c r="H16" s="339">
        <v>66650</v>
      </c>
      <c r="I16" s="340">
        <f t="shared" si="0"/>
        <v>566650</v>
      </c>
      <c r="J16" s="347">
        <v>50</v>
      </c>
      <c r="K16" s="379">
        <v>11333</v>
      </c>
      <c r="L16" s="356">
        <f t="shared" si="1"/>
        <v>1333</v>
      </c>
      <c r="M16" s="356">
        <f t="shared" si="2"/>
        <v>10000</v>
      </c>
      <c r="N16" s="356">
        <f t="shared" si="3"/>
        <v>19995</v>
      </c>
      <c r="O16" s="356">
        <f t="shared" si="4"/>
        <v>46655</v>
      </c>
      <c r="P16" s="353">
        <v>15</v>
      </c>
      <c r="Q16" s="354">
        <f t="shared" si="5"/>
        <v>35</v>
      </c>
      <c r="R16" s="339">
        <f t="shared" si="6"/>
        <v>169995</v>
      </c>
      <c r="S16" s="339">
        <f t="shared" si="7"/>
        <v>396655</v>
      </c>
      <c r="T16" s="341"/>
    </row>
    <row r="17" spans="2:20">
      <c r="B17" s="378"/>
      <c r="C17" s="363" t="s">
        <v>1107</v>
      </c>
      <c r="D17" s="367">
        <v>13</v>
      </c>
      <c r="E17" s="337" t="s">
        <v>1437</v>
      </c>
      <c r="F17" s="341" t="s">
        <v>734</v>
      </c>
      <c r="G17" s="339">
        <v>500000</v>
      </c>
      <c r="H17" s="339">
        <v>66650</v>
      </c>
      <c r="I17" s="340">
        <f t="shared" si="0"/>
        <v>566650</v>
      </c>
      <c r="J17" s="347">
        <v>50</v>
      </c>
      <c r="K17" s="379">
        <v>11333</v>
      </c>
      <c r="L17" s="356">
        <f t="shared" si="1"/>
        <v>1333</v>
      </c>
      <c r="M17" s="356">
        <f t="shared" si="2"/>
        <v>10000</v>
      </c>
      <c r="N17" s="356">
        <f t="shared" si="3"/>
        <v>6665</v>
      </c>
      <c r="O17" s="356">
        <f t="shared" si="4"/>
        <v>59985</v>
      </c>
      <c r="P17" s="353">
        <v>5</v>
      </c>
      <c r="Q17" s="354">
        <f t="shared" si="5"/>
        <v>45</v>
      </c>
      <c r="R17" s="339">
        <f t="shared" si="6"/>
        <v>56665</v>
      </c>
      <c r="S17" s="339">
        <f t="shared" si="7"/>
        <v>509985</v>
      </c>
      <c r="T17" s="341"/>
    </row>
    <row r="18" spans="2:20">
      <c r="B18" s="378"/>
      <c r="C18" s="337" t="s">
        <v>984</v>
      </c>
      <c r="D18" s="367">
        <v>14</v>
      </c>
      <c r="E18" s="337" t="s">
        <v>1437</v>
      </c>
      <c r="F18" s="337" t="s">
        <v>287</v>
      </c>
      <c r="G18" s="346">
        <v>450000</v>
      </c>
      <c r="H18" s="346">
        <v>59985</v>
      </c>
      <c r="I18" s="340">
        <f t="shared" si="0"/>
        <v>509985</v>
      </c>
      <c r="J18" s="358">
        <v>50</v>
      </c>
      <c r="K18" s="381">
        <v>10199.700000000001</v>
      </c>
      <c r="L18" s="356">
        <f t="shared" si="1"/>
        <v>1199.7</v>
      </c>
      <c r="M18" s="356">
        <f t="shared" si="2"/>
        <v>9000</v>
      </c>
      <c r="N18" s="356">
        <f t="shared" si="3"/>
        <v>3599.1000000000004</v>
      </c>
      <c r="O18" s="356">
        <f t="shared" si="4"/>
        <v>56385.9</v>
      </c>
      <c r="P18" s="358">
        <v>3</v>
      </c>
      <c r="Q18" s="354">
        <f t="shared" si="5"/>
        <v>47</v>
      </c>
      <c r="R18" s="339">
        <f t="shared" si="6"/>
        <v>30599.100000000002</v>
      </c>
      <c r="S18" s="339">
        <f t="shared" si="7"/>
        <v>479385.9</v>
      </c>
      <c r="T18" s="337"/>
    </row>
    <row r="19" spans="2:20">
      <c r="B19" s="378"/>
      <c r="C19" s="363" t="s">
        <v>1344</v>
      </c>
      <c r="D19" s="367">
        <v>15</v>
      </c>
      <c r="E19" s="337" t="s">
        <v>1437</v>
      </c>
      <c r="F19" s="341" t="s">
        <v>1345</v>
      </c>
      <c r="G19" s="339">
        <v>500000</v>
      </c>
      <c r="H19" s="339">
        <v>66650</v>
      </c>
      <c r="I19" s="340">
        <f t="shared" si="0"/>
        <v>566650</v>
      </c>
      <c r="J19" s="347">
        <v>50</v>
      </c>
      <c r="K19" s="379">
        <v>11333</v>
      </c>
      <c r="L19" s="356">
        <f t="shared" si="1"/>
        <v>1333</v>
      </c>
      <c r="M19" s="356">
        <f t="shared" si="2"/>
        <v>10000</v>
      </c>
      <c r="N19" s="356">
        <f t="shared" si="3"/>
        <v>10664</v>
      </c>
      <c r="O19" s="356">
        <f t="shared" si="4"/>
        <v>55986</v>
      </c>
      <c r="P19" s="352">
        <v>8</v>
      </c>
      <c r="Q19" s="354">
        <f t="shared" si="5"/>
        <v>42</v>
      </c>
      <c r="R19" s="339">
        <f t="shared" si="6"/>
        <v>90664</v>
      </c>
      <c r="S19" s="339">
        <f t="shared" si="7"/>
        <v>475986</v>
      </c>
      <c r="T19" s="341"/>
    </row>
    <row r="20" spans="2:20">
      <c r="B20" s="378"/>
      <c r="C20" s="364" t="s">
        <v>1100</v>
      </c>
      <c r="D20" s="367">
        <v>16</v>
      </c>
      <c r="E20" s="337" t="s">
        <v>1437</v>
      </c>
      <c r="F20" s="341" t="s">
        <v>351</v>
      </c>
      <c r="G20" s="340">
        <v>500000</v>
      </c>
      <c r="H20" s="339">
        <v>66650</v>
      </c>
      <c r="I20" s="340">
        <f t="shared" si="0"/>
        <v>566650</v>
      </c>
      <c r="J20" s="347">
        <v>50</v>
      </c>
      <c r="K20" s="379">
        <v>11333</v>
      </c>
      <c r="L20" s="356">
        <f t="shared" si="1"/>
        <v>1333</v>
      </c>
      <c r="M20" s="356">
        <f t="shared" si="2"/>
        <v>10000</v>
      </c>
      <c r="N20" s="356">
        <f t="shared" si="3"/>
        <v>73315</v>
      </c>
      <c r="O20" s="356">
        <f t="shared" si="4"/>
        <v>-6665</v>
      </c>
      <c r="P20" s="352">
        <v>55</v>
      </c>
      <c r="Q20" s="354">
        <f t="shared" si="5"/>
        <v>-5</v>
      </c>
      <c r="R20" s="339">
        <f t="shared" si="6"/>
        <v>623315</v>
      </c>
      <c r="S20" s="339">
        <f t="shared" si="7"/>
        <v>-56665</v>
      </c>
      <c r="T20" s="341"/>
    </row>
    <row r="21" spans="2:20">
      <c r="B21" s="378"/>
      <c r="C21" s="362" t="s">
        <v>989</v>
      </c>
      <c r="D21" s="367">
        <v>17</v>
      </c>
      <c r="E21" s="337" t="s">
        <v>1437</v>
      </c>
      <c r="F21" s="338" t="s">
        <v>864</v>
      </c>
      <c r="G21" s="339">
        <v>500000</v>
      </c>
      <c r="H21" s="339">
        <v>66650</v>
      </c>
      <c r="I21" s="340">
        <f t="shared" si="0"/>
        <v>566650</v>
      </c>
      <c r="J21" s="347">
        <v>50</v>
      </c>
      <c r="K21" s="379">
        <v>11333</v>
      </c>
      <c r="L21" s="356">
        <f t="shared" si="1"/>
        <v>1333</v>
      </c>
      <c r="M21" s="356">
        <f t="shared" si="2"/>
        <v>10000</v>
      </c>
      <c r="N21" s="356">
        <f t="shared" si="3"/>
        <v>33325</v>
      </c>
      <c r="O21" s="356">
        <f t="shared" si="4"/>
        <v>33325</v>
      </c>
      <c r="P21" s="352">
        <v>25</v>
      </c>
      <c r="Q21" s="354">
        <f t="shared" si="5"/>
        <v>25</v>
      </c>
      <c r="R21" s="339">
        <f t="shared" si="6"/>
        <v>283325</v>
      </c>
      <c r="S21" s="339">
        <f t="shared" si="7"/>
        <v>283325</v>
      </c>
      <c r="T21" s="341"/>
    </row>
    <row r="22" spans="2:20">
      <c r="B22" s="378"/>
      <c r="C22" s="363" t="s">
        <v>991</v>
      </c>
      <c r="D22" s="367">
        <v>18</v>
      </c>
      <c r="E22" s="337" t="s">
        <v>1437</v>
      </c>
      <c r="F22" s="341" t="s">
        <v>992</v>
      </c>
      <c r="G22" s="339">
        <v>330000</v>
      </c>
      <c r="H22" s="339">
        <v>31672.200000000012</v>
      </c>
      <c r="I22" s="340">
        <f t="shared" si="0"/>
        <v>361672.2</v>
      </c>
      <c r="J22" s="347">
        <v>36</v>
      </c>
      <c r="K22" s="379">
        <v>10046.450000000001</v>
      </c>
      <c r="L22" s="356">
        <f t="shared" si="1"/>
        <v>633.44400000000019</v>
      </c>
      <c r="M22" s="356">
        <f t="shared" si="2"/>
        <v>6600</v>
      </c>
      <c r="N22" s="356">
        <f t="shared" si="3"/>
        <v>18369.876000000004</v>
      </c>
      <c r="O22" s="356">
        <f t="shared" si="4"/>
        <v>4434.1080000000011</v>
      </c>
      <c r="P22" s="347">
        <v>29</v>
      </c>
      <c r="Q22" s="354">
        <f t="shared" si="5"/>
        <v>7</v>
      </c>
      <c r="R22" s="339">
        <f t="shared" si="6"/>
        <v>291347.05000000005</v>
      </c>
      <c r="S22" s="339">
        <f t="shared" si="7"/>
        <v>70325.149999999965</v>
      </c>
      <c r="T22" s="341"/>
    </row>
    <row r="23" spans="2:20">
      <c r="B23" s="378"/>
      <c r="C23" s="363" t="s">
        <v>1352</v>
      </c>
      <c r="D23" s="367">
        <v>19</v>
      </c>
      <c r="E23" s="337" t="s">
        <v>1437</v>
      </c>
      <c r="F23" s="341" t="s">
        <v>1353</v>
      </c>
      <c r="G23" s="339">
        <v>500000</v>
      </c>
      <c r="H23" s="339">
        <v>66650</v>
      </c>
      <c r="I23" s="340">
        <f t="shared" si="0"/>
        <v>566650</v>
      </c>
      <c r="J23" s="347">
        <v>50</v>
      </c>
      <c r="K23" s="379">
        <v>11333</v>
      </c>
      <c r="L23" s="356">
        <f t="shared" si="1"/>
        <v>1333</v>
      </c>
      <c r="M23" s="356">
        <f t="shared" si="2"/>
        <v>10000</v>
      </c>
      <c r="N23" s="356">
        <f t="shared" si="3"/>
        <v>6665</v>
      </c>
      <c r="O23" s="356">
        <f t="shared" si="4"/>
        <v>59985</v>
      </c>
      <c r="P23" s="347">
        <v>5</v>
      </c>
      <c r="Q23" s="354">
        <f t="shared" si="5"/>
        <v>45</v>
      </c>
      <c r="R23" s="339">
        <f t="shared" si="6"/>
        <v>56665</v>
      </c>
      <c r="S23" s="339">
        <f t="shared" si="7"/>
        <v>509985</v>
      </c>
      <c r="T23" s="341"/>
    </row>
    <row r="24" spans="2:20">
      <c r="B24" s="378"/>
      <c r="C24" s="362" t="s">
        <v>1141</v>
      </c>
      <c r="D24" s="367">
        <v>20</v>
      </c>
      <c r="E24" s="337" t="s">
        <v>1437</v>
      </c>
      <c r="F24" s="338" t="s">
        <v>1142</v>
      </c>
      <c r="G24" s="339">
        <v>330000</v>
      </c>
      <c r="H24" s="339">
        <v>43989</v>
      </c>
      <c r="I24" s="340">
        <f t="shared" si="0"/>
        <v>373989</v>
      </c>
      <c r="J24" s="347">
        <v>50</v>
      </c>
      <c r="K24" s="379">
        <v>7479.78</v>
      </c>
      <c r="L24" s="356">
        <f t="shared" si="1"/>
        <v>879.78</v>
      </c>
      <c r="M24" s="356">
        <f t="shared" si="2"/>
        <v>6600</v>
      </c>
      <c r="N24" s="356">
        <f t="shared" si="3"/>
        <v>15836.039999999999</v>
      </c>
      <c r="O24" s="356">
        <f t="shared" si="4"/>
        <v>28152.959999999999</v>
      </c>
      <c r="P24" s="352">
        <v>18</v>
      </c>
      <c r="Q24" s="354">
        <f t="shared" si="5"/>
        <v>32</v>
      </c>
      <c r="R24" s="339">
        <f t="shared" si="6"/>
        <v>134636.04</v>
      </c>
      <c r="S24" s="339">
        <f t="shared" si="7"/>
        <v>239352.95999999999</v>
      </c>
      <c r="T24" s="341"/>
    </row>
    <row r="25" spans="2:20">
      <c r="B25" s="378"/>
      <c r="C25" s="364" t="s">
        <v>966</v>
      </c>
      <c r="D25" s="367">
        <v>21</v>
      </c>
      <c r="E25" s="337" t="s">
        <v>1437</v>
      </c>
      <c r="F25" s="337" t="s">
        <v>29</v>
      </c>
      <c r="G25" s="346">
        <v>450000</v>
      </c>
      <c r="H25" s="346">
        <v>59985</v>
      </c>
      <c r="I25" s="340">
        <f t="shared" si="0"/>
        <v>509985</v>
      </c>
      <c r="J25" s="348">
        <v>50</v>
      </c>
      <c r="K25" s="380">
        <v>10199.700000000001</v>
      </c>
      <c r="L25" s="356">
        <f t="shared" si="1"/>
        <v>1199.7</v>
      </c>
      <c r="M25" s="356">
        <f t="shared" si="2"/>
        <v>9000</v>
      </c>
      <c r="N25" s="356">
        <f t="shared" si="3"/>
        <v>50387.4</v>
      </c>
      <c r="O25" s="356">
        <f t="shared" si="4"/>
        <v>9597.6</v>
      </c>
      <c r="P25" s="348">
        <v>42</v>
      </c>
      <c r="Q25" s="354">
        <f t="shared" si="5"/>
        <v>8</v>
      </c>
      <c r="R25" s="339">
        <f t="shared" si="6"/>
        <v>428387.4</v>
      </c>
      <c r="S25" s="339">
        <f t="shared" si="7"/>
        <v>81597.599999999977</v>
      </c>
      <c r="T25" s="337"/>
    </row>
    <row r="26" spans="2:20">
      <c r="B26" s="378"/>
      <c r="C26" s="362" t="s">
        <v>993</v>
      </c>
      <c r="D26" s="367">
        <v>22</v>
      </c>
      <c r="E26" s="337" t="s">
        <v>1437</v>
      </c>
      <c r="F26" s="337" t="s">
        <v>994</v>
      </c>
      <c r="G26" s="346">
        <v>150000</v>
      </c>
      <c r="H26" s="346">
        <v>19995</v>
      </c>
      <c r="I26" s="340">
        <f t="shared" si="0"/>
        <v>169995</v>
      </c>
      <c r="J26" s="348">
        <v>50</v>
      </c>
      <c r="K26" s="380">
        <v>3399.9</v>
      </c>
      <c r="L26" s="356">
        <f t="shared" si="1"/>
        <v>399.9</v>
      </c>
      <c r="M26" s="356">
        <f t="shared" si="2"/>
        <v>3000</v>
      </c>
      <c r="N26" s="356">
        <f t="shared" si="3"/>
        <v>9997.5</v>
      </c>
      <c r="O26" s="356">
        <f t="shared" si="4"/>
        <v>9997.5</v>
      </c>
      <c r="P26" s="348">
        <v>25</v>
      </c>
      <c r="Q26" s="354">
        <f t="shared" si="5"/>
        <v>25</v>
      </c>
      <c r="R26" s="339">
        <f t="shared" si="6"/>
        <v>84997.5</v>
      </c>
      <c r="S26" s="339">
        <f t="shared" si="7"/>
        <v>84997.5</v>
      </c>
      <c r="T26" s="337"/>
    </row>
    <row r="27" spans="2:20">
      <c r="B27" s="378"/>
      <c r="C27" s="364" t="s">
        <v>1099</v>
      </c>
      <c r="D27" s="367">
        <v>23</v>
      </c>
      <c r="E27" s="337" t="s">
        <v>1437</v>
      </c>
      <c r="F27" s="337" t="s">
        <v>487</v>
      </c>
      <c r="G27" s="346">
        <v>500000</v>
      </c>
      <c r="H27" s="346">
        <v>66650</v>
      </c>
      <c r="I27" s="340">
        <f t="shared" si="0"/>
        <v>566650</v>
      </c>
      <c r="J27" s="348">
        <v>50</v>
      </c>
      <c r="K27" s="380">
        <v>11333</v>
      </c>
      <c r="L27" s="356">
        <f t="shared" si="1"/>
        <v>1333</v>
      </c>
      <c r="M27" s="356">
        <f t="shared" si="2"/>
        <v>10000</v>
      </c>
      <c r="N27" s="356">
        <f t="shared" si="3"/>
        <v>39990</v>
      </c>
      <c r="O27" s="356">
        <f t="shared" si="4"/>
        <v>26660</v>
      </c>
      <c r="P27" s="348">
        <v>30</v>
      </c>
      <c r="Q27" s="354">
        <f t="shared" si="5"/>
        <v>20</v>
      </c>
      <c r="R27" s="339">
        <f t="shared" si="6"/>
        <v>339990</v>
      </c>
      <c r="S27" s="339">
        <f t="shared" si="7"/>
        <v>226660</v>
      </c>
      <c r="T27" s="337"/>
    </row>
    <row r="28" spans="2:20">
      <c r="B28" s="378"/>
      <c r="C28" s="364" t="s">
        <v>1069</v>
      </c>
      <c r="D28" s="367">
        <v>24</v>
      </c>
      <c r="E28" s="337" t="s">
        <v>1437</v>
      </c>
      <c r="F28" s="337" t="s">
        <v>358</v>
      </c>
      <c r="G28" s="346">
        <v>500000</v>
      </c>
      <c r="H28" s="346">
        <v>66650</v>
      </c>
      <c r="I28" s="340">
        <f t="shared" si="0"/>
        <v>566650</v>
      </c>
      <c r="J28" s="348">
        <v>50</v>
      </c>
      <c r="K28" s="380">
        <v>11333</v>
      </c>
      <c r="L28" s="356">
        <f t="shared" si="1"/>
        <v>1333</v>
      </c>
      <c r="M28" s="356">
        <f t="shared" si="2"/>
        <v>10000</v>
      </c>
      <c r="N28" s="356">
        <f t="shared" si="3"/>
        <v>55986</v>
      </c>
      <c r="O28" s="356">
        <f t="shared" si="4"/>
        <v>10664</v>
      </c>
      <c r="P28" s="348">
        <v>42</v>
      </c>
      <c r="Q28" s="354">
        <f t="shared" si="5"/>
        <v>8</v>
      </c>
      <c r="R28" s="339">
        <f t="shared" si="6"/>
        <v>475986</v>
      </c>
      <c r="S28" s="339">
        <f t="shared" si="7"/>
        <v>90664</v>
      </c>
      <c r="T28" s="337"/>
    </row>
    <row r="29" spans="2:20">
      <c r="B29" s="378"/>
      <c r="C29" s="364" t="s">
        <v>1106</v>
      </c>
      <c r="D29" s="367">
        <v>25</v>
      </c>
      <c r="E29" s="337" t="s">
        <v>1437</v>
      </c>
      <c r="F29" s="337" t="s">
        <v>314</v>
      </c>
      <c r="G29" s="346">
        <v>500000</v>
      </c>
      <c r="H29" s="346">
        <v>66650</v>
      </c>
      <c r="I29" s="340">
        <f t="shared" si="0"/>
        <v>566650</v>
      </c>
      <c r="J29" s="348">
        <v>50</v>
      </c>
      <c r="K29" s="380">
        <v>11333</v>
      </c>
      <c r="L29" s="356">
        <f t="shared" si="1"/>
        <v>1333</v>
      </c>
      <c r="M29" s="356">
        <f t="shared" si="2"/>
        <v>10000</v>
      </c>
      <c r="N29" s="356">
        <f t="shared" si="3"/>
        <v>55986</v>
      </c>
      <c r="O29" s="356">
        <f t="shared" si="4"/>
        <v>10664</v>
      </c>
      <c r="P29" s="348">
        <v>42</v>
      </c>
      <c r="Q29" s="354">
        <f t="shared" si="5"/>
        <v>8</v>
      </c>
      <c r="R29" s="339">
        <f t="shared" si="6"/>
        <v>475986</v>
      </c>
      <c r="S29" s="339">
        <f t="shared" si="7"/>
        <v>90664</v>
      </c>
      <c r="T29" s="337"/>
    </row>
    <row r="30" spans="2:20">
      <c r="B30" s="378"/>
      <c r="C30" s="364" t="s">
        <v>1046</v>
      </c>
      <c r="D30" s="367">
        <v>26</v>
      </c>
      <c r="E30" s="337" t="s">
        <v>1437</v>
      </c>
      <c r="F30" s="337" t="s">
        <v>349</v>
      </c>
      <c r="G30" s="346">
        <v>500000</v>
      </c>
      <c r="H30" s="346">
        <v>66650</v>
      </c>
      <c r="I30" s="340">
        <f t="shared" si="0"/>
        <v>566650</v>
      </c>
      <c r="J30" s="348">
        <v>50</v>
      </c>
      <c r="K30" s="380">
        <v>11333</v>
      </c>
      <c r="L30" s="356">
        <f t="shared" si="1"/>
        <v>1333</v>
      </c>
      <c r="M30" s="356">
        <f t="shared" si="2"/>
        <v>10000</v>
      </c>
      <c r="N30" s="356">
        <f t="shared" si="3"/>
        <v>45322</v>
      </c>
      <c r="O30" s="356">
        <f t="shared" si="4"/>
        <v>21328</v>
      </c>
      <c r="P30" s="348">
        <v>34</v>
      </c>
      <c r="Q30" s="354">
        <f t="shared" si="5"/>
        <v>16</v>
      </c>
      <c r="R30" s="339">
        <f t="shared" si="6"/>
        <v>385322</v>
      </c>
      <c r="S30" s="339">
        <f t="shared" si="7"/>
        <v>181328</v>
      </c>
      <c r="T30" s="337"/>
    </row>
    <row r="31" spans="2:20" ht="22.5">
      <c r="B31" s="378"/>
      <c r="C31" s="337" t="s">
        <v>1440</v>
      </c>
      <c r="D31" s="367">
        <v>27</v>
      </c>
      <c r="E31" s="337" t="s">
        <v>1437</v>
      </c>
      <c r="F31" s="337" t="s">
        <v>1441</v>
      </c>
      <c r="G31" s="346">
        <v>500000</v>
      </c>
      <c r="H31" s="346">
        <v>66650</v>
      </c>
      <c r="I31" s="340">
        <f t="shared" si="0"/>
        <v>566650</v>
      </c>
      <c r="J31" s="348">
        <v>50</v>
      </c>
      <c r="K31" s="381">
        <v>11333</v>
      </c>
      <c r="L31" s="356">
        <f t="shared" si="1"/>
        <v>1333</v>
      </c>
      <c r="M31" s="356">
        <f t="shared" si="2"/>
        <v>10000</v>
      </c>
      <c r="N31" s="356">
        <f t="shared" si="3"/>
        <v>55986</v>
      </c>
      <c r="O31" s="356">
        <f t="shared" si="4"/>
        <v>10664</v>
      </c>
      <c r="P31" s="358">
        <v>42</v>
      </c>
      <c r="Q31" s="354">
        <f t="shared" si="5"/>
        <v>8</v>
      </c>
      <c r="R31" s="339">
        <f t="shared" si="6"/>
        <v>475986</v>
      </c>
      <c r="S31" s="339">
        <f t="shared" si="7"/>
        <v>90664</v>
      </c>
      <c r="T31" s="389" t="s">
        <v>1444</v>
      </c>
    </row>
    <row r="32" spans="2:20">
      <c r="B32" s="378"/>
      <c r="C32" s="364" t="s">
        <v>1009</v>
      </c>
      <c r="D32" s="367">
        <v>28</v>
      </c>
      <c r="E32" s="337" t="s">
        <v>1437</v>
      </c>
      <c r="F32" s="337" t="s">
        <v>332</v>
      </c>
      <c r="G32" s="346">
        <v>500000</v>
      </c>
      <c r="H32" s="346">
        <v>66650</v>
      </c>
      <c r="I32" s="340">
        <f t="shared" si="0"/>
        <v>566650</v>
      </c>
      <c r="J32" s="348">
        <v>50</v>
      </c>
      <c r="K32" s="380">
        <v>11333</v>
      </c>
      <c r="L32" s="356">
        <f t="shared" si="1"/>
        <v>1333</v>
      </c>
      <c r="M32" s="356">
        <f t="shared" si="2"/>
        <v>10000</v>
      </c>
      <c r="N32" s="356">
        <f t="shared" si="3"/>
        <v>55986</v>
      </c>
      <c r="O32" s="356">
        <f t="shared" si="4"/>
        <v>10664</v>
      </c>
      <c r="P32" s="348">
        <v>42</v>
      </c>
      <c r="Q32" s="354">
        <f t="shared" si="5"/>
        <v>8</v>
      </c>
      <c r="R32" s="339">
        <f t="shared" si="6"/>
        <v>475986</v>
      </c>
      <c r="S32" s="339">
        <f t="shared" si="7"/>
        <v>90664</v>
      </c>
      <c r="T32" s="337"/>
    </row>
    <row r="33" spans="2:20">
      <c r="B33" s="378"/>
      <c r="C33" s="361" t="s">
        <v>1342</v>
      </c>
      <c r="D33" s="367">
        <v>29</v>
      </c>
      <c r="E33" s="337" t="s">
        <v>1437</v>
      </c>
      <c r="F33" s="337" t="s">
        <v>1290</v>
      </c>
      <c r="G33" s="346">
        <v>500000</v>
      </c>
      <c r="H33" s="346">
        <v>66650</v>
      </c>
      <c r="I33" s="340">
        <f t="shared" si="0"/>
        <v>566650</v>
      </c>
      <c r="J33" s="348">
        <v>50</v>
      </c>
      <c r="K33" s="380">
        <v>11333</v>
      </c>
      <c r="L33" s="356">
        <f t="shared" si="1"/>
        <v>1333</v>
      </c>
      <c r="M33" s="356">
        <f t="shared" si="2"/>
        <v>10000</v>
      </c>
      <c r="N33" s="356">
        <f t="shared" si="3"/>
        <v>19995</v>
      </c>
      <c r="O33" s="356">
        <f t="shared" si="4"/>
        <v>46655</v>
      </c>
      <c r="P33" s="348">
        <v>15</v>
      </c>
      <c r="Q33" s="354">
        <f t="shared" si="5"/>
        <v>35</v>
      </c>
      <c r="R33" s="339">
        <f t="shared" si="6"/>
        <v>169995</v>
      </c>
      <c r="S33" s="339">
        <f t="shared" si="7"/>
        <v>396655</v>
      </c>
      <c r="T33" s="337"/>
    </row>
    <row r="34" spans="2:20">
      <c r="B34" s="378"/>
      <c r="C34" s="364" t="s">
        <v>995</v>
      </c>
      <c r="D34" s="367">
        <v>30</v>
      </c>
      <c r="E34" s="337" t="s">
        <v>1437</v>
      </c>
      <c r="F34" s="337" t="s">
        <v>339</v>
      </c>
      <c r="G34" s="346">
        <v>500000</v>
      </c>
      <c r="H34" s="346">
        <v>66650</v>
      </c>
      <c r="I34" s="340">
        <f t="shared" si="0"/>
        <v>566650</v>
      </c>
      <c r="J34" s="348">
        <v>50</v>
      </c>
      <c r="K34" s="380">
        <v>11333</v>
      </c>
      <c r="L34" s="356">
        <f t="shared" si="1"/>
        <v>1333</v>
      </c>
      <c r="M34" s="356">
        <f t="shared" si="2"/>
        <v>10000</v>
      </c>
      <c r="N34" s="356">
        <f t="shared" si="3"/>
        <v>55986</v>
      </c>
      <c r="O34" s="356">
        <f t="shared" si="4"/>
        <v>10664</v>
      </c>
      <c r="P34" s="348">
        <v>42</v>
      </c>
      <c r="Q34" s="354">
        <f t="shared" si="5"/>
        <v>8</v>
      </c>
      <c r="R34" s="339">
        <f t="shared" si="6"/>
        <v>475986</v>
      </c>
      <c r="S34" s="339">
        <f t="shared" si="7"/>
        <v>90664</v>
      </c>
      <c r="T34" s="337"/>
    </row>
    <row r="35" spans="2:20">
      <c r="B35" s="378"/>
      <c r="C35" s="362" t="s">
        <v>1366</v>
      </c>
      <c r="D35" s="367">
        <v>31</v>
      </c>
      <c r="E35" s="337" t="s">
        <v>1437</v>
      </c>
      <c r="F35" s="337" t="s">
        <v>1138</v>
      </c>
      <c r="G35" s="346">
        <v>450000</v>
      </c>
      <c r="H35" s="346">
        <v>59985</v>
      </c>
      <c r="I35" s="340">
        <f t="shared" si="0"/>
        <v>509985</v>
      </c>
      <c r="J35" s="348">
        <v>50</v>
      </c>
      <c r="K35" s="380">
        <v>10199.700000000001</v>
      </c>
      <c r="L35" s="356">
        <f t="shared" si="1"/>
        <v>1199.7</v>
      </c>
      <c r="M35" s="356">
        <f t="shared" si="2"/>
        <v>9000</v>
      </c>
      <c r="N35" s="356">
        <f t="shared" si="3"/>
        <v>20394.900000000001</v>
      </c>
      <c r="O35" s="356">
        <f t="shared" si="4"/>
        <v>39590.1</v>
      </c>
      <c r="P35" s="348">
        <v>17</v>
      </c>
      <c r="Q35" s="354">
        <f t="shared" si="5"/>
        <v>33</v>
      </c>
      <c r="R35" s="339">
        <f t="shared" si="6"/>
        <v>173394.90000000002</v>
      </c>
      <c r="S35" s="339">
        <f t="shared" si="7"/>
        <v>336590.1</v>
      </c>
      <c r="T35" s="337"/>
    </row>
    <row r="36" spans="2:20">
      <c r="B36" s="378"/>
      <c r="C36" s="364" t="s">
        <v>998</v>
      </c>
      <c r="D36" s="367">
        <v>32</v>
      </c>
      <c r="E36" s="337" t="s">
        <v>1437</v>
      </c>
      <c r="F36" s="337" t="s">
        <v>363</v>
      </c>
      <c r="G36" s="346">
        <v>450000</v>
      </c>
      <c r="H36" s="346">
        <v>59985</v>
      </c>
      <c r="I36" s="340">
        <f t="shared" si="0"/>
        <v>509985</v>
      </c>
      <c r="J36" s="348">
        <v>50</v>
      </c>
      <c r="K36" s="380">
        <v>10199.700000000001</v>
      </c>
      <c r="L36" s="356">
        <f t="shared" si="1"/>
        <v>1199.7</v>
      </c>
      <c r="M36" s="356">
        <f t="shared" si="2"/>
        <v>9000</v>
      </c>
      <c r="N36" s="356">
        <f t="shared" si="3"/>
        <v>40789.800000000003</v>
      </c>
      <c r="O36" s="356">
        <f t="shared" si="4"/>
        <v>19195.2</v>
      </c>
      <c r="P36" s="348">
        <v>34</v>
      </c>
      <c r="Q36" s="354">
        <f t="shared" si="5"/>
        <v>16</v>
      </c>
      <c r="R36" s="339">
        <f t="shared" si="6"/>
        <v>346789.80000000005</v>
      </c>
      <c r="S36" s="339">
        <f t="shared" si="7"/>
        <v>163195.19999999995</v>
      </c>
      <c r="T36" s="337"/>
    </row>
    <row r="37" spans="2:20">
      <c r="B37" s="378"/>
      <c r="C37" s="337" t="s">
        <v>1079</v>
      </c>
      <c r="D37" s="367">
        <v>33</v>
      </c>
      <c r="E37" s="337" t="s">
        <v>1437</v>
      </c>
      <c r="F37" s="337" t="s">
        <v>302</v>
      </c>
      <c r="G37" s="346">
        <v>500000</v>
      </c>
      <c r="H37" s="346">
        <v>31992</v>
      </c>
      <c r="I37" s="340">
        <f t="shared" ref="I37:I68" si="8">SUM(G37:H37)</f>
        <v>531992</v>
      </c>
      <c r="J37" s="348">
        <v>24</v>
      </c>
      <c r="K37" s="380">
        <v>22166.34</v>
      </c>
      <c r="L37" s="356">
        <f>H37/24</f>
        <v>1333</v>
      </c>
      <c r="M37" s="356">
        <f t="shared" ref="M37:M68" si="9">G37/50</f>
        <v>10000</v>
      </c>
      <c r="N37" s="356">
        <f t="shared" ref="N37:N68" si="10">L37*P37</f>
        <v>3999</v>
      </c>
      <c r="O37" s="356">
        <f t="shared" ref="O37:O68" si="11">L37*Q37</f>
        <v>27993</v>
      </c>
      <c r="P37" s="348">
        <v>3</v>
      </c>
      <c r="Q37" s="354">
        <f t="shared" ref="Q37:Q68" si="12">J37-P37</f>
        <v>21</v>
      </c>
      <c r="R37" s="339">
        <f t="shared" ref="R37:R68" si="13">K37*P37</f>
        <v>66499.02</v>
      </c>
      <c r="S37" s="339">
        <f t="shared" ref="S37:S68" si="14">I37-R37</f>
        <v>465492.98</v>
      </c>
      <c r="T37" s="337"/>
    </row>
    <row r="38" spans="2:20">
      <c r="B38" s="378"/>
      <c r="C38" s="361" t="s">
        <v>1320</v>
      </c>
      <c r="D38" s="367">
        <v>34</v>
      </c>
      <c r="E38" s="337" t="s">
        <v>1437</v>
      </c>
      <c r="F38" s="337" t="s">
        <v>464</v>
      </c>
      <c r="G38" s="346">
        <v>500000</v>
      </c>
      <c r="H38" s="346">
        <v>66650</v>
      </c>
      <c r="I38" s="340">
        <f t="shared" si="8"/>
        <v>566650</v>
      </c>
      <c r="J38" s="348">
        <v>40</v>
      </c>
      <c r="K38" s="380">
        <v>13833</v>
      </c>
      <c r="L38" s="356">
        <f t="shared" ref="L38:L47" si="15">H38/50</f>
        <v>1333</v>
      </c>
      <c r="M38" s="356">
        <f t="shared" si="9"/>
        <v>10000</v>
      </c>
      <c r="N38" s="356">
        <f t="shared" si="10"/>
        <v>6665</v>
      </c>
      <c r="O38" s="356">
        <f t="shared" si="11"/>
        <v>46655</v>
      </c>
      <c r="P38" s="348">
        <v>5</v>
      </c>
      <c r="Q38" s="354">
        <f t="shared" si="12"/>
        <v>35</v>
      </c>
      <c r="R38" s="339">
        <f t="shared" si="13"/>
        <v>69165</v>
      </c>
      <c r="S38" s="339">
        <f t="shared" si="14"/>
        <v>497485</v>
      </c>
      <c r="T38" s="337"/>
    </row>
    <row r="39" spans="2:20">
      <c r="B39" s="378"/>
      <c r="C39" s="363" t="s">
        <v>1348</v>
      </c>
      <c r="D39" s="367">
        <v>35</v>
      </c>
      <c r="E39" s="337" t="s">
        <v>1437</v>
      </c>
      <c r="F39" s="337" t="s">
        <v>1349</v>
      </c>
      <c r="G39" s="346">
        <v>500000</v>
      </c>
      <c r="H39" s="346">
        <v>66650</v>
      </c>
      <c r="I39" s="340">
        <f t="shared" si="8"/>
        <v>566650</v>
      </c>
      <c r="J39" s="348">
        <v>50</v>
      </c>
      <c r="K39" s="380">
        <v>11333</v>
      </c>
      <c r="L39" s="356">
        <f t="shared" si="15"/>
        <v>1333</v>
      </c>
      <c r="M39" s="356">
        <f t="shared" si="9"/>
        <v>10000</v>
      </c>
      <c r="N39" s="356">
        <f t="shared" si="10"/>
        <v>10664</v>
      </c>
      <c r="O39" s="356">
        <f t="shared" si="11"/>
        <v>55986</v>
      </c>
      <c r="P39" s="348">
        <v>8</v>
      </c>
      <c r="Q39" s="354">
        <f t="shared" si="12"/>
        <v>42</v>
      </c>
      <c r="R39" s="339">
        <f t="shared" si="13"/>
        <v>90664</v>
      </c>
      <c r="S39" s="339">
        <f t="shared" si="14"/>
        <v>475986</v>
      </c>
      <c r="T39" s="337"/>
    </row>
    <row r="40" spans="2:20">
      <c r="B40" s="378"/>
      <c r="C40" s="362" t="s">
        <v>1012</v>
      </c>
      <c r="D40" s="367">
        <v>36</v>
      </c>
      <c r="E40" s="337" t="s">
        <v>1437</v>
      </c>
      <c r="F40" s="337" t="s">
        <v>852</v>
      </c>
      <c r="G40" s="346">
        <v>330000</v>
      </c>
      <c r="H40" s="346">
        <v>43989</v>
      </c>
      <c r="I40" s="340">
        <f t="shared" si="8"/>
        <v>373989</v>
      </c>
      <c r="J40" s="348">
        <v>50</v>
      </c>
      <c r="K40" s="380">
        <v>7479.78</v>
      </c>
      <c r="L40" s="356">
        <f t="shared" si="15"/>
        <v>879.78</v>
      </c>
      <c r="M40" s="356">
        <f t="shared" si="9"/>
        <v>6600</v>
      </c>
      <c r="N40" s="356">
        <f t="shared" si="10"/>
        <v>21994.5</v>
      </c>
      <c r="O40" s="356">
        <f t="shared" si="11"/>
        <v>21994.5</v>
      </c>
      <c r="P40" s="348">
        <v>25</v>
      </c>
      <c r="Q40" s="354">
        <f t="shared" si="12"/>
        <v>25</v>
      </c>
      <c r="R40" s="339">
        <f t="shared" si="13"/>
        <v>186994.5</v>
      </c>
      <c r="S40" s="339">
        <f t="shared" si="14"/>
        <v>186994.5</v>
      </c>
      <c r="T40" s="337"/>
    </row>
    <row r="41" spans="2:20">
      <c r="B41" s="378"/>
      <c r="C41" s="363" t="s">
        <v>1065</v>
      </c>
      <c r="D41" s="367">
        <v>37</v>
      </c>
      <c r="E41" s="337" t="s">
        <v>1437</v>
      </c>
      <c r="F41" s="337" t="s">
        <v>1066</v>
      </c>
      <c r="G41" s="346">
        <v>330000</v>
      </c>
      <c r="H41" s="346">
        <v>43989</v>
      </c>
      <c r="I41" s="340">
        <f t="shared" si="8"/>
        <v>373989</v>
      </c>
      <c r="J41" s="348">
        <v>50</v>
      </c>
      <c r="K41" s="380">
        <v>7479.78</v>
      </c>
      <c r="L41" s="356">
        <f t="shared" si="15"/>
        <v>879.78</v>
      </c>
      <c r="M41" s="356">
        <f t="shared" si="9"/>
        <v>6600</v>
      </c>
      <c r="N41" s="356">
        <f t="shared" si="10"/>
        <v>19355.16</v>
      </c>
      <c r="O41" s="356">
        <f t="shared" si="11"/>
        <v>24633.84</v>
      </c>
      <c r="P41" s="348">
        <v>22</v>
      </c>
      <c r="Q41" s="354">
        <f t="shared" si="12"/>
        <v>28</v>
      </c>
      <c r="R41" s="339">
        <f t="shared" si="13"/>
        <v>164555.16</v>
      </c>
      <c r="S41" s="339">
        <f t="shared" si="14"/>
        <v>209433.84</v>
      </c>
      <c r="T41" s="337"/>
    </row>
    <row r="42" spans="2:20">
      <c r="B42" s="378"/>
      <c r="C42" s="364" t="s">
        <v>1029</v>
      </c>
      <c r="D42" s="367">
        <v>38</v>
      </c>
      <c r="E42" s="337" t="s">
        <v>1437</v>
      </c>
      <c r="F42" s="337" t="s">
        <v>1030</v>
      </c>
      <c r="G42" s="346">
        <v>450000</v>
      </c>
      <c r="H42" s="346">
        <v>59985</v>
      </c>
      <c r="I42" s="340">
        <f t="shared" si="8"/>
        <v>509985</v>
      </c>
      <c r="J42" s="348">
        <v>50</v>
      </c>
      <c r="K42" s="380">
        <v>10199.700000000001</v>
      </c>
      <c r="L42" s="356">
        <f t="shared" si="15"/>
        <v>1199.7</v>
      </c>
      <c r="M42" s="356">
        <f t="shared" si="9"/>
        <v>9000</v>
      </c>
      <c r="N42" s="356">
        <f t="shared" si="10"/>
        <v>26393.4</v>
      </c>
      <c r="O42" s="356">
        <f t="shared" si="11"/>
        <v>33591.599999999999</v>
      </c>
      <c r="P42" s="348">
        <v>22</v>
      </c>
      <c r="Q42" s="354">
        <f t="shared" si="12"/>
        <v>28</v>
      </c>
      <c r="R42" s="339">
        <f t="shared" si="13"/>
        <v>224393.40000000002</v>
      </c>
      <c r="S42" s="339">
        <f t="shared" si="14"/>
        <v>285591.59999999998</v>
      </c>
      <c r="T42" s="337"/>
    </row>
    <row r="43" spans="2:20">
      <c r="B43" s="378"/>
      <c r="C43" s="361" t="s">
        <v>1377</v>
      </c>
      <c r="D43" s="367">
        <v>39</v>
      </c>
      <c r="E43" s="337" t="s">
        <v>1437</v>
      </c>
      <c r="F43" s="337" t="s">
        <v>1378</v>
      </c>
      <c r="G43" s="346">
        <v>330000</v>
      </c>
      <c r="H43" s="346">
        <v>43989</v>
      </c>
      <c r="I43" s="340">
        <f t="shared" si="8"/>
        <v>373989</v>
      </c>
      <c r="J43" s="348">
        <v>50</v>
      </c>
      <c r="K43" s="380">
        <v>7479.78</v>
      </c>
      <c r="L43" s="356">
        <f t="shared" si="15"/>
        <v>879.78</v>
      </c>
      <c r="M43" s="356">
        <f t="shared" si="9"/>
        <v>6600</v>
      </c>
      <c r="N43" s="356">
        <f t="shared" si="10"/>
        <v>7038.24</v>
      </c>
      <c r="O43" s="356">
        <f t="shared" si="11"/>
        <v>36950.76</v>
      </c>
      <c r="P43" s="348">
        <v>8</v>
      </c>
      <c r="Q43" s="354">
        <f t="shared" si="12"/>
        <v>42</v>
      </c>
      <c r="R43" s="339">
        <f t="shared" si="13"/>
        <v>59838.239999999998</v>
      </c>
      <c r="S43" s="339">
        <f t="shared" si="14"/>
        <v>314150.76</v>
      </c>
      <c r="T43" s="337"/>
    </row>
    <row r="44" spans="2:20">
      <c r="B44" s="378"/>
      <c r="C44" s="361" t="s">
        <v>1339</v>
      </c>
      <c r="D44" s="367">
        <v>40</v>
      </c>
      <c r="E44" s="337" t="s">
        <v>1437</v>
      </c>
      <c r="F44" s="337" t="s">
        <v>408</v>
      </c>
      <c r="G44" s="346">
        <v>500000</v>
      </c>
      <c r="H44" s="346">
        <v>66650</v>
      </c>
      <c r="I44" s="340">
        <f t="shared" si="8"/>
        <v>566650</v>
      </c>
      <c r="J44" s="348">
        <v>50</v>
      </c>
      <c r="K44" s="380">
        <v>11333</v>
      </c>
      <c r="L44" s="356">
        <f t="shared" si="15"/>
        <v>1333</v>
      </c>
      <c r="M44" s="356">
        <f t="shared" si="9"/>
        <v>10000</v>
      </c>
      <c r="N44" s="356">
        <f t="shared" si="10"/>
        <v>6665</v>
      </c>
      <c r="O44" s="356">
        <f t="shared" si="11"/>
        <v>59985</v>
      </c>
      <c r="P44" s="348">
        <v>5</v>
      </c>
      <c r="Q44" s="354">
        <f t="shared" si="12"/>
        <v>45</v>
      </c>
      <c r="R44" s="339">
        <f t="shared" si="13"/>
        <v>56665</v>
      </c>
      <c r="S44" s="339">
        <f t="shared" si="14"/>
        <v>509985</v>
      </c>
      <c r="T44" s="337"/>
    </row>
    <row r="45" spans="2:20">
      <c r="B45" s="378"/>
      <c r="C45" s="363" t="s">
        <v>1383</v>
      </c>
      <c r="D45" s="367">
        <v>41</v>
      </c>
      <c r="E45" s="337" t="s">
        <v>1437</v>
      </c>
      <c r="F45" s="337" t="s">
        <v>1384</v>
      </c>
      <c r="G45" s="346">
        <v>330000</v>
      </c>
      <c r="H45" s="346">
        <v>43989</v>
      </c>
      <c r="I45" s="340">
        <f t="shared" si="8"/>
        <v>373989</v>
      </c>
      <c r="J45" s="348">
        <v>50</v>
      </c>
      <c r="K45" s="380">
        <v>7479.78</v>
      </c>
      <c r="L45" s="356">
        <f t="shared" si="15"/>
        <v>879.78</v>
      </c>
      <c r="M45" s="356">
        <f t="shared" si="9"/>
        <v>6600</v>
      </c>
      <c r="N45" s="356">
        <f t="shared" si="10"/>
        <v>4398.8999999999996</v>
      </c>
      <c r="O45" s="356">
        <f t="shared" si="11"/>
        <v>39590.1</v>
      </c>
      <c r="P45" s="348">
        <v>5</v>
      </c>
      <c r="Q45" s="354">
        <f t="shared" si="12"/>
        <v>45</v>
      </c>
      <c r="R45" s="339">
        <f t="shared" si="13"/>
        <v>37398.9</v>
      </c>
      <c r="S45" s="339">
        <f t="shared" si="14"/>
        <v>336590.1</v>
      </c>
      <c r="T45" s="337"/>
    </row>
    <row r="46" spans="2:20">
      <c r="B46" s="378"/>
      <c r="C46" s="361" t="s">
        <v>1409</v>
      </c>
      <c r="D46" s="367">
        <v>42</v>
      </c>
      <c r="E46" s="337" t="s">
        <v>1437</v>
      </c>
      <c r="F46" s="337" t="s">
        <v>1407</v>
      </c>
      <c r="G46" s="346">
        <v>500000</v>
      </c>
      <c r="H46" s="346">
        <v>66650</v>
      </c>
      <c r="I46" s="340">
        <f t="shared" si="8"/>
        <v>566650</v>
      </c>
      <c r="J46" s="348">
        <v>50</v>
      </c>
      <c r="K46" s="380">
        <v>11333</v>
      </c>
      <c r="L46" s="356">
        <f t="shared" si="15"/>
        <v>1333</v>
      </c>
      <c r="M46" s="356">
        <f t="shared" si="9"/>
        <v>10000</v>
      </c>
      <c r="N46" s="356">
        <f t="shared" si="10"/>
        <v>33325</v>
      </c>
      <c r="O46" s="356">
        <f t="shared" si="11"/>
        <v>33325</v>
      </c>
      <c r="P46" s="348">
        <v>25</v>
      </c>
      <c r="Q46" s="354">
        <f t="shared" si="12"/>
        <v>25</v>
      </c>
      <c r="R46" s="339">
        <f t="shared" si="13"/>
        <v>283325</v>
      </c>
      <c r="S46" s="339">
        <f t="shared" si="14"/>
        <v>283325</v>
      </c>
      <c r="T46" s="337"/>
    </row>
    <row r="47" spans="2:20">
      <c r="B47" s="378"/>
      <c r="C47" s="363" t="s">
        <v>1370</v>
      </c>
      <c r="D47" s="367">
        <v>43</v>
      </c>
      <c r="E47" s="337" t="s">
        <v>1437</v>
      </c>
      <c r="F47" s="337" t="s">
        <v>1371</v>
      </c>
      <c r="G47" s="346">
        <v>330000</v>
      </c>
      <c r="H47" s="346">
        <v>43989</v>
      </c>
      <c r="I47" s="340">
        <f t="shared" si="8"/>
        <v>373989</v>
      </c>
      <c r="J47" s="348">
        <v>50</v>
      </c>
      <c r="K47" s="380">
        <v>7479.78</v>
      </c>
      <c r="L47" s="356">
        <f t="shared" si="15"/>
        <v>879.78</v>
      </c>
      <c r="M47" s="356">
        <f t="shared" si="9"/>
        <v>6600</v>
      </c>
      <c r="N47" s="356">
        <f t="shared" si="10"/>
        <v>7038.24</v>
      </c>
      <c r="O47" s="356">
        <f t="shared" si="11"/>
        <v>36950.76</v>
      </c>
      <c r="P47" s="348">
        <v>8</v>
      </c>
      <c r="Q47" s="354">
        <f t="shared" si="12"/>
        <v>42</v>
      </c>
      <c r="R47" s="339">
        <f t="shared" si="13"/>
        <v>59838.239999999998</v>
      </c>
      <c r="S47" s="339">
        <f t="shared" si="14"/>
        <v>314150.76</v>
      </c>
      <c r="T47" s="337"/>
    </row>
    <row r="48" spans="2:20">
      <c r="B48" s="378"/>
      <c r="C48" s="361" t="s">
        <v>1313</v>
      </c>
      <c r="D48" s="367">
        <v>44</v>
      </c>
      <c r="E48" s="337" t="s">
        <v>1437</v>
      </c>
      <c r="F48" s="337" t="s">
        <v>1314</v>
      </c>
      <c r="G48" s="346">
        <v>450000</v>
      </c>
      <c r="H48" s="346">
        <v>28792.799999999999</v>
      </c>
      <c r="I48" s="340">
        <f t="shared" si="8"/>
        <v>478792.8</v>
      </c>
      <c r="J48" s="348">
        <v>24</v>
      </c>
      <c r="K48" s="380">
        <v>19949.7</v>
      </c>
      <c r="L48" s="356">
        <f>H48/24</f>
        <v>1199.7</v>
      </c>
      <c r="M48" s="356">
        <f t="shared" si="9"/>
        <v>9000</v>
      </c>
      <c r="N48" s="356">
        <f t="shared" si="10"/>
        <v>5998.5</v>
      </c>
      <c r="O48" s="356">
        <f t="shared" si="11"/>
        <v>22794.3</v>
      </c>
      <c r="P48" s="348">
        <v>5</v>
      </c>
      <c r="Q48" s="354">
        <f t="shared" si="12"/>
        <v>19</v>
      </c>
      <c r="R48" s="339">
        <f t="shared" si="13"/>
        <v>99748.5</v>
      </c>
      <c r="S48" s="339">
        <f t="shared" si="14"/>
        <v>379044.3</v>
      </c>
      <c r="T48" s="337"/>
    </row>
    <row r="49" spans="2:20">
      <c r="B49" s="378"/>
      <c r="C49" s="362" t="s">
        <v>1400</v>
      </c>
      <c r="D49" s="367">
        <v>45</v>
      </c>
      <c r="E49" s="337" t="s">
        <v>1437</v>
      </c>
      <c r="F49" s="337" t="s">
        <v>1401</v>
      </c>
      <c r="G49" s="346">
        <v>150000</v>
      </c>
      <c r="H49" s="346">
        <v>19995</v>
      </c>
      <c r="I49" s="340">
        <f t="shared" si="8"/>
        <v>169995</v>
      </c>
      <c r="J49" s="348">
        <v>50</v>
      </c>
      <c r="K49" s="380">
        <v>3399.9</v>
      </c>
      <c r="L49" s="356">
        <f t="shared" ref="L49:L89" si="16">H49/50</f>
        <v>399.9</v>
      </c>
      <c r="M49" s="356">
        <f t="shared" si="9"/>
        <v>3000</v>
      </c>
      <c r="N49" s="356">
        <f t="shared" si="10"/>
        <v>3999</v>
      </c>
      <c r="O49" s="356">
        <f t="shared" si="11"/>
        <v>15996</v>
      </c>
      <c r="P49" s="348">
        <v>10</v>
      </c>
      <c r="Q49" s="354">
        <f t="shared" si="12"/>
        <v>40</v>
      </c>
      <c r="R49" s="339">
        <f t="shared" si="13"/>
        <v>33999</v>
      </c>
      <c r="S49" s="339">
        <f t="shared" si="14"/>
        <v>135996</v>
      </c>
      <c r="T49" s="337"/>
    </row>
    <row r="50" spans="2:20">
      <c r="B50" s="378"/>
      <c r="C50" s="362" t="s">
        <v>1386</v>
      </c>
      <c r="D50" s="367">
        <v>46</v>
      </c>
      <c r="E50" s="337" t="s">
        <v>1437</v>
      </c>
      <c r="F50" s="337" t="s">
        <v>1387</v>
      </c>
      <c r="G50" s="346">
        <v>330000</v>
      </c>
      <c r="H50" s="346">
        <v>43989</v>
      </c>
      <c r="I50" s="340">
        <f t="shared" si="8"/>
        <v>373989</v>
      </c>
      <c r="J50" s="348">
        <v>50</v>
      </c>
      <c r="K50" s="380">
        <v>7479.78</v>
      </c>
      <c r="L50" s="356">
        <f t="shared" si="16"/>
        <v>879.78</v>
      </c>
      <c r="M50" s="356">
        <f t="shared" si="9"/>
        <v>6600</v>
      </c>
      <c r="N50" s="356">
        <f t="shared" si="10"/>
        <v>14956.26</v>
      </c>
      <c r="O50" s="356">
        <f t="shared" si="11"/>
        <v>29032.739999999998</v>
      </c>
      <c r="P50" s="348">
        <v>17</v>
      </c>
      <c r="Q50" s="354">
        <f t="shared" si="12"/>
        <v>33</v>
      </c>
      <c r="R50" s="339">
        <f t="shared" si="13"/>
        <v>127156.26</v>
      </c>
      <c r="S50" s="339">
        <f t="shared" si="14"/>
        <v>246832.74</v>
      </c>
      <c r="T50" s="337"/>
    </row>
    <row r="51" spans="2:20">
      <c r="B51" s="378"/>
      <c r="C51" s="362" t="s">
        <v>975</v>
      </c>
      <c r="D51" s="367">
        <v>47</v>
      </c>
      <c r="E51" s="337" t="s">
        <v>1437</v>
      </c>
      <c r="F51" s="337" t="s">
        <v>875</v>
      </c>
      <c r="G51" s="346">
        <v>450000</v>
      </c>
      <c r="H51" s="346">
        <v>59985</v>
      </c>
      <c r="I51" s="340">
        <f t="shared" si="8"/>
        <v>509985</v>
      </c>
      <c r="J51" s="348">
        <v>50</v>
      </c>
      <c r="K51" s="380">
        <v>10199.700000000001</v>
      </c>
      <c r="L51" s="356">
        <f t="shared" si="16"/>
        <v>1199.7</v>
      </c>
      <c r="M51" s="356">
        <f t="shared" si="9"/>
        <v>9000</v>
      </c>
      <c r="N51" s="356">
        <f t="shared" si="10"/>
        <v>29992.5</v>
      </c>
      <c r="O51" s="356">
        <f t="shared" si="11"/>
        <v>29992.5</v>
      </c>
      <c r="P51" s="348">
        <v>25</v>
      </c>
      <c r="Q51" s="354">
        <f t="shared" si="12"/>
        <v>25</v>
      </c>
      <c r="R51" s="339">
        <f t="shared" si="13"/>
        <v>254992.50000000003</v>
      </c>
      <c r="S51" s="339">
        <f t="shared" si="14"/>
        <v>254992.49999999997</v>
      </c>
      <c r="T51" s="337"/>
    </row>
    <row r="52" spans="2:20">
      <c r="B52" s="378"/>
      <c r="C52" s="364" t="s">
        <v>1357</v>
      </c>
      <c r="D52" s="367">
        <v>48</v>
      </c>
      <c r="E52" s="337" t="s">
        <v>1437</v>
      </c>
      <c r="F52" s="337" t="s">
        <v>858</v>
      </c>
      <c r="G52" s="346">
        <v>450000</v>
      </c>
      <c r="H52" s="346">
        <v>59985</v>
      </c>
      <c r="I52" s="340">
        <f t="shared" si="8"/>
        <v>509985</v>
      </c>
      <c r="J52" s="348">
        <v>50</v>
      </c>
      <c r="K52" s="380">
        <v>10199.700000000001</v>
      </c>
      <c r="L52" s="356">
        <f t="shared" si="16"/>
        <v>1199.7</v>
      </c>
      <c r="M52" s="356">
        <f t="shared" si="9"/>
        <v>9000</v>
      </c>
      <c r="N52" s="356">
        <f t="shared" si="10"/>
        <v>20394.900000000001</v>
      </c>
      <c r="O52" s="356">
        <f t="shared" si="11"/>
        <v>39590.1</v>
      </c>
      <c r="P52" s="348">
        <v>17</v>
      </c>
      <c r="Q52" s="354">
        <f t="shared" si="12"/>
        <v>33</v>
      </c>
      <c r="R52" s="339">
        <f t="shared" si="13"/>
        <v>173394.90000000002</v>
      </c>
      <c r="S52" s="339">
        <f t="shared" si="14"/>
        <v>336590.1</v>
      </c>
      <c r="T52" s="337"/>
    </row>
    <row r="53" spans="2:20">
      <c r="B53" s="378"/>
      <c r="C53" s="363" t="s">
        <v>1097</v>
      </c>
      <c r="D53" s="367">
        <v>49</v>
      </c>
      <c r="E53" s="337" t="s">
        <v>1437</v>
      </c>
      <c r="F53" s="337" t="s">
        <v>286</v>
      </c>
      <c r="G53" s="346">
        <v>450000</v>
      </c>
      <c r="H53" s="346">
        <v>59985</v>
      </c>
      <c r="I53" s="340">
        <f t="shared" si="8"/>
        <v>509985</v>
      </c>
      <c r="J53" s="348">
        <v>50</v>
      </c>
      <c r="K53" s="380">
        <v>10199.700000000001</v>
      </c>
      <c r="L53" s="356">
        <f t="shared" si="16"/>
        <v>1199.7</v>
      </c>
      <c r="M53" s="356">
        <f t="shared" si="9"/>
        <v>9000</v>
      </c>
      <c r="N53" s="356">
        <f t="shared" si="10"/>
        <v>52786.8</v>
      </c>
      <c r="O53" s="356">
        <f t="shared" si="11"/>
        <v>7198.2000000000007</v>
      </c>
      <c r="P53" s="348">
        <v>44</v>
      </c>
      <c r="Q53" s="354">
        <f t="shared" si="12"/>
        <v>6</v>
      </c>
      <c r="R53" s="339">
        <f t="shared" si="13"/>
        <v>448786.80000000005</v>
      </c>
      <c r="S53" s="339">
        <f t="shared" si="14"/>
        <v>61198.199999999953</v>
      </c>
      <c r="T53" s="337"/>
    </row>
    <row r="54" spans="2:20">
      <c r="B54" s="378"/>
      <c r="C54" s="361" t="s">
        <v>1346</v>
      </c>
      <c r="D54" s="367">
        <v>50</v>
      </c>
      <c r="E54" s="337" t="s">
        <v>1437</v>
      </c>
      <c r="F54" s="337" t="s">
        <v>1347</v>
      </c>
      <c r="G54" s="346">
        <v>500000</v>
      </c>
      <c r="H54" s="346">
        <v>66650</v>
      </c>
      <c r="I54" s="340">
        <f t="shared" si="8"/>
        <v>566650</v>
      </c>
      <c r="J54" s="348">
        <v>50</v>
      </c>
      <c r="K54" s="380">
        <v>11333</v>
      </c>
      <c r="L54" s="356">
        <f t="shared" si="16"/>
        <v>1333</v>
      </c>
      <c r="M54" s="356">
        <f t="shared" si="9"/>
        <v>10000</v>
      </c>
      <c r="N54" s="356">
        <f t="shared" si="10"/>
        <v>13330</v>
      </c>
      <c r="O54" s="356">
        <f t="shared" si="11"/>
        <v>53320</v>
      </c>
      <c r="P54" s="348">
        <v>10</v>
      </c>
      <c r="Q54" s="354">
        <f t="shared" si="12"/>
        <v>40</v>
      </c>
      <c r="R54" s="339">
        <f t="shared" si="13"/>
        <v>113330</v>
      </c>
      <c r="S54" s="339">
        <f t="shared" si="14"/>
        <v>453320</v>
      </c>
      <c r="T54" s="337"/>
    </row>
    <row r="55" spans="2:20">
      <c r="B55" s="378"/>
      <c r="C55" s="364" t="s">
        <v>1356</v>
      </c>
      <c r="D55" s="367">
        <v>51</v>
      </c>
      <c r="E55" s="337" t="s">
        <v>1437</v>
      </c>
      <c r="F55" s="337" t="s">
        <v>1286</v>
      </c>
      <c r="G55" s="346">
        <v>450000</v>
      </c>
      <c r="H55" s="346">
        <v>59985</v>
      </c>
      <c r="I55" s="340">
        <f t="shared" si="8"/>
        <v>509985</v>
      </c>
      <c r="J55" s="348">
        <v>50</v>
      </c>
      <c r="K55" s="380">
        <v>10199.700000000001</v>
      </c>
      <c r="L55" s="356">
        <f t="shared" si="16"/>
        <v>1199.7</v>
      </c>
      <c r="M55" s="356">
        <f t="shared" si="9"/>
        <v>9000</v>
      </c>
      <c r="N55" s="356">
        <f t="shared" si="10"/>
        <v>11997</v>
      </c>
      <c r="O55" s="356">
        <f t="shared" si="11"/>
        <v>47988</v>
      </c>
      <c r="P55" s="348">
        <v>10</v>
      </c>
      <c r="Q55" s="354">
        <f t="shared" si="12"/>
        <v>40</v>
      </c>
      <c r="R55" s="339">
        <f t="shared" si="13"/>
        <v>101997</v>
      </c>
      <c r="S55" s="339">
        <f t="shared" si="14"/>
        <v>407988</v>
      </c>
      <c r="T55" s="337"/>
    </row>
    <row r="56" spans="2:20">
      <c r="B56" s="378"/>
      <c r="C56" s="364" t="s">
        <v>964</v>
      </c>
      <c r="D56" s="367">
        <v>52</v>
      </c>
      <c r="E56" s="337" t="s">
        <v>1437</v>
      </c>
      <c r="F56" s="337" t="s">
        <v>341</v>
      </c>
      <c r="G56" s="346">
        <v>500000</v>
      </c>
      <c r="H56" s="346">
        <v>66650</v>
      </c>
      <c r="I56" s="340">
        <f t="shared" si="8"/>
        <v>566650</v>
      </c>
      <c r="J56" s="348">
        <v>50</v>
      </c>
      <c r="K56" s="380">
        <v>11333</v>
      </c>
      <c r="L56" s="356">
        <f t="shared" si="16"/>
        <v>1333</v>
      </c>
      <c r="M56" s="356">
        <f t="shared" si="9"/>
        <v>10000</v>
      </c>
      <c r="N56" s="356">
        <f t="shared" si="10"/>
        <v>55986</v>
      </c>
      <c r="O56" s="356">
        <f t="shared" si="11"/>
        <v>10664</v>
      </c>
      <c r="P56" s="348">
        <v>42</v>
      </c>
      <c r="Q56" s="354">
        <f t="shared" si="12"/>
        <v>8</v>
      </c>
      <c r="R56" s="339">
        <f t="shared" si="13"/>
        <v>475986</v>
      </c>
      <c r="S56" s="339">
        <f t="shared" si="14"/>
        <v>90664</v>
      </c>
      <c r="T56" s="337"/>
    </row>
    <row r="57" spans="2:20">
      <c r="B57" s="378"/>
      <c r="C57" s="364" t="s">
        <v>1103</v>
      </c>
      <c r="D57" s="367">
        <v>53</v>
      </c>
      <c r="E57" s="337" t="s">
        <v>1437</v>
      </c>
      <c r="F57" s="337" t="s">
        <v>310</v>
      </c>
      <c r="G57" s="346">
        <v>500000</v>
      </c>
      <c r="H57" s="346">
        <v>66650</v>
      </c>
      <c r="I57" s="340">
        <f t="shared" si="8"/>
        <v>566650</v>
      </c>
      <c r="J57" s="348">
        <v>50</v>
      </c>
      <c r="K57" s="380">
        <v>11333</v>
      </c>
      <c r="L57" s="356">
        <f t="shared" si="16"/>
        <v>1333</v>
      </c>
      <c r="M57" s="356">
        <f t="shared" si="9"/>
        <v>10000</v>
      </c>
      <c r="N57" s="356">
        <f t="shared" si="10"/>
        <v>55986</v>
      </c>
      <c r="O57" s="356">
        <f t="shared" si="11"/>
        <v>10664</v>
      </c>
      <c r="P57" s="348">
        <v>42</v>
      </c>
      <c r="Q57" s="354">
        <f t="shared" si="12"/>
        <v>8</v>
      </c>
      <c r="R57" s="339">
        <f t="shared" si="13"/>
        <v>475986</v>
      </c>
      <c r="S57" s="339">
        <f t="shared" si="14"/>
        <v>90664</v>
      </c>
      <c r="T57" s="337"/>
    </row>
    <row r="58" spans="2:20">
      <c r="B58" s="378"/>
      <c r="C58" s="364" t="s">
        <v>1043</v>
      </c>
      <c r="D58" s="367">
        <v>54</v>
      </c>
      <c r="E58" s="337" t="s">
        <v>1437</v>
      </c>
      <c r="F58" s="337" t="s">
        <v>444</v>
      </c>
      <c r="G58" s="346">
        <v>500000</v>
      </c>
      <c r="H58" s="346">
        <v>66650</v>
      </c>
      <c r="I58" s="340">
        <f t="shared" si="8"/>
        <v>566650</v>
      </c>
      <c r="J58" s="348">
        <v>50</v>
      </c>
      <c r="K58" s="380">
        <v>11333</v>
      </c>
      <c r="L58" s="356">
        <f t="shared" si="16"/>
        <v>1333</v>
      </c>
      <c r="M58" s="356">
        <f t="shared" si="9"/>
        <v>10000</v>
      </c>
      <c r="N58" s="356">
        <f t="shared" si="10"/>
        <v>39990</v>
      </c>
      <c r="O58" s="356">
        <f t="shared" si="11"/>
        <v>26660</v>
      </c>
      <c r="P58" s="348">
        <v>30</v>
      </c>
      <c r="Q58" s="354">
        <f t="shared" si="12"/>
        <v>20</v>
      </c>
      <c r="R58" s="339">
        <f t="shared" si="13"/>
        <v>339990</v>
      </c>
      <c r="S58" s="339">
        <f t="shared" si="14"/>
        <v>226660</v>
      </c>
      <c r="T58" s="337"/>
    </row>
    <row r="59" spans="2:20">
      <c r="B59" s="378"/>
      <c r="C59" s="363" t="s">
        <v>1001</v>
      </c>
      <c r="D59" s="367">
        <v>55</v>
      </c>
      <c r="E59" s="337" t="s">
        <v>1437</v>
      </c>
      <c r="F59" s="337" t="s">
        <v>834</v>
      </c>
      <c r="G59" s="346">
        <v>330000</v>
      </c>
      <c r="H59" s="346">
        <v>43989</v>
      </c>
      <c r="I59" s="340">
        <f t="shared" si="8"/>
        <v>373989</v>
      </c>
      <c r="J59" s="348">
        <v>50</v>
      </c>
      <c r="K59" s="380">
        <v>7479.78</v>
      </c>
      <c r="L59" s="356">
        <f t="shared" si="16"/>
        <v>879.78</v>
      </c>
      <c r="M59" s="356">
        <f t="shared" si="9"/>
        <v>6600</v>
      </c>
      <c r="N59" s="356">
        <f t="shared" si="10"/>
        <v>26393.399999999998</v>
      </c>
      <c r="O59" s="356">
        <f t="shared" si="11"/>
        <v>17595.599999999999</v>
      </c>
      <c r="P59" s="348">
        <v>30</v>
      </c>
      <c r="Q59" s="354">
        <f t="shared" si="12"/>
        <v>20</v>
      </c>
      <c r="R59" s="339">
        <f t="shared" si="13"/>
        <v>224393.4</v>
      </c>
      <c r="S59" s="339">
        <f t="shared" si="14"/>
        <v>149595.6</v>
      </c>
      <c r="T59" s="337"/>
    </row>
    <row r="60" spans="2:20">
      <c r="B60" s="378"/>
      <c r="C60" s="361" t="s">
        <v>996</v>
      </c>
      <c r="D60" s="367">
        <v>56</v>
      </c>
      <c r="E60" s="337" t="s">
        <v>1437</v>
      </c>
      <c r="F60" s="337" t="s">
        <v>338</v>
      </c>
      <c r="G60" s="346">
        <v>500000</v>
      </c>
      <c r="H60" s="346">
        <v>66650</v>
      </c>
      <c r="I60" s="340">
        <f t="shared" si="8"/>
        <v>566650</v>
      </c>
      <c r="J60" s="348">
        <v>40</v>
      </c>
      <c r="K60" s="380">
        <v>13833</v>
      </c>
      <c r="L60" s="356">
        <f t="shared" si="16"/>
        <v>1333</v>
      </c>
      <c r="M60" s="356">
        <f t="shared" si="9"/>
        <v>10000</v>
      </c>
      <c r="N60" s="356">
        <f t="shared" si="10"/>
        <v>6665</v>
      </c>
      <c r="O60" s="356">
        <f t="shared" si="11"/>
        <v>46655</v>
      </c>
      <c r="P60" s="348">
        <v>5</v>
      </c>
      <c r="Q60" s="354">
        <f t="shared" si="12"/>
        <v>35</v>
      </c>
      <c r="R60" s="339">
        <f t="shared" si="13"/>
        <v>69165</v>
      </c>
      <c r="S60" s="339">
        <f t="shared" si="14"/>
        <v>497485</v>
      </c>
      <c r="T60" s="337"/>
    </row>
    <row r="61" spans="2:20">
      <c r="B61" s="378"/>
      <c r="C61" s="361" t="s">
        <v>1335</v>
      </c>
      <c r="D61" s="367">
        <v>57</v>
      </c>
      <c r="E61" s="337" t="s">
        <v>1437</v>
      </c>
      <c r="F61" s="337" t="s">
        <v>1336</v>
      </c>
      <c r="G61" s="346">
        <v>500000</v>
      </c>
      <c r="H61" s="346">
        <v>66650</v>
      </c>
      <c r="I61" s="340">
        <f t="shared" si="8"/>
        <v>566650</v>
      </c>
      <c r="J61" s="348">
        <v>50</v>
      </c>
      <c r="K61" s="380">
        <v>11333</v>
      </c>
      <c r="L61" s="356">
        <f t="shared" si="16"/>
        <v>1333</v>
      </c>
      <c r="M61" s="356">
        <f t="shared" si="9"/>
        <v>10000</v>
      </c>
      <c r="N61" s="356">
        <f t="shared" si="10"/>
        <v>15996</v>
      </c>
      <c r="O61" s="356">
        <f t="shared" si="11"/>
        <v>50654</v>
      </c>
      <c r="P61" s="348">
        <v>12</v>
      </c>
      <c r="Q61" s="354">
        <f t="shared" si="12"/>
        <v>38</v>
      </c>
      <c r="R61" s="339">
        <f t="shared" si="13"/>
        <v>135996</v>
      </c>
      <c r="S61" s="339">
        <f t="shared" si="14"/>
        <v>430654</v>
      </c>
      <c r="T61" s="337"/>
    </row>
    <row r="62" spans="2:20">
      <c r="B62" s="378"/>
      <c r="C62" s="364" t="s">
        <v>1312</v>
      </c>
      <c r="D62" s="367">
        <v>58</v>
      </c>
      <c r="E62" s="337" t="s">
        <v>1437</v>
      </c>
      <c r="F62" s="337" t="s">
        <v>436</v>
      </c>
      <c r="G62" s="346">
        <v>500000</v>
      </c>
      <c r="H62" s="346">
        <v>66650</v>
      </c>
      <c r="I62" s="340">
        <f t="shared" si="8"/>
        <v>566650</v>
      </c>
      <c r="J62" s="348">
        <v>25</v>
      </c>
      <c r="K62" s="380">
        <v>21333</v>
      </c>
      <c r="L62" s="356">
        <f t="shared" si="16"/>
        <v>1333</v>
      </c>
      <c r="M62" s="356">
        <f t="shared" si="9"/>
        <v>10000</v>
      </c>
      <c r="N62" s="356">
        <f t="shared" si="10"/>
        <v>13330</v>
      </c>
      <c r="O62" s="356">
        <f t="shared" si="11"/>
        <v>19995</v>
      </c>
      <c r="P62" s="348">
        <v>10</v>
      </c>
      <c r="Q62" s="354">
        <f t="shared" si="12"/>
        <v>15</v>
      </c>
      <c r="R62" s="339">
        <f t="shared" si="13"/>
        <v>213330</v>
      </c>
      <c r="S62" s="339">
        <f t="shared" si="14"/>
        <v>353320</v>
      </c>
      <c r="T62" s="337"/>
    </row>
    <row r="63" spans="2:20">
      <c r="B63" s="378"/>
      <c r="C63" s="361" t="s">
        <v>1044</v>
      </c>
      <c r="D63" s="367">
        <v>59</v>
      </c>
      <c r="E63" s="337" t="s">
        <v>1437</v>
      </c>
      <c r="F63" s="337" t="s">
        <v>844</v>
      </c>
      <c r="G63" s="346">
        <v>150000</v>
      </c>
      <c r="H63" s="346">
        <v>19995</v>
      </c>
      <c r="I63" s="340">
        <f t="shared" si="8"/>
        <v>169995</v>
      </c>
      <c r="J63" s="348">
        <v>50</v>
      </c>
      <c r="K63" s="380">
        <v>3399.9</v>
      </c>
      <c r="L63" s="356">
        <f t="shared" si="16"/>
        <v>399.9</v>
      </c>
      <c r="M63" s="356">
        <f t="shared" si="9"/>
        <v>3000</v>
      </c>
      <c r="N63" s="356">
        <f t="shared" si="10"/>
        <v>11997</v>
      </c>
      <c r="O63" s="356">
        <f t="shared" si="11"/>
        <v>7998</v>
      </c>
      <c r="P63" s="348">
        <v>30</v>
      </c>
      <c r="Q63" s="354">
        <f t="shared" si="12"/>
        <v>20</v>
      </c>
      <c r="R63" s="339">
        <f t="shared" si="13"/>
        <v>101997</v>
      </c>
      <c r="S63" s="339">
        <f t="shared" si="14"/>
        <v>67998</v>
      </c>
      <c r="T63" s="337"/>
    </row>
    <row r="64" spans="2:20">
      <c r="B64" s="378"/>
      <c r="C64" s="364" t="s">
        <v>1328</v>
      </c>
      <c r="D64" s="367">
        <v>60</v>
      </c>
      <c r="E64" s="337" t="s">
        <v>1437</v>
      </c>
      <c r="F64" s="337" t="s">
        <v>433</v>
      </c>
      <c r="G64" s="346">
        <v>500000</v>
      </c>
      <c r="H64" s="346">
        <v>66650</v>
      </c>
      <c r="I64" s="340">
        <f t="shared" si="8"/>
        <v>566650</v>
      </c>
      <c r="J64" s="348">
        <v>50</v>
      </c>
      <c r="K64" s="380">
        <v>11333</v>
      </c>
      <c r="L64" s="356">
        <f t="shared" si="16"/>
        <v>1333</v>
      </c>
      <c r="M64" s="356">
        <f t="shared" si="9"/>
        <v>10000</v>
      </c>
      <c r="N64" s="356">
        <f t="shared" si="10"/>
        <v>19995</v>
      </c>
      <c r="O64" s="356">
        <f t="shared" si="11"/>
        <v>46655</v>
      </c>
      <c r="P64" s="348">
        <v>15</v>
      </c>
      <c r="Q64" s="354">
        <f t="shared" si="12"/>
        <v>35</v>
      </c>
      <c r="R64" s="339">
        <f t="shared" si="13"/>
        <v>169995</v>
      </c>
      <c r="S64" s="339">
        <f t="shared" si="14"/>
        <v>396655</v>
      </c>
      <c r="T64" s="337"/>
    </row>
    <row r="65" spans="2:20">
      <c r="B65" s="378"/>
      <c r="C65" s="362" t="s">
        <v>1058</v>
      </c>
      <c r="D65" s="367">
        <v>61</v>
      </c>
      <c r="E65" s="337" t="s">
        <v>1437</v>
      </c>
      <c r="F65" s="337" t="s">
        <v>346</v>
      </c>
      <c r="G65" s="346">
        <v>500000</v>
      </c>
      <c r="H65" s="346">
        <v>66650</v>
      </c>
      <c r="I65" s="340">
        <f t="shared" si="8"/>
        <v>566650</v>
      </c>
      <c r="J65" s="348">
        <v>50</v>
      </c>
      <c r="K65" s="380">
        <v>11333</v>
      </c>
      <c r="L65" s="356">
        <f t="shared" si="16"/>
        <v>1333</v>
      </c>
      <c r="M65" s="356">
        <f t="shared" si="9"/>
        <v>10000</v>
      </c>
      <c r="N65" s="356">
        <f t="shared" si="10"/>
        <v>54653</v>
      </c>
      <c r="O65" s="356">
        <f t="shared" si="11"/>
        <v>11997</v>
      </c>
      <c r="P65" s="348">
        <v>41</v>
      </c>
      <c r="Q65" s="354">
        <f t="shared" si="12"/>
        <v>9</v>
      </c>
      <c r="R65" s="339">
        <f t="shared" si="13"/>
        <v>464653</v>
      </c>
      <c r="S65" s="339">
        <f t="shared" si="14"/>
        <v>101997</v>
      </c>
      <c r="T65" s="337"/>
    </row>
    <row r="66" spans="2:20">
      <c r="B66" s="378"/>
      <c r="C66" s="364" t="s">
        <v>1322</v>
      </c>
      <c r="D66" s="367">
        <v>62</v>
      </c>
      <c r="E66" s="337" t="s">
        <v>1437</v>
      </c>
      <c r="F66" s="337" t="s">
        <v>1122</v>
      </c>
      <c r="G66" s="346">
        <v>500000</v>
      </c>
      <c r="H66" s="346">
        <v>66650</v>
      </c>
      <c r="I66" s="340">
        <f t="shared" si="8"/>
        <v>566650</v>
      </c>
      <c r="J66" s="348">
        <v>50</v>
      </c>
      <c r="K66" s="380">
        <v>11333</v>
      </c>
      <c r="L66" s="356">
        <f t="shared" si="16"/>
        <v>1333</v>
      </c>
      <c r="M66" s="356">
        <f t="shared" si="9"/>
        <v>10000</v>
      </c>
      <c r="N66" s="356">
        <f t="shared" si="10"/>
        <v>22661</v>
      </c>
      <c r="O66" s="356">
        <f t="shared" si="11"/>
        <v>43989</v>
      </c>
      <c r="P66" s="348">
        <v>17</v>
      </c>
      <c r="Q66" s="354">
        <f t="shared" si="12"/>
        <v>33</v>
      </c>
      <c r="R66" s="339">
        <f t="shared" si="13"/>
        <v>192661</v>
      </c>
      <c r="S66" s="339">
        <f t="shared" si="14"/>
        <v>373989</v>
      </c>
      <c r="T66" s="337"/>
    </row>
    <row r="67" spans="2:20">
      <c r="B67" s="378"/>
      <c r="C67" s="362" t="s">
        <v>1098</v>
      </c>
      <c r="D67" s="367">
        <v>63</v>
      </c>
      <c r="E67" s="337" t="s">
        <v>1437</v>
      </c>
      <c r="F67" s="337" t="s">
        <v>345</v>
      </c>
      <c r="G67" s="346">
        <v>500000</v>
      </c>
      <c r="H67" s="346">
        <v>66650</v>
      </c>
      <c r="I67" s="340">
        <f t="shared" si="8"/>
        <v>566650</v>
      </c>
      <c r="J67" s="348">
        <v>50</v>
      </c>
      <c r="K67" s="380">
        <v>11333</v>
      </c>
      <c r="L67" s="356">
        <f t="shared" si="16"/>
        <v>1333</v>
      </c>
      <c r="M67" s="356">
        <f t="shared" si="9"/>
        <v>10000</v>
      </c>
      <c r="N67" s="356">
        <f t="shared" si="10"/>
        <v>55986</v>
      </c>
      <c r="O67" s="356">
        <f t="shared" si="11"/>
        <v>10664</v>
      </c>
      <c r="P67" s="348">
        <v>42</v>
      </c>
      <c r="Q67" s="354">
        <f t="shared" si="12"/>
        <v>8</v>
      </c>
      <c r="R67" s="339">
        <f t="shared" si="13"/>
        <v>475986</v>
      </c>
      <c r="S67" s="339">
        <f t="shared" si="14"/>
        <v>90664</v>
      </c>
      <c r="T67" s="337"/>
    </row>
    <row r="68" spans="2:20">
      <c r="B68" s="378"/>
      <c r="C68" s="362" t="s">
        <v>1125</v>
      </c>
      <c r="D68" s="367">
        <v>64</v>
      </c>
      <c r="E68" s="337" t="s">
        <v>1437</v>
      </c>
      <c r="F68" s="337" t="s">
        <v>452</v>
      </c>
      <c r="G68" s="346">
        <v>500000</v>
      </c>
      <c r="H68" s="346">
        <v>66650</v>
      </c>
      <c r="I68" s="340">
        <f t="shared" si="8"/>
        <v>566650</v>
      </c>
      <c r="J68" s="348">
        <v>50</v>
      </c>
      <c r="K68" s="380">
        <v>11333</v>
      </c>
      <c r="L68" s="356">
        <f t="shared" si="16"/>
        <v>1333</v>
      </c>
      <c r="M68" s="356">
        <f t="shared" si="9"/>
        <v>10000</v>
      </c>
      <c r="N68" s="356">
        <f t="shared" si="10"/>
        <v>23994</v>
      </c>
      <c r="O68" s="356">
        <f t="shared" si="11"/>
        <v>42656</v>
      </c>
      <c r="P68" s="348">
        <v>18</v>
      </c>
      <c r="Q68" s="354">
        <f t="shared" si="12"/>
        <v>32</v>
      </c>
      <c r="R68" s="339">
        <f t="shared" si="13"/>
        <v>203994</v>
      </c>
      <c r="S68" s="339">
        <f t="shared" si="14"/>
        <v>362656</v>
      </c>
      <c r="T68" s="337"/>
    </row>
    <row r="69" spans="2:20">
      <c r="B69" s="378"/>
      <c r="C69" s="364" t="s">
        <v>1390</v>
      </c>
      <c r="D69" s="367">
        <v>65</v>
      </c>
      <c r="E69" s="337" t="s">
        <v>1437</v>
      </c>
      <c r="F69" s="337" t="s">
        <v>1391</v>
      </c>
      <c r="G69" s="346">
        <v>150000</v>
      </c>
      <c r="H69" s="346">
        <v>19995</v>
      </c>
      <c r="I69" s="340">
        <f t="shared" ref="I69:I100" si="17">SUM(G69:H69)</f>
        <v>169995</v>
      </c>
      <c r="J69" s="348">
        <v>40</v>
      </c>
      <c r="K69" s="380">
        <v>4149.8999999999996</v>
      </c>
      <c r="L69" s="356">
        <f t="shared" si="16"/>
        <v>399.9</v>
      </c>
      <c r="M69" s="356">
        <f t="shared" ref="M69:M100" si="18">G69/50</f>
        <v>3000</v>
      </c>
      <c r="N69" s="356">
        <f t="shared" ref="N69:N100" si="19">L69*P69</f>
        <v>6798.2999999999993</v>
      </c>
      <c r="O69" s="356">
        <f t="shared" ref="O69:O100" si="20">L69*Q69</f>
        <v>9197.6999999999989</v>
      </c>
      <c r="P69" s="348">
        <v>17</v>
      </c>
      <c r="Q69" s="354">
        <f t="shared" ref="Q69:Q100" si="21">J69-P69</f>
        <v>23</v>
      </c>
      <c r="R69" s="339">
        <f t="shared" ref="R69:R100" si="22">K69*P69</f>
        <v>70548.299999999988</v>
      </c>
      <c r="S69" s="339">
        <f t="shared" ref="S69:S100" si="23">I69-R69</f>
        <v>99446.700000000012</v>
      </c>
      <c r="T69" s="337"/>
    </row>
    <row r="70" spans="2:20">
      <c r="B70" s="378"/>
      <c r="C70" s="362" t="s">
        <v>1067</v>
      </c>
      <c r="D70" s="367">
        <v>66</v>
      </c>
      <c r="E70" s="337" t="s">
        <v>1437</v>
      </c>
      <c r="F70" s="337" t="s">
        <v>368</v>
      </c>
      <c r="G70" s="346">
        <v>450000</v>
      </c>
      <c r="H70" s="346">
        <v>59985</v>
      </c>
      <c r="I70" s="340">
        <f t="shared" si="17"/>
        <v>509985</v>
      </c>
      <c r="J70" s="348">
        <v>50</v>
      </c>
      <c r="K70" s="380">
        <v>10199.700000000001</v>
      </c>
      <c r="L70" s="356">
        <f t="shared" si="16"/>
        <v>1199.7</v>
      </c>
      <c r="M70" s="356">
        <f t="shared" si="18"/>
        <v>9000</v>
      </c>
      <c r="N70" s="356">
        <f t="shared" si="19"/>
        <v>49187.700000000004</v>
      </c>
      <c r="O70" s="356">
        <f t="shared" si="20"/>
        <v>10797.300000000001</v>
      </c>
      <c r="P70" s="348">
        <v>41</v>
      </c>
      <c r="Q70" s="354">
        <f t="shared" si="21"/>
        <v>9</v>
      </c>
      <c r="R70" s="339">
        <f t="shared" si="22"/>
        <v>418187.7</v>
      </c>
      <c r="S70" s="339">
        <f t="shared" si="23"/>
        <v>91797.299999999988</v>
      </c>
      <c r="T70" s="337"/>
    </row>
    <row r="71" spans="2:20">
      <c r="B71" s="378"/>
      <c r="C71" s="362" t="s">
        <v>1078</v>
      </c>
      <c r="D71" s="367">
        <v>67</v>
      </c>
      <c r="E71" s="337" t="s">
        <v>1437</v>
      </c>
      <c r="F71" s="337" t="s">
        <v>446</v>
      </c>
      <c r="G71" s="346">
        <v>330000</v>
      </c>
      <c r="H71" s="346">
        <v>43989</v>
      </c>
      <c r="I71" s="340">
        <f t="shared" si="17"/>
        <v>373989</v>
      </c>
      <c r="J71" s="348">
        <v>50</v>
      </c>
      <c r="K71" s="380">
        <v>7479.78</v>
      </c>
      <c r="L71" s="356">
        <f t="shared" si="16"/>
        <v>879.78</v>
      </c>
      <c r="M71" s="356">
        <f t="shared" si="18"/>
        <v>6600</v>
      </c>
      <c r="N71" s="356">
        <f t="shared" si="19"/>
        <v>21994.5</v>
      </c>
      <c r="O71" s="356">
        <f t="shared" si="20"/>
        <v>21994.5</v>
      </c>
      <c r="P71" s="348">
        <v>25</v>
      </c>
      <c r="Q71" s="354">
        <f t="shared" si="21"/>
        <v>25</v>
      </c>
      <c r="R71" s="339">
        <f t="shared" si="22"/>
        <v>186994.5</v>
      </c>
      <c r="S71" s="339">
        <f t="shared" si="23"/>
        <v>186994.5</v>
      </c>
      <c r="T71" s="337"/>
    </row>
    <row r="72" spans="2:20">
      <c r="B72" s="378"/>
      <c r="C72" s="361" t="s">
        <v>1120</v>
      </c>
      <c r="D72" s="367">
        <v>68</v>
      </c>
      <c r="E72" s="337" t="s">
        <v>1437</v>
      </c>
      <c r="F72" s="337" t="s">
        <v>1121</v>
      </c>
      <c r="G72" s="346">
        <v>150000</v>
      </c>
      <c r="H72" s="346">
        <v>19995</v>
      </c>
      <c r="I72" s="340">
        <f t="shared" si="17"/>
        <v>169995</v>
      </c>
      <c r="J72" s="348">
        <v>50</v>
      </c>
      <c r="K72" s="380">
        <v>3399.9</v>
      </c>
      <c r="L72" s="356">
        <f t="shared" si="16"/>
        <v>399.9</v>
      </c>
      <c r="M72" s="356">
        <f t="shared" si="18"/>
        <v>3000</v>
      </c>
      <c r="N72" s="356">
        <f t="shared" si="19"/>
        <v>7198.2</v>
      </c>
      <c r="O72" s="356">
        <f t="shared" si="20"/>
        <v>12796.8</v>
      </c>
      <c r="P72" s="348">
        <v>18</v>
      </c>
      <c r="Q72" s="354">
        <f t="shared" si="21"/>
        <v>32</v>
      </c>
      <c r="R72" s="339">
        <f t="shared" si="22"/>
        <v>61198.200000000004</v>
      </c>
      <c r="S72" s="339">
        <f t="shared" si="23"/>
        <v>108796.79999999999</v>
      </c>
      <c r="T72" s="337"/>
    </row>
    <row r="73" spans="2:20">
      <c r="B73" s="378"/>
      <c r="C73" s="362" t="s">
        <v>1375</v>
      </c>
      <c r="D73" s="367">
        <v>69</v>
      </c>
      <c r="E73" s="337" t="s">
        <v>1437</v>
      </c>
      <c r="F73" s="337" t="s">
        <v>1376</v>
      </c>
      <c r="G73" s="346">
        <v>330000</v>
      </c>
      <c r="H73" s="346">
        <v>43989</v>
      </c>
      <c r="I73" s="340">
        <f t="shared" si="17"/>
        <v>373989</v>
      </c>
      <c r="J73" s="348">
        <v>50</v>
      </c>
      <c r="K73" s="380">
        <v>7479.78</v>
      </c>
      <c r="L73" s="356">
        <f t="shared" si="16"/>
        <v>879.78</v>
      </c>
      <c r="M73" s="356">
        <f t="shared" si="18"/>
        <v>6600</v>
      </c>
      <c r="N73" s="356">
        <f t="shared" si="19"/>
        <v>7038.24</v>
      </c>
      <c r="O73" s="356">
        <f t="shared" si="20"/>
        <v>36950.76</v>
      </c>
      <c r="P73" s="348">
        <v>8</v>
      </c>
      <c r="Q73" s="354">
        <f t="shared" si="21"/>
        <v>42</v>
      </c>
      <c r="R73" s="339">
        <f t="shared" si="22"/>
        <v>59838.239999999998</v>
      </c>
      <c r="S73" s="339">
        <f t="shared" si="23"/>
        <v>314150.76</v>
      </c>
      <c r="T73" s="337"/>
    </row>
    <row r="74" spans="2:20">
      <c r="B74" s="378"/>
      <c r="C74" s="364" t="s">
        <v>1392</v>
      </c>
      <c r="D74" s="367">
        <v>70</v>
      </c>
      <c r="E74" s="337" t="s">
        <v>1437</v>
      </c>
      <c r="F74" s="337" t="s">
        <v>1393</v>
      </c>
      <c r="G74" s="346">
        <v>150000</v>
      </c>
      <c r="H74" s="346">
        <v>19995</v>
      </c>
      <c r="I74" s="340">
        <f t="shared" si="17"/>
        <v>169995</v>
      </c>
      <c r="J74" s="348">
        <v>40</v>
      </c>
      <c r="K74" s="380">
        <v>4149.8999999999996</v>
      </c>
      <c r="L74" s="356">
        <f t="shared" si="16"/>
        <v>399.9</v>
      </c>
      <c r="M74" s="356">
        <f t="shared" si="18"/>
        <v>3000</v>
      </c>
      <c r="N74" s="356">
        <f t="shared" si="19"/>
        <v>6798.2999999999993</v>
      </c>
      <c r="O74" s="356">
        <f t="shared" si="20"/>
        <v>9197.6999999999989</v>
      </c>
      <c r="P74" s="348">
        <v>17</v>
      </c>
      <c r="Q74" s="354">
        <f t="shared" si="21"/>
        <v>23</v>
      </c>
      <c r="R74" s="339">
        <f t="shared" si="22"/>
        <v>70548.299999999988</v>
      </c>
      <c r="S74" s="339">
        <f t="shared" si="23"/>
        <v>99446.700000000012</v>
      </c>
      <c r="T74" s="337"/>
    </row>
    <row r="75" spans="2:20" ht="24.75">
      <c r="B75" s="378"/>
      <c r="C75" s="337" t="s">
        <v>1438</v>
      </c>
      <c r="D75" s="367">
        <v>71</v>
      </c>
      <c r="E75" s="337" t="s">
        <v>1437</v>
      </c>
      <c r="F75" s="337" t="s">
        <v>1439</v>
      </c>
      <c r="G75" s="346">
        <v>450000</v>
      </c>
      <c r="H75" s="346">
        <v>59985</v>
      </c>
      <c r="I75" s="340">
        <f t="shared" si="17"/>
        <v>509985</v>
      </c>
      <c r="J75" s="348">
        <v>50</v>
      </c>
      <c r="K75" s="381">
        <v>10199.700000000001</v>
      </c>
      <c r="L75" s="356">
        <f t="shared" si="16"/>
        <v>1199.7</v>
      </c>
      <c r="M75" s="356">
        <f t="shared" si="18"/>
        <v>9000</v>
      </c>
      <c r="N75" s="356">
        <f t="shared" si="19"/>
        <v>46788.3</v>
      </c>
      <c r="O75" s="356">
        <f t="shared" si="20"/>
        <v>13196.7</v>
      </c>
      <c r="P75" s="358">
        <v>39</v>
      </c>
      <c r="Q75" s="354">
        <f t="shared" si="21"/>
        <v>11</v>
      </c>
      <c r="R75" s="339">
        <f t="shared" si="22"/>
        <v>397788.30000000005</v>
      </c>
      <c r="S75" s="339">
        <f t="shared" si="23"/>
        <v>112196.69999999995</v>
      </c>
      <c r="T75" s="390" t="s">
        <v>1443</v>
      </c>
    </row>
    <row r="76" spans="2:20">
      <c r="B76" s="378"/>
      <c r="C76" s="364" t="s">
        <v>982</v>
      </c>
      <c r="D76" s="367">
        <v>72</v>
      </c>
      <c r="E76" s="337" t="s">
        <v>1437</v>
      </c>
      <c r="F76" s="337" t="s">
        <v>350</v>
      </c>
      <c r="G76" s="346">
        <v>500000</v>
      </c>
      <c r="H76" s="346">
        <v>66650</v>
      </c>
      <c r="I76" s="340">
        <f t="shared" si="17"/>
        <v>566650</v>
      </c>
      <c r="J76" s="348">
        <v>50</v>
      </c>
      <c r="K76" s="380">
        <v>11333</v>
      </c>
      <c r="L76" s="356">
        <f t="shared" si="16"/>
        <v>1333</v>
      </c>
      <c r="M76" s="356">
        <f t="shared" si="18"/>
        <v>10000</v>
      </c>
      <c r="N76" s="356">
        <f t="shared" si="19"/>
        <v>45322</v>
      </c>
      <c r="O76" s="356">
        <f t="shared" si="20"/>
        <v>21328</v>
      </c>
      <c r="P76" s="348">
        <v>34</v>
      </c>
      <c r="Q76" s="354">
        <f t="shared" si="21"/>
        <v>16</v>
      </c>
      <c r="R76" s="339">
        <f t="shared" si="22"/>
        <v>385322</v>
      </c>
      <c r="S76" s="339">
        <f t="shared" si="23"/>
        <v>181328</v>
      </c>
      <c r="T76" s="337"/>
    </row>
    <row r="77" spans="2:20">
      <c r="B77" s="378"/>
      <c r="C77" s="363" t="s">
        <v>965</v>
      </c>
      <c r="D77" s="367">
        <v>73</v>
      </c>
      <c r="E77" s="337" t="s">
        <v>1437</v>
      </c>
      <c r="F77" s="337" t="s">
        <v>334</v>
      </c>
      <c r="G77" s="346">
        <v>500000</v>
      </c>
      <c r="H77" s="346">
        <v>66650</v>
      </c>
      <c r="I77" s="340">
        <f t="shared" si="17"/>
        <v>566650</v>
      </c>
      <c r="J77" s="348">
        <v>50</v>
      </c>
      <c r="K77" s="380">
        <v>11333</v>
      </c>
      <c r="L77" s="356">
        <f t="shared" si="16"/>
        <v>1333</v>
      </c>
      <c r="M77" s="356">
        <f t="shared" si="18"/>
        <v>10000</v>
      </c>
      <c r="N77" s="356">
        <f t="shared" si="19"/>
        <v>55986</v>
      </c>
      <c r="O77" s="356">
        <f t="shared" si="20"/>
        <v>10664</v>
      </c>
      <c r="P77" s="348">
        <v>42</v>
      </c>
      <c r="Q77" s="354">
        <f t="shared" si="21"/>
        <v>8</v>
      </c>
      <c r="R77" s="339">
        <f t="shared" si="22"/>
        <v>475986</v>
      </c>
      <c r="S77" s="339">
        <f t="shared" si="23"/>
        <v>90664</v>
      </c>
      <c r="T77" s="337"/>
    </row>
    <row r="78" spans="2:20">
      <c r="B78" s="378"/>
      <c r="C78" s="365" t="s">
        <v>1402</v>
      </c>
      <c r="D78" s="367">
        <v>74</v>
      </c>
      <c r="E78" s="337" t="s">
        <v>1437</v>
      </c>
      <c r="F78" s="337" t="s">
        <v>1403</v>
      </c>
      <c r="G78" s="346">
        <v>150000</v>
      </c>
      <c r="H78" s="346">
        <v>19995</v>
      </c>
      <c r="I78" s="340">
        <f t="shared" si="17"/>
        <v>169995</v>
      </c>
      <c r="J78" s="348">
        <v>50</v>
      </c>
      <c r="K78" s="380">
        <v>3399.9</v>
      </c>
      <c r="L78" s="356">
        <f t="shared" si="16"/>
        <v>399.9</v>
      </c>
      <c r="M78" s="356">
        <f t="shared" si="18"/>
        <v>3000</v>
      </c>
      <c r="N78" s="356">
        <f t="shared" si="19"/>
        <v>1999.5</v>
      </c>
      <c r="O78" s="356">
        <f t="shared" si="20"/>
        <v>17995.5</v>
      </c>
      <c r="P78" s="348">
        <v>5</v>
      </c>
      <c r="Q78" s="354">
        <f t="shared" si="21"/>
        <v>45</v>
      </c>
      <c r="R78" s="339">
        <f t="shared" si="22"/>
        <v>16999.5</v>
      </c>
      <c r="S78" s="339">
        <f t="shared" si="23"/>
        <v>152995.5</v>
      </c>
      <c r="T78" s="337"/>
    </row>
    <row r="79" spans="2:20">
      <c r="B79" s="378"/>
      <c r="C79" s="361" t="s">
        <v>1355</v>
      </c>
      <c r="D79" s="367">
        <v>75</v>
      </c>
      <c r="E79" s="337" t="s">
        <v>1437</v>
      </c>
      <c r="F79" s="337" t="s">
        <v>1287</v>
      </c>
      <c r="G79" s="346">
        <v>450000</v>
      </c>
      <c r="H79" s="346">
        <v>59985</v>
      </c>
      <c r="I79" s="340">
        <f t="shared" si="17"/>
        <v>509985</v>
      </c>
      <c r="J79" s="348">
        <v>50</v>
      </c>
      <c r="K79" s="380">
        <v>10199.700000000001</v>
      </c>
      <c r="L79" s="356">
        <f t="shared" si="16"/>
        <v>1199.7</v>
      </c>
      <c r="M79" s="356">
        <f t="shared" si="18"/>
        <v>9000</v>
      </c>
      <c r="N79" s="356">
        <f t="shared" si="19"/>
        <v>11997</v>
      </c>
      <c r="O79" s="356">
        <f t="shared" si="20"/>
        <v>47988</v>
      </c>
      <c r="P79" s="348">
        <v>10</v>
      </c>
      <c r="Q79" s="354">
        <f t="shared" si="21"/>
        <v>40</v>
      </c>
      <c r="R79" s="339">
        <f t="shared" si="22"/>
        <v>101997</v>
      </c>
      <c r="S79" s="339">
        <f t="shared" si="23"/>
        <v>407988</v>
      </c>
      <c r="T79" s="337"/>
    </row>
    <row r="80" spans="2:20">
      <c r="B80" s="378"/>
      <c r="C80" s="365" t="s">
        <v>1102</v>
      </c>
      <c r="D80" s="367">
        <v>76</v>
      </c>
      <c r="E80" s="337" t="s">
        <v>1437</v>
      </c>
      <c r="F80" s="337" t="s">
        <v>485</v>
      </c>
      <c r="G80" s="346">
        <v>500000</v>
      </c>
      <c r="H80" s="346">
        <v>66650</v>
      </c>
      <c r="I80" s="340">
        <f t="shared" si="17"/>
        <v>566650</v>
      </c>
      <c r="J80" s="348">
        <v>50</v>
      </c>
      <c r="K80" s="380">
        <v>11333</v>
      </c>
      <c r="L80" s="356">
        <f t="shared" si="16"/>
        <v>1333</v>
      </c>
      <c r="M80" s="356">
        <f t="shared" si="18"/>
        <v>10000</v>
      </c>
      <c r="N80" s="356">
        <f t="shared" si="19"/>
        <v>9331</v>
      </c>
      <c r="O80" s="356">
        <f t="shared" si="20"/>
        <v>57319</v>
      </c>
      <c r="P80" s="348">
        <v>7</v>
      </c>
      <c r="Q80" s="354">
        <f t="shared" si="21"/>
        <v>43</v>
      </c>
      <c r="R80" s="339">
        <f t="shared" si="22"/>
        <v>79331</v>
      </c>
      <c r="S80" s="339">
        <f t="shared" si="23"/>
        <v>487319</v>
      </c>
      <c r="T80" s="337"/>
    </row>
    <row r="81" spans="2:20">
      <c r="B81" s="378"/>
      <c r="C81" s="364" t="s">
        <v>1351</v>
      </c>
      <c r="D81" s="367">
        <v>77</v>
      </c>
      <c r="E81" s="337" t="s">
        <v>1437</v>
      </c>
      <c r="F81" s="337" t="s">
        <v>1285</v>
      </c>
      <c r="G81" s="346">
        <v>500000</v>
      </c>
      <c r="H81" s="346">
        <v>66650</v>
      </c>
      <c r="I81" s="340">
        <f t="shared" si="17"/>
        <v>566650</v>
      </c>
      <c r="J81" s="348">
        <v>50</v>
      </c>
      <c r="K81" s="380">
        <v>11333</v>
      </c>
      <c r="L81" s="356">
        <f t="shared" si="16"/>
        <v>1333</v>
      </c>
      <c r="M81" s="356">
        <f t="shared" si="18"/>
        <v>10000</v>
      </c>
      <c r="N81" s="356">
        <f t="shared" si="19"/>
        <v>13330</v>
      </c>
      <c r="O81" s="356">
        <f t="shared" si="20"/>
        <v>53320</v>
      </c>
      <c r="P81" s="348">
        <v>10</v>
      </c>
      <c r="Q81" s="354">
        <f t="shared" si="21"/>
        <v>40</v>
      </c>
      <c r="R81" s="339">
        <f t="shared" si="22"/>
        <v>113330</v>
      </c>
      <c r="S81" s="339">
        <f t="shared" si="23"/>
        <v>453320</v>
      </c>
      <c r="T81" s="337"/>
    </row>
    <row r="82" spans="2:20">
      <c r="B82" s="378"/>
      <c r="C82" s="364" t="s">
        <v>960</v>
      </c>
      <c r="D82" s="367">
        <v>78</v>
      </c>
      <c r="E82" s="337" t="s">
        <v>1437</v>
      </c>
      <c r="F82" s="337" t="s">
        <v>488</v>
      </c>
      <c r="G82" s="346">
        <v>500000</v>
      </c>
      <c r="H82" s="346">
        <v>66650</v>
      </c>
      <c r="I82" s="340">
        <f t="shared" si="17"/>
        <v>566650</v>
      </c>
      <c r="J82" s="348">
        <v>50</v>
      </c>
      <c r="K82" s="380">
        <v>11333</v>
      </c>
      <c r="L82" s="356">
        <f t="shared" si="16"/>
        <v>1333</v>
      </c>
      <c r="M82" s="356">
        <f t="shared" si="18"/>
        <v>10000</v>
      </c>
      <c r="N82" s="356">
        <f t="shared" si="19"/>
        <v>39990</v>
      </c>
      <c r="O82" s="356">
        <f t="shared" si="20"/>
        <v>26660</v>
      </c>
      <c r="P82" s="348">
        <v>30</v>
      </c>
      <c r="Q82" s="354">
        <f t="shared" si="21"/>
        <v>20</v>
      </c>
      <c r="R82" s="339">
        <f t="shared" si="22"/>
        <v>339990</v>
      </c>
      <c r="S82" s="339">
        <f t="shared" si="23"/>
        <v>226660</v>
      </c>
      <c r="T82" s="337"/>
    </row>
    <row r="83" spans="2:20">
      <c r="B83" s="378"/>
      <c r="C83" s="362" t="s">
        <v>1024</v>
      </c>
      <c r="D83" s="367">
        <v>79</v>
      </c>
      <c r="E83" s="337" t="s">
        <v>1437</v>
      </c>
      <c r="F83" s="337" t="s">
        <v>810</v>
      </c>
      <c r="G83" s="346">
        <v>450000</v>
      </c>
      <c r="H83" s="346">
        <v>59985</v>
      </c>
      <c r="I83" s="340">
        <f t="shared" si="17"/>
        <v>509985</v>
      </c>
      <c r="J83" s="348">
        <v>50</v>
      </c>
      <c r="K83" s="380">
        <v>10199.700000000001</v>
      </c>
      <c r="L83" s="356">
        <f t="shared" si="16"/>
        <v>1199.7</v>
      </c>
      <c r="M83" s="356">
        <f t="shared" si="18"/>
        <v>9000</v>
      </c>
      <c r="N83" s="356">
        <f t="shared" si="19"/>
        <v>65983.5</v>
      </c>
      <c r="O83" s="356">
        <f t="shared" si="20"/>
        <v>-5998.5</v>
      </c>
      <c r="P83" s="348">
        <v>55</v>
      </c>
      <c r="Q83" s="354">
        <f t="shared" si="21"/>
        <v>-5</v>
      </c>
      <c r="R83" s="339">
        <f t="shared" si="22"/>
        <v>560983.5</v>
      </c>
      <c r="S83" s="339">
        <f t="shared" si="23"/>
        <v>-50998.5</v>
      </c>
      <c r="T83" s="337"/>
    </row>
    <row r="84" spans="2:20">
      <c r="B84" s="378"/>
      <c r="C84" s="363" t="s">
        <v>1011</v>
      </c>
      <c r="D84" s="367">
        <v>80</v>
      </c>
      <c r="E84" s="337" t="s">
        <v>1437</v>
      </c>
      <c r="F84" s="337" t="s">
        <v>863</v>
      </c>
      <c r="G84" s="346">
        <v>500000</v>
      </c>
      <c r="H84" s="346">
        <v>66650</v>
      </c>
      <c r="I84" s="340">
        <f t="shared" si="17"/>
        <v>566650</v>
      </c>
      <c r="J84" s="348">
        <v>50</v>
      </c>
      <c r="K84" s="380">
        <v>11333</v>
      </c>
      <c r="L84" s="356">
        <f t="shared" si="16"/>
        <v>1333</v>
      </c>
      <c r="M84" s="356">
        <f t="shared" si="18"/>
        <v>10000</v>
      </c>
      <c r="N84" s="356">
        <f t="shared" si="19"/>
        <v>33325</v>
      </c>
      <c r="O84" s="356">
        <f t="shared" si="20"/>
        <v>33325</v>
      </c>
      <c r="P84" s="348">
        <v>25</v>
      </c>
      <c r="Q84" s="354">
        <f t="shared" si="21"/>
        <v>25</v>
      </c>
      <c r="R84" s="339">
        <f t="shared" si="22"/>
        <v>283325</v>
      </c>
      <c r="S84" s="339">
        <f t="shared" si="23"/>
        <v>283325</v>
      </c>
      <c r="T84" s="337"/>
    </row>
    <row r="85" spans="2:20">
      <c r="B85" s="378"/>
      <c r="C85" s="364" t="s">
        <v>1042</v>
      </c>
      <c r="D85" s="367">
        <v>81</v>
      </c>
      <c r="E85" s="337" t="s">
        <v>1437</v>
      </c>
      <c r="F85" s="337" t="s">
        <v>359</v>
      </c>
      <c r="G85" s="346">
        <v>500000</v>
      </c>
      <c r="H85" s="346">
        <v>66650</v>
      </c>
      <c r="I85" s="340">
        <f t="shared" si="17"/>
        <v>566650</v>
      </c>
      <c r="J85" s="348">
        <v>50</v>
      </c>
      <c r="K85" s="380">
        <v>11333</v>
      </c>
      <c r="L85" s="356">
        <f t="shared" si="16"/>
        <v>1333</v>
      </c>
      <c r="M85" s="356">
        <f t="shared" si="18"/>
        <v>10000</v>
      </c>
      <c r="N85" s="356">
        <f t="shared" si="19"/>
        <v>6665</v>
      </c>
      <c r="O85" s="356">
        <f t="shared" si="20"/>
        <v>59985</v>
      </c>
      <c r="P85" s="348">
        <v>5</v>
      </c>
      <c r="Q85" s="354">
        <f t="shared" si="21"/>
        <v>45</v>
      </c>
      <c r="R85" s="339">
        <f t="shared" si="22"/>
        <v>56665</v>
      </c>
      <c r="S85" s="339">
        <f t="shared" si="23"/>
        <v>509985</v>
      </c>
      <c r="T85" s="337"/>
    </row>
    <row r="86" spans="2:20">
      <c r="B86" s="378"/>
      <c r="C86" s="361" t="s">
        <v>1045</v>
      </c>
      <c r="D86" s="367">
        <v>82</v>
      </c>
      <c r="E86" s="337" t="s">
        <v>1437</v>
      </c>
      <c r="F86" s="337" t="s">
        <v>867</v>
      </c>
      <c r="G86" s="346">
        <v>500000</v>
      </c>
      <c r="H86" s="346">
        <v>66650</v>
      </c>
      <c r="I86" s="340">
        <f t="shared" si="17"/>
        <v>566650</v>
      </c>
      <c r="J86" s="348">
        <v>50</v>
      </c>
      <c r="K86" s="380">
        <v>11333</v>
      </c>
      <c r="L86" s="356">
        <f t="shared" si="16"/>
        <v>1333</v>
      </c>
      <c r="M86" s="356">
        <f t="shared" si="18"/>
        <v>10000</v>
      </c>
      <c r="N86" s="356">
        <f t="shared" si="19"/>
        <v>85312</v>
      </c>
      <c r="O86" s="356">
        <f t="shared" si="20"/>
        <v>-18662</v>
      </c>
      <c r="P86" s="348">
        <v>64</v>
      </c>
      <c r="Q86" s="354">
        <f t="shared" si="21"/>
        <v>-14</v>
      </c>
      <c r="R86" s="339">
        <f t="shared" si="22"/>
        <v>725312</v>
      </c>
      <c r="S86" s="339">
        <f t="shared" si="23"/>
        <v>-158662</v>
      </c>
      <c r="T86" s="337"/>
    </row>
    <row r="87" spans="2:20">
      <c r="B87" s="378"/>
      <c r="C87" s="364" t="s">
        <v>1323</v>
      </c>
      <c r="D87" s="367">
        <v>83</v>
      </c>
      <c r="E87" s="337" t="s">
        <v>1437</v>
      </c>
      <c r="F87" s="337" t="s">
        <v>448</v>
      </c>
      <c r="G87" s="346">
        <v>500000</v>
      </c>
      <c r="H87" s="346">
        <v>66650</v>
      </c>
      <c r="I87" s="340">
        <f t="shared" si="17"/>
        <v>566650</v>
      </c>
      <c r="J87" s="348">
        <v>50</v>
      </c>
      <c r="K87" s="380">
        <v>11333</v>
      </c>
      <c r="L87" s="356">
        <f t="shared" si="16"/>
        <v>1333</v>
      </c>
      <c r="M87" s="356">
        <f t="shared" si="18"/>
        <v>10000</v>
      </c>
      <c r="N87" s="356">
        <f t="shared" si="19"/>
        <v>19995</v>
      </c>
      <c r="O87" s="356">
        <f t="shared" si="20"/>
        <v>46655</v>
      </c>
      <c r="P87" s="348">
        <v>15</v>
      </c>
      <c r="Q87" s="354">
        <f t="shared" si="21"/>
        <v>35</v>
      </c>
      <c r="R87" s="339">
        <f t="shared" si="22"/>
        <v>169995</v>
      </c>
      <c r="S87" s="339">
        <f t="shared" si="23"/>
        <v>396655</v>
      </c>
      <c r="T87" s="337"/>
    </row>
    <row r="88" spans="2:20">
      <c r="B88" s="378"/>
      <c r="C88" s="363" t="s">
        <v>1037</v>
      </c>
      <c r="D88" s="367">
        <v>84</v>
      </c>
      <c r="E88" s="337" t="s">
        <v>1437</v>
      </c>
      <c r="F88" s="337" t="s">
        <v>326</v>
      </c>
      <c r="G88" s="346">
        <v>500000</v>
      </c>
      <c r="H88" s="346">
        <v>66650</v>
      </c>
      <c r="I88" s="340">
        <f t="shared" si="17"/>
        <v>566650</v>
      </c>
      <c r="J88" s="348">
        <v>50</v>
      </c>
      <c r="K88" s="380">
        <v>11333</v>
      </c>
      <c r="L88" s="356">
        <f t="shared" si="16"/>
        <v>1333</v>
      </c>
      <c r="M88" s="356">
        <f t="shared" si="18"/>
        <v>10000</v>
      </c>
      <c r="N88" s="356">
        <f t="shared" si="19"/>
        <v>54653</v>
      </c>
      <c r="O88" s="356">
        <f t="shared" si="20"/>
        <v>11997</v>
      </c>
      <c r="P88" s="348">
        <v>41</v>
      </c>
      <c r="Q88" s="354">
        <f t="shared" si="21"/>
        <v>9</v>
      </c>
      <c r="R88" s="339">
        <f t="shared" si="22"/>
        <v>464653</v>
      </c>
      <c r="S88" s="339">
        <f t="shared" si="23"/>
        <v>101997</v>
      </c>
      <c r="T88" s="337"/>
    </row>
    <row r="89" spans="2:20">
      <c r="B89" s="378"/>
      <c r="C89" s="363" t="s">
        <v>1002</v>
      </c>
      <c r="D89" s="367">
        <v>85</v>
      </c>
      <c r="E89" s="337" t="s">
        <v>1437</v>
      </c>
      <c r="F89" s="337" t="s">
        <v>1003</v>
      </c>
      <c r="G89" s="346">
        <v>150000</v>
      </c>
      <c r="H89" s="346">
        <v>19995</v>
      </c>
      <c r="I89" s="340">
        <f t="shared" si="17"/>
        <v>169995</v>
      </c>
      <c r="J89" s="348">
        <v>50</v>
      </c>
      <c r="K89" s="380">
        <v>3399.9</v>
      </c>
      <c r="L89" s="356">
        <f t="shared" si="16"/>
        <v>399.9</v>
      </c>
      <c r="M89" s="356">
        <f t="shared" si="18"/>
        <v>3000</v>
      </c>
      <c r="N89" s="356">
        <f t="shared" si="19"/>
        <v>8797.7999999999993</v>
      </c>
      <c r="O89" s="356">
        <f t="shared" si="20"/>
        <v>11197.199999999999</v>
      </c>
      <c r="P89" s="348">
        <v>22</v>
      </c>
      <c r="Q89" s="354">
        <f t="shared" si="21"/>
        <v>28</v>
      </c>
      <c r="R89" s="339">
        <f t="shared" si="22"/>
        <v>74797.8</v>
      </c>
      <c r="S89" s="339">
        <f t="shared" si="23"/>
        <v>95197.2</v>
      </c>
      <c r="T89" s="337"/>
    </row>
    <row r="90" spans="2:20">
      <c r="B90" s="378"/>
      <c r="C90" s="363" t="s">
        <v>1315</v>
      </c>
      <c r="D90" s="367">
        <v>86</v>
      </c>
      <c r="E90" s="337" t="s">
        <v>1437</v>
      </c>
      <c r="F90" s="337" t="s">
        <v>1316</v>
      </c>
      <c r="G90" s="346">
        <v>450000</v>
      </c>
      <c r="H90" s="346">
        <v>28792.799999999999</v>
      </c>
      <c r="I90" s="340">
        <f t="shared" si="17"/>
        <v>478792.8</v>
      </c>
      <c r="J90" s="348">
        <v>24</v>
      </c>
      <c r="K90" s="380">
        <v>19949.7</v>
      </c>
      <c r="L90" s="356">
        <f>H90/24</f>
        <v>1199.7</v>
      </c>
      <c r="M90" s="356">
        <f t="shared" si="18"/>
        <v>9000</v>
      </c>
      <c r="N90" s="356">
        <f t="shared" si="19"/>
        <v>5998.5</v>
      </c>
      <c r="O90" s="356">
        <f t="shared" si="20"/>
        <v>22794.3</v>
      </c>
      <c r="P90" s="348">
        <v>5</v>
      </c>
      <c r="Q90" s="354">
        <f t="shared" si="21"/>
        <v>19</v>
      </c>
      <c r="R90" s="339">
        <f t="shared" si="22"/>
        <v>99748.5</v>
      </c>
      <c r="S90" s="339">
        <f t="shared" si="23"/>
        <v>379044.3</v>
      </c>
      <c r="T90" s="337"/>
    </row>
    <row r="91" spans="2:20">
      <c r="B91" s="378"/>
      <c r="C91" s="362" t="s">
        <v>1404</v>
      </c>
      <c r="D91" s="367">
        <v>87</v>
      </c>
      <c r="E91" s="337" t="s">
        <v>1437</v>
      </c>
      <c r="F91" s="337" t="s">
        <v>1405</v>
      </c>
      <c r="G91" s="346">
        <v>150000</v>
      </c>
      <c r="H91" s="346">
        <v>19995</v>
      </c>
      <c r="I91" s="340">
        <f t="shared" si="17"/>
        <v>169995</v>
      </c>
      <c r="J91" s="348">
        <v>50</v>
      </c>
      <c r="K91" s="380">
        <v>3399.9</v>
      </c>
      <c r="L91" s="356">
        <f t="shared" ref="L91:L115" si="24">H91/50</f>
        <v>399.9</v>
      </c>
      <c r="M91" s="356">
        <f t="shared" si="18"/>
        <v>3000</v>
      </c>
      <c r="N91" s="356">
        <f t="shared" si="19"/>
        <v>1999.5</v>
      </c>
      <c r="O91" s="356">
        <f t="shared" si="20"/>
        <v>17995.5</v>
      </c>
      <c r="P91" s="348">
        <v>5</v>
      </c>
      <c r="Q91" s="354">
        <f t="shared" si="21"/>
        <v>45</v>
      </c>
      <c r="R91" s="339">
        <f t="shared" si="22"/>
        <v>16999.5</v>
      </c>
      <c r="S91" s="339">
        <f t="shared" si="23"/>
        <v>152995.5</v>
      </c>
      <c r="T91" s="337"/>
    </row>
    <row r="92" spans="2:20">
      <c r="B92" s="378"/>
      <c r="C92" s="366" t="s">
        <v>1381</v>
      </c>
      <c r="D92" s="367">
        <v>88</v>
      </c>
      <c r="E92" s="337" t="s">
        <v>1437</v>
      </c>
      <c r="F92" s="337" t="s">
        <v>1129</v>
      </c>
      <c r="G92" s="346">
        <v>330000</v>
      </c>
      <c r="H92" s="346">
        <v>43989</v>
      </c>
      <c r="I92" s="340">
        <f t="shared" si="17"/>
        <v>373989</v>
      </c>
      <c r="J92" s="348">
        <v>50</v>
      </c>
      <c r="K92" s="380">
        <v>7479.78</v>
      </c>
      <c r="L92" s="356">
        <f t="shared" si="24"/>
        <v>879.78</v>
      </c>
      <c r="M92" s="356">
        <f t="shared" si="18"/>
        <v>6600</v>
      </c>
      <c r="N92" s="356">
        <f t="shared" si="19"/>
        <v>14956.26</v>
      </c>
      <c r="O92" s="356">
        <f t="shared" si="20"/>
        <v>29032.739999999998</v>
      </c>
      <c r="P92" s="348">
        <v>17</v>
      </c>
      <c r="Q92" s="354">
        <f t="shared" si="21"/>
        <v>33</v>
      </c>
      <c r="R92" s="339">
        <f t="shared" si="22"/>
        <v>127156.26</v>
      </c>
      <c r="S92" s="339">
        <f t="shared" si="23"/>
        <v>246832.74</v>
      </c>
      <c r="T92" s="337"/>
    </row>
    <row r="93" spans="2:20">
      <c r="B93" s="378"/>
      <c r="C93" s="337" t="s">
        <v>1417</v>
      </c>
      <c r="D93" s="367">
        <v>89</v>
      </c>
      <c r="E93" s="337" t="s">
        <v>1437</v>
      </c>
      <c r="F93" s="337" t="s">
        <v>477</v>
      </c>
      <c r="G93" s="346">
        <v>330000</v>
      </c>
      <c r="H93" s="346">
        <v>43989</v>
      </c>
      <c r="I93" s="340">
        <f t="shared" si="17"/>
        <v>373989</v>
      </c>
      <c r="J93" s="358">
        <v>50</v>
      </c>
      <c r="K93" s="381">
        <v>7479.78</v>
      </c>
      <c r="L93" s="356">
        <f t="shared" si="24"/>
        <v>879.78</v>
      </c>
      <c r="M93" s="356">
        <f t="shared" si="18"/>
        <v>6600</v>
      </c>
      <c r="N93" s="356">
        <f t="shared" si="19"/>
        <v>2639.34</v>
      </c>
      <c r="O93" s="356">
        <f t="shared" si="20"/>
        <v>41349.659999999996</v>
      </c>
      <c r="P93" s="358">
        <v>3</v>
      </c>
      <c r="Q93" s="354">
        <f t="shared" si="21"/>
        <v>47</v>
      </c>
      <c r="R93" s="339">
        <f t="shared" si="22"/>
        <v>22439.34</v>
      </c>
      <c r="S93" s="339">
        <f t="shared" si="23"/>
        <v>351549.66</v>
      </c>
      <c r="T93" s="337"/>
    </row>
    <row r="94" spans="2:20">
      <c r="B94" s="378"/>
      <c r="C94" s="363" t="s">
        <v>1061</v>
      </c>
      <c r="D94" s="367">
        <v>90</v>
      </c>
      <c r="E94" s="337" t="s">
        <v>1437</v>
      </c>
      <c r="F94" s="337" t="s">
        <v>854</v>
      </c>
      <c r="G94" s="346">
        <v>330000</v>
      </c>
      <c r="H94" s="346">
        <v>43989</v>
      </c>
      <c r="I94" s="340">
        <f t="shared" si="17"/>
        <v>373989</v>
      </c>
      <c r="J94" s="348">
        <v>50</v>
      </c>
      <c r="K94" s="380">
        <v>7479.78</v>
      </c>
      <c r="L94" s="356">
        <f t="shared" si="24"/>
        <v>879.78</v>
      </c>
      <c r="M94" s="356">
        <f t="shared" si="18"/>
        <v>6600</v>
      </c>
      <c r="N94" s="356">
        <f t="shared" si="19"/>
        <v>20234.939999999999</v>
      </c>
      <c r="O94" s="356">
        <f t="shared" si="20"/>
        <v>23754.059999999998</v>
      </c>
      <c r="P94" s="348">
        <v>23</v>
      </c>
      <c r="Q94" s="354">
        <f t="shared" si="21"/>
        <v>27</v>
      </c>
      <c r="R94" s="339">
        <f t="shared" si="22"/>
        <v>172034.94</v>
      </c>
      <c r="S94" s="339">
        <f t="shared" si="23"/>
        <v>201954.06</v>
      </c>
      <c r="T94" s="337"/>
    </row>
    <row r="95" spans="2:20">
      <c r="B95" s="378"/>
      <c r="C95" s="362" t="s">
        <v>969</v>
      </c>
      <c r="D95" s="367">
        <v>91</v>
      </c>
      <c r="E95" s="337" t="s">
        <v>1437</v>
      </c>
      <c r="F95" s="337" t="s">
        <v>851</v>
      </c>
      <c r="G95" s="346">
        <v>150000</v>
      </c>
      <c r="H95" s="346">
        <v>19995</v>
      </c>
      <c r="I95" s="340">
        <f t="shared" si="17"/>
        <v>169995</v>
      </c>
      <c r="J95" s="348">
        <v>50</v>
      </c>
      <c r="K95" s="380">
        <v>3399.9</v>
      </c>
      <c r="L95" s="356">
        <f t="shared" si="24"/>
        <v>399.9</v>
      </c>
      <c r="M95" s="356">
        <f t="shared" si="18"/>
        <v>3000</v>
      </c>
      <c r="N95" s="356">
        <f t="shared" si="19"/>
        <v>1999.5</v>
      </c>
      <c r="O95" s="356">
        <f t="shared" si="20"/>
        <v>17995.5</v>
      </c>
      <c r="P95" s="348">
        <v>5</v>
      </c>
      <c r="Q95" s="354">
        <f t="shared" si="21"/>
        <v>45</v>
      </c>
      <c r="R95" s="339">
        <f t="shared" si="22"/>
        <v>16999.5</v>
      </c>
      <c r="S95" s="339">
        <f t="shared" si="23"/>
        <v>152995.5</v>
      </c>
      <c r="T95" s="337"/>
    </row>
    <row r="96" spans="2:20">
      <c r="B96" s="378"/>
      <c r="C96" s="363" t="s">
        <v>1341</v>
      </c>
      <c r="D96" s="367">
        <v>92</v>
      </c>
      <c r="E96" s="337" t="s">
        <v>1437</v>
      </c>
      <c r="F96" s="337" t="s">
        <v>1139</v>
      </c>
      <c r="G96" s="346">
        <v>500000</v>
      </c>
      <c r="H96" s="346">
        <v>66650</v>
      </c>
      <c r="I96" s="340">
        <f t="shared" si="17"/>
        <v>566650</v>
      </c>
      <c r="J96" s="348">
        <v>50</v>
      </c>
      <c r="K96" s="380">
        <v>11333</v>
      </c>
      <c r="L96" s="356">
        <f t="shared" si="24"/>
        <v>1333</v>
      </c>
      <c r="M96" s="356">
        <f t="shared" si="18"/>
        <v>10000</v>
      </c>
      <c r="N96" s="356">
        <f t="shared" si="19"/>
        <v>22661</v>
      </c>
      <c r="O96" s="356">
        <f t="shared" si="20"/>
        <v>43989</v>
      </c>
      <c r="P96" s="348">
        <v>17</v>
      </c>
      <c r="Q96" s="354">
        <f t="shared" si="21"/>
        <v>33</v>
      </c>
      <c r="R96" s="339">
        <f t="shared" si="22"/>
        <v>192661</v>
      </c>
      <c r="S96" s="339">
        <f t="shared" si="23"/>
        <v>373989</v>
      </c>
      <c r="T96" s="337"/>
    </row>
    <row r="97" spans="2:20">
      <c r="B97" s="378"/>
      <c r="C97" s="362" t="s">
        <v>1398</v>
      </c>
      <c r="D97" s="367">
        <v>93</v>
      </c>
      <c r="E97" s="337" t="s">
        <v>1437</v>
      </c>
      <c r="F97" s="337" t="s">
        <v>1399</v>
      </c>
      <c r="G97" s="346">
        <v>150000</v>
      </c>
      <c r="H97" s="346">
        <v>19995</v>
      </c>
      <c r="I97" s="340">
        <f t="shared" si="17"/>
        <v>169995</v>
      </c>
      <c r="J97" s="348">
        <v>50</v>
      </c>
      <c r="K97" s="380">
        <v>3399.9</v>
      </c>
      <c r="L97" s="356">
        <f t="shared" si="24"/>
        <v>399.9</v>
      </c>
      <c r="M97" s="356">
        <f t="shared" si="18"/>
        <v>3000</v>
      </c>
      <c r="N97" s="356">
        <f t="shared" si="19"/>
        <v>1999.5</v>
      </c>
      <c r="O97" s="356">
        <f t="shared" si="20"/>
        <v>17995.5</v>
      </c>
      <c r="P97" s="348">
        <v>5</v>
      </c>
      <c r="Q97" s="354">
        <f t="shared" si="21"/>
        <v>45</v>
      </c>
      <c r="R97" s="339">
        <f t="shared" si="22"/>
        <v>16999.5</v>
      </c>
      <c r="S97" s="339">
        <f t="shared" si="23"/>
        <v>152995.5</v>
      </c>
      <c r="T97" s="337"/>
    </row>
    <row r="98" spans="2:20">
      <c r="B98" s="378"/>
      <c r="C98" s="362" t="s">
        <v>1118</v>
      </c>
      <c r="D98" s="367">
        <v>94</v>
      </c>
      <c r="E98" s="337" t="s">
        <v>1437</v>
      </c>
      <c r="F98" s="337" t="s">
        <v>1119</v>
      </c>
      <c r="G98" s="346">
        <v>500000</v>
      </c>
      <c r="H98" s="346">
        <v>66650</v>
      </c>
      <c r="I98" s="340">
        <f t="shared" si="17"/>
        <v>566650</v>
      </c>
      <c r="J98" s="348">
        <v>50</v>
      </c>
      <c r="K98" s="380">
        <v>11333</v>
      </c>
      <c r="L98" s="356">
        <f t="shared" si="24"/>
        <v>1333</v>
      </c>
      <c r="M98" s="356">
        <f t="shared" si="18"/>
        <v>10000</v>
      </c>
      <c r="N98" s="356">
        <f t="shared" si="19"/>
        <v>23994</v>
      </c>
      <c r="O98" s="356">
        <f t="shared" si="20"/>
        <v>42656</v>
      </c>
      <c r="P98" s="348">
        <v>18</v>
      </c>
      <c r="Q98" s="354">
        <f t="shared" si="21"/>
        <v>32</v>
      </c>
      <c r="R98" s="339">
        <f t="shared" si="22"/>
        <v>203994</v>
      </c>
      <c r="S98" s="339">
        <f t="shared" si="23"/>
        <v>362656</v>
      </c>
      <c r="T98" s="337"/>
    </row>
    <row r="99" spans="2:20">
      <c r="B99" s="378"/>
      <c r="C99" s="363" t="s">
        <v>1123</v>
      </c>
      <c r="D99" s="367">
        <v>95</v>
      </c>
      <c r="E99" s="337" t="s">
        <v>1437</v>
      </c>
      <c r="F99" s="337" t="s">
        <v>439</v>
      </c>
      <c r="G99" s="346">
        <v>330000</v>
      </c>
      <c r="H99" s="346">
        <v>43989</v>
      </c>
      <c r="I99" s="340">
        <f t="shared" si="17"/>
        <v>373989</v>
      </c>
      <c r="J99" s="348">
        <v>50</v>
      </c>
      <c r="K99" s="380">
        <v>7479.78</v>
      </c>
      <c r="L99" s="356">
        <f t="shared" si="24"/>
        <v>879.78</v>
      </c>
      <c r="M99" s="356">
        <f t="shared" si="18"/>
        <v>6600</v>
      </c>
      <c r="N99" s="356">
        <f t="shared" si="19"/>
        <v>15836.039999999999</v>
      </c>
      <c r="O99" s="356">
        <f t="shared" si="20"/>
        <v>28152.959999999999</v>
      </c>
      <c r="P99" s="348">
        <v>18</v>
      </c>
      <c r="Q99" s="354">
        <f t="shared" si="21"/>
        <v>32</v>
      </c>
      <c r="R99" s="339">
        <f t="shared" si="22"/>
        <v>134636.04</v>
      </c>
      <c r="S99" s="339">
        <f t="shared" si="23"/>
        <v>239352.95999999999</v>
      </c>
      <c r="T99" s="337"/>
    </row>
    <row r="100" spans="2:20">
      <c r="B100" s="378"/>
      <c r="C100" s="361" t="s">
        <v>1365</v>
      </c>
      <c r="D100" s="367">
        <v>96</v>
      </c>
      <c r="E100" s="337" t="s">
        <v>1437</v>
      </c>
      <c r="F100" s="337" t="s">
        <v>449</v>
      </c>
      <c r="G100" s="346">
        <v>450000</v>
      </c>
      <c r="H100" s="346">
        <v>59985</v>
      </c>
      <c r="I100" s="340">
        <f t="shared" si="17"/>
        <v>509985</v>
      </c>
      <c r="J100" s="348">
        <v>50</v>
      </c>
      <c r="K100" s="380">
        <v>10199.700000000001</v>
      </c>
      <c r="L100" s="356">
        <f t="shared" si="24"/>
        <v>1199.7</v>
      </c>
      <c r="M100" s="356">
        <f t="shared" si="18"/>
        <v>9000</v>
      </c>
      <c r="N100" s="356">
        <f t="shared" si="19"/>
        <v>11997</v>
      </c>
      <c r="O100" s="356">
        <f t="shared" si="20"/>
        <v>47988</v>
      </c>
      <c r="P100" s="348">
        <v>10</v>
      </c>
      <c r="Q100" s="354">
        <f t="shared" si="21"/>
        <v>40</v>
      </c>
      <c r="R100" s="339">
        <f t="shared" si="22"/>
        <v>101997</v>
      </c>
      <c r="S100" s="339">
        <f t="shared" si="23"/>
        <v>407988</v>
      </c>
      <c r="T100" s="337"/>
    </row>
    <row r="101" spans="2:20">
      <c r="B101" s="378"/>
      <c r="C101" s="363" t="s">
        <v>987</v>
      </c>
      <c r="D101" s="367">
        <v>97</v>
      </c>
      <c r="E101" s="337" t="s">
        <v>1437</v>
      </c>
      <c r="F101" s="337" t="s">
        <v>866</v>
      </c>
      <c r="G101" s="346">
        <v>500000</v>
      </c>
      <c r="H101" s="346">
        <v>66650</v>
      </c>
      <c r="I101" s="340">
        <f t="shared" ref="I101:I132" si="25">SUM(G101:H101)</f>
        <v>566650</v>
      </c>
      <c r="J101" s="348">
        <v>50</v>
      </c>
      <c r="K101" s="380">
        <v>11333</v>
      </c>
      <c r="L101" s="356">
        <f t="shared" si="24"/>
        <v>1333</v>
      </c>
      <c r="M101" s="356">
        <f t="shared" ref="M101:M132" si="26">G101/50</f>
        <v>10000</v>
      </c>
      <c r="N101" s="356">
        <f t="shared" ref="N101:N132" si="27">L101*P101</f>
        <v>13330</v>
      </c>
      <c r="O101" s="356">
        <f t="shared" ref="O101:O132" si="28">L101*Q101</f>
        <v>53320</v>
      </c>
      <c r="P101" s="348">
        <v>10</v>
      </c>
      <c r="Q101" s="354">
        <f t="shared" ref="Q101:Q132" si="29">J101-P101</f>
        <v>40</v>
      </c>
      <c r="R101" s="339">
        <f t="shared" ref="R101:R132" si="30">K101*P101</f>
        <v>113330</v>
      </c>
      <c r="S101" s="339">
        <f t="shared" ref="S101:S132" si="31">I101-R101</f>
        <v>453320</v>
      </c>
      <c r="T101" s="337"/>
    </row>
    <row r="102" spans="2:20">
      <c r="B102" s="378"/>
      <c r="C102" s="364" t="s">
        <v>1321</v>
      </c>
      <c r="D102" s="367">
        <v>98</v>
      </c>
      <c r="E102" s="337" t="s">
        <v>1437</v>
      </c>
      <c r="F102" s="337" t="s">
        <v>403</v>
      </c>
      <c r="G102" s="346">
        <v>500000</v>
      </c>
      <c r="H102" s="346">
        <v>66650</v>
      </c>
      <c r="I102" s="340">
        <f t="shared" si="25"/>
        <v>566650</v>
      </c>
      <c r="J102" s="348">
        <v>50</v>
      </c>
      <c r="K102" s="380">
        <v>11333</v>
      </c>
      <c r="L102" s="356">
        <f t="shared" si="24"/>
        <v>1333</v>
      </c>
      <c r="M102" s="356">
        <f t="shared" si="26"/>
        <v>10000</v>
      </c>
      <c r="N102" s="356">
        <f t="shared" si="27"/>
        <v>10664</v>
      </c>
      <c r="O102" s="356">
        <f t="shared" si="28"/>
        <v>55986</v>
      </c>
      <c r="P102" s="348">
        <v>8</v>
      </c>
      <c r="Q102" s="354">
        <f t="shared" si="29"/>
        <v>42</v>
      </c>
      <c r="R102" s="339">
        <f t="shared" si="30"/>
        <v>90664</v>
      </c>
      <c r="S102" s="339">
        <f t="shared" si="31"/>
        <v>475986</v>
      </c>
      <c r="T102" s="337"/>
    </row>
    <row r="103" spans="2:20">
      <c r="B103" s="378"/>
      <c r="C103" s="366" t="s">
        <v>1093</v>
      </c>
      <c r="D103" s="367">
        <v>99</v>
      </c>
      <c r="E103" s="337" t="s">
        <v>1437</v>
      </c>
      <c r="F103" s="337" t="s">
        <v>364</v>
      </c>
      <c r="G103" s="346">
        <v>450000</v>
      </c>
      <c r="H103" s="346">
        <v>59985</v>
      </c>
      <c r="I103" s="340">
        <f t="shared" si="25"/>
        <v>509985</v>
      </c>
      <c r="J103" s="348">
        <v>50</v>
      </c>
      <c r="K103" s="380">
        <v>10199.700000000001</v>
      </c>
      <c r="L103" s="356">
        <f t="shared" si="24"/>
        <v>1199.7</v>
      </c>
      <c r="M103" s="356">
        <f t="shared" si="26"/>
        <v>9000</v>
      </c>
      <c r="N103" s="356">
        <f t="shared" si="27"/>
        <v>49187.700000000004</v>
      </c>
      <c r="O103" s="356">
        <f t="shared" si="28"/>
        <v>10797.300000000001</v>
      </c>
      <c r="P103" s="348">
        <v>41</v>
      </c>
      <c r="Q103" s="354">
        <f t="shared" si="29"/>
        <v>9</v>
      </c>
      <c r="R103" s="339">
        <f t="shared" si="30"/>
        <v>418187.7</v>
      </c>
      <c r="S103" s="339">
        <f t="shared" si="31"/>
        <v>91797.299999999988</v>
      </c>
      <c r="T103" s="337"/>
    </row>
    <row r="104" spans="2:20">
      <c r="B104" s="378"/>
      <c r="C104" s="361" t="s">
        <v>1105</v>
      </c>
      <c r="D104" s="367">
        <v>100</v>
      </c>
      <c r="E104" s="337" t="s">
        <v>1437</v>
      </c>
      <c r="F104" s="337" t="s">
        <v>861</v>
      </c>
      <c r="G104" s="346">
        <v>500000</v>
      </c>
      <c r="H104" s="346">
        <v>66650</v>
      </c>
      <c r="I104" s="340">
        <f t="shared" si="25"/>
        <v>566650</v>
      </c>
      <c r="J104" s="348">
        <v>50</v>
      </c>
      <c r="K104" s="380">
        <v>11333</v>
      </c>
      <c r="L104" s="356">
        <f t="shared" si="24"/>
        <v>1333</v>
      </c>
      <c r="M104" s="356">
        <f t="shared" si="26"/>
        <v>10000</v>
      </c>
      <c r="N104" s="356">
        <f t="shared" si="27"/>
        <v>30659</v>
      </c>
      <c r="O104" s="356">
        <f t="shared" si="28"/>
        <v>35991</v>
      </c>
      <c r="P104" s="348">
        <v>23</v>
      </c>
      <c r="Q104" s="354">
        <f t="shared" si="29"/>
        <v>27</v>
      </c>
      <c r="R104" s="339">
        <f t="shared" si="30"/>
        <v>260659</v>
      </c>
      <c r="S104" s="339">
        <f t="shared" si="31"/>
        <v>305991</v>
      </c>
      <c r="T104" s="337"/>
    </row>
    <row r="105" spans="2:20">
      <c r="B105" s="378"/>
      <c r="C105" s="364" t="s">
        <v>1361</v>
      </c>
      <c r="D105" s="367">
        <v>101</v>
      </c>
      <c r="E105" s="337" t="s">
        <v>1437</v>
      </c>
      <c r="F105" s="337" t="s">
        <v>1362</v>
      </c>
      <c r="G105" s="346">
        <v>450000</v>
      </c>
      <c r="H105" s="346">
        <v>59985</v>
      </c>
      <c r="I105" s="340">
        <f t="shared" si="25"/>
        <v>509985</v>
      </c>
      <c r="J105" s="348">
        <v>50</v>
      </c>
      <c r="K105" s="380">
        <v>10199.700000000001</v>
      </c>
      <c r="L105" s="356">
        <f t="shared" si="24"/>
        <v>1199.7</v>
      </c>
      <c r="M105" s="356">
        <f t="shared" si="26"/>
        <v>9000</v>
      </c>
      <c r="N105" s="356">
        <f t="shared" si="27"/>
        <v>9597.6</v>
      </c>
      <c r="O105" s="356">
        <f t="shared" si="28"/>
        <v>50387.4</v>
      </c>
      <c r="P105" s="348">
        <v>8</v>
      </c>
      <c r="Q105" s="354">
        <f t="shared" si="29"/>
        <v>42</v>
      </c>
      <c r="R105" s="339">
        <f t="shared" si="30"/>
        <v>81597.600000000006</v>
      </c>
      <c r="S105" s="339">
        <f t="shared" si="31"/>
        <v>428387.4</v>
      </c>
      <c r="T105" s="337"/>
    </row>
    <row r="106" spans="2:20">
      <c r="B106" s="378"/>
      <c r="C106" s="364" t="s">
        <v>999</v>
      </c>
      <c r="D106" s="367">
        <v>102</v>
      </c>
      <c r="E106" s="337" t="s">
        <v>1437</v>
      </c>
      <c r="F106" s="337" t="s">
        <v>441</v>
      </c>
      <c r="G106" s="346">
        <v>500000</v>
      </c>
      <c r="H106" s="346">
        <v>66650</v>
      </c>
      <c r="I106" s="340">
        <f t="shared" si="25"/>
        <v>566650</v>
      </c>
      <c r="J106" s="348">
        <v>50</v>
      </c>
      <c r="K106" s="380">
        <v>11333</v>
      </c>
      <c r="L106" s="356">
        <f t="shared" si="24"/>
        <v>1333</v>
      </c>
      <c r="M106" s="356">
        <f t="shared" si="26"/>
        <v>10000</v>
      </c>
      <c r="N106" s="356">
        <f t="shared" si="27"/>
        <v>39990</v>
      </c>
      <c r="O106" s="356">
        <f t="shared" si="28"/>
        <v>26660</v>
      </c>
      <c r="P106" s="348">
        <v>30</v>
      </c>
      <c r="Q106" s="354">
        <f t="shared" si="29"/>
        <v>20</v>
      </c>
      <c r="R106" s="339">
        <f t="shared" si="30"/>
        <v>339990</v>
      </c>
      <c r="S106" s="339">
        <f t="shared" si="31"/>
        <v>226660</v>
      </c>
      <c r="T106" s="337"/>
    </row>
    <row r="107" spans="2:20">
      <c r="B107" s="378"/>
      <c r="C107" s="362" t="s">
        <v>1053</v>
      </c>
      <c r="D107" s="367">
        <v>103</v>
      </c>
      <c r="E107" s="337" t="s">
        <v>1437</v>
      </c>
      <c r="F107" s="337" t="s">
        <v>845</v>
      </c>
      <c r="G107" s="346">
        <v>150000</v>
      </c>
      <c r="H107" s="346">
        <v>19995</v>
      </c>
      <c r="I107" s="340">
        <f t="shared" si="25"/>
        <v>169995</v>
      </c>
      <c r="J107" s="348">
        <v>50</v>
      </c>
      <c r="K107" s="380">
        <v>3399.9</v>
      </c>
      <c r="L107" s="356">
        <f t="shared" si="24"/>
        <v>399.9</v>
      </c>
      <c r="M107" s="356">
        <f t="shared" si="26"/>
        <v>3000</v>
      </c>
      <c r="N107" s="356">
        <f t="shared" si="27"/>
        <v>16795.8</v>
      </c>
      <c r="O107" s="356">
        <f t="shared" si="28"/>
        <v>3199.2</v>
      </c>
      <c r="P107" s="348">
        <v>42</v>
      </c>
      <c r="Q107" s="354">
        <f t="shared" si="29"/>
        <v>8</v>
      </c>
      <c r="R107" s="339">
        <f t="shared" si="30"/>
        <v>142795.80000000002</v>
      </c>
      <c r="S107" s="339">
        <f t="shared" si="31"/>
        <v>27199.199999999983</v>
      </c>
      <c r="T107" s="337"/>
    </row>
    <row r="108" spans="2:20">
      <c r="B108" s="378"/>
      <c r="C108" s="364" t="s">
        <v>1332</v>
      </c>
      <c r="D108" s="367">
        <v>104</v>
      </c>
      <c r="E108" s="337" t="s">
        <v>1437</v>
      </c>
      <c r="F108" s="337" t="s">
        <v>1284</v>
      </c>
      <c r="G108" s="346">
        <v>500000</v>
      </c>
      <c r="H108" s="346">
        <v>66650</v>
      </c>
      <c r="I108" s="340">
        <f t="shared" si="25"/>
        <v>566650</v>
      </c>
      <c r="J108" s="348">
        <v>50</v>
      </c>
      <c r="K108" s="380">
        <v>11333</v>
      </c>
      <c r="L108" s="356">
        <f t="shared" si="24"/>
        <v>1333</v>
      </c>
      <c r="M108" s="356">
        <f t="shared" si="26"/>
        <v>10000</v>
      </c>
      <c r="N108" s="356">
        <f t="shared" si="27"/>
        <v>33325</v>
      </c>
      <c r="O108" s="356">
        <f t="shared" si="28"/>
        <v>33325</v>
      </c>
      <c r="P108" s="348">
        <v>25</v>
      </c>
      <c r="Q108" s="354">
        <f t="shared" si="29"/>
        <v>25</v>
      </c>
      <c r="R108" s="339">
        <f t="shared" si="30"/>
        <v>283325</v>
      </c>
      <c r="S108" s="339">
        <f t="shared" si="31"/>
        <v>283325</v>
      </c>
      <c r="T108" s="337"/>
    </row>
    <row r="109" spans="2:20">
      <c r="B109" s="378"/>
      <c r="C109" s="363" t="s">
        <v>1062</v>
      </c>
      <c r="D109" s="367">
        <v>105</v>
      </c>
      <c r="E109" s="337" t="s">
        <v>1437</v>
      </c>
      <c r="F109" s="337" t="s">
        <v>335</v>
      </c>
      <c r="G109" s="346">
        <v>500000</v>
      </c>
      <c r="H109" s="346">
        <v>66650</v>
      </c>
      <c r="I109" s="340">
        <f t="shared" si="25"/>
        <v>566650</v>
      </c>
      <c r="J109" s="348">
        <v>50</v>
      </c>
      <c r="K109" s="380">
        <v>11333</v>
      </c>
      <c r="L109" s="356">
        <f t="shared" si="24"/>
        <v>1333</v>
      </c>
      <c r="M109" s="356">
        <f t="shared" si="26"/>
        <v>10000</v>
      </c>
      <c r="N109" s="356">
        <f t="shared" si="27"/>
        <v>73315</v>
      </c>
      <c r="O109" s="356">
        <f t="shared" si="28"/>
        <v>-6665</v>
      </c>
      <c r="P109" s="348">
        <v>55</v>
      </c>
      <c r="Q109" s="354">
        <f t="shared" si="29"/>
        <v>-5</v>
      </c>
      <c r="R109" s="339">
        <f t="shared" si="30"/>
        <v>623315</v>
      </c>
      <c r="S109" s="339">
        <f t="shared" si="31"/>
        <v>-56665</v>
      </c>
      <c r="T109" s="337"/>
    </row>
    <row r="110" spans="2:20">
      <c r="B110" s="378"/>
      <c r="C110" s="337" t="s">
        <v>1411</v>
      </c>
      <c r="D110" s="367">
        <v>106</v>
      </c>
      <c r="E110" s="337" t="s">
        <v>1437</v>
      </c>
      <c r="F110" s="337" t="s">
        <v>473</v>
      </c>
      <c r="G110" s="346">
        <v>500000</v>
      </c>
      <c r="H110" s="346">
        <v>66650</v>
      </c>
      <c r="I110" s="340">
        <f t="shared" si="25"/>
        <v>566650</v>
      </c>
      <c r="J110" s="348">
        <v>40</v>
      </c>
      <c r="K110" s="380">
        <v>13833</v>
      </c>
      <c r="L110" s="356">
        <f t="shared" si="24"/>
        <v>1333</v>
      </c>
      <c r="M110" s="356">
        <f t="shared" si="26"/>
        <v>10000</v>
      </c>
      <c r="N110" s="356">
        <f t="shared" si="27"/>
        <v>3999</v>
      </c>
      <c r="O110" s="356">
        <f t="shared" si="28"/>
        <v>49321</v>
      </c>
      <c r="P110" s="348">
        <v>3</v>
      </c>
      <c r="Q110" s="354">
        <f t="shared" si="29"/>
        <v>37</v>
      </c>
      <c r="R110" s="339">
        <f t="shared" si="30"/>
        <v>41499</v>
      </c>
      <c r="S110" s="339">
        <f t="shared" si="31"/>
        <v>525151</v>
      </c>
      <c r="T110" s="337"/>
    </row>
    <row r="111" spans="2:20">
      <c r="B111" s="378"/>
      <c r="C111" s="363" t="s">
        <v>1329</v>
      </c>
      <c r="D111" s="367">
        <v>107</v>
      </c>
      <c r="E111" s="337" t="s">
        <v>1437</v>
      </c>
      <c r="F111" s="337" t="s">
        <v>463</v>
      </c>
      <c r="G111" s="346">
        <v>500000</v>
      </c>
      <c r="H111" s="346">
        <v>66650</v>
      </c>
      <c r="I111" s="340">
        <f t="shared" si="25"/>
        <v>566650</v>
      </c>
      <c r="J111" s="348">
        <v>50</v>
      </c>
      <c r="K111" s="380">
        <v>11333</v>
      </c>
      <c r="L111" s="356">
        <f t="shared" si="24"/>
        <v>1333</v>
      </c>
      <c r="M111" s="356">
        <f t="shared" si="26"/>
        <v>10000</v>
      </c>
      <c r="N111" s="356">
        <f t="shared" si="27"/>
        <v>19995</v>
      </c>
      <c r="O111" s="356">
        <f t="shared" si="28"/>
        <v>46655</v>
      </c>
      <c r="P111" s="348">
        <v>15</v>
      </c>
      <c r="Q111" s="354">
        <f t="shared" si="29"/>
        <v>35</v>
      </c>
      <c r="R111" s="339">
        <f t="shared" si="30"/>
        <v>169995</v>
      </c>
      <c r="S111" s="339">
        <f t="shared" si="31"/>
        <v>396655</v>
      </c>
      <c r="T111" s="337"/>
    </row>
    <row r="112" spans="2:20">
      <c r="B112" s="378"/>
      <c r="C112" s="365" t="s">
        <v>1358</v>
      </c>
      <c r="D112" s="367">
        <v>108</v>
      </c>
      <c r="E112" s="337" t="s">
        <v>1437</v>
      </c>
      <c r="F112" s="337" t="s">
        <v>1359</v>
      </c>
      <c r="G112" s="346">
        <v>450000</v>
      </c>
      <c r="H112" s="346">
        <v>59985</v>
      </c>
      <c r="I112" s="340">
        <f t="shared" si="25"/>
        <v>509985</v>
      </c>
      <c r="J112" s="348">
        <v>50</v>
      </c>
      <c r="K112" s="380">
        <v>10199.700000000001</v>
      </c>
      <c r="L112" s="356">
        <f t="shared" si="24"/>
        <v>1199.7</v>
      </c>
      <c r="M112" s="356">
        <f t="shared" si="26"/>
        <v>9000</v>
      </c>
      <c r="N112" s="356">
        <f t="shared" si="27"/>
        <v>5998.5</v>
      </c>
      <c r="O112" s="356">
        <f t="shared" si="28"/>
        <v>53986.5</v>
      </c>
      <c r="P112" s="348">
        <v>5</v>
      </c>
      <c r="Q112" s="354">
        <f t="shared" si="29"/>
        <v>45</v>
      </c>
      <c r="R112" s="339">
        <f t="shared" si="30"/>
        <v>50998.5</v>
      </c>
      <c r="S112" s="339">
        <f t="shared" si="31"/>
        <v>458986.5</v>
      </c>
      <c r="T112" s="337"/>
    </row>
    <row r="113" spans="2:20">
      <c r="B113" s="378"/>
      <c r="C113" s="361" t="s">
        <v>1334</v>
      </c>
      <c r="D113" s="367">
        <v>109</v>
      </c>
      <c r="E113" s="337" t="s">
        <v>1437</v>
      </c>
      <c r="F113" s="337" t="s">
        <v>1294</v>
      </c>
      <c r="G113" s="346">
        <v>500000</v>
      </c>
      <c r="H113" s="346">
        <v>66650</v>
      </c>
      <c r="I113" s="340">
        <f t="shared" si="25"/>
        <v>566650</v>
      </c>
      <c r="J113" s="348">
        <v>50</v>
      </c>
      <c r="K113" s="380">
        <v>11333</v>
      </c>
      <c r="L113" s="356">
        <f t="shared" si="24"/>
        <v>1333</v>
      </c>
      <c r="M113" s="356">
        <f t="shared" si="26"/>
        <v>10000</v>
      </c>
      <c r="N113" s="356">
        <f t="shared" si="27"/>
        <v>19995</v>
      </c>
      <c r="O113" s="356">
        <f t="shared" si="28"/>
        <v>46655</v>
      </c>
      <c r="P113" s="348">
        <v>15</v>
      </c>
      <c r="Q113" s="354">
        <f t="shared" si="29"/>
        <v>35</v>
      </c>
      <c r="R113" s="339">
        <f t="shared" si="30"/>
        <v>169995</v>
      </c>
      <c r="S113" s="339">
        <f t="shared" si="31"/>
        <v>396655</v>
      </c>
      <c r="T113" s="337"/>
    </row>
    <row r="114" spans="2:20">
      <c r="B114" s="378"/>
      <c r="C114" s="361" t="s">
        <v>1319</v>
      </c>
      <c r="D114" s="367">
        <v>110</v>
      </c>
      <c r="E114" s="337" t="s">
        <v>1437</v>
      </c>
      <c r="F114" s="337" t="s">
        <v>305</v>
      </c>
      <c r="G114" s="346">
        <v>500000</v>
      </c>
      <c r="H114" s="346">
        <v>66650</v>
      </c>
      <c r="I114" s="340">
        <f t="shared" si="25"/>
        <v>566650</v>
      </c>
      <c r="J114" s="348">
        <v>40</v>
      </c>
      <c r="K114" s="380">
        <v>13833</v>
      </c>
      <c r="L114" s="356">
        <f t="shared" si="24"/>
        <v>1333</v>
      </c>
      <c r="M114" s="356">
        <f t="shared" si="26"/>
        <v>10000</v>
      </c>
      <c r="N114" s="356">
        <f t="shared" si="27"/>
        <v>6665</v>
      </c>
      <c r="O114" s="356">
        <f t="shared" si="28"/>
        <v>46655</v>
      </c>
      <c r="P114" s="348">
        <v>5</v>
      </c>
      <c r="Q114" s="354">
        <f t="shared" si="29"/>
        <v>35</v>
      </c>
      <c r="R114" s="339">
        <f t="shared" si="30"/>
        <v>69165</v>
      </c>
      <c r="S114" s="339">
        <f t="shared" si="31"/>
        <v>497485</v>
      </c>
      <c r="T114" s="337"/>
    </row>
    <row r="115" spans="2:20">
      <c r="B115" s="378"/>
      <c r="C115" s="361" t="s">
        <v>1388</v>
      </c>
      <c r="D115" s="367">
        <v>111</v>
      </c>
      <c r="E115" s="337" t="s">
        <v>1437</v>
      </c>
      <c r="F115" s="337" t="s">
        <v>1389</v>
      </c>
      <c r="G115" s="346">
        <v>330000</v>
      </c>
      <c r="H115" s="346">
        <v>43989</v>
      </c>
      <c r="I115" s="340">
        <f t="shared" si="25"/>
        <v>373989</v>
      </c>
      <c r="J115" s="348">
        <v>50</v>
      </c>
      <c r="K115" s="380">
        <v>7479.78</v>
      </c>
      <c r="L115" s="356">
        <f t="shared" si="24"/>
        <v>879.78</v>
      </c>
      <c r="M115" s="356">
        <f t="shared" si="26"/>
        <v>6600</v>
      </c>
      <c r="N115" s="356">
        <f t="shared" si="27"/>
        <v>6158.46</v>
      </c>
      <c r="O115" s="356">
        <f t="shared" si="28"/>
        <v>37830.54</v>
      </c>
      <c r="P115" s="348">
        <v>7</v>
      </c>
      <c r="Q115" s="354">
        <f t="shared" si="29"/>
        <v>43</v>
      </c>
      <c r="R115" s="339">
        <f t="shared" si="30"/>
        <v>52358.46</v>
      </c>
      <c r="S115" s="339">
        <f t="shared" si="31"/>
        <v>321630.53999999998</v>
      </c>
      <c r="T115" s="337"/>
    </row>
    <row r="116" spans="2:20">
      <c r="B116" s="378"/>
      <c r="C116" s="362" t="s">
        <v>1317</v>
      </c>
      <c r="D116" s="367">
        <v>112</v>
      </c>
      <c r="E116" s="337" t="s">
        <v>1437</v>
      </c>
      <c r="F116" s="337" t="s">
        <v>1318</v>
      </c>
      <c r="G116" s="346">
        <v>450000</v>
      </c>
      <c r="H116" s="346">
        <v>43189.2</v>
      </c>
      <c r="I116" s="340">
        <f t="shared" si="25"/>
        <v>493189.2</v>
      </c>
      <c r="J116" s="348">
        <v>36</v>
      </c>
      <c r="K116" s="380">
        <v>14153.05</v>
      </c>
      <c r="L116" s="356">
        <f>H116/36</f>
        <v>1199.6999999999998</v>
      </c>
      <c r="M116" s="356">
        <f t="shared" si="26"/>
        <v>9000</v>
      </c>
      <c r="N116" s="356">
        <f t="shared" si="27"/>
        <v>28792.799999999996</v>
      </c>
      <c r="O116" s="356">
        <f t="shared" si="28"/>
        <v>14396.399999999998</v>
      </c>
      <c r="P116" s="348">
        <v>24</v>
      </c>
      <c r="Q116" s="354">
        <f t="shared" si="29"/>
        <v>12</v>
      </c>
      <c r="R116" s="339">
        <f t="shared" si="30"/>
        <v>339673.19999999995</v>
      </c>
      <c r="S116" s="339">
        <f t="shared" si="31"/>
        <v>153516.00000000006</v>
      </c>
      <c r="T116" s="337"/>
    </row>
    <row r="117" spans="2:20">
      <c r="B117" s="378"/>
      <c r="C117" s="363" t="s">
        <v>1360</v>
      </c>
      <c r="D117" s="367">
        <v>113</v>
      </c>
      <c r="E117" s="337" t="s">
        <v>1437</v>
      </c>
      <c r="F117" s="337" t="s">
        <v>293</v>
      </c>
      <c r="G117" s="346">
        <v>450000</v>
      </c>
      <c r="H117" s="346">
        <v>59985</v>
      </c>
      <c r="I117" s="340">
        <f t="shared" si="25"/>
        <v>509985</v>
      </c>
      <c r="J117" s="348">
        <v>50</v>
      </c>
      <c r="K117" s="380">
        <v>10199.700000000001</v>
      </c>
      <c r="L117" s="356">
        <f t="shared" ref="L117:L153" si="32">H117/50</f>
        <v>1199.7</v>
      </c>
      <c r="M117" s="356">
        <f t="shared" si="26"/>
        <v>9000</v>
      </c>
      <c r="N117" s="356">
        <f t="shared" si="27"/>
        <v>20394.900000000001</v>
      </c>
      <c r="O117" s="356">
        <f t="shared" si="28"/>
        <v>39590.1</v>
      </c>
      <c r="P117" s="348">
        <v>17</v>
      </c>
      <c r="Q117" s="354">
        <f t="shared" si="29"/>
        <v>33</v>
      </c>
      <c r="R117" s="339">
        <f t="shared" si="30"/>
        <v>173394.90000000002</v>
      </c>
      <c r="S117" s="339">
        <f t="shared" si="31"/>
        <v>336590.1</v>
      </c>
      <c r="T117" s="337"/>
    </row>
    <row r="118" spans="2:20">
      <c r="B118" s="378"/>
      <c r="C118" s="362" t="s">
        <v>1094</v>
      </c>
      <c r="D118" s="367">
        <v>114</v>
      </c>
      <c r="E118" s="337" t="s">
        <v>1437</v>
      </c>
      <c r="F118" s="337" t="s">
        <v>1095</v>
      </c>
      <c r="G118" s="346">
        <v>500000</v>
      </c>
      <c r="H118" s="346">
        <v>66650</v>
      </c>
      <c r="I118" s="340">
        <f t="shared" si="25"/>
        <v>566650</v>
      </c>
      <c r="J118" s="348">
        <v>50</v>
      </c>
      <c r="K118" s="380">
        <v>11333</v>
      </c>
      <c r="L118" s="356">
        <f t="shared" si="32"/>
        <v>1333</v>
      </c>
      <c r="M118" s="356">
        <f t="shared" si="26"/>
        <v>10000</v>
      </c>
      <c r="N118" s="356">
        <f t="shared" si="27"/>
        <v>29326</v>
      </c>
      <c r="O118" s="356">
        <f t="shared" si="28"/>
        <v>37324</v>
      </c>
      <c r="P118" s="348">
        <v>22</v>
      </c>
      <c r="Q118" s="354">
        <f t="shared" si="29"/>
        <v>28</v>
      </c>
      <c r="R118" s="339">
        <f t="shared" si="30"/>
        <v>249326</v>
      </c>
      <c r="S118" s="339">
        <f t="shared" si="31"/>
        <v>317324</v>
      </c>
      <c r="T118" s="337"/>
    </row>
    <row r="119" spans="2:20">
      <c r="B119" s="378"/>
      <c r="C119" s="365" t="s">
        <v>1330</v>
      </c>
      <c r="D119" s="367">
        <v>115</v>
      </c>
      <c r="E119" s="337" t="s">
        <v>1437</v>
      </c>
      <c r="F119" s="337" t="s">
        <v>1331</v>
      </c>
      <c r="G119" s="346">
        <v>500000</v>
      </c>
      <c r="H119" s="346">
        <v>66650</v>
      </c>
      <c r="I119" s="340">
        <f t="shared" si="25"/>
        <v>566650</v>
      </c>
      <c r="J119" s="348">
        <v>50</v>
      </c>
      <c r="K119" s="380">
        <v>11333</v>
      </c>
      <c r="L119" s="356">
        <f t="shared" si="32"/>
        <v>1333</v>
      </c>
      <c r="M119" s="356">
        <f t="shared" si="26"/>
        <v>10000</v>
      </c>
      <c r="N119" s="356">
        <f t="shared" si="27"/>
        <v>22661</v>
      </c>
      <c r="O119" s="356">
        <f t="shared" si="28"/>
        <v>43989</v>
      </c>
      <c r="P119" s="348">
        <v>17</v>
      </c>
      <c r="Q119" s="354">
        <f t="shared" si="29"/>
        <v>33</v>
      </c>
      <c r="R119" s="339">
        <f t="shared" si="30"/>
        <v>192661</v>
      </c>
      <c r="S119" s="339">
        <f t="shared" si="31"/>
        <v>373989</v>
      </c>
      <c r="T119" s="337"/>
    </row>
    <row r="120" spans="2:20">
      <c r="B120" s="378"/>
      <c r="C120" s="364" t="s">
        <v>1368</v>
      </c>
      <c r="D120" s="367">
        <v>116</v>
      </c>
      <c r="E120" s="337" t="s">
        <v>1437</v>
      </c>
      <c r="F120" s="337" t="s">
        <v>443</v>
      </c>
      <c r="G120" s="346">
        <v>330000</v>
      </c>
      <c r="H120" s="346">
        <v>43989</v>
      </c>
      <c r="I120" s="340">
        <f t="shared" si="25"/>
        <v>373989</v>
      </c>
      <c r="J120" s="348">
        <v>50</v>
      </c>
      <c r="K120" s="380">
        <v>7479.78</v>
      </c>
      <c r="L120" s="356">
        <f t="shared" si="32"/>
        <v>879.78</v>
      </c>
      <c r="M120" s="356">
        <f t="shared" si="26"/>
        <v>6600</v>
      </c>
      <c r="N120" s="356">
        <f t="shared" si="27"/>
        <v>8797.7999999999993</v>
      </c>
      <c r="O120" s="356">
        <f t="shared" si="28"/>
        <v>35191.199999999997</v>
      </c>
      <c r="P120" s="348">
        <v>10</v>
      </c>
      <c r="Q120" s="354">
        <f t="shared" si="29"/>
        <v>40</v>
      </c>
      <c r="R120" s="339">
        <f t="shared" si="30"/>
        <v>74797.8</v>
      </c>
      <c r="S120" s="339">
        <f t="shared" si="31"/>
        <v>299191.2</v>
      </c>
      <c r="T120" s="337"/>
    </row>
    <row r="121" spans="2:20">
      <c r="B121" s="378"/>
      <c r="C121" s="364" t="s">
        <v>1006</v>
      </c>
      <c r="D121" s="367">
        <v>117</v>
      </c>
      <c r="E121" s="337" t="s">
        <v>1437</v>
      </c>
      <c r="F121" s="337" t="s">
        <v>865</v>
      </c>
      <c r="G121" s="346">
        <v>500000</v>
      </c>
      <c r="H121" s="346">
        <v>66650</v>
      </c>
      <c r="I121" s="340">
        <f t="shared" si="25"/>
        <v>566650</v>
      </c>
      <c r="J121" s="348">
        <v>50</v>
      </c>
      <c r="K121" s="380">
        <v>11333</v>
      </c>
      <c r="L121" s="356">
        <f t="shared" si="32"/>
        <v>1333</v>
      </c>
      <c r="M121" s="356">
        <f t="shared" si="26"/>
        <v>10000</v>
      </c>
      <c r="N121" s="356">
        <f t="shared" si="27"/>
        <v>74648</v>
      </c>
      <c r="O121" s="356">
        <f t="shared" si="28"/>
        <v>-7998</v>
      </c>
      <c r="P121" s="348">
        <v>56</v>
      </c>
      <c r="Q121" s="354">
        <f t="shared" si="29"/>
        <v>-6</v>
      </c>
      <c r="R121" s="339">
        <f t="shared" si="30"/>
        <v>634648</v>
      </c>
      <c r="S121" s="339">
        <f t="shared" si="31"/>
        <v>-67998</v>
      </c>
      <c r="T121" s="337"/>
    </row>
    <row r="122" spans="2:20">
      <c r="B122" s="378"/>
      <c r="C122" s="337" t="s">
        <v>1414</v>
      </c>
      <c r="D122" s="367">
        <v>118</v>
      </c>
      <c r="E122" s="337" t="s">
        <v>1437</v>
      </c>
      <c r="F122" s="337" t="s">
        <v>459</v>
      </c>
      <c r="G122" s="346">
        <v>500000</v>
      </c>
      <c r="H122" s="346">
        <v>66650</v>
      </c>
      <c r="I122" s="340">
        <f t="shared" si="25"/>
        <v>566650</v>
      </c>
      <c r="J122" s="348">
        <v>50</v>
      </c>
      <c r="K122" s="380">
        <v>11333</v>
      </c>
      <c r="L122" s="356">
        <f t="shared" si="32"/>
        <v>1333</v>
      </c>
      <c r="M122" s="356">
        <f t="shared" si="26"/>
        <v>10000</v>
      </c>
      <c r="N122" s="356">
        <f t="shared" si="27"/>
        <v>3999</v>
      </c>
      <c r="O122" s="356">
        <f t="shared" si="28"/>
        <v>62651</v>
      </c>
      <c r="P122" s="348">
        <v>3</v>
      </c>
      <c r="Q122" s="354">
        <f t="shared" si="29"/>
        <v>47</v>
      </c>
      <c r="R122" s="339">
        <f t="shared" si="30"/>
        <v>33999</v>
      </c>
      <c r="S122" s="339">
        <f t="shared" si="31"/>
        <v>532651</v>
      </c>
      <c r="T122" s="337"/>
    </row>
    <row r="123" spans="2:20">
      <c r="B123" s="378"/>
      <c r="C123" s="364" t="s">
        <v>983</v>
      </c>
      <c r="D123" s="367">
        <v>119</v>
      </c>
      <c r="E123" s="337" t="s">
        <v>1437</v>
      </c>
      <c r="F123" s="337" t="s">
        <v>323</v>
      </c>
      <c r="G123" s="346">
        <v>500000</v>
      </c>
      <c r="H123" s="346">
        <v>66650</v>
      </c>
      <c r="I123" s="340">
        <f t="shared" si="25"/>
        <v>566650</v>
      </c>
      <c r="J123" s="348">
        <v>50</v>
      </c>
      <c r="K123" s="380">
        <v>11333</v>
      </c>
      <c r="L123" s="356">
        <f t="shared" si="32"/>
        <v>1333</v>
      </c>
      <c r="M123" s="356">
        <f t="shared" si="26"/>
        <v>10000</v>
      </c>
      <c r="N123" s="356">
        <f t="shared" si="27"/>
        <v>73315</v>
      </c>
      <c r="O123" s="356">
        <f t="shared" si="28"/>
        <v>-6665</v>
      </c>
      <c r="P123" s="348">
        <v>55</v>
      </c>
      <c r="Q123" s="354">
        <f t="shared" si="29"/>
        <v>-5</v>
      </c>
      <c r="R123" s="339">
        <f t="shared" si="30"/>
        <v>623315</v>
      </c>
      <c r="S123" s="339">
        <f t="shared" si="31"/>
        <v>-56665</v>
      </c>
      <c r="T123" s="337"/>
    </row>
    <row r="124" spans="2:20">
      <c r="B124" s="378"/>
      <c r="C124" s="364" t="s">
        <v>1080</v>
      </c>
      <c r="D124" s="367">
        <v>120</v>
      </c>
      <c r="E124" s="337" t="s">
        <v>1437</v>
      </c>
      <c r="F124" s="337" t="s">
        <v>315</v>
      </c>
      <c r="G124" s="346">
        <v>500000</v>
      </c>
      <c r="H124" s="346">
        <v>66650</v>
      </c>
      <c r="I124" s="340">
        <f t="shared" si="25"/>
        <v>566650</v>
      </c>
      <c r="J124" s="348">
        <v>50</v>
      </c>
      <c r="K124" s="380">
        <v>11333</v>
      </c>
      <c r="L124" s="356">
        <f t="shared" si="32"/>
        <v>1333</v>
      </c>
      <c r="M124" s="356">
        <f t="shared" si="26"/>
        <v>10000</v>
      </c>
      <c r="N124" s="356">
        <f t="shared" si="27"/>
        <v>55986</v>
      </c>
      <c r="O124" s="356">
        <f t="shared" si="28"/>
        <v>10664</v>
      </c>
      <c r="P124" s="348">
        <v>42</v>
      </c>
      <c r="Q124" s="354">
        <f t="shared" si="29"/>
        <v>8</v>
      </c>
      <c r="R124" s="339">
        <f t="shared" si="30"/>
        <v>475986</v>
      </c>
      <c r="S124" s="339">
        <f t="shared" si="31"/>
        <v>90664</v>
      </c>
      <c r="T124" s="337"/>
    </row>
    <row r="125" spans="2:20">
      <c r="B125" s="378"/>
      <c r="C125" s="364" t="s">
        <v>1084</v>
      </c>
      <c r="D125" s="367">
        <v>121</v>
      </c>
      <c r="E125" s="337" t="s">
        <v>1437</v>
      </c>
      <c r="F125" s="337" t="s">
        <v>353</v>
      </c>
      <c r="G125" s="346">
        <v>500000</v>
      </c>
      <c r="H125" s="346">
        <v>66650</v>
      </c>
      <c r="I125" s="340">
        <f t="shared" si="25"/>
        <v>566650</v>
      </c>
      <c r="J125" s="348">
        <v>50</v>
      </c>
      <c r="K125" s="380">
        <v>11333</v>
      </c>
      <c r="L125" s="356">
        <f t="shared" si="32"/>
        <v>1333</v>
      </c>
      <c r="M125" s="356">
        <f t="shared" si="26"/>
        <v>10000</v>
      </c>
      <c r="N125" s="356">
        <f t="shared" si="27"/>
        <v>55986</v>
      </c>
      <c r="O125" s="356">
        <f t="shared" si="28"/>
        <v>10664</v>
      </c>
      <c r="P125" s="348">
        <v>42</v>
      </c>
      <c r="Q125" s="354">
        <f t="shared" si="29"/>
        <v>8</v>
      </c>
      <c r="R125" s="339">
        <f t="shared" si="30"/>
        <v>475986</v>
      </c>
      <c r="S125" s="339">
        <f t="shared" si="31"/>
        <v>90664</v>
      </c>
      <c r="T125" s="337"/>
    </row>
    <row r="126" spans="2:20">
      <c r="B126" s="378"/>
      <c r="C126" s="361" t="s">
        <v>1108</v>
      </c>
      <c r="D126" s="367">
        <v>122</v>
      </c>
      <c r="E126" s="337" t="s">
        <v>1437</v>
      </c>
      <c r="F126" s="337" t="s">
        <v>802</v>
      </c>
      <c r="G126" s="346">
        <v>500000</v>
      </c>
      <c r="H126" s="346">
        <v>66650</v>
      </c>
      <c r="I126" s="340">
        <f t="shared" si="25"/>
        <v>566650</v>
      </c>
      <c r="J126" s="348">
        <v>50</v>
      </c>
      <c r="K126" s="380">
        <v>11333</v>
      </c>
      <c r="L126" s="356">
        <f t="shared" si="32"/>
        <v>1333</v>
      </c>
      <c r="M126" s="356">
        <f t="shared" si="26"/>
        <v>10000</v>
      </c>
      <c r="N126" s="356">
        <f t="shared" si="27"/>
        <v>42656</v>
      </c>
      <c r="O126" s="356">
        <f t="shared" si="28"/>
        <v>23994</v>
      </c>
      <c r="P126" s="348">
        <v>32</v>
      </c>
      <c r="Q126" s="354">
        <f t="shared" si="29"/>
        <v>18</v>
      </c>
      <c r="R126" s="339">
        <f t="shared" si="30"/>
        <v>362656</v>
      </c>
      <c r="S126" s="339">
        <f t="shared" si="31"/>
        <v>203994</v>
      </c>
      <c r="T126" s="337"/>
    </row>
    <row r="127" spans="2:20">
      <c r="B127" s="378"/>
      <c r="C127" s="362" t="s">
        <v>1333</v>
      </c>
      <c r="D127" s="367">
        <v>123</v>
      </c>
      <c r="E127" s="337" t="s">
        <v>1437</v>
      </c>
      <c r="F127" s="337" t="s">
        <v>1281</v>
      </c>
      <c r="G127" s="346">
        <v>500000</v>
      </c>
      <c r="H127" s="346">
        <v>66650</v>
      </c>
      <c r="I127" s="340">
        <f t="shared" si="25"/>
        <v>566650</v>
      </c>
      <c r="J127" s="348">
        <v>50</v>
      </c>
      <c r="K127" s="380">
        <v>11333</v>
      </c>
      <c r="L127" s="356">
        <f t="shared" si="32"/>
        <v>1333</v>
      </c>
      <c r="M127" s="356">
        <f t="shared" si="26"/>
        <v>10000</v>
      </c>
      <c r="N127" s="356">
        <f t="shared" si="27"/>
        <v>13330</v>
      </c>
      <c r="O127" s="356">
        <f t="shared" si="28"/>
        <v>53320</v>
      </c>
      <c r="P127" s="348">
        <v>10</v>
      </c>
      <c r="Q127" s="354">
        <f t="shared" si="29"/>
        <v>40</v>
      </c>
      <c r="R127" s="339">
        <f t="shared" si="30"/>
        <v>113330</v>
      </c>
      <c r="S127" s="339">
        <f t="shared" si="31"/>
        <v>453320</v>
      </c>
      <c r="T127" s="337"/>
    </row>
    <row r="128" spans="2:20">
      <c r="B128" s="378"/>
      <c r="C128" s="364" t="s">
        <v>1057</v>
      </c>
      <c r="D128" s="367">
        <v>124</v>
      </c>
      <c r="E128" s="337" t="s">
        <v>1437</v>
      </c>
      <c r="F128" s="337" t="s">
        <v>412</v>
      </c>
      <c r="G128" s="346">
        <v>500000</v>
      </c>
      <c r="H128" s="346">
        <v>66650</v>
      </c>
      <c r="I128" s="340">
        <f t="shared" si="25"/>
        <v>566650</v>
      </c>
      <c r="J128" s="348">
        <v>50</v>
      </c>
      <c r="K128" s="380">
        <v>11333</v>
      </c>
      <c r="L128" s="356">
        <f t="shared" si="32"/>
        <v>1333</v>
      </c>
      <c r="M128" s="356">
        <f t="shared" si="26"/>
        <v>10000</v>
      </c>
      <c r="N128" s="356">
        <f t="shared" si="27"/>
        <v>33325</v>
      </c>
      <c r="O128" s="356">
        <f t="shared" si="28"/>
        <v>33325</v>
      </c>
      <c r="P128" s="348">
        <v>25</v>
      </c>
      <c r="Q128" s="354">
        <f t="shared" si="29"/>
        <v>25</v>
      </c>
      <c r="R128" s="339">
        <f t="shared" si="30"/>
        <v>283325</v>
      </c>
      <c r="S128" s="339">
        <f t="shared" si="31"/>
        <v>283325</v>
      </c>
      <c r="T128" s="337"/>
    </row>
    <row r="129" spans="2:20">
      <c r="B129" s="378"/>
      <c r="C129" s="364" t="s">
        <v>1091</v>
      </c>
      <c r="D129" s="367">
        <v>125</v>
      </c>
      <c r="E129" s="337" t="s">
        <v>1437</v>
      </c>
      <c r="F129" s="337" t="s">
        <v>1092</v>
      </c>
      <c r="G129" s="346">
        <v>500000</v>
      </c>
      <c r="H129" s="346">
        <v>66650</v>
      </c>
      <c r="I129" s="340">
        <f t="shared" si="25"/>
        <v>566650</v>
      </c>
      <c r="J129" s="348">
        <v>50</v>
      </c>
      <c r="K129" s="380">
        <v>11333</v>
      </c>
      <c r="L129" s="356">
        <f t="shared" si="32"/>
        <v>1333</v>
      </c>
      <c r="M129" s="356">
        <f t="shared" si="26"/>
        <v>10000</v>
      </c>
      <c r="N129" s="356">
        <f t="shared" si="27"/>
        <v>73315</v>
      </c>
      <c r="O129" s="356">
        <f t="shared" si="28"/>
        <v>-6665</v>
      </c>
      <c r="P129" s="348">
        <v>55</v>
      </c>
      <c r="Q129" s="354">
        <f t="shared" si="29"/>
        <v>-5</v>
      </c>
      <c r="R129" s="339">
        <f t="shared" si="30"/>
        <v>623315</v>
      </c>
      <c r="S129" s="339">
        <f t="shared" si="31"/>
        <v>-56665</v>
      </c>
      <c r="T129" s="337"/>
    </row>
    <row r="130" spans="2:20">
      <c r="B130" s="378"/>
      <c r="C130" s="363" t="s">
        <v>1087</v>
      </c>
      <c r="D130" s="367">
        <v>126</v>
      </c>
      <c r="E130" s="337" t="s">
        <v>1437</v>
      </c>
      <c r="F130" s="337" t="s">
        <v>1088</v>
      </c>
      <c r="G130" s="346">
        <v>500000</v>
      </c>
      <c r="H130" s="346">
        <v>66650</v>
      </c>
      <c r="I130" s="340">
        <f t="shared" si="25"/>
        <v>566650</v>
      </c>
      <c r="J130" s="348">
        <v>50</v>
      </c>
      <c r="K130" s="380">
        <v>11333</v>
      </c>
      <c r="L130" s="356">
        <f t="shared" si="32"/>
        <v>1333</v>
      </c>
      <c r="M130" s="356">
        <f t="shared" si="26"/>
        <v>10000</v>
      </c>
      <c r="N130" s="356">
        <f t="shared" si="27"/>
        <v>73315</v>
      </c>
      <c r="O130" s="356">
        <f t="shared" si="28"/>
        <v>-6665</v>
      </c>
      <c r="P130" s="348">
        <v>55</v>
      </c>
      <c r="Q130" s="354">
        <f t="shared" si="29"/>
        <v>-5</v>
      </c>
      <c r="R130" s="339">
        <f t="shared" si="30"/>
        <v>623315</v>
      </c>
      <c r="S130" s="339">
        <f t="shared" si="31"/>
        <v>-56665</v>
      </c>
      <c r="T130" s="337"/>
    </row>
    <row r="131" spans="2:20">
      <c r="B131" s="378"/>
      <c r="C131" s="363" t="s">
        <v>1324</v>
      </c>
      <c r="D131" s="367">
        <v>127</v>
      </c>
      <c r="E131" s="337" t="s">
        <v>1437</v>
      </c>
      <c r="F131" s="337" t="s">
        <v>1325</v>
      </c>
      <c r="G131" s="346">
        <v>500000</v>
      </c>
      <c r="H131" s="346">
        <v>66650</v>
      </c>
      <c r="I131" s="340">
        <f t="shared" si="25"/>
        <v>566650</v>
      </c>
      <c r="J131" s="348">
        <v>50</v>
      </c>
      <c r="K131" s="380">
        <v>11333</v>
      </c>
      <c r="L131" s="356">
        <f t="shared" si="32"/>
        <v>1333</v>
      </c>
      <c r="M131" s="356">
        <f t="shared" si="26"/>
        <v>10000</v>
      </c>
      <c r="N131" s="356">
        <f t="shared" si="27"/>
        <v>10664</v>
      </c>
      <c r="O131" s="356">
        <f t="shared" si="28"/>
        <v>55986</v>
      </c>
      <c r="P131" s="348">
        <v>8</v>
      </c>
      <c r="Q131" s="354">
        <f t="shared" si="29"/>
        <v>42</v>
      </c>
      <c r="R131" s="339">
        <f t="shared" si="30"/>
        <v>90664</v>
      </c>
      <c r="S131" s="339">
        <f t="shared" si="31"/>
        <v>475986</v>
      </c>
      <c r="T131" s="337"/>
    </row>
    <row r="132" spans="2:20">
      <c r="B132" s="378"/>
      <c r="C132" s="363" t="s">
        <v>1340</v>
      </c>
      <c r="D132" s="367">
        <v>128</v>
      </c>
      <c r="E132" s="337" t="s">
        <v>1437</v>
      </c>
      <c r="F132" s="337" t="s">
        <v>410</v>
      </c>
      <c r="G132" s="346">
        <v>500000</v>
      </c>
      <c r="H132" s="346">
        <v>66650</v>
      </c>
      <c r="I132" s="340">
        <f t="shared" si="25"/>
        <v>566650</v>
      </c>
      <c r="J132" s="348">
        <v>50</v>
      </c>
      <c r="K132" s="380">
        <v>11333</v>
      </c>
      <c r="L132" s="356">
        <f t="shared" si="32"/>
        <v>1333</v>
      </c>
      <c r="M132" s="356">
        <f t="shared" si="26"/>
        <v>10000</v>
      </c>
      <c r="N132" s="356">
        <f t="shared" si="27"/>
        <v>10664</v>
      </c>
      <c r="O132" s="356">
        <f t="shared" si="28"/>
        <v>55986</v>
      </c>
      <c r="P132" s="348">
        <v>8</v>
      </c>
      <c r="Q132" s="354">
        <f t="shared" si="29"/>
        <v>42</v>
      </c>
      <c r="R132" s="339">
        <f t="shared" si="30"/>
        <v>90664</v>
      </c>
      <c r="S132" s="339">
        <f t="shared" si="31"/>
        <v>475986</v>
      </c>
      <c r="T132" s="337"/>
    </row>
    <row r="133" spans="2:20">
      <c r="B133" s="378"/>
      <c r="C133" s="363" t="s">
        <v>1021</v>
      </c>
      <c r="D133" s="367">
        <v>129</v>
      </c>
      <c r="E133" s="337" t="s">
        <v>1437</v>
      </c>
      <c r="F133" s="337" t="s">
        <v>1022</v>
      </c>
      <c r="G133" s="346">
        <v>330000</v>
      </c>
      <c r="H133" s="346">
        <v>43989</v>
      </c>
      <c r="I133" s="340">
        <f t="shared" ref="I133:I154" si="33">SUM(G133:H133)</f>
        <v>373989</v>
      </c>
      <c r="J133" s="348">
        <v>50</v>
      </c>
      <c r="K133" s="380">
        <v>7479.78</v>
      </c>
      <c r="L133" s="356">
        <f t="shared" si="32"/>
        <v>879.78</v>
      </c>
      <c r="M133" s="356">
        <f t="shared" ref="M133:M153" si="34">G133/50</f>
        <v>6600</v>
      </c>
      <c r="N133" s="356">
        <f t="shared" ref="N133:N153" si="35">L133*P133</f>
        <v>19355.16</v>
      </c>
      <c r="O133" s="356">
        <f t="shared" ref="O133:O166" si="36">L133*Q133</f>
        <v>24633.84</v>
      </c>
      <c r="P133" s="348">
        <v>22</v>
      </c>
      <c r="Q133" s="354">
        <f t="shared" ref="Q133:Q153" si="37">J133-P133</f>
        <v>28</v>
      </c>
      <c r="R133" s="339">
        <f t="shared" ref="R133:R153" si="38">K133*P133</f>
        <v>164555.16</v>
      </c>
      <c r="S133" s="339">
        <f t="shared" ref="S133:S153" si="39">I133-R133</f>
        <v>209433.84</v>
      </c>
      <c r="T133" s="337"/>
    </row>
    <row r="134" spans="2:20">
      <c r="B134" s="378"/>
      <c r="C134" s="362" t="s">
        <v>1385</v>
      </c>
      <c r="D134" s="367">
        <v>130</v>
      </c>
      <c r="E134" s="337" t="s">
        <v>1437</v>
      </c>
      <c r="F134" s="337" t="s">
        <v>1295</v>
      </c>
      <c r="G134" s="346">
        <v>330000</v>
      </c>
      <c r="H134" s="346">
        <v>43989</v>
      </c>
      <c r="I134" s="340">
        <f t="shared" si="33"/>
        <v>373989</v>
      </c>
      <c r="J134" s="348">
        <v>50</v>
      </c>
      <c r="K134" s="380">
        <v>7479.78</v>
      </c>
      <c r="L134" s="356">
        <f t="shared" si="32"/>
        <v>879.78</v>
      </c>
      <c r="M134" s="356">
        <f t="shared" si="34"/>
        <v>6600</v>
      </c>
      <c r="N134" s="356">
        <f t="shared" si="35"/>
        <v>8797.7999999999993</v>
      </c>
      <c r="O134" s="356">
        <f t="shared" si="36"/>
        <v>35191.199999999997</v>
      </c>
      <c r="P134" s="348">
        <v>10</v>
      </c>
      <c r="Q134" s="354">
        <f t="shared" si="37"/>
        <v>40</v>
      </c>
      <c r="R134" s="339">
        <f t="shared" si="38"/>
        <v>74797.8</v>
      </c>
      <c r="S134" s="339">
        <f t="shared" si="39"/>
        <v>299191.2</v>
      </c>
      <c r="T134" s="337"/>
    </row>
    <row r="135" spans="2:20">
      <c r="B135" s="378"/>
      <c r="C135" s="362" t="s">
        <v>1004</v>
      </c>
      <c r="D135" s="367">
        <v>131</v>
      </c>
      <c r="E135" s="337" t="s">
        <v>1437</v>
      </c>
      <c r="F135" s="337" t="s">
        <v>107</v>
      </c>
      <c r="G135" s="346">
        <v>450000</v>
      </c>
      <c r="H135" s="346">
        <v>59985</v>
      </c>
      <c r="I135" s="340">
        <f t="shared" si="33"/>
        <v>509985</v>
      </c>
      <c r="J135" s="348">
        <v>50</v>
      </c>
      <c r="K135" s="380">
        <v>10199.700000000001</v>
      </c>
      <c r="L135" s="356">
        <f t="shared" si="32"/>
        <v>1199.7</v>
      </c>
      <c r="M135" s="356">
        <f t="shared" si="34"/>
        <v>9000</v>
      </c>
      <c r="N135" s="356">
        <f t="shared" si="35"/>
        <v>21594.600000000002</v>
      </c>
      <c r="O135" s="356">
        <f t="shared" si="36"/>
        <v>38390.400000000001</v>
      </c>
      <c r="P135" s="348">
        <v>18</v>
      </c>
      <c r="Q135" s="354">
        <f t="shared" si="37"/>
        <v>32</v>
      </c>
      <c r="R135" s="339">
        <f t="shared" si="38"/>
        <v>183594.6</v>
      </c>
      <c r="S135" s="339">
        <f t="shared" si="39"/>
        <v>326390.40000000002</v>
      </c>
      <c r="T135" s="337"/>
    </row>
    <row r="136" spans="2:20">
      <c r="B136" s="378"/>
      <c r="C136" s="362" t="s">
        <v>1140</v>
      </c>
      <c r="D136" s="367">
        <v>132</v>
      </c>
      <c r="E136" s="337" t="s">
        <v>1437</v>
      </c>
      <c r="F136" s="337" t="s">
        <v>372</v>
      </c>
      <c r="G136" s="346">
        <v>330000</v>
      </c>
      <c r="H136" s="346">
        <v>43989</v>
      </c>
      <c r="I136" s="340">
        <f t="shared" si="33"/>
        <v>373989</v>
      </c>
      <c r="J136" s="348">
        <v>50</v>
      </c>
      <c r="K136" s="380">
        <v>7479.78</v>
      </c>
      <c r="L136" s="356">
        <f t="shared" si="32"/>
        <v>879.78</v>
      </c>
      <c r="M136" s="356">
        <f t="shared" si="34"/>
        <v>6600</v>
      </c>
      <c r="N136" s="356">
        <f t="shared" si="35"/>
        <v>15836.039999999999</v>
      </c>
      <c r="O136" s="356">
        <f t="shared" si="36"/>
        <v>28152.959999999999</v>
      </c>
      <c r="P136" s="348">
        <v>18</v>
      </c>
      <c r="Q136" s="354">
        <f t="shared" si="37"/>
        <v>32</v>
      </c>
      <c r="R136" s="339">
        <f t="shared" si="38"/>
        <v>134636.04</v>
      </c>
      <c r="S136" s="339">
        <f t="shared" si="39"/>
        <v>239352.95999999999</v>
      </c>
      <c r="T136" s="337"/>
    </row>
    <row r="137" spans="2:20">
      <c r="B137" s="378"/>
      <c r="C137" s="362" t="s">
        <v>1136</v>
      </c>
      <c r="D137" s="367">
        <v>133</v>
      </c>
      <c r="E137" s="337" t="s">
        <v>1437</v>
      </c>
      <c r="F137" s="337" t="s">
        <v>1137</v>
      </c>
      <c r="G137" s="346">
        <v>330000</v>
      </c>
      <c r="H137" s="346">
        <v>43989</v>
      </c>
      <c r="I137" s="340">
        <f t="shared" si="33"/>
        <v>373989</v>
      </c>
      <c r="J137" s="348">
        <v>50</v>
      </c>
      <c r="K137" s="380">
        <v>7479.78</v>
      </c>
      <c r="L137" s="356">
        <f t="shared" si="32"/>
        <v>879.78</v>
      </c>
      <c r="M137" s="356">
        <f t="shared" si="34"/>
        <v>6600</v>
      </c>
      <c r="N137" s="356">
        <f t="shared" si="35"/>
        <v>15836.039999999999</v>
      </c>
      <c r="O137" s="356">
        <f t="shared" si="36"/>
        <v>28152.959999999999</v>
      </c>
      <c r="P137" s="348">
        <v>18</v>
      </c>
      <c r="Q137" s="354">
        <f t="shared" si="37"/>
        <v>32</v>
      </c>
      <c r="R137" s="339">
        <f t="shared" si="38"/>
        <v>134636.04</v>
      </c>
      <c r="S137" s="339">
        <f t="shared" si="39"/>
        <v>239352.95999999999</v>
      </c>
      <c r="T137" s="337"/>
    </row>
    <row r="138" spans="2:20">
      <c r="B138" s="378"/>
      <c r="C138" s="362" t="s">
        <v>1115</v>
      </c>
      <c r="D138" s="367">
        <v>134</v>
      </c>
      <c r="E138" s="337" t="s">
        <v>1437</v>
      </c>
      <c r="F138" s="337" t="s">
        <v>1116</v>
      </c>
      <c r="G138" s="346">
        <v>200000</v>
      </c>
      <c r="H138" s="346">
        <v>26660</v>
      </c>
      <c r="I138" s="340">
        <f t="shared" si="33"/>
        <v>226660</v>
      </c>
      <c r="J138" s="348">
        <v>50</v>
      </c>
      <c r="K138" s="380">
        <v>5099.8500000000004</v>
      </c>
      <c r="L138" s="356">
        <f t="shared" si="32"/>
        <v>533.20000000000005</v>
      </c>
      <c r="M138" s="356">
        <f t="shared" si="34"/>
        <v>4000</v>
      </c>
      <c r="N138" s="356">
        <f t="shared" si="35"/>
        <v>9597.6</v>
      </c>
      <c r="O138" s="356">
        <f t="shared" si="36"/>
        <v>17062.400000000001</v>
      </c>
      <c r="P138" s="348">
        <v>18</v>
      </c>
      <c r="Q138" s="354">
        <f t="shared" si="37"/>
        <v>32</v>
      </c>
      <c r="R138" s="339">
        <f t="shared" si="38"/>
        <v>91797.3</v>
      </c>
      <c r="S138" s="339">
        <f t="shared" si="39"/>
        <v>134862.70000000001</v>
      </c>
      <c r="T138" s="337"/>
    </row>
    <row r="139" spans="2:20">
      <c r="B139" s="378"/>
      <c r="C139" s="366" t="s">
        <v>1408</v>
      </c>
      <c r="D139" s="367">
        <v>135</v>
      </c>
      <c r="E139" s="337" t="s">
        <v>1437</v>
      </c>
      <c r="F139" s="337" t="s">
        <v>406</v>
      </c>
      <c r="G139" s="346">
        <v>500000</v>
      </c>
      <c r="H139" s="346">
        <v>66650</v>
      </c>
      <c r="I139" s="340">
        <f t="shared" si="33"/>
        <v>566650</v>
      </c>
      <c r="J139" s="348">
        <v>40</v>
      </c>
      <c r="K139" s="380">
        <v>13833</v>
      </c>
      <c r="L139" s="356">
        <f t="shared" si="32"/>
        <v>1333</v>
      </c>
      <c r="M139" s="356">
        <f t="shared" si="34"/>
        <v>10000</v>
      </c>
      <c r="N139" s="356">
        <f t="shared" si="35"/>
        <v>5332</v>
      </c>
      <c r="O139" s="356">
        <f t="shared" si="36"/>
        <v>47988</v>
      </c>
      <c r="P139" s="348">
        <v>4</v>
      </c>
      <c r="Q139" s="354">
        <f t="shared" si="37"/>
        <v>36</v>
      </c>
      <c r="R139" s="339">
        <f t="shared" si="38"/>
        <v>55332</v>
      </c>
      <c r="S139" s="339">
        <f t="shared" si="39"/>
        <v>511318</v>
      </c>
      <c r="T139" s="337"/>
    </row>
    <row r="140" spans="2:20">
      <c r="B140" s="378"/>
      <c r="C140" s="364" t="s">
        <v>1134</v>
      </c>
      <c r="D140" s="367">
        <v>136</v>
      </c>
      <c r="E140" s="337" t="s">
        <v>1437</v>
      </c>
      <c r="F140" s="337" t="s">
        <v>1135</v>
      </c>
      <c r="G140" s="346">
        <v>500000</v>
      </c>
      <c r="H140" s="346">
        <v>66650</v>
      </c>
      <c r="I140" s="340">
        <f t="shared" si="33"/>
        <v>566650</v>
      </c>
      <c r="J140" s="348">
        <v>50</v>
      </c>
      <c r="K140" s="380">
        <v>11333</v>
      </c>
      <c r="L140" s="356">
        <f t="shared" si="32"/>
        <v>1333</v>
      </c>
      <c r="M140" s="356">
        <f t="shared" si="34"/>
        <v>10000</v>
      </c>
      <c r="N140" s="356">
        <f t="shared" si="35"/>
        <v>23994</v>
      </c>
      <c r="O140" s="356">
        <f t="shared" si="36"/>
        <v>42656</v>
      </c>
      <c r="P140" s="348">
        <v>18</v>
      </c>
      <c r="Q140" s="354">
        <f t="shared" si="37"/>
        <v>32</v>
      </c>
      <c r="R140" s="339">
        <f t="shared" si="38"/>
        <v>203994</v>
      </c>
      <c r="S140" s="339">
        <f t="shared" si="39"/>
        <v>362656</v>
      </c>
      <c r="T140" s="337"/>
    </row>
    <row r="141" spans="2:20">
      <c r="B141" s="378"/>
      <c r="C141" s="365" t="s">
        <v>1048</v>
      </c>
      <c r="D141" s="367">
        <v>137</v>
      </c>
      <c r="E141" s="337" t="s">
        <v>1437</v>
      </c>
      <c r="F141" s="337" t="s">
        <v>1049</v>
      </c>
      <c r="G141" s="346">
        <v>450000</v>
      </c>
      <c r="H141" s="346">
        <v>59985</v>
      </c>
      <c r="I141" s="340">
        <f t="shared" si="33"/>
        <v>509985</v>
      </c>
      <c r="J141" s="348">
        <v>50</v>
      </c>
      <c r="K141" s="380">
        <v>10199.700000000001</v>
      </c>
      <c r="L141" s="356">
        <f t="shared" si="32"/>
        <v>1199.7</v>
      </c>
      <c r="M141" s="356">
        <f t="shared" si="34"/>
        <v>9000</v>
      </c>
      <c r="N141" s="356">
        <f t="shared" si="35"/>
        <v>49187.700000000004</v>
      </c>
      <c r="O141" s="356">
        <f t="shared" si="36"/>
        <v>10797.300000000001</v>
      </c>
      <c r="P141" s="348">
        <v>41</v>
      </c>
      <c r="Q141" s="354">
        <f t="shared" si="37"/>
        <v>9</v>
      </c>
      <c r="R141" s="339">
        <f t="shared" si="38"/>
        <v>418187.7</v>
      </c>
      <c r="S141" s="339">
        <f t="shared" si="39"/>
        <v>91797.299999999988</v>
      </c>
      <c r="T141" s="337"/>
    </row>
    <row r="142" spans="2:20">
      <c r="B142" s="378"/>
      <c r="C142" s="364" t="s">
        <v>1090</v>
      </c>
      <c r="D142" s="367">
        <v>138</v>
      </c>
      <c r="E142" s="337" t="s">
        <v>1437</v>
      </c>
      <c r="F142" s="337" t="s">
        <v>295</v>
      </c>
      <c r="G142" s="346">
        <v>500000</v>
      </c>
      <c r="H142" s="346">
        <v>66650</v>
      </c>
      <c r="I142" s="340">
        <f t="shared" si="33"/>
        <v>566650</v>
      </c>
      <c r="J142" s="348">
        <v>50</v>
      </c>
      <c r="K142" s="380">
        <v>11333</v>
      </c>
      <c r="L142" s="356">
        <f t="shared" si="32"/>
        <v>1333</v>
      </c>
      <c r="M142" s="356">
        <f t="shared" si="34"/>
        <v>10000</v>
      </c>
      <c r="N142" s="356">
        <f t="shared" si="35"/>
        <v>33325</v>
      </c>
      <c r="O142" s="356">
        <f t="shared" si="36"/>
        <v>33325</v>
      </c>
      <c r="P142" s="348">
        <v>25</v>
      </c>
      <c r="Q142" s="354">
        <f t="shared" si="37"/>
        <v>25</v>
      </c>
      <c r="R142" s="339">
        <f t="shared" si="38"/>
        <v>283325</v>
      </c>
      <c r="S142" s="339">
        <f t="shared" si="39"/>
        <v>283325</v>
      </c>
      <c r="T142" s="337"/>
    </row>
    <row r="143" spans="2:20">
      <c r="B143" s="378"/>
      <c r="C143" s="362" t="s">
        <v>1337</v>
      </c>
      <c r="D143" s="367">
        <v>139</v>
      </c>
      <c r="E143" s="337" t="s">
        <v>1437</v>
      </c>
      <c r="F143" s="337" t="s">
        <v>1280</v>
      </c>
      <c r="G143" s="346">
        <v>500000</v>
      </c>
      <c r="H143" s="346">
        <v>66650</v>
      </c>
      <c r="I143" s="340">
        <f t="shared" si="33"/>
        <v>566650</v>
      </c>
      <c r="J143" s="348">
        <v>50</v>
      </c>
      <c r="K143" s="380">
        <v>11333</v>
      </c>
      <c r="L143" s="356">
        <f t="shared" si="32"/>
        <v>1333</v>
      </c>
      <c r="M143" s="356">
        <f t="shared" si="34"/>
        <v>10000</v>
      </c>
      <c r="N143" s="356">
        <f t="shared" si="35"/>
        <v>13330</v>
      </c>
      <c r="O143" s="356">
        <f t="shared" si="36"/>
        <v>53320</v>
      </c>
      <c r="P143" s="348">
        <v>10</v>
      </c>
      <c r="Q143" s="354">
        <f t="shared" si="37"/>
        <v>40</v>
      </c>
      <c r="R143" s="339">
        <f t="shared" si="38"/>
        <v>113330</v>
      </c>
      <c r="S143" s="339">
        <f t="shared" si="39"/>
        <v>453320</v>
      </c>
      <c r="T143" s="337"/>
    </row>
    <row r="144" spans="2:20">
      <c r="B144" s="378"/>
      <c r="C144" s="337" t="s">
        <v>1415</v>
      </c>
      <c r="D144" s="367">
        <v>140</v>
      </c>
      <c r="E144" s="337" t="s">
        <v>1437</v>
      </c>
      <c r="F144" s="337" t="s">
        <v>1416</v>
      </c>
      <c r="G144" s="346">
        <v>500000</v>
      </c>
      <c r="H144" s="346">
        <v>66650</v>
      </c>
      <c r="I144" s="340">
        <f t="shared" si="33"/>
        <v>566650</v>
      </c>
      <c r="J144" s="358">
        <v>50</v>
      </c>
      <c r="K144" s="381">
        <v>11333</v>
      </c>
      <c r="L144" s="356">
        <f t="shared" si="32"/>
        <v>1333</v>
      </c>
      <c r="M144" s="356">
        <f t="shared" si="34"/>
        <v>10000</v>
      </c>
      <c r="N144" s="356">
        <f t="shared" si="35"/>
        <v>3999</v>
      </c>
      <c r="O144" s="356">
        <f t="shared" si="36"/>
        <v>62651</v>
      </c>
      <c r="P144" s="358">
        <v>3</v>
      </c>
      <c r="Q144" s="354">
        <f t="shared" si="37"/>
        <v>47</v>
      </c>
      <c r="R144" s="339">
        <f t="shared" si="38"/>
        <v>33999</v>
      </c>
      <c r="S144" s="339">
        <f t="shared" si="39"/>
        <v>532651</v>
      </c>
      <c r="T144" s="337"/>
    </row>
    <row r="145" spans="2:20">
      <c r="B145" s="378"/>
      <c r="C145" s="363" t="s">
        <v>1023</v>
      </c>
      <c r="D145" s="367">
        <v>141</v>
      </c>
      <c r="E145" s="337" t="s">
        <v>1437</v>
      </c>
      <c r="F145" s="337" t="s">
        <v>321</v>
      </c>
      <c r="G145" s="346">
        <v>500000</v>
      </c>
      <c r="H145" s="346">
        <v>66650</v>
      </c>
      <c r="I145" s="340">
        <f t="shared" si="33"/>
        <v>566650</v>
      </c>
      <c r="J145" s="348">
        <v>50</v>
      </c>
      <c r="K145" s="380">
        <v>11333</v>
      </c>
      <c r="L145" s="356">
        <f t="shared" si="32"/>
        <v>1333</v>
      </c>
      <c r="M145" s="356">
        <f t="shared" si="34"/>
        <v>10000</v>
      </c>
      <c r="N145" s="356">
        <f t="shared" si="35"/>
        <v>73315</v>
      </c>
      <c r="O145" s="356">
        <f t="shared" si="36"/>
        <v>-6665</v>
      </c>
      <c r="P145" s="348">
        <v>55</v>
      </c>
      <c r="Q145" s="354">
        <f t="shared" si="37"/>
        <v>-5</v>
      </c>
      <c r="R145" s="339">
        <f t="shared" si="38"/>
        <v>623315</v>
      </c>
      <c r="S145" s="339">
        <f t="shared" si="39"/>
        <v>-56665</v>
      </c>
      <c r="T145" s="337"/>
    </row>
    <row r="146" spans="2:20">
      <c r="B146" s="378"/>
      <c r="C146" s="364" t="s">
        <v>1354</v>
      </c>
      <c r="D146" s="367">
        <v>142</v>
      </c>
      <c r="E146" s="337" t="s">
        <v>1437</v>
      </c>
      <c r="F146" s="337" t="s">
        <v>450</v>
      </c>
      <c r="G146" s="346">
        <v>450000</v>
      </c>
      <c r="H146" s="346">
        <v>59985</v>
      </c>
      <c r="I146" s="340">
        <f t="shared" si="33"/>
        <v>509985</v>
      </c>
      <c r="J146" s="348">
        <v>50</v>
      </c>
      <c r="K146" s="380">
        <v>10199.700000000001</v>
      </c>
      <c r="L146" s="356">
        <f t="shared" si="32"/>
        <v>1199.7</v>
      </c>
      <c r="M146" s="356">
        <f t="shared" si="34"/>
        <v>9000</v>
      </c>
      <c r="N146" s="356">
        <f t="shared" si="35"/>
        <v>20394.900000000001</v>
      </c>
      <c r="O146" s="356">
        <f t="shared" si="36"/>
        <v>39590.1</v>
      </c>
      <c r="P146" s="348">
        <v>17</v>
      </c>
      <c r="Q146" s="354">
        <f t="shared" si="37"/>
        <v>33</v>
      </c>
      <c r="R146" s="339">
        <f t="shared" si="38"/>
        <v>173394.90000000002</v>
      </c>
      <c r="S146" s="339">
        <f t="shared" si="39"/>
        <v>336590.1</v>
      </c>
      <c r="T146" s="337"/>
    </row>
    <row r="147" spans="2:20">
      <c r="B147" s="378"/>
      <c r="C147" s="364" t="s">
        <v>1394</v>
      </c>
      <c r="D147" s="367">
        <v>143</v>
      </c>
      <c r="E147" s="337" t="s">
        <v>1437</v>
      </c>
      <c r="F147" s="337" t="s">
        <v>1395</v>
      </c>
      <c r="G147" s="346">
        <v>150000</v>
      </c>
      <c r="H147" s="346">
        <v>19995</v>
      </c>
      <c r="I147" s="340">
        <f t="shared" si="33"/>
        <v>169995</v>
      </c>
      <c r="J147" s="348">
        <v>40</v>
      </c>
      <c r="K147" s="380">
        <v>4149.8999999999996</v>
      </c>
      <c r="L147" s="356">
        <f t="shared" si="32"/>
        <v>399.9</v>
      </c>
      <c r="M147" s="356">
        <f t="shared" si="34"/>
        <v>3000</v>
      </c>
      <c r="N147" s="356">
        <f t="shared" si="35"/>
        <v>1999.5</v>
      </c>
      <c r="O147" s="356">
        <f t="shared" si="36"/>
        <v>13996.5</v>
      </c>
      <c r="P147" s="348">
        <v>5</v>
      </c>
      <c r="Q147" s="354">
        <f t="shared" si="37"/>
        <v>35</v>
      </c>
      <c r="R147" s="339">
        <f t="shared" si="38"/>
        <v>20749.5</v>
      </c>
      <c r="S147" s="339">
        <f t="shared" si="39"/>
        <v>149245.5</v>
      </c>
      <c r="T147" s="337"/>
    </row>
    <row r="148" spans="2:20">
      <c r="B148" s="378"/>
      <c r="C148" s="363" t="s">
        <v>968</v>
      </c>
      <c r="D148" s="367">
        <v>144</v>
      </c>
      <c r="E148" s="337" t="s">
        <v>1437</v>
      </c>
      <c r="F148" s="337" t="s">
        <v>490</v>
      </c>
      <c r="G148" s="346">
        <v>330000</v>
      </c>
      <c r="H148" s="346">
        <v>43989</v>
      </c>
      <c r="I148" s="340">
        <f t="shared" si="33"/>
        <v>373989</v>
      </c>
      <c r="J148" s="348">
        <v>50</v>
      </c>
      <c r="K148" s="380">
        <v>7479.78</v>
      </c>
      <c r="L148" s="356">
        <f t="shared" si="32"/>
        <v>879.78</v>
      </c>
      <c r="M148" s="356">
        <f t="shared" si="34"/>
        <v>6600</v>
      </c>
      <c r="N148" s="356">
        <f t="shared" si="35"/>
        <v>26393.399999999998</v>
      </c>
      <c r="O148" s="356">
        <f t="shared" si="36"/>
        <v>17595.599999999999</v>
      </c>
      <c r="P148" s="348">
        <v>30</v>
      </c>
      <c r="Q148" s="354">
        <f t="shared" si="37"/>
        <v>20</v>
      </c>
      <c r="R148" s="339">
        <f t="shared" si="38"/>
        <v>224393.4</v>
      </c>
      <c r="S148" s="339">
        <f t="shared" si="39"/>
        <v>149595.6</v>
      </c>
      <c r="T148" s="337"/>
    </row>
    <row r="149" spans="2:20">
      <c r="B149" s="378"/>
      <c r="C149" s="365" t="s">
        <v>1036</v>
      </c>
      <c r="D149" s="367">
        <v>145</v>
      </c>
      <c r="E149" s="337" t="s">
        <v>1437</v>
      </c>
      <c r="F149" s="337" t="s">
        <v>216</v>
      </c>
      <c r="G149" s="346">
        <v>60000</v>
      </c>
      <c r="H149" s="346">
        <v>7998</v>
      </c>
      <c r="I149" s="340">
        <f t="shared" si="33"/>
        <v>67998</v>
      </c>
      <c r="J149" s="348">
        <v>40</v>
      </c>
      <c r="K149" s="380">
        <v>1699.95</v>
      </c>
      <c r="L149" s="356">
        <f t="shared" si="32"/>
        <v>159.96</v>
      </c>
      <c r="M149" s="356">
        <f t="shared" si="34"/>
        <v>1200</v>
      </c>
      <c r="N149" s="356">
        <f t="shared" si="35"/>
        <v>4958.76</v>
      </c>
      <c r="O149" s="356">
        <f t="shared" si="36"/>
        <v>1439.64</v>
      </c>
      <c r="P149" s="348">
        <v>31</v>
      </c>
      <c r="Q149" s="354">
        <f t="shared" si="37"/>
        <v>9</v>
      </c>
      <c r="R149" s="339">
        <f t="shared" si="38"/>
        <v>52698.450000000004</v>
      </c>
      <c r="S149" s="339">
        <f t="shared" si="39"/>
        <v>15299.549999999996</v>
      </c>
      <c r="T149" s="337"/>
    </row>
    <row r="150" spans="2:20">
      <c r="B150" s="378"/>
      <c r="C150" s="363" t="s">
        <v>1379</v>
      </c>
      <c r="D150" s="367">
        <v>146</v>
      </c>
      <c r="E150" s="337" t="s">
        <v>1437</v>
      </c>
      <c r="F150" s="337" t="s">
        <v>1380</v>
      </c>
      <c r="G150" s="346">
        <v>330000</v>
      </c>
      <c r="H150" s="346">
        <v>43989</v>
      </c>
      <c r="I150" s="340">
        <f t="shared" si="33"/>
        <v>373989</v>
      </c>
      <c r="J150" s="348">
        <v>50</v>
      </c>
      <c r="K150" s="380">
        <v>7479.78</v>
      </c>
      <c r="L150" s="356">
        <f t="shared" si="32"/>
        <v>879.78</v>
      </c>
      <c r="M150" s="356">
        <f t="shared" si="34"/>
        <v>6600</v>
      </c>
      <c r="N150" s="356">
        <f t="shared" si="35"/>
        <v>4398.8999999999996</v>
      </c>
      <c r="O150" s="356">
        <f t="shared" si="36"/>
        <v>39590.1</v>
      </c>
      <c r="P150" s="348">
        <v>5</v>
      </c>
      <c r="Q150" s="354">
        <f t="shared" si="37"/>
        <v>45</v>
      </c>
      <c r="R150" s="339">
        <f t="shared" si="38"/>
        <v>37398.9</v>
      </c>
      <c r="S150" s="339">
        <f t="shared" si="39"/>
        <v>336590.1</v>
      </c>
      <c r="T150" s="337"/>
    </row>
    <row r="151" spans="2:20">
      <c r="B151" s="378"/>
      <c r="C151" s="362" t="s">
        <v>1372</v>
      </c>
      <c r="D151" s="367">
        <v>147</v>
      </c>
      <c r="E151" s="337" t="s">
        <v>1437</v>
      </c>
      <c r="F151" s="337" t="s">
        <v>1297</v>
      </c>
      <c r="G151" s="346">
        <v>330000</v>
      </c>
      <c r="H151" s="346">
        <v>43989</v>
      </c>
      <c r="I151" s="340">
        <f t="shared" si="33"/>
        <v>373989</v>
      </c>
      <c r="J151" s="348">
        <v>50</v>
      </c>
      <c r="K151" s="380">
        <v>7479.78</v>
      </c>
      <c r="L151" s="356">
        <f t="shared" si="32"/>
        <v>879.78</v>
      </c>
      <c r="M151" s="356">
        <f t="shared" si="34"/>
        <v>6600</v>
      </c>
      <c r="N151" s="356">
        <f t="shared" si="35"/>
        <v>13196.699999999999</v>
      </c>
      <c r="O151" s="356">
        <f t="shared" si="36"/>
        <v>30792.3</v>
      </c>
      <c r="P151" s="348">
        <v>15</v>
      </c>
      <c r="Q151" s="354">
        <f t="shared" si="37"/>
        <v>35</v>
      </c>
      <c r="R151" s="339">
        <f t="shared" si="38"/>
        <v>112196.7</v>
      </c>
      <c r="S151" s="339">
        <f t="shared" si="39"/>
        <v>261792.3</v>
      </c>
      <c r="T151" s="337"/>
    </row>
    <row r="152" spans="2:20">
      <c r="B152" s="378"/>
      <c r="C152" s="365" t="s">
        <v>1373</v>
      </c>
      <c r="D152" s="367">
        <v>148</v>
      </c>
      <c r="E152" s="337" t="s">
        <v>1437</v>
      </c>
      <c r="F152" s="337" t="s">
        <v>1374</v>
      </c>
      <c r="G152" s="346">
        <v>330000</v>
      </c>
      <c r="H152" s="346">
        <v>43989</v>
      </c>
      <c r="I152" s="340">
        <f t="shared" si="33"/>
        <v>373989</v>
      </c>
      <c r="J152" s="348">
        <v>50</v>
      </c>
      <c r="K152" s="380">
        <v>7479.78</v>
      </c>
      <c r="L152" s="356">
        <f t="shared" si="32"/>
        <v>879.78</v>
      </c>
      <c r="M152" s="356">
        <f t="shared" si="34"/>
        <v>6600</v>
      </c>
      <c r="N152" s="356">
        <f t="shared" si="35"/>
        <v>4398.8999999999996</v>
      </c>
      <c r="O152" s="356">
        <f t="shared" si="36"/>
        <v>39590.1</v>
      </c>
      <c r="P152" s="348">
        <v>5</v>
      </c>
      <c r="Q152" s="354">
        <f t="shared" si="37"/>
        <v>45</v>
      </c>
      <c r="R152" s="339">
        <f t="shared" si="38"/>
        <v>37398.9</v>
      </c>
      <c r="S152" s="339">
        <f t="shared" si="39"/>
        <v>336590.1</v>
      </c>
      <c r="T152" s="337"/>
    </row>
    <row r="153" spans="2:20">
      <c r="B153" s="378"/>
      <c r="C153" s="365" t="s">
        <v>1367</v>
      </c>
      <c r="D153" s="367">
        <v>149</v>
      </c>
      <c r="E153" s="337" t="s">
        <v>1437</v>
      </c>
      <c r="F153" s="337" t="s">
        <v>465</v>
      </c>
      <c r="G153" s="346">
        <v>450000</v>
      </c>
      <c r="H153" s="346">
        <v>59985</v>
      </c>
      <c r="I153" s="340">
        <f t="shared" si="33"/>
        <v>509985</v>
      </c>
      <c r="J153" s="348">
        <v>50</v>
      </c>
      <c r="K153" s="380">
        <v>10199.700000000001</v>
      </c>
      <c r="L153" s="356">
        <f t="shared" si="32"/>
        <v>1199.7</v>
      </c>
      <c r="M153" s="356">
        <f t="shared" si="34"/>
        <v>9000</v>
      </c>
      <c r="N153" s="356">
        <f t="shared" si="35"/>
        <v>29992.5</v>
      </c>
      <c r="O153" s="356">
        <f t="shared" si="36"/>
        <v>29992.5</v>
      </c>
      <c r="P153" s="348">
        <v>25</v>
      </c>
      <c r="Q153" s="354">
        <f t="shared" si="37"/>
        <v>25</v>
      </c>
      <c r="R153" s="339">
        <f t="shared" si="38"/>
        <v>254992.50000000003</v>
      </c>
      <c r="S153" s="339">
        <f t="shared" si="39"/>
        <v>254992.49999999997</v>
      </c>
      <c r="T153" s="337"/>
    </row>
    <row r="154" spans="2:20">
      <c r="B154" s="378"/>
      <c r="C154" s="337" t="s">
        <v>1038</v>
      </c>
      <c r="D154" s="367">
        <v>150</v>
      </c>
      <c r="E154" s="337" t="s">
        <v>1437</v>
      </c>
      <c r="F154" s="337" t="s">
        <v>375</v>
      </c>
      <c r="G154" s="346">
        <v>450000</v>
      </c>
      <c r="H154" s="346">
        <v>59985</v>
      </c>
      <c r="I154" s="340">
        <f t="shared" si="33"/>
        <v>509985</v>
      </c>
      <c r="J154" s="348">
        <v>50</v>
      </c>
      <c r="K154" s="381">
        <v>10199.700000000001</v>
      </c>
      <c r="L154" s="356">
        <f t="shared" ref="L154:L161" si="40">H154/50</f>
        <v>1199.7</v>
      </c>
      <c r="M154" s="356">
        <f t="shared" ref="M154:M161" si="41">G154/50</f>
        <v>9000</v>
      </c>
      <c r="N154" s="356">
        <f t="shared" ref="N154:N161" si="42">L154*P154</f>
        <v>1199.7</v>
      </c>
      <c r="O154" s="356">
        <f t="shared" si="36"/>
        <v>58785.3</v>
      </c>
      <c r="P154" s="358">
        <v>1</v>
      </c>
      <c r="Q154" s="354">
        <f t="shared" ref="Q154:Q166" si="43">J154-P154</f>
        <v>49</v>
      </c>
      <c r="R154" s="339">
        <f t="shared" ref="R154:R161" si="44">K154*P154</f>
        <v>10199.700000000001</v>
      </c>
      <c r="S154" s="339">
        <f t="shared" ref="S154:S161" si="45">I154-R154</f>
        <v>499785.3</v>
      </c>
      <c r="T154" s="337"/>
    </row>
    <row r="155" spans="2:20">
      <c r="B155" s="378"/>
      <c r="C155" s="337" t="s">
        <v>1445</v>
      </c>
      <c r="D155" s="367">
        <v>151</v>
      </c>
      <c r="E155" s="337" t="s">
        <v>1437</v>
      </c>
      <c r="F155" s="337" t="s">
        <v>1446</v>
      </c>
      <c r="G155" s="346">
        <v>500000</v>
      </c>
      <c r="H155" s="346">
        <v>66650</v>
      </c>
      <c r="I155" s="340">
        <f>SUM(G155:H155)</f>
        <v>566650</v>
      </c>
      <c r="J155" s="348">
        <v>50</v>
      </c>
      <c r="K155" s="381">
        <v>11333</v>
      </c>
      <c r="L155" s="356">
        <f t="shared" si="40"/>
        <v>1333</v>
      </c>
      <c r="M155" s="356">
        <f t="shared" si="41"/>
        <v>10000</v>
      </c>
      <c r="N155" s="356">
        <f t="shared" si="42"/>
        <v>1333</v>
      </c>
      <c r="O155" s="356">
        <f t="shared" si="36"/>
        <v>65317</v>
      </c>
      <c r="P155" s="358">
        <v>1</v>
      </c>
      <c r="Q155" s="354">
        <f t="shared" si="43"/>
        <v>49</v>
      </c>
      <c r="R155" s="339">
        <f t="shared" si="44"/>
        <v>11333</v>
      </c>
      <c r="S155" s="339">
        <f t="shared" si="45"/>
        <v>555317</v>
      </c>
      <c r="T155" s="337"/>
    </row>
    <row r="156" spans="2:20">
      <c r="B156" s="378"/>
      <c r="C156" s="337" t="s">
        <v>1449</v>
      </c>
      <c r="D156" s="367">
        <v>152</v>
      </c>
      <c r="E156" s="337" t="s">
        <v>1437</v>
      </c>
      <c r="F156" s="337" t="s">
        <v>389</v>
      </c>
      <c r="G156" s="346">
        <v>500000</v>
      </c>
      <c r="H156" s="346">
        <v>66650</v>
      </c>
      <c r="I156" s="340">
        <f>SUM(G156:H156)</f>
        <v>566650</v>
      </c>
      <c r="J156" s="348">
        <v>50</v>
      </c>
      <c r="K156" s="381">
        <v>11333</v>
      </c>
      <c r="L156" s="356">
        <f t="shared" si="40"/>
        <v>1333</v>
      </c>
      <c r="M156" s="356">
        <f t="shared" si="41"/>
        <v>10000</v>
      </c>
      <c r="N156" s="356">
        <f t="shared" si="42"/>
        <v>1333</v>
      </c>
      <c r="O156" s="356">
        <f t="shared" si="36"/>
        <v>65317</v>
      </c>
      <c r="P156" s="358">
        <v>1</v>
      </c>
      <c r="Q156" s="354">
        <f t="shared" si="43"/>
        <v>49</v>
      </c>
      <c r="R156" s="339">
        <f t="shared" si="44"/>
        <v>11333</v>
      </c>
      <c r="S156" s="339">
        <f t="shared" si="45"/>
        <v>555317</v>
      </c>
      <c r="T156" s="337"/>
    </row>
    <row r="157" spans="2:20">
      <c r="B157" s="378"/>
      <c r="C157" s="337" t="s">
        <v>971</v>
      </c>
      <c r="D157" s="367">
        <v>153</v>
      </c>
      <c r="E157" s="337" t="s">
        <v>1437</v>
      </c>
      <c r="F157" s="337" t="s">
        <v>112</v>
      </c>
      <c r="G157" s="346">
        <v>330000</v>
      </c>
      <c r="H157" s="346">
        <v>43989</v>
      </c>
      <c r="I157" s="340">
        <f t="shared" ref="I157:I166" si="46">SUM(G157:H157)</f>
        <v>373989</v>
      </c>
      <c r="J157" s="348">
        <v>50</v>
      </c>
      <c r="K157" s="381">
        <v>7479.78</v>
      </c>
      <c r="L157" s="356">
        <f t="shared" si="40"/>
        <v>879.78</v>
      </c>
      <c r="M157" s="356">
        <f t="shared" si="41"/>
        <v>6600</v>
      </c>
      <c r="N157" s="356">
        <f t="shared" si="42"/>
        <v>879.78</v>
      </c>
      <c r="O157" s="356">
        <f t="shared" si="36"/>
        <v>43109.22</v>
      </c>
      <c r="P157" s="358">
        <v>1</v>
      </c>
      <c r="Q157" s="354">
        <f t="shared" si="43"/>
        <v>49</v>
      </c>
      <c r="R157" s="339">
        <f t="shared" si="44"/>
        <v>7479.78</v>
      </c>
      <c r="S157" s="339">
        <f t="shared" si="45"/>
        <v>366509.22</v>
      </c>
      <c r="T157" s="337"/>
    </row>
    <row r="158" spans="2:20">
      <c r="B158" s="378"/>
      <c r="C158" s="337" t="s">
        <v>1450</v>
      </c>
      <c r="D158" s="367">
        <v>154</v>
      </c>
      <c r="E158" s="337" t="s">
        <v>1437</v>
      </c>
      <c r="F158" s="337" t="s">
        <v>1451</v>
      </c>
      <c r="G158" s="346">
        <v>450000</v>
      </c>
      <c r="H158" s="346">
        <v>59985</v>
      </c>
      <c r="I158" s="340">
        <f t="shared" si="46"/>
        <v>509985</v>
      </c>
      <c r="J158" s="348">
        <v>50</v>
      </c>
      <c r="K158" s="381">
        <v>10199.700000000001</v>
      </c>
      <c r="L158" s="356">
        <f t="shared" si="40"/>
        <v>1199.7</v>
      </c>
      <c r="M158" s="356">
        <f t="shared" si="41"/>
        <v>9000</v>
      </c>
      <c r="N158" s="356">
        <f t="shared" si="42"/>
        <v>1199.7</v>
      </c>
      <c r="O158" s="356">
        <f t="shared" si="36"/>
        <v>58785.3</v>
      </c>
      <c r="P158" s="358">
        <v>1</v>
      </c>
      <c r="Q158" s="354">
        <f t="shared" si="43"/>
        <v>49</v>
      </c>
      <c r="R158" s="339">
        <f t="shared" si="44"/>
        <v>10199.700000000001</v>
      </c>
      <c r="S158" s="339">
        <f t="shared" si="45"/>
        <v>499785.3</v>
      </c>
      <c r="T158" s="337"/>
    </row>
    <row r="159" spans="2:20">
      <c r="B159" s="378"/>
      <c r="C159" s="337" t="s">
        <v>1128</v>
      </c>
      <c r="D159" s="367">
        <v>155</v>
      </c>
      <c r="E159" s="337" t="s">
        <v>1437</v>
      </c>
      <c r="F159" s="337" t="s">
        <v>462</v>
      </c>
      <c r="G159" s="346">
        <v>450000</v>
      </c>
      <c r="H159" s="346">
        <v>59985</v>
      </c>
      <c r="I159" s="340">
        <f t="shared" si="46"/>
        <v>509985</v>
      </c>
      <c r="J159" s="348">
        <v>50</v>
      </c>
      <c r="K159" s="381">
        <v>10199.700000000001</v>
      </c>
      <c r="L159" s="356">
        <f t="shared" si="40"/>
        <v>1199.7</v>
      </c>
      <c r="M159" s="356">
        <f t="shared" si="41"/>
        <v>9000</v>
      </c>
      <c r="N159" s="356">
        <f t="shared" si="42"/>
        <v>1199.7</v>
      </c>
      <c r="O159" s="356">
        <f t="shared" si="36"/>
        <v>58785.3</v>
      </c>
      <c r="P159" s="358">
        <v>1</v>
      </c>
      <c r="Q159" s="354">
        <f t="shared" si="43"/>
        <v>49</v>
      </c>
      <c r="R159" s="339">
        <f t="shared" si="44"/>
        <v>10199.700000000001</v>
      </c>
      <c r="S159" s="339">
        <f t="shared" si="45"/>
        <v>499785.3</v>
      </c>
      <c r="T159" s="337"/>
    </row>
    <row r="160" spans="2:20">
      <c r="B160" s="378"/>
      <c r="C160" s="337" t="s">
        <v>1452</v>
      </c>
      <c r="D160" s="367">
        <v>156</v>
      </c>
      <c r="E160" s="337" t="s">
        <v>1437</v>
      </c>
      <c r="F160" s="337" t="s">
        <v>1453</v>
      </c>
      <c r="G160" s="346">
        <v>500000</v>
      </c>
      <c r="H160" s="346">
        <v>66650</v>
      </c>
      <c r="I160" s="340">
        <f t="shared" si="46"/>
        <v>566650</v>
      </c>
      <c r="J160" s="348">
        <v>50</v>
      </c>
      <c r="K160" s="381">
        <v>11333</v>
      </c>
      <c r="L160" s="356">
        <f t="shared" si="40"/>
        <v>1333</v>
      </c>
      <c r="M160" s="356">
        <f t="shared" si="41"/>
        <v>10000</v>
      </c>
      <c r="N160" s="356">
        <f t="shared" si="42"/>
        <v>1333</v>
      </c>
      <c r="O160" s="356">
        <f t="shared" si="36"/>
        <v>65317</v>
      </c>
      <c r="P160" s="358">
        <v>1</v>
      </c>
      <c r="Q160" s="354">
        <f t="shared" si="43"/>
        <v>49</v>
      </c>
      <c r="R160" s="339">
        <f t="shared" si="44"/>
        <v>11333</v>
      </c>
      <c r="S160" s="339">
        <f t="shared" si="45"/>
        <v>555317</v>
      </c>
      <c r="T160" s="337"/>
    </row>
    <row r="161" spans="2:20">
      <c r="B161" s="378"/>
      <c r="C161" s="337" t="s">
        <v>1447</v>
      </c>
      <c r="D161" s="367">
        <v>157</v>
      </c>
      <c r="E161" s="337" t="s">
        <v>1437</v>
      </c>
      <c r="F161" s="337" t="s">
        <v>1448</v>
      </c>
      <c r="G161" s="346">
        <v>450000</v>
      </c>
      <c r="H161" s="346">
        <v>59985</v>
      </c>
      <c r="I161" s="340">
        <f t="shared" si="46"/>
        <v>509985</v>
      </c>
      <c r="J161" s="348">
        <v>50</v>
      </c>
      <c r="K161" s="381">
        <v>10199.700000000001</v>
      </c>
      <c r="L161" s="356">
        <f t="shared" si="40"/>
        <v>1199.7</v>
      </c>
      <c r="M161" s="356">
        <f t="shared" si="41"/>
        <v>9000</v>
      </c>
      <c r="N161" s="356">
        <f t="shared" si="42"/>
        <v>1199.7</v>
      </c>
      <c r="O161" s="356">
        <f t="shared" si="36"/>
        <v>58785.3</v>
      </c>
      <c r="P161" s="358">
        <v>1</v>
      </c>
      <c r="Q161" s="354">
        <f t="shared" si="43"/>
        <v>49</v>
      </c>
      <c r="R161" s="339">
        <f t="shared" si="44"/>
        <v>10199.700000000001</v>
      </c>
      <c r="S161" s="339">
        <f t="shared" si="45"/>
        <v>499785.3</v>
      </c>
      <c r="T161" s="337"/>
    </row>
    <row r="162" spans="2:20">
      <c r="C162" s="337"/>
      <c r="D162" s="367">
        <v>158</v>
      </c>
      <c r="E162" s="337" t="s">
        <v>1437</v>
      </c>
      <c r="F162" s="337" t="s">
        <v>1270</v>
      </c>
      <c r="G162" s="346">
        <v>150000</v>
      </c>
      <c r="H162" s="346">
        <v>19995</v>
      </c>
      <c r="I162" s="340">
        <f t="shared" si="46"/>
        <v>169995</v>
      </c>
      <c r="J162" s="358">
        <v>50</v>
      </c>
      <c r="K162" s="346">
        <v>3399.9</v>
      </c>
      <c r="L162" s="356">
        <f>H162/50</f>
        <v>399.9</v>
      </c>
      <c r="M162" s="356">
        <f>G162/50</f>
        <v>3000</v>
      </c>
      <c r="N162" s="356">
        <f>L162*P162</f>
        <v>16395.899999999998</v>
      </c>
      <c r="O162" s="356">
        <f t="shared" si="36"/>
        <v>3599.1</v>
      </c>
      <c r="P162" s="358">
        <v>41</v>
      </c>
      <c r="Q162" s="354">
        <f t="shared" si="43"/>
        <v>9</v>
      </c>
      <c r="R162" s="339">
        <f>K162*P162</f>
        <v>139395.9</v>
      </c>
      <c r="S162" s="339">
        <f>I162-R162</f>
        <v>30599.100000000006</v>
      </c>
      <c r="T162" s="337"/>
    </row>
    <row r="163" spans="2:20">
      <c r="C163" s="337"/>
      <c r="D163" s="367">
        <v>159</v>
      </c>
      <c r="E163" s="337" t="s">
        <v>1437</v>
      </c>
      <c r="F163" s="337" t="s">
        <v>1272</v>
      </c>
      <c r="G163" s="346">
        <v>450000</v>
      </c>
      <c r="H163" s="346">
        <v>59985</v>
      </c>
      <c r="I163" s="340">
        <f t="shared" si="46"/>
        <v>509985</v>
      </c>
      <c r="J163" s="358">
        <v>50</v>
      </c>
      <c r="K163" s="346">
        <v>10199.700000000001</v>
      </c>
      <c r="L163" s="356">
        <f>H163/50</f>
        <v>1199.7</v>
      </c>
      <c r="M163" s="356">
        <f>G163/50</f>
        <v>9000</v>
      </c>
      <c r="N163" s="356">
        <f>L163*P163</f>
        <v>17995.5</v>
      </c>
      <c r="O163" s="356">
        <f t="shared" si="36"/>
        <v>41989.5</v>
      </c>
      <c r="P163" s="358">
        <v>15</v>
      </c>
      <c r="Q163" s="354">
        <f t="shared" si="43"/>
        <v>35</v>
      </c>
      <c r="R163" s="339">
        <f>K163*P163</f>
        <v>152995.5</v>
      </c>
      <c r="S163" s="339">
        <f>I163-R163</f>
        <v>356989.5</v>
      </c>
      <c r="T163" s="337"/>
    </row>
    <row r="164" spans="2:20">
      <c r="C164" s="337"/>
      <c r="D164" s="367">
        <v>160</v>
      </c>
      <c r="E164" s="337" t="s">
        <v>1437</v>
      </c>
      <c r="F164" s="337" t="s">
        <v>1268</v>
      </c>
      <c r="G164" s="346">
        <v>500000</v>
      </c>
      <c r="H164" s="346">
        <v>66650</v>
      </c>
      <c r="I164" s="340">
        <f t="shared" si="46"/>
        <v>566650</v>
      </c>
      <c r="J164" s="358">
        <v>50</v>
      </c>
      <c r="K164" s="346">
        <v>11749.67</v>
      </c>
      <c r="L164" s="356">
        <f>H164/50</f>
        <v>1333</v>
      </c>
      <c r="M164" s="356">
        <f>G164/50</f>
        <v>10000</v>
      </c>
      <c r="N164" s="356">
        <f>L164*P164</f>
        <v>39990</v>
      </c>
      <c r="O164" s="356">
        <f t="shared" si="36"/>
        <v>26660</v>
      </c>
      <c r="P164" s="358">
        <v>30</v>
      </c>
      <c r="Q164" s="354">
        <f t="shared" si="43"/>
        <v>20</v>
      </c>
      <c r="R164" s="339">
        <f>K164*P164</f>
        <v>352490.1</v>
      </c>
      <c r="S164" s="339">
        <f>I164-R164</f>
        <v>214159.90000000002</v>
      </c>
      <c r="T164" s="337"/>
    </row>
    <row r="165" spans="2:20">
      <c r="C165" s="337"/>
      <c r="D165" s="367">
        <v>161</v>
      </c>
      <c r="E165" s="337" t="s">
        <v>1437</v>
      </c>
      <c r="F165" s="337" t="s">
        <v>1420</v>
      </c>
      <c r="G165" s="346">
        <v>450000</v>
      </c>
      <c r="H165" s="346">
        <v>59985</v>
      </c>
      <c r="I165" s="340">
        <f t="shared" si="46"/>
        <v>509985</v>
      </c>
      <c r="J165" s="358">
        <v>50</v>
      </c>
      <c r="K165" s="346">
        <v>10199.700000000001</v>
      </c>
      <c r="L165" s="356">
        <f>H165/50</f>
        <v>1199.7</v>
      </c>
      <c r="M165" s="356">
        <f>G165/50</f>
        <v>9000</v>
      </c>
      <c r="N165" s="356">
        <f>L165*P165</f>
        <v>5998.5</v>
      </c>
      <c r="O165" s="356">
        <f t="shared" si="36"/>
        <v>53986.5</v>
      </c>
      <c r="P165" s="358">
        <v>5</v>
      </c>
      <c r="Q165" s="354">
        <f t="shared" si="43"/>
        <v>45</v>
      </c>
      <c r="R165" s="339">
        <f>K165*P165</f>
        <v>50998.5</v>
      </c>
      <c r="S165" s="339">
        <f>I165-R165</f>
        <v>458986.5</v>
      </c>
      <c r="T165" s="337"/>
    </row>
    <row r="166" spans="2:20">
      <c r="C166" s="337"/>
      <c r="D166" s="367">
        <v>162</v>
      </c>
      <c r="E166" s="337" t="s">
        <v>1437</v>
      </c>
      <c r="F166" s="337" t="s">
        <v>1269</v>
      </c>
      <c r="G166" s="346">
        <v>450000</v>
      </c>
      <c r="H166" s="346">
        <v>59985</v>
      </c>
      <c r="I166" s="340">
        <f t="shared" si="46"/>
        <v>509985</v>
      </c>
      <c r="J166" s="358">
        <v>50</v>
      </c>
      <c r="K166" s="346">
        <v>10199.700000000001</v>
      </c>
      <c r="L166" s="356">
        <f>H166/50</f>
        <v>1199.7</v>
      </c>
      <c r="M166" s="356">
        <f>G166/50</f>
        <v>9000</v>
      </c>
      <c r="N166" s="356">
        <f>L166*P166</f>
        <v>44388.9</v>
      </c>
      <c r="O166" s="356">
        <f t="shared" si="36"/>
        <v>15596.1</v>
      </c>
      <c r="P166" s="358">
        <v>37</v>
      </c>
      <c r="Q166" s="354">
        <f t="shared" si="43"/>
        <v>13</v>
      </c>
      <c r="R166" s="339">
        <f>K166*P166</f>
        <v>377388.9</v>
      </c>
      <c r="S166" s="339">
        <f>I166-R166</f>
        <v>132596.09999999998</v>
      </c>
      <c r="T166" s="337"/>
    </row>
    <row r="167" spans="2:20">
      <c r="C167" s="337"/>
      <c r="D167" s="337"/>
      <c r="E167" s="337"/>
      <c r="F167" s="337"/>
      <c r="G167" s="386">
        <f>SUM(G5:G166)</f>
        <v>68200000</v>
      </c>
      <c r="H167" s="346">
        <f>SUM(H5:H166)</f>
        <v>8964905</v>
      </c>
      <c r="I167" s="346">
        <f>SUM(I5:I166)</f>
        <v>77164905</v>
      </c>
      <c r="J167" s="357"/>
      <c r="K167" s="346">
        <f>SUM(K5:K166)</f>
        <v>1608747.8699999999</v>
      </c>
      <c r="L167" s="346">
        <f>SUM(L5:L166)</f>
        <v>181574.864</v>
      </c>
      <c r="M167" s="346">
        <f>SUM(M5:M166)</f>
        <v>1364000</v>
      </c>
      <c r="N167" s="346">
        <f>SUM(N5:N166)</f>
        <v>3767192.4359999998</v>
      </c>
      <c r="O167" s="346">
        <f>SUM(O5:O166)</f>
        <v>5075272.7479999969</v>
      </c>
      <c r="P167" s="358"/>
      <c r="Q167" s="358"/>
      <c r="R167" s="346">
        <f>SUM(R5:R166)</f>
        <v>32605739.519999996</v>
      </c>
      <c r="S167" s="386">
        <f>SUM(S5:S166)</f>
        <v>44559165.479999989</v>
      </c>
      <c r="T167" s="337"/>
    </row>
  </sheetData>
  <sortState ref="C5:T155">
    <sortCondition ref="C5:C155"/>
  </sortState>
  <mergeCells count="3">
    <mergeCell ref="D1:T1"/>
    <mergeCell ref="D2:T2"/>
    <mergeCell ref="D3:T3"/>
  </mergeCells>
  <conditionalFormatting sqref="C97:C98">
    <cfRule type="duplicateValues" dxfId="25" priority="2"/>
  </conditionalFormatting>
  <conditionalFormatting sqref="C104:C107 C4:C90 C96:C98 C113:C119 C127:C140">
    <cfRule type="duplicateValues" dxfId="24" priority="6"/>
  </conditionalFormatting>
  <pageMargins left="0.2" right="0.2" top="0.25" bottom="0.25" header="0.3" footer="0.3"/>
  <pageSetup paperSize="9" scale="5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168"/>
  <sheetViews>
    <sheetView topLeftCell="G1" zoomScale="90" zoomScaleNormal="90" workbookViewId="0">
      <selection activeCell="Q87" sqref="Q87"/>
    </sheetView>
  </sheetViews>
  <sheetFormatPr defaultRowHeight="15.75"/>
  <cols>
    <col min="1" max="1" width="13.140625" style="336" bestFit="1" customWidth="1"/>
    <col min="2" max="2" width="14.5703125" style="336" bestFit="1" customWidth="1"/>
    <col min="3" max="3" width="18.7109375" style="336" customWidth="1"/>
    <col min="4" max="4" width="5.42578125" style="336" customWidth="1"/>
    <col min="5" max="5" width="13.5703125" style="336" customWidth="1"/>
    <col min="6" max="6" width="36.5703125" style="336" customWidth="1"/>
    <col min="7" max="7" width="16.85546875" style="342" customWidth="1"/>
    <col min="8" max="8" width="16" style="342" customWidth="1"/>
    <col min="9" max="9" width="17.42578125" style="342" customWidth="1"/>
    <col min="10" max="10" width="8.28515625" style="343" customWidth="1"/>
    <col min="11" max="11" width="16.5703125" style="342" customWidth="1"/>
    <col min="12" max="12" width="14.140625" style="355" customWidth="1"/>
    <col min="13" max="13" width="16.85546875" style="355" customWidth="1"/>
    <col min="14" max="14" width="16.5703125" style="355" customWidth="1"/>
    <col min="15" max="15" width="15.85546875" style="355" customWidth="1"/>
    <col min="16" max="16" width="10.140625" style="344" customWidth="1"/>
    <col min="17" max="17" width="12.140625" style="344" customWidth="1"/>
    <col min="18" max="18" width="17" style="342" customWidth="1"/>
    <col min="19" max="19" width="16.85546875" style="342" customWidth="1"/>
    <col min="20" max="20" width="9.5703125" style="336" customWidth="1"/>
    <col min="21" max="16384" width="9.140625" style="336"/>
  </cols>
  <sheetData>
    <row r="1" spans="1:20" ht="22.5">
      <c r="D1" s="425" t="s">
        <v>1421</v>
      </c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</row>
    <row r="2" spans="1:20" customFormat="1" ht="20.25">
      <c r="C2" s="360"/>
      <c r="D2" s="419" t="s">
        <v>245</v>
      </c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</row>
    <row r="3" spans="1:20" customFormat="1" ht="18">
      <c r="C3" s="360"/>
      <c r="D3" s="426" t="s">
        <v>1455</v>
      </c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</row>
    <row r="4" spans="1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70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1:20">
      <c r="A5" s="378"/>
      <c r="B5" s="378"/>
      <c r="C5" s="361" t="s">
        <v>1369</v>
      </c>
      <c r="D5" s="367">
        <v>1</v>
      </c>
      <c r="E5" s="337" t="s">
        <v>1437</v>
      </c>
      <c r="F5" s="338" t="s">
        <v>1282</v>
      </c>
      <c r="G5" s="339">
        <v>330000</v>
      </c>
      <c r="H5" s="339">
        <v>43989</v>
      </c>
      <c r="I5" s="340">
        <f t="shared" ref="I5:I36" si="0">SUM(G5:H5)</f>
        <v>373989</v>
      </c>
      <c r="J5" s="347">
        <v>50</v>
      </c>
      <c r="K5" s="379">
        <v>7479.78</v>
      </c>
      <c r="L5" s="356">
        <f t="shared" ref="L5:L38" si="1">H5/50</f>
        <v>879.78</v>
      </c>
      <c r="M5" s="356">
        <f t="shared" ref="M5:M36" si="2">G5/50</f>
        <v>6600</v>
      </c>
      <c r="N5" s="356">
        <f t="shared" ref="N5:N36" si="3">L5*P5</f>
        <v>9677.58</v>
      </c>
      <c r="O5" s="356">
        <f t="shared" ref="O5:O36" si="4">L5*Q5</f>
        <v>34311.42</v>
      </c>
      <c r="P5" s="352">
        <v>11</v>
      </c>
      <c r="Q5" s="354">
        <f t="shared" ref="Q5:Q36" si="5">J5-P5</f>
        <v>39</v>
      </c>
      <c r="R5" s="339">
        <f t="shared" ref="R5:R36" si="6">K5*P5</f>
        <v>82277.58</v>
      </c>
      <c r="S5" s="339">
        <f t="shared" ref="S5:S36" si="7">I5-R5</f>
        <v>291711.42</v>
      </c>
      <c r="T5" s="341"/>
    </row>
    <row r="6" spans="1:20">
      <c r="A6" s="378"/>
      <c r="B6" s="378"/>
      <c r="C6" s="361" t="s">
        <v>1396</v>
      </c>
      <c r="D6" s="367">
        <v>2</v>
      </c>
      <c r="E6" s="337" t="s">
        <v>1437</v>
      </c>
      <c r="F6" s="341" t="s">
        <v>1397</v>
      </c>
      <c r="G6" s="339">
        <v>150000</v>
      </c>
      <c r="H6" s="339">
        <v>19995</v>
      </c>
      <c r="I6" s="340">
        <f t="shared" si="0"/>
        <v>169995</v>
      </c>
      <c r="J6" s="347">
        <v>50</v>
      </c>
      <c r="K6" s="379">
        <v>3399.9</v>
      </c>
      <c r="L6" s="356">
        <f t="shared" si="1"/>
        <v>399.9</v>
      </c>
      <c r="M6" s="356">
        <f t="shared" si="2"/>
        <v>3000</v>
      </c>
      <c r="N6" s="356">
        <f t="shared" si="3"/>
        <v>5198.7</v>
      </c>
      <c r="O6" s="356">
        <f t="shared" si="4"/>
        <v>14796.3</v>
      </c>
      <c r="P6" s="352">
        <v>13</v>
      </c>
      <c r="Q6" s="354">
        <f t="shared" si="5"/>
        <v>37</v>
      </c>
      <c r="R6" s="339">
        <f t="shared" si="6"/>
        <v>44198.700000000004</v>
      </c>
      <c r="S6" s="339">
        <f t="shared" si="7"/>
        <v>125796.29999999999</v>
      </c>
      <c r="T6" s="341"/>
    </row>
    <row r="7" spans="1:20">
      <c r="A7" s="378"/>
      <c r="B7" s="378"/>
      <c r="C7" s="337" t="s">
        <v>1412</v>
      </c>
      <c r="D7" s="367">
        <v>3</v>
      </c>
      <c r="E7" s="337" t="s">
        <v>1437</v>
      </c>
      <c r="F7" s="337" t="s">
        <v>468</v>
      </c>
      <c r="G7" s="346">
        <v>500000</v>
      </c>
      <c r="H7" s="346">
        <v>66650</v>
      </c>
      <c r="I7" s="340">
        <f t="shared" si="0"/>
        <v>566650</v>
      </c>
      <c r="J7" s="348">
        <v>50</v>
      </c>
      <c r="K7" s="380">
        <v>11333</v>
      </c>
      <c r="L7" s="356">
        <f t="shared" si="1"/>
        <v>1333</v>
      </c>
      <c r="M7" s="356">
        <f t="shared" si="2"/>
        <v>10000</v>
      </c>
      <c r="N7" s="356">
        <f t="shared" si="3"/>
        <v>5332</v>
      </c>
      <c r="O7" s="356">
        <f t="shared" si="4"/>
        <v>61318</v>
      </c>
      <c r="P7" s="348">
        <v>4</v>
      </c>
      <c r="Q7" s="354">
        <f t="shared" si="5"/>
        <v>46</v>
      </c>
      <c r="R7" s="339">
        <f t="shared" si="6"/>
        <v>45332</v>
      </c>
      <c r="S7" s="339">
        <f t="shared" si="7"/>
        <v>521318</v>
      </c>
      <c r="T7" s="337"/>
    </row>
    <row r="8" spans="1:20">
      <c r="A8" s="378"/>
      <c r="B8" s="378"/>
      <c r="C8" s="362" t="s">
        <v>1047</v>
      </c>
      <c r="D8" s="367">
        <v>4</v>
      </c>
      <c r="E8" s="337" t="s">
        <v>1437</v>
      </c>
      <c r="F8" s="338" t="s">
        <v>873</v>
      </c>
      <c r="G8" s="339">
        <v>450000</v>
      </c>
      <c r="H8" s="339">
        <v>59985</v>
      </c>
      <c r="I8" s="340">
        <f t="shared" si="0"/>
        <v>509985</v>
      </c>
      <c r="J8" s="347">
        <v>50</v>
      </c>
      <c r="K8" s="379">
        <v>10199.700000000001</v>
      </c>
      <c r="L8" s="356">
        <f t="shared" si="1"/>
        <v>1199.7</v>
      </c>
      <c r="M8" s="356">
        <f t="shared" si="2"/>
        <v>9000</v>
      </c>
      <c r="N8" s="356">
        <f t="shared" si="3"/>
        <v>31192.2</v>
      </c>
      <c r="O8" s="356">
        <f t="shared" si="4"/>
        <v>28792.800000000003</v>
      </c>
      <c r="P8" s="352">
        <v>26</v>
      </c>
      <c r="Q8" s="354">
        <f t="shared" si="5"/>
        <v>24</v>
      </c>
      <c r="R8" s="339">
        <f t="shared" si="6"/>
        <v>265192.2</v>
      </c>
      <c r="S8" s="339">
        <f t="shared" si="7"/>
        <v>244792.8</v>
      </c>
      <c r="T8" s="341"/>
    </row>
    <row r="9" spans="1:20">
      <c r="A9" s="378"/>
      <c r="B9" s="378"/>
      <c r="C9" s="337" t="s">
        <v>1418</v>
      </c>
      <c r="D9" s="367">
        <v>5</v>
      </c>
      <c r="E9" s="337" t="s">
        <v>1437</v>
      </c>
      <c r="F9" s="337" t="s">
        <v>455</v>
      </c>
      <c r="G9" s="346">
        <v>150000</v>
      </c>
      <c r="H9" s="346">
        <v>19995</v>
      </c>
      <c r="I9" s="340">
        <f t="shared" si="0"/>
        <v>169995</v>
      </c>
      <c r="J9" s="358">
        <v>50</v>
      </c>
      <c r="K9" s="381">
        <v>3399.9</v>
      </c>
      <c r="L9" s="356">
        <f t="shared" si="1"/>
        <v>399.9</v>
      </c>
      <c r="M9" s="356">
        <f t="shared" si="2"/>
        <v>3000</v>
      </c>
      <c r="N9" s="356">
        <f t="shared" si="3"/>
        <v>1599.6</v>
      </c>
      <c r="O9" s="356">
        <f t="shared" si="4"/>
        <v>18395.399999999998</v>
      </c>
      <c r="P9" s="358">
        <v>4</v>
      </c>
      <c r="Q9" s="354">
        <f t="shared" si="5"/>
        <v>46</v>
      </c>
      <c r="R9" s="339">
        <f t="shared" si="6"/>
        <v>13599.6</v>
      </c>
      <c r="S9" s="339">
        <f t="shared" si="7"/>
        <v>156395.4</v>
      </c>
      <c r="T9" s="337"/>
    </row>
    <row r="10" spans="1:20">
      <c r="A10" s="378"/>
      <c r="B10" s="378"/>
      <c r="C10" s="363" t="s">
        <v>1034</v>
      </c>
      <c r="D10" s="367">
        <v>6</v>
      </c>
      <c r="E10" s="337" t="s">
        <v>1437</v>
      </c>
      <c r="F10" s="341" t="s">
        <v>1035</v>
      </c>
      <c r="G10" s="339">
        <v>500000</v>
      </c>
      <c r="H10" s="339">
        <v>66650</v>
      </c>
      <c r="I10" s="340">
        <f t="shared" si="0"/>
        <v>566650</v>
      </c>
      <c r="J10" s="347">
        <v>50</v>
      </c>
      <c r="K10" s="379">
        <v>11333</v>
      </c>
      <c r="L10" s="356">
        <f t="shared" si="1"/>
        <v>1333</v>
      </c>
      <c r="M10" s="356">
        <f t="shared" si="2"/>
        <v>10000</v>
      </c>
      <c r="N10" s="356">
        <f t="shared" si="3"/>
        <v>34658</v>
      </c>
      <c r="O10" s="356">
        <f t="shared" si="4"/>
        <v>31992</v>
      </c>
      <c r="P10" s="347">
        <v>26</v>
      </c>
      <c r="Q10" s="354">
        <f t="shared" si="5"/>
        <v>24</v>
      </c>
      <c r="R10" s="339">
        <f t="shared" si="6"/>
        <v>294658</v>
      </c>
      <c r="S10" s="339">
        <f t="shared" si="7"/>
        <v>271992</v>
      </c>
      <c r="T10" s="341"/>
    </row>
    <row r="11" spans="1:20">
      <c r="A11" s="378"/>
      <c r="B11" s="378"/>
      <c r="C11" s="362" t="s">
        <v>1382</v>
      </c>
      <c r="D11" s="367">
        <v>7</v>
      </c>
      <c r="E11" s="337" t="s">
        <v>1437</v>
      </c>
      <c r="F11" s="341" t="s">
        <v>1130</v>
      </c>
      <c r="G11" s="339">
        <v>330000</v>
      </c>
      <c r="H11" s="339">
        <v>43989</v>
      </c>
      <c r="I11" s="340">
        <f t="shared" si="0"/>
        <v>373989</v>
      </c>
      <c r="J11" s="347">
        <v>50</v>
      </c>
      <c r="K11" s="379">
        <v>7479.78</v>
      </c>
      <c r="L11" s="356">
        <f t="shared" si="1"/>
        <v>879.78</v>
      </c>
      <c r="M11" s="356">
        <f t="shared" si="2"/>
        <v>6600</v>
      </c>
      <c r="N11" s="356">
        <f t="shared" si="3"/>
        <v>15836.039999999999</v>
      </c>
      <c r="O11" s="356">
        <f t="shared" si="4"/>
        <v>28152.959999999999</v>
      </c>
      <c r="P11" s="353">
        <v>18</v>
      </c>
      <c r="Q11" s="354">
        <f t="shared" si="5"/>
        <v>32</v>
      </c>
      <c r="R11" s="339">
        <f t="shared" si="6"/>
        <v>134636.04</v>
      </c>
      <c r="S11" s="339">
        <f t="shared" si="7"/>
        <v>239352.95999999999</v>
      </c>
      <c r="T11" s="341"/>
    </row>
    <row r="12" spans="1:20">
      <c r="A12" s="378"/>
      <c r="B12" s="378"/>
      <c r="C12" s="362" t="s">
        <v>1350</v>
      </c>
      <c r="D12" s="367">
        <v>8</v>
      </c>
      <c r="E12" s="337" t="s">
        <v>1437</v>
      </c>
      <c r="F12" s="338" t="s">
        <v>1117</v>
      </c>
      <c r="G12" s="339">
        <v>500000</v>
      </c>
      <c r="H12" s="339">
        <v>66650</v>
      </c>
      <c r="I12" s="340">
        <f t="shared" si="0"/>
        <v>566650</v>
      </c>
      <c r="J12" s="347">
        <v>50</v>
      </c>
      <c r="K12" s="379">
        <v>11333</v>
      </c>
      <c r="L12" s="356">
        <f t="shared" si="1"/>
        <v>1333</v>
      </c>
      <c r="M12" s="356">
        <f t="shared" si="2"/>
        <v>10000</v>
      </c>
      <c r="N12" s="356">
        <f t="shared" si="3"/>
        <v>23994</v>
      </c>
      <c r="O12" s="356">
        <f t="shared" si="4"/>
        <v>42656</v>
      </c>
      <c r="P12" s="352">
        <v>18</v>
      </c>
      <c r="Q12" s="354">
        <f t="shared" si="5"/>
        <v>32</v>
      </c>
      <c r="R12" s="339">
        <f t="shared" si="6"/>
        <v>203994</v>
      </c>
      <c r="S12" s="339">
        <f t="shared" si="7"/>
        <v>362656</v>
      </c>
      <c r="T12" s="341"/>
    </row>
    <row r="13" spans="1:20">
      <c r="A13" s="378"/>
      <c r="B13" s="378"/>
      <c r="C13" s="361" t="s">
        <v>1338</v>
      </c>
      <c r="D13" s="367">
        <v>9</v>
      </c>
      <c r="E13" s="337" t="s">
        <v>1437</v>
      </c>
      <c r="F13" s="341" t="s">
        <v>438</v>
      </c>
      <c r="G13" s="339">
        <v>500000</v>
      </c>
      <c r="H13" s="339">
        <v>66650</v>
      </c>
      <c r="I13" s="340">
        <f t="shared" si="0"/>
        <v>566650</v>
      </c>
      <c r="J13" s="347">
        <v>50</v>
      </c>
      <c r="K13" s="379">
        <v>11333</v>
      </c>
      <c r="L13" s="356">
        <f t="shared" si="1"/>
        <v>1333</v>
      </c>
      <c r="M13" s="356">
        <f t="shared" si="2"/>
        <v>10000</v>
      </c>
      <c r="N13" s="356">
        <f t="shared" si="3"/>
        <v>7998</v>
      </c>
      <c r="O13" s="356">
        <f t="shared" si="4"/>
        <v>58652</v>
      </c>
      <c r="P13" s="352">
        <v>6</v>
      </c>
      <c r="Q13" s="354">
        <f t="shared" si="5"/>
        <v>44</v>
      </c>
      <c r="R13" s="339">
        <f t="shared" si="6"/>
        <v>67998</v>
      </c>
      <c r="S13" s="339">
        <f t="shared" si="7"/>
        <v>498652</v>
      </c>
      <c r="T13" s="341"/>
    </row>
    <row r="14" spans="1:20">
      <c r="A14" s="378"/>
      <c r="B14" s="378"/>
      <c r="C14" s="337" t="s">
        <v>1413</v>
      </c>
      <c r="D14" s="367">
        <v>10</v>
      </c>
      <c r="E14" s="337" t="s">
        <v>1437</v>
      </c>
      <c r="F14" s="337" t="s">
        <v>454</v>
      </c>
      <c r="G14" s="346">
        <v>500000</v>
      </c>
      <c r="H14" s="346">
        <v>66650</v>
      </c>
      <c r="I14" s="340">
        <f t="shared" si="0"/>
        <v>566650</v>
      </c>
      <c r="J14" s="348">
        <v>50</v>
      </c>
      <c r="K14" s="380">
        <v>11333</v>
      </c>
      <c r="L14" s="356">
        <f t="shared" si="1"/>
        <v>1333</v>
      </c>
      <c r="M14" s="356">
        <f t="shared" si="2"/>
        <v>10000</v>
      </c>
      <c r="N14" s="356">
        <f t="shared" si="3"/>
        <v>5332</v>
      </c>
      <c r="O14" s="356">
        <f t="shared" si="4"/>
        <v>61318</v>
      </c>
      <c r="P14" s="348">
        <v>4</v>
      </c>
      <c r="Q14" s="354">
        <f t="shared" si="5"/>
        <v>46</v>
      </c>
      <c r="R14" s="339">
        <f t="shared" si="6"/>
        <v>45332</v>
      </c>
      <c r="S14" s="339">
        <f t="shared" si="7"/>
        <v>521318</v>
      </c>
      <c r="T14" s="337"/>
    </row>
    <row r="15" spans="1:20">
      <c r="A15" s="378"/>
      <c r="B15" s="378"/>
      <c r="C15" s="363" t="s">
        <v>1363</v>
      </c>
      <c r="D15" s="367">
        <v>11</v>
      </c>
      <c r="E15" s="337" t="s">
        <v>1437</v>
      </c>
      <c r="F15" s="341" t="s">
        <v>1364</v>
      </c>
      <c r="G15" s="339">
        <v>450000</v>
      </c>
      <c r="H15" s="339">
        <v>59985</v>
      </c>
      <c r="I15" s="340">
        <f t="shared" si="0"/>
        <v>509985</v>
      </c>
      <c r="J15" s="347">
        <v>50</v>
      </c>
      <c r="K15" s="379">
        <v>10199.700000000001</v>
      </c>
      <c r="L15" s="356">
        <f t="shared" si="1"/>
        <v>1199.7</v>
      </c>
      <c r="M15" s="356">
        <f t="shared" si="2"/>
        <v>9000</v>
      </c>
      <c r="N15" s="356">
        <f t="shared" si="3"/>
        <v>10797.300000000001</v>
      </c>
      <c r="O15" s="356">
        <f t="shared" si="4"/>
        <v>49187.700000000004</v>
      </c>
      <c r="P15" s="353">
        <v>9</v>
      </c>
      <c r="Q15" s="354">
        <f t="shared" si="5"/>
        <v>41</v>
      </c>
      <c r="R15" s="339">
        <f t="shared" si="6"/>
        <v>91797.3</v>
      </c>
      <c r="S15" s="339">
        <f t="shared" si="7"/>
        <v>418187.7</v>
      </c>
      <c r="T15" s="341"/>
    </row>
    <row r="16" spans="1:20">
      <c r="A16" s="378"/>
      <c r="B16" s="378"/>
      <c r="C16" s="361" t="s">
        <v>1343</v>
      </c>
      <c r="D16" s="367">
        <v>12</v>
      </c>
      <c r="E16" s="337" t="s">
        <v>1437</v>
      </c>
      <c r="F16" s="341" t="s">
        <v>451</v>
      </c>
      <c r="G16" s="339">
        <v>500000</v>
      </c>
      <c r="H16" s="339">
        <v>66650</v>
      </c>
      <c r="I16" s="340">
        <f t="shared" si="0"/>
        <v>566650</v>
      </c>
      <c r="J16" s="347">
        <v>50</v>
      </c>
      <c r="K16" s="379">
        <v>11333</v>
      </c>
      <c r="L16" s="356">
        <f t="shared" si="1"/>
        <v>1333</v>
      </c>
      <c r="M16" s="356">
        <f t="shared" si="2"/>
        <v>10000</v>
      </c>
      <c r="N16" s="356">
        <f t="shared" si="3"/>
        <v>21328</v>
      </c>
      <c r="O16" s="356">
        <f t="shared" si="4"/>
        <v>45322</v>
      </c>
      <c r="P16" s="353">
        <v>16</v>
      </c>
      <c r="Q16" s="354">
        <f t="shared" si="5"/>
        <v>34</v>
      </c>
      <c r="R16" s="339">
        <f t="shared" si="6"/>
        <v>181328</v>
      </c>
      <c r="S16" s="339">
        <f t="shared" si="7"/>
        <v>385322</v>
      </c>
      <c r="T16" s="341"/>
    </row>
    <row r="17" spans="1:20">
      <c r="A17" s="378"/>
      <c r="B17" s="378"/>
      <c r="C17" s="363" t="s">
        <v>1107</v>
      </c>
      <c r="D17" s="367">
        <v>13</v>
      </c>
      <c r="E17" s="337" t="s">
        <v>1437</v>
      </c>
      <c r="F17" s="341" t="s">
        <v>734</v>
      </c>
      <c r="G17" s="339">
        <v>500000</v>
      </c>
      <c r="H17" s="339">
        <v>66650</v>
      </c>
      <c r="I17" s="340">
        <f t="shared" si="0"/>
        <v>566650</v>
      </c>
      <c r="J17" s="347">
        <v>50</v>
      </c>
      <c r="K17" s="379">
        <v>11333</v>
      </c>
      <c r="L17" s="356">
        <f t="shared" si="1"/>
        <v>1333</v>
      </c>
      <c r="M17" s="356">
        <f t="shared" si="2"/>
        <v>10000</v>
      </c>
      <c r="N17" s="356">
        <f t="shared" si="3"/>
        <v>7998</v>
      </c>
      <c r="O17" s="356">
        <f t="shared" si="4"/>
        <v>58652</v>
      </c>
      <c r="P17" s="353">
        <v>6</v>
      </c>
      <c r="Q17" s="354">
        <f t="shared" si="5"/>
        <v>44</v>
      </c>
      <c r="R17" s="339">
        <f t="shared" si="6"/>
        <v>67998</v>
      </c>
      <c r="S17" s="339">
        <f t="shared" si="7"/>
        <v>498652</v>
      </c>
      <c r="T17" s="341"/>
    </row>
    <row r="18" spans="1:20">
      <c r="A18" s="378"/>
      <c r="B18" s="378"/>
      <c r="C18" s="337" t="s">
        <v>984</v>
      </c>
      <c r="D18" s="367">
        <v>14</v>
      </c>
      <c r="E18" s="337" t="s">
        <v>1437</v>
      </c>
      <c r="F18" s="337" t="s">
        <v>287</v>
      </c>
      <c r="G18" s="346">
        <v>450000</v>
      </c>
      <c r="H18" s="346">
        <v>59985</v>
      </c>
      <c r="I18" s="340">
        <f t="shared" si="0"/>
        <v>509985</v>
      </c>
      <c r="J18" s="358">
        <v>50</v>
      </c>
      <c r="K18" s="381">
        <v>10199.700000000001</v>
      </c>
      <c r="L18" s="356">
        <f t="shared" si="1"/>
        <v>1199.7</v>
      </c>
      <c r="M18" s="356">
        <f t="shared" si="2"/>
        <v>9000</v>
      </c>
      <c r="N18" s="356">
        <f t="shared" si="3"/>
        <v>4798.8</v>
      </c>
      <c r="O18" s="356">
        <f t="shared" si="4"/>
        <v>55186.200000000004</v>
      </c>
      <c r="P18" s="358">
        <v>4</v>
      </c>
      <c r="Q18" s="354">
        <f t="shared" si="5"/>
        <v>46</v>
      </c>
      <c r="R18" s="339">
        <f t="shared" si="6"/>
        <v>40798.800000000003</v>
      </c>
      <c r="S18" s="339">
        <f t="shared" si="7"/>
        <v>469186.2</v>
      </c>
      <c r="T18" s="337"/>
    </row>
    <row r="19" spans="1:20">
      <c r="A19" s="378"/>
      <c r="B19" s="378"/>
      <c r="C19" s="363" t="s">
        <v>1344</v>
      </c>
      <c r="D19" s="367">
        <v>15</v>
      </c>
      <c r="E19" s="337" t="s">
        <v>1437</v>
      </c>
      <c r="F19" s="341" t="s">
        <v>1345</v>
      </c>
      <c r="G19" s="339">
        <v>500000</v>
      </c>
      <c r="H19" s="339">
        <v>66650</v>
      </c>
      <c r="I19" s="340">
        <f t="shared" si="0"/>
        <v>566650</v>
      </c>
      <c r="J19" s="347">
        <v>50</v>
      </c>
      <c r="K19" s="379">
        <v>11333</v>
      </c>
      <c r="L19" s="356">
        <f t="shared" si="1"/>
        <v>1333</v>
      </c>
      <c r="M19" s="356">
        <f t="shared" si="2"/>
        <v>10000</v>
      </c>
      <c r="N19" s="356">
        <f t="shared" si="3"/>
        <v>11997</v>
      </c>
      <c r="O19" s="356">
        <f t="shared" si="4"/>
        <v>54653</v>
      </c>
      <c r="P19" s="352">
        <v>9</v>
      </c>
      <c r="Q19" s="354">
        <f t="shared" si="5"/>
        <v>41</v>
      </c>
      <c r="R19" s="339">
        <f t="shared" si="6"/>
        <v>101997</v>
      </c>
      <c r="S19" s="339">
        <f t="shared" si="7"/>
        <v>464653</v>
      </c>
      <c r="T19" s="341"/>
    </row>
    <row r="20" spans="1:20">
      <c r="A20" s="378"/>
      <c r="B20" s="378"/>
      <c r="C20" s="364" t="s">
        <v>1100</v>
      </c>
      <c r="D20" s="367">
        <v>16</v>
      </c>
      <c r="E20" s="337" t="s">
        <v>1437</v>
      </c>
      <c r="F20" s="341" t="s">
        <v>351</v>
      </c>
      <c r="G20" s="340">
        <v>500000</v>
      </c>
      <c r="H20" s="339">
        <v>66650</v>
      </c>
      <c r="I20" s="340">
        <f t="shared" si="0"/>
        <v>566650</v>
      </c>
      <c r="J20" s="347">
        <v>50</v>
      </c>
      <c r="K20" s="379">
        <v>11333</v>
      </c>
      <c r="L20" s="356">
        <f t="shared" si="1"/>
        <v>1333</v>
      </c>
      <c r="M20" s="356">
        <f t="shared" si="2"/>
        <v>10000</v>
      </c>
      <c r="N20" s="356">
        <f t="shared" si="3"/>
        <v>74648</v>
      </c>
      <c r="O20" s="356">
        <f t="shared" si="4"/>
        <v>-7998</v>
      </c>
      <c r="P20" s="352">
        <v>56</v>
      </c>
      <c r="Q20" s="354">
        <f t="shared" si="5"/>
        <v>-6</v>
      </c>
      <c r="R20" s="339">
        <f t="shared" si="6"/>
        <v>634648</v>
      </c>
      <c r="S20" s="339">
        <f t="shared" si="7"/>
        <v>-67998</v>
      </c>
      <c r="T20" s="341"/>
    </row>
    <row r="21" spans="1:20">
      <c r="A21" s="378"/>
      <c r="B21" s="378"/>
      <c r="C21" s="362" t="s">
        <v>989</v>
      </c>
      <c r="D21" s="367">
        <v>17</v>
      </c>
      <c r="E21" s="337" t="s">
        <v>1437</v>
      </c>
      <c r="F21" s="338" t="s">
        <v>864</v>
      </c>
      <c r="G21" s="339">
        <v>500000</v>
      </c>
      <c r="H21" s="339">
        <v>66650</v>
      </c>
      <c r="I21" s="340">
        <f t="shared" si="0"/>
        <v>566650</v>
      </c>
      <c r="J21" s="347">
        <v>50</v>
      </c>
      <c r="K21" s="379">
        <v>11333</v>
      </c>
      <c r="L21" s="356">
        <f t="shared" si="1"/>
        <v>1333</v>
      </c>
      <c r="M21" s="356">
        <f t="shared" si="2"/>
        <v>10000</v>
      </c>
      <c r="N21" s="356">
        <f t="shared" si="3"/>
        <v>34658</v>
      </c>
      <c r="O21" s="356">
        <f t="shared" si="4"/>
        <v>31992</v>
      </c>
      <c r="P21" s="352">
        <v>26</v>
      </c>
      <c r="Q21" s="354">
        <f t="shared" si="5"/>
        <v>24</v>
      </c>
      <c r="R21" s="339">
        <f t="shared" si="6"/>
        <v>294658</v>
      </c>
      <c r="S21" s="339">
        <f t="shared" si="7"/>
        <v>271992</v>
      </c>
      <c r="T21" s="341"/>
    </row>
    <row r="22" spans="1:20">
      <c r="A22" s="378"/>
      <c r="B22" s="378"/>
      <c r="C22" s="363" t="s">
        <v>991</v>
      </c>
      <c r="D22" s="367">
        <v>18</v>
      </c>
      <c r="E22" s="337" t="s">
        <v>1437</v>
      </c>
      <c r="F22" s="341" t="s">
        <v>992</v>
      </c>
      <c r="G22" s="339">
        <v>330000</v>
      </c>
      <c r="H22" s="339">
        <v>31672.200000000012</v>
      </c>
      <c r="I22" s="340">
        <f t="shared" si="0"/>
        <v>361672.2</v>
      </c>
      <c r="J22" s="347">
        <v>36</v>
      </c>
      <c r="K22" s="379">
        <v>10046.450000000001</v>
      </c>
      <c r="L22" s="356">
        <f t="shared" si="1"/>
        <v>633.44400000000019</v>
      </c>
      <c r="M22" s="356">
        <f t="shared" si="2"/>
        <v>6600</v>
      </c>
      <c r="N22" s="356">
        <f t="shared" si="3"/>
        <v>19003.320000000007</v>
      </c>
      <c r="O22" s="356">
        <f t="shared" si="4"/>
        <v>3800.6640000000011</v>
      </c>
      <c r="P22" s="347">
        <v>30</v>
      </c>
      <c r="Q22" s="354">
        <f t="shared" si="5"/>
        <v>6</v>
      </c>
      <c r="R22" s="339">
        <f t="shared" si="6"/>
        <v>301393.5</v>
      </c>
      <c r="S22" s="339">
        <f t="shared" si="7"/>
        <v>60278.700000000012</v>
      </c>
      <c r="T22" s="341"/>
    </row>
    <row r="23" spans="1:20">
      <c r="A23" s="378"/>
      <c r="B23" s="378"/>
      <c r="C23" s="337" t="s">
        <v>1038</v>
      </c>
      <c r="D23" s="367">
        <v>19</v>
      </c>
      <c r="E23" s="337" t="s">
        <v>1437</v>
      </c>
      <c r="F23" s="337" t="s">
        <v>375</v>
      </c>
      <c r="G23" s="346">
        <v>450000</v>
      </c>
      <c r="H23" s="346">
        <v>59985</v>
      </c>
      <c r="I23" s="340">
        <f t="shared" si="0"/>
        <v>509985</v>
      </c>
      <c r="J23" s="348">
        <v>50</v>
      </c>
      <c r="K23" s="381">
        <v>10199.700000000001</v>
      </c>
      <c r="L23" s="356">
        <f t="shared" si="1"/>
        <v>1199.7</v>
      </c>
      <c r="M23" s="356">
        <f t="shared" si="2"/>
        <v>9000</v>
      </c>
      <c r="N23" s="356">
        <f t="shared" si="3"/>
        <v>2399.4</v>
      </c>
      <c r="O23" s="356">
        <f t="shared" si="4"/>
        <v>57585.600000000006</v>
      </c>
      <c r="P23" s="358">
        <v>2</v>
      </c>
      <c r="Q23" s="354">
        <f t="shared" si="5"/>
        <v>48</v>
      </c>
      <c r="R23" s="339">
        <f t="shared" si="6"/>
        <v>20399.400000000001</v>
      </c>
      <c r="S23" s="339">
        <f t="shared" si="7"/>
        <v>489585.6</v>
      </c>
      <c r="T23" s="337"/>
    </row>
    <row r="24" spans="1:20">
      <c r="A24" s="378"/>
      <c r="B24" s="378"/>
      <c r="C24" s="363" t="s">
        <v>1352</v>
      </c>
      <c r="D24" s="367">
        <v>20</v>
      </c>
      <c r="E24" s="337" t="s">
        <v>1437</v>
      </c>
      <c r="F24" s="341" t="s">
        <v>1353</v>
      </c>
      <c r="G24" s="339">
        <v>500000</v>
      </c>
      <c r="H24" s="339">
        <v>66650</v>
      </c>
      <c r="I24" s="340">
        <f t="shared" si="0"/>
        <v>566650</v>
      </c>
      <c r="J24" s="347">
        <v>50</v>
      </c>
      <c r="K24" s="379">
        <v>11333</v>
      </c>
      <c r="L24" s="356">
        <f t="shared" si="1"/>
        <v>1333</v>
      </c>
      <c r="M24" s="356">
        <f t="shared" si="2"/>
        <v>10000</v>
      </c>
      <c r="N24" s="356">
        <f t="shared" si="3"/>
        <v>7998</v>
      </c>
      <c r="O24" s="356">
        <f t="shared" si="4"/>
        <v>58652</v>
      </c>
      <c r="P24" s="347">
        <v>6</v>
      </c>
      <c r="Q24" s="354">
        <f t="shared" si="5"/>
        <v>44</v>
      </c>
      <c r="R24" s="339">
        <f t="shared" si="6"/>
        <v>67998</v>
      </c>
      <c r="S24" s="339">
        <f t="shared" si="7"/>
        <v>498652</v>
      </c>
      <c r="T24" s="341"/>
    </row>
    <row r="25" spans="1:20">
      <c r="A25" s="378"/>
      <c r="B25" s="378"/>
      <c r="C25" s="362" t="s">
        <v>1141</v>
      </c>
      <c r="D25" s="367">
        <v>21</v>
      </c>
      <c r="E25" s="337" t="s">
        <v>1437</v>
      </c>
      <c r="F25" s="338" t="s">
        <v>1142</v>
      </c>
      <c r="G25" s="339">
        <v>330000</v>
      </c>
      <c r="H25" s="339">
        <v>43989</v>
      </c>
      <c r="I25" s="340">
        <f t="shared" si="0"/>
        <v>373989</v>
      </c>
      <c r="J25" s="347">
        <v>50</v>
      </c>
      <c r="K25" s="379">
        <v>7479.78</v>
      </c>
      <c r="L25" s="356">
        <f t="shared" si="1"/>
        <v>879.78</v>
      </c>
      <c r="M25" s="356">
        <f t="shared" si="2"/>
        <v>6600</v>
      </c>
      <c r="N25" s="356">
        <f t="shared" si="3"/>
        <v>16715.82</v>
      </c>
      <c r="O25" s="356">
        <f t="shared" si="4"/>
        <v>27273.18</v>
      </c>
      <c r="P25" s="352">
        <v>19</v>
      </c>
      <c r="Q25" s="354">
        <f t="shared" si="5"/>
        <v>31</v>
      </c>
      <c r="R25" s="339">
        <f t="shared" si="6"/>
        <v>142115.82</v>
      </c>
      <c r="S25" s="339">
        <f t="shared" si="7"/>
        <v>231873.18</v>
      </c>
      <c r="T25" s="341"/>
    </row>
    <row r="26" spans="1:20">
      <c r="A26" s="378"/>
      <c r="B26" s="378"/>
      <c r="C26" s="364" t="s">
        <v>966</v>
      </c>
      <c r="D26" s="367">
        <v>22</v>
      </c>
      <c r="E26" s="337" t="s">
        <v>1437</v>
      </c>
      <c r="F26" s="337" t="s">
        <v>29</v>
      </c>
      <c r="G26" s="346">
        <v>450000</v>
      </c>
      <c r="H26" s="346">
        <v>59985</v>
      </c>
      <c r="I26" s="340">
        <f t="shared" si="0"/>
        <v>509985</v>
      </c>
      <c r="J26" s="348">
        <v>50</v>
      </c>
      <c r="K26" s="380">
        <v>10199.700000000001</v>
      </c>
      <c r="L26" s="356">
        <f t="shared" si="1"/>
        <v>1199.7</v>
      </c>
      <c r="M26" s="356">
        <f t="shared" si="2"/>
        <v>9000</v>
      </c>
      <c r="N26" s="356">
        <f t="shared" si="3"/>
        <v>51587.1</v>
      </c>
      <c r="O26" s="356">
        <f t="shared" si="4"/>
        <v>8397.9</v>
      </c>
      <c r="P26" s="348">
        <v>43</v>
      </c>
      <c r="Q26" s="354">
        <f t="shared" si="5"/>
        <v>7</v>
      </c>
      <c r="R26" s="339">
        <f t="shared" si="6"/>
        <v>438587.10000000003</v>
      </c>
      <c r="S26" s="339">
        <f t="shared" si="7"/>
        <v>71397.899999999965</v>
      </c>
      <c r="T26" s="337"/>
    </row>
    <row r="27" spans="1:20">
      <c r="A27" s="378"/>
      <c r="B27" s="378"/>
      <c r="C27" s="362" t="s">
        <v>993</v>
      </c>
      <c r="D27" s="367">
        <v>23</v>
      </c>
      <c r="E27" s="337" t="s">
        <v>1437</v>
      </c>
      <c r="F27" s="337" t="s">
        <v>994</v>
      </c>
      <c r="G27" s="346">
        <v>150000</v>
      </c>
      <c r="H27" s="346">
        <v>19995</v>
      </c>
      <c r="I27" s="340">
        <f t="shared" si="0"/>
        <v>169995</v>
      </c>
      <c r="J27" s="348">
        <v>50</v>
      </c>
      <c r="K27" s="380">
        <v>3399.9</v>
      </c>
      <c r="L27" s="356">
        <f t="shared" si="1"/>
        <v>399.9</v>
      </c>
      <c r="M27" s="356">
        <f t="shared" si="2"/>
        <v>3000</v>
      </c>
      <c r="N27" s="356">
        <f t="shared" si="3"/>
        <v>10397.4</v>
      </c>
      <c r="O27" s="356">
        <f t="shared" si="4"/>
        <v>9597.5999999999985</v>
      </c>
      <c r="P27" s="348">
        <v>26</v>
      </c>
      <c r="Q27" s="354">
        <f t="shared" si="5"/>
        <v>24</v>
      </c>
      <c r="R27" s="339">
        <f t="shared" si="6"/>
        <v>88397.400000000009</v>
      </c>
      <c r="S27" s="339">
        <f t="shared" si="7"/>
        <v>81597.599999999991</v>
      </c>
      <c r="T27" s="337"/>
    </row>
    <row r="28" spans="1:20">
      <c r="A28" s="378"/>
      <c r="B28" s="378"/>
      <c r="C28" s="364" t="s">
        <v>1099</v>
      </c>
      <c r="D28" s="367">
        <v>24</v>
      </c>
      <c r="E28" s="337" t="s">
        <v>1437</v>
      </c>
      <c r="F28" s="337" t="s">
        <v>487</v>
      </c>
      <c r="G28" s="346">
        <v>500000</v>
      </c>
      <c r="H28" s="346">
        <v>66650</v>
      </c>
      <c r="I28" s="340">
        <f t="shared" si="0"/>
        <v>566650</v>
      </c>
      <c r="J28" s="348">
        <v>50</v>
      </c>
      <c r="K28" s="380">
        <v>11333</v>
      </c>
      <c r="L28" s="356">
        <f t="shared" si="1"/>
        <v>1333</v>
      </c>
      <c r="M28" s="356">
        <f t="shared" si="2"/>
        <v>10000</v>
      </c>
      <c r="N28" s="356">
        <f t="shared" si="3"/>
        <v>41323</v>
      </c>
      <c r="O28" s="356">
        <f t="shared" si="4"/>
        <v>25327</v>
      </c>
      <c r="P28" s="348">
        <v>31</v>
      </c>
      <c r="Q28" s="354">
        <f t="shared" si="5"/>
        <v>19</v>
      </c>
      <c r="R28" s="339">
        <f t="shared" si="6"/>
        <v>351323</v>
      </c>
      <c r="S28" s="339">
        <f t="shared" si="7"/>
        <v>215327</v>
      </c>
      <c r="T28" s="337"/>
    </row>
    <row r="29" spans="1:20">
      <c r="A29" s="378"/>
      <c r="B29" s="378"/>
      <c r="C29" s="364" t="s">
        <v>1069</v>
      </c>
      <c r="D29" s="367">
        <v>25</v>
      </c>
      <c r="E29" s="337" t="s">
        <v>1437</v>
      </c>
      <c r="F29" s="337" t="s">
        <v>358</v>
      </c>
      <c r="G29" s="346">
        <v>500000</v>
      </c>
      <c r="H29" s="346">
        <v>66650</v>
      </c>
      <c r="I29" s="340">
        <f t="shared" si="0"/>
        <v>566650</v>
      </c>
      <c r="J29" s="348">
        <v>50</v>
      </c>
      <c r="K29" s="380">
        <v>11333</v>
      </c>
      <c r="L29" s="356">
        <f t="shared" si="1"/>
        <v>1333</v>
      </c>
      <c r="M29" s="356">
        <f t="shared" si="2"/>
        <v>10000</v>
      </c>
      <c r="N29" s="356">
        <f t="shared" si="3"/>
        <v>57319</v>
      </c>
      <c r="O29" s="356">
        <f t="shared" si="4"/>
        <v>9331</v>
      </c>
      <c r="P29" s="348">
        <v>43</v>
      </c>
      <c r="Q29" s="354">
        <f t="shared" si="5"/>
        <v>7</v>
      </c>
      <c r="R29" s="339">
        <f t="shared" si="6"/>
        <v>487319</v>
      </c>
      <c r="S29" s="339">
        <f t="shared" si="7"/>
        <v>79331</v>
      </c>
      <c r="T29" s="337"/>
    </row>
    <row r="30" spans="1:20">
      <c r="A30" s="378"/>
      <c r="B30" s="378"/>
      <c r="C30" s="337" t="s">
        <v>1445</v>
      </c>
      <c r="D30" s="367">
        <v>26</v>
      </c>
      <c r="E30" s="337" t="s">
        <v>1437</v>
      </c>
      <c r="F30" s="337" t="s">
        <v>1446</v>
      </c>
      <c r="G30" s="346">
        <v>500000</v>
      </c>
      <c r="H30" s="346">
        <v>66650</v>
      </c>
      <c r="I30" s="340">
        <f t="shared" si="0"/>
        <v>566650</v>
      </c>
      <c r="J30" s="348">
        <v>50</v>
      </c>
      <c r="K30" s="381">
        <v>11333</v>
      </c>
      <c r="L30" s="356">
        <f t="shared" si="1"/>
        <v>1333</v>
      </c>
      <c r="M30" s="356">
        <f t="shared" si="2"/>
        <v>10000</v>
      </c>
      <c r="N30" s="356">
        <f t="shared" si="3"/>
        <v>2666</v>
      </c>
      <c r="O30" s="356">
        <f t="shared" si="4"/>
        <v>63984</v>
      </c>
      <c r="P30" s="358">
        <v>2</v>
      </c>
      <c r="Q30" s="354">
        <f t="shared" si="5"/>
        <v>48</v>
      </c>
      <c r="R30" s="339">
        <f t="shared" si="6"/>
        <v>22666</v>
      </c>
      <c r="S30" s="339">
        <f t="shared" si="7"/>
        <v>543984</v>
      </c>
      <c r="T30" s="337"/>
    </row>
    <row r="31" spans="1:20">
      <c r="A31" s="378"/>
      <c r="B31" s="378"/>
      <c r="C31" s="364" t="s">
        <v>1106</v>
      </c>
      <c r="D31" s="367">
        <v>27</v>
      </c>
      <c r="E31" s="337" t="s">
        <v>1437</v>
      </c>
      <c r="F31" s="337" t="s">
        <v>314</v>
      </c>
      <c r="G31" s="346">
        <v>500000</v>
      </c>
      <c r="H31" s="346">
        <v>66650</v>
      </c>
      <c r="I31" s="340">
        <f t="shared" si="0"/>
        <v>566650</v>
      </c>
      <c r="J31" s="348">
        <v>50</v>
      </c>
      <c r="K31" s="380">
        <v>11333</v>
      </c>
      <c r="L31" s="356">
        <f t="shared" si="1"/>
        <v>1333</v>
      </c>
      <c r="M31" s="356">
        <f t="shared" si="2"/>
        <v>10000</v>
      </c>
      <c r="N31" s="356">
        <f t="shared" si="3"/>
        <v>57319</v>
      </c>
      <c r="O31" s="356">
        <f t="shared" si="4"/>
        <v>9331</v>
      </c>
      <c r="P31" s="348">
        <v>43</v>
      </c>
      <c r="Q31" s="354">
        <f t="shared" si="5"/>
        <v>7</v>
      </c>
      <c r="R31" s="339">
        <f t="shared" si="6"/>
        <v>487319</v>
      </c>
      <c r="S31" s="339">
        <f t="shared" si="7"/>
        <v>79331</v>
      </c>
      <c r="T31" s="337"/>
    </row>
    <row r="32" spans="1:20">
      <c r="A32" s="378"/>
      <c r="B32" s="378"/>
      <c r="C32" s="364" t="s">
        <v>1046</v>
      </c>
      <c r="D32" s="367">
        <v>28</v>
      </c>
      <c r="E32" s="337" t="s">
        <v>1437</v>
      </c>
      <c r="F32" s="337" t="s">
        <v>349</v>
      </c>
      <c r="G32" s="346">
        <v>500000</v>
      </c>
      <c r="H32" s="346">
        <v>66650</v>
      </c>
      <c r="I32" s="340">
        <f t="shared" si="0"/>
        <v>566650</v>
      </c>
      <c r="J32" s="348">
        <v>50</v>
      </c>
      <c r="K32" s="380">
        <v>11333</v>
      </c>
      <c r="L32" s="356">
        <f t="shared" si="1"/>
        <v>1333</v>
      </c>
      <c r="M32" s="356">
        <f t="shared" si="2"/>
        <v>10000</v>
      </c>
      <c r="N32" s="356">
        <f t="shared" si="3"/>
        <v>46655</v>
      </c>
      <c r="O32" s="356">
        <f t="shared" si="4"/>
        <v>19995</v>
      </c>
      <c r="P32" s="348">
        <v>35</v>
      </c>
      <c r="Q32" s="354">
        <f t="shared" si="5"/>
        <v>15</v>
      </c>
      <c r="R32" s="339">
        <f t="shared" si="6"/>
        <v>396655</v>
      </c>
      <c r="S32" s="339">
        <f t="shared" si="7"/>
        <v>169995</v>
      </c>
      <c r="T32" s="337"/>
    </row>
    <row r="33" spans="1:20" ht="22.5">
      <c r="A33" s="378"/>
      <c r="B33" s="378"/>
      <c r="C33" s="337" t="s">
        <v>1440</v>
      </c>
      <c r="D33" s="367">
        <v>29</v>
      </c>
      <c r="E33" s="337" t="s">
        <v>1437</v>
      </c>
      <c r="F33" s="337" t="s">
        <v>1441</v>
      </c>
      <c r="G33" s="346">
        <v>500000</v>
      </c>
      <c r="H33" s="346">
        <v>66650</v>
      </c>
      <c r="I33" s="340">
        <f t="shared" si="0"/>
        <v>566650</v>
      </c>
      <c r="J33" s="348">
        <v>50</v>
      </c>
      <c r="K33" s="381">
        <v>11333</v>
      </c>
      <c r="L33" s="356">
        <f t="shared" si="1"/>
        <v>1333</v>
      </c>
      <c r="M33" s="356">
        <f t="shared" si="2"/>
        <v>10000</v>
      </c>
      <c r="N33" s="356">
        <f t="shared" si="3"/>
        <v>57319</v>
      </c>
      <c r="O33" s="356">
        <f t="shared" si="4"/>
        <v>9331</v>
      </c>
      <c r="P33" s="358">
        <v>43</v>
      </c>
      <c r="Q33" s="354">
        <f t="shared" si="5"/>
        <v>7</v>
      </c>
      <c r="R33" s="339">
        <f t="shared" si="6"/>
        <v>487319</v>
      </c>
      <c r="S33" s="339">
        <f t="shared" si="7"/>
        <v>79331</v>
      </c>
      <c r="T33" s="389" t="s">
        <v>1444</v>
      </c>
    </row>
    <row r="34" spans="1:20">
      <c r="A34" s="378"/>
      <c r="B34" s="378"/>
      <c r="C34" s="364" t="s">
        <v>1009</v>
      </c>
      <c r="D34" s="367">
        <v>30</v>
      </c>
      <c r="E34" s="337" t="s">
        <v>1437</v>
      </c>
      <c r="F34" s="337" t="s">
        <v>332</v>
      </c>
      <c r="G34" s="346">
        <v>500000</v>
      </c>
      <c r="H34" s="346">
        <v>66650</v>
      </c>
      <c r="I34" s="340">
        <f t="shared" si="0"/>
        <v>566650</v>
      </c>
      <c r="J34" s="348">
        <v>50</v>
      </c>
      <c r="K34" s="380">
        <v>11333</v>
      </c>
      <c r="L34" s="356">
        <f t="shared" si="1"/>
        <v>1333</v>
      </c>
      <c r="M34" s="356">
        <f t="shared" si="2"/>
        <v>10000</v>
      </c>
      <c r="N34" s="356">
        <f t="shared" si="3"/>
        <v>57319</v>
      </c>
      <c r="O34" s="356">
        <f t="shared" si="4"/>
        <v>9331</v>
      </c>
      <c r="P34" s="348">
        <v>43</v>
      </c>
      <c r="Q34" s="354">
        <f t="shared" si="5"/>
        <v>7</v>
      </c>
      <c r="R34" s="339">
        <f t="shared" si="6"/>
        <v>487319</v>
      </c>
      <c r="S34" s="339">
        <f t="shared" si="7"/>
        <v>79331</v>
      </c>
      <c r="T34" s="337"/>
    </row>
    <row r="35" spans="1:20">
      <c r="A35" s="378"/>
      <c r="B35" s="378"/>
      <c r="C35" s="361" t="s">
        <v>1342</v>
      </c>
      <c r="D35" s="367">
        <v>31</v>
      </c>
      <c r="E35" s="337" t="s">
        <v>1437</v>
      </c>
      <c r="F35" s="337" t="s">
        <v>1290</v>
      </c>
      <c r="G35" s="346">
        <v>500000</v>
      </c>
      <c r="H35" s="346">
        <v>66650</v>
      </c>
      <c r="I35" s="340">
        <f t="shared" si="0"/>
        <v>566650</v>
      </c>
      <c r="J35" s="348">
        <v>50</v>
      </c>
      <c r="K35" s="380">
        <v>11333</v>
      </c>
      <c r="L35" s="356">
        <f t="shared" si="1"/>
        <v>1333</v>
      </c>
      <c r="M35" s="356">
        <f t="shared" si="2"/>
        <v>10000</v>
      </c>
      <c r="N35" s="356">
        <f t="shared" si="3"/>
        <v>21328</v>
      </c>
      <c r="O35" s="356">
        <f t="shared" si="4"/>
        <v>45322</v>
      </c>
      <c r="P35" s="348">
        <v>16</v>
      </c>
      <c r="Q35" s="354">
        <f t="shared" si="5"/>
        <v>34</v>
      </c>
      <c r="R35" s="339">
        <f t="shared" si="6"/>
        <v>181328</v>
      </c>
      <c r="S35" s="339">
        <f t="shared" si="7"/>
        <v>385322</v>
      </c>
      <c r="T35" s="337"/>
    </row>
    <row r="36" spans="1:20">
      <c r="A36" s="378"/>
      <c r="B36" s="378"/>
      <c r="C36" s="364" t="s">
        <v>995</v>
      </c>
      <c r="D36" s="367">
        <v>32</v>
      </c>
      <c r="E36" s="337" t="s">
        <v>1437</v>
      </c>
      <c r="F36" s="337" t="s">
        <v>339</v>
      </c>
      <c r="G36" s="346">
        <v>500000</v>
      </c>
      <c r="H36" s="346">
        <v>66650</v>
      </c>
      <c r="I36" s="340">
        <f t="shared" si="0"/>
        <v>566650</v>
      </c>
      <c r="J36" s="348">
        <v>50</v>
      </c>
      <c r="K36" s="380">
        <v>11333</v>
      </c>
      <c r="L36" s="356">
        <f t="shared" si="1"/>
        <v>1333</v>
      </c>
      <c r="M36" s="356">
        <f t="shared" si="2"/>
        <v>10000</v>
      </c>
      <c r="N36" s="356">
        <f t="shared" si="3"/>
        <v>57319</v>
      </c>
      <c r="O36" s="356">
        <f t="shared" si="4"/>
        <v>9331</v>
      </c>
      <c r="P36" s="348">
        <v>43</v>
      </c>
      <c r="Q36" s="354">
        <f t="shared" si="5"/>
        <v>7</v>
      </c>
      <c r="R36" s="339">
        <f t="shared" si="6"/>
        <v>487319</v>
      </c>
      <c r="S36" s="339">
        <f t="shared" si="7"/>
        <v>79331</v>
      </c>
      <c r="T36" s="337"/>
    </row>
    <row r="37" spans="1:20">
      <c r="A37" s="378"/>
      <c r="B37" s="378"/>
      <c r="C37" s="362" t="s">
        <v>1366</v>
      </c>
      <c r="D37" s="367">
        <v>33</v>
      </c>
      <c r="E37" s="337" t="s">
        <v>1437</v>
      </c>
      <c r="F37" s="337" t="s">
        <v>1138</v>
      </c>
      <c r="G37" s="346">
        <v>450000</v>
      </c>
      <c r="H37" s="346">
        <v>59985</v>
      </c>
      <c r="I37" s="340">
        <f t="shared" ref="I37:I68" si="8">SUM(G37:H37)</f>
        <v>509985</v>
      </c>
      <c r="J37" s="348">
        <v>50</v>
      </c>
      <c r="K37" s="380">
        <v>10199.700000000001</v>
      </c>
      <c r="L37" s="356">
        <f t="shared" si="1"/>
        <v>1199.7</v>
      </c>
      <c r="M37" s="356">
        <f t="shared" ref="M37:M68" si="9">G37/50</f>
        <v>9000</v>
      </c>
      <c r="N37" s="356">
        <f t="shared" ref="N37:N68" si="10">L37*P37</f>
        <v>21594.600000000002</v>
      </c>
      <c r="O37" s="356">
        <f t="shared" ref="O37:O68" si="11">L37*Q37</f>
        <v>38390.400000000001</v>
      </c>
      <c r="P37" s="348">
        <v>18</v>
      </c>
      <c r="Q37" s="354">
        <f t="shared" ref="Q37:Q68" si="12">J37-P37</f>
        <v>32</v>
      </c>
      <c r="R37" s="339">
        <f t="shared" ref="R37:R68" si="13">K37*P37</f>
        <v>183594.6</v>
      </c>
      <c r="S37" s="339">
        <f t="shared" ref="S37:S68" si="14">I37-R37</f>
        <v>326390.40000000002</v>
      </c>
      <c r="T37" s="337"/>
    </row>
    <row r="38" spans="1:20">
      <c r="A38" s="378"/>
      <c r="B38" s="378"/>
      <c r="C38" s="364" t="s">
        <v>998</v>
      </c>
      <c r="D38" s="367">
        <v>34</v>
      </c>
      <c r="E38" s="337" t="s">
        <v>1437</v>
      </c>
      <c r="F38" s="337" t="s">
        <v>363</v>
      </c>
      <c r="G38" s="346">
        <v>450000</v>
      </c>
      <c r="H38" s="346">
        <v>59985</v>
      </c>
      <c r="I38" s="340">
        <f t="shared" si="8"/>
        <v>509985</v>
      </c>
      <c r="J38" s="348">
        <v>50</v>
      </c>
      <c r="K38" s="380">
        <v>10199.700000000001</v>
      </c>
      <c r="L38" s="356">
        <f t="shared" si="1"/>
        <v>1199.7</v>
      </c>
      <c r="M38" s="356">
        <f t="shared" si="9"/>
        <v>9000</v>
      </c>
      <c r="N38" s="356">
        <f t="shared" si="10"/>
        <v>41989.5</v>
      </c>
      <c r="O38" s="356">
        <f t="shared" si="11"/>
        <v>17995.5</v>
      </c>
      <c r="P38" s="348">
        <v>35</v>
      </c>
      <c r="Q38" s="354">
        <f t="shared" si="12"/>
        <v>15</v>
      </c>
      <c r="R38" s="339">
        <f t="shared" si="13"/>
        <v>356989.5</v>
      </c>
      <c r="S38" s="339">
        <f t="shared" si="14"/>
        <v>152995.5</v>
      </c>
      <c r="T38" s="337"/>
    </row>
    <row r="39" spans="1:20">
      <c r="A39" s="378"/>
      <c r="B39" s="378"/>
      <c r="C39" s="337" t="s">
        <v>1079</v>
      </c>
      <c r="D39" s="367">
        <v>35</v>
      </c>
      <c r="E39" s="337" t="s">
        <v>1437</v>
      </c>
      <c r="F39" s="337" t="s">
        <v>302</v>
      </c>
      <c r="G39" s="346">
        <v>500000</v>
      </c>
      <c r="H39" s="346">
        <v>31992</v>
      </c>
      <c r="I39" s="340">
        <f t="shared" si="8"/>
        <v>531992</v>
      </c>
      <c r="J39" s="348">
        <v>24</v>
      </c>
      <c r="K39" s="380">
        <v>22166.34</v>
      </c>
      <c r="L39" s="356">
        <f>H39/24</f>
        <v>1333</v>
      </c>
      <c r="M39" s="356">
        <f t="shared" si="9"/>
        <v>10000</v>
      </c>
      <c r="N39" s="356">
        <f t="shared" si="10"/>
        <v>5332</v>
      </c>
      <c r="O39" s="356">
        <f t="shared" si="11"/>
        <v>26660</v>
      </c>
      <c r="P39" s="348">
        <v>4</v>
      </c>
      <c r="Q39" s="354">
        <f t="shared" si="12"/>
        <v>20</v>
      </c>
      <c r="R39" s="339">
        <f t="shared" si="13"/>
        <v>88665.36</v>
      </c>
      <c r="S39" s="339">
        <f t="shared" si="14"/>
        <v>443326.64</v>
      </c>
      <c r="T39" s="337"/>
    </row>
    <row r="40" spans="1:20">
      <c r="A40" s="378"/>
      <c r="B40" s="378"/>
      <c r="C40" s="361" t="s">
        <v>1320</v>
      </c>
      <c r="D40" s="367">
        <v>36</v>
      </c>
      <c r="E40" s="337" t="s">
        <v>1437</v>
      </c>
      <c r="F40" s="337" t="s">
        <v>464</v>
      </c>
      <c r="G40" s="346">
        <v>500000</v>
      </c>
      <c r="H40" s="346">
        <v>66650</v>
      </c>
      <c r="I40" s="340">
        <f t="shared" si="8"/>
        <v>566650</v>
      </c>
      <c r="J40" s="348">
        <v>40</v>
      </c>
      <c r="K40" s="380">
        <v>13833</v>
      </c>
      <c r="L40" s="356">
        <f t="shared" ref="L40:L50" si="15">H40/50</f>
        <v>1333</v>
      </c>
      <c r="M40" s="356">
        <f t="shared" si="9"/>
        <v>10000</v>
      </c>
      <c r="N40" s="356">
        <f t="shared" si="10"/>
        <v>7998</v>
      </c>
      <c r="O40" s="356">
        <f t="shared" si="11"/>
        <v>45322</v>
      </c>
      <c r="P40" s="348">
        <v>6</v>
      </c>
      <c r="Q40" s="354">
        <f t="shared" si="12"/>
        <v>34</v>
      </c>
      <c r="R40" s="339">
        <f t="shared" si="13"/>
        <v>82998</v>
      </c>
      <c r="S40" s="339">
        <f t="shared" si="14"/>
        <v>483652</v>
      </c>
      <c r="T40" s="337"/>
    </row>
    <row r="41" spans="1:20">
      <c r="A41" s="378"/>
      <c r="B41" s="378"/>
      <c r="C41" s="363" t="s">
        <v>1348</v>
      </c>
      <c r="D41" s="367">
        <v>37</v>
      </c>
      <c r="E41" s="337" t="s">
        <v>1437</v>
      </c>
      <c r="F41" s="337" t="s">
        <v>1349</v>
      </c>
      <c r="G41" s="346">
        <v>500000</v>
      </c>
      <c r="H41" s="346">
        <v>66650</v>
      </c>
      <c r="I41" s="340">
        <f t="shared" si="8"/>
        <v>566650</v>
      </c>
      <c r="J41" s="348">
        <v>50</v>
      </c>
      <c r="K41" s="380">
        <v>11333</v>
      </c>
      <c r="L41" s="356">
        <f t="shared" si="15"/>
        <v>1333</v>
      </c>
      <c r="M41" s="356">
        <f t="shared" si="9"/>
        <v>10000</v>
      </c>
      <c r="N41" s="356">
        <f t="shared" si="10"/>
        <v>11997</v>
      </c>
      <c r="O41" s="356">
        <f t="shared" si="11"/>
        <v>54653</v>
      </c>
      <c r="P41" s="348">
        <v>9</v>
      </c>
      <c r="Q41" s="354">
        <f t="shared" si="12"/>
        <v>41</v>
      </c>
      <c r="R41" s="339">
        <f t="shared" si="13"/>
        <v>101997</v>
      </c>
      <c r="S41" s="339">
        <f t="shared" si="14"/>
        <v>464653</v>
      </c>
      <c r="T41" s="337"/>
    </row>
    <row r="42" spans="1:20">
      <c r="A42" s="378"/>
      <c r="B42" s="378"/>
      <c r="C42" s="362" t="s">
        <v>1012</v>
      </c>
      <c r="D42" s="367">
        <v>38</v>
      </c>
      <c r="E42" s="337" t="s">
        <v>1437</v>
      </c>
      <c r="F42" s="337" t="s">
        <v>852</v>
      </c>
      <c r="G42" s="346">
        <v>330000</v>
      </c>
      <c r="H42" s="346">
        <v>43989</v>
      </c>
      <c r="I42" s="340">
        <f t="shared" si="8"/>
        <v>373989</v>
      </c>
      <c r="J42" s="348">
        <v>50</v>
      </c>
      <c r="K42" s="380">
        <v>7479.78</v>
      </c>
      <c r="L42" s="356">
        <f t="shared" si="15"/>
        <v>879.78</v>
      </c>
      <c r="M42" s="356">
        <f t="shared" si="9"/>
        <v>6600</v>
      </c>
      <c r="N42" s="356">
        <f t="shared" si="10"/>
        <v>22874.28</v>
      </c>
      <c r="O42" s="356">
        <f t="shared" si="11"/>
        <v>21114.720000000001</v>
      </c>
      <c r="P42" s="348">
        <v>26</v>
      </c>
      <c r="Q42" s="354">
        <f t="shared" si="12"/>
        <v>24</v>
      </c>
      <c r="R42" s="339">
        <f t="shared" si="13"/>
        <v>194474.28</v>
      </c>
      <c r="S42" s="339">
        <f t="shared" si="14"/>
        <v>179514.72</v>
      </c>
      <c r="T42" s="337"/>
    </row>
    <row r="43" spans="1:20">
      <c r="A43" s="378"/>
      <c r="B43" s="378"/>
      <c r="C43" s="363" t="s">
        <v>1065</v>
      </c>
      <c r="D43" s="367">
        <v>39</v>
      </c>
      <c r="E43" s="337" t="s">
        <v>1437</v>
      </c>
      <c r="F43" s="337" t="s">
        <v>1066</v>
      </c>
      <c r="G43" s="346">
        <v>330000</v>
      </c>
      <c r="H43" s="346">
        <v>43989</v>
      </c>
      <c r="I43" s="340">
        <f t="shared" si="8"/>
        <v>373989</v>
      </c>
      <c r="J43" s="348">
        <v>50</v>
      </c>
      <c r="K43" s="380">
        <v>7479.78</v>
      </c>
      <c r="L43" s="356">
        <f t="shared" si="15"/>
        <v>879.78</v>
      </c>
      <c r="M43" s="356">
        <f t="shared" si="9"/>
        <v>6600</v>
      </c>
      <c r="N43" s="356">
        <f t="shared" si="10"/>
        <v>20234.939999999999</v>
      </c>
      <c r="O43" s="356">
        <f t="shared" si="11"/>
        <v>23754.059999999998</v>
      </c>
      <c r="P43" s="348">
        <v>23</v>
      </c>
      <c r="Q43" s="354">
        <f t="shared" si="12"/>
        <v>27</v>
      </c>
      <c r="R43" s="339">
        <f t="shared" si="13"/>
        <v>172034.94</v>
      </c>
      <c r="S43" s="339">
        <f t="shared" si="14"/>
        <v>201954.06</v>
      </c>
      <c r="T43" s="337"/>
    </row>
    <row r="44" spans="1:20">
      <c r="A44" s="378"/>
      <c r="B44" s="378"/>
      <c r="C44" s="337" t="s">
        <v>1449</v>
      </c>
      <c r="D44" s="367">
        <v>40</v>
      </c>
      <c r="E44" s="337" t="s">
        <v>1437</v>
      </c>
      <c r="F44" s="337" t="s">
        <v>389</v>
      </c>
      <c r="G44" s="346">
        <v>500000</v>
      </c>
      <c r="H44" s="346">
        <v>66650</v>
      </c>
      <c r="I44" s="340">
        <f t="shared" si="8"/>
        <v>566650</v>
      </c>
      <c r="J44" s="348">
        <v>50</v>
      </c>
      <c r="K44" s="381">
        <v>11333</v>
      </c>
      <c r="L44" s="356">
        <f t="shared" si="15"/>
        <v>1333</v>
      </c>
      <c r="M44" s="356">
        <f t="shared" si="9"/>
        <v>10000</v>
      </c>
      <c r="N44" s="356">
        <f t="shared" si="10"/>
        <v>2666</v>
      </c>
      <c r="O44" s="356">
        <f t="shared" si="11"/>
        <v>63984</v>
      </c>
      <c r="P44" s="358">
        <v>2</v>
      </c>
      <c r="Q44" s="354">
        <f t="shared" si="12"/>
        <v>48</v>
      </c>
      <c r="R44" s="339">
        <f t="shared" si="13"/>
        <v>22666</v>
      </c>
      <c r="S44" s="339">
        <f t="shared" si="14"/>
        <v>543984</v>
      </c>
      <c r="T44" s="337"/>
    </row>
    <row r="45" spans="1:20">
      <c r="A45" s="378"/>
      <c r="B45" s="378"/>
      <c r="C45" s="364" t="s">
        <v>1029</v>
      </c>
      <c r="D45" s="367">
        <v>41</v>
      </c>
      <c r="E45" s="337" t="s">
        <v>1437</v>
      </c>
      <c r="F45" s="337" t="s">
        <v>1030</v>
      </c>
      <c r="G45" s="346">
        <v>450000</v>
      </c>
      <c r="H45" s="346">
        <v>59985</v>
      </c>
      <c r="I45" s="340">
        <f t="shared" si="8"/>
        <v>509985</v>
      </c>
      <c r="J45" s="348">
        <v>50</v>
      </c>
      <c r="K45" s="380">
        <v>10199.700000000001</v>
      </c>
      <c r="L45" s="356">
        <f t="shared" si="15"/>
        <v>1199.7</v>
      </c>
      <c r="M45" s="356">
        <f t="shared" si="9"/>
        <v>9000</v>
      </c>
      <c r="N45" s="356">
        <f t="shared" si="10"/>
        <v>27593.100000000002</v>
      </c>
      <c r="O45" s="356">
        <f t="shared" si="11"/>
        <v>32391.9</v>
      </c>
      <c r="P45" s="348">
        <v>23</v>
      </c>
      <c r="Q45" s="354">
        <f t="shared" si="12"/>
        <v>27</v>
      </c>
      <c r="R45" s="339">
        <f t="shared" si="13"/>
        <v>234593.1</v>
      </c>
      <c r="S45" s="339">
        <f t="shared" si="14"/>
        <v>275391.90000000002</v>
      </c>
      <c r="T45" s="337"/>
    </row>
    <row r="46" spans="1:20">
      <c r="A46" s="378"/>
      <c r="B46" s="378"/>
      <c r="C46" s="361" t="s">
        <v>1377</v>
      </c>
      <c r="D46" s="367">
        <v>42</v>
      </c>
      <c r="E46" s="337" t="s">
        <v>1437</v>
      </c>
      <c r="F46" s="337" t="s">
        <v>1378</v>
      </c>
      <c r="G46" s="346">
        <v>330000</v>
      </c>
      <c r="H46" s="346">
        <v>43989</v>
      </c>
      <c r="I46" s="340">
        <f t="shared" si="8"/>
        <v>373989</v>
      </c>
      <c r="J46" s="348">
        <v>50</v>
      </c>
      <c r="K46" s="380">
        <v>7479.78</v>
      </c>
      <c r="L46" s="356">
        <f t="shared" si="15"/>
        <v>879.78</v>
      </c>
      <c r="M46" s="356">
        <f t="shared" si="9"/>
        <v>6600</v>
      </c>
      <c r="N46" s="356">
        <f t="shared" si="10"/>
        <v>7918.0199999999995</v>
      </c>
      <c r="O46" s="356">
        <f t="shared" si="11"/>
        <v>36070.979999999996</v>
      </c>
      <c r="P46" s="348">
        <v>9</v>
      </c>
      <c r="Q46" s="354">
        <f t="shared" si="12"/>
        <v>41</v>
      </c>
      <c r="R46" s="339">
        <f t="shared" si="13"/>
        <v>67318.02</v>
      </c>
      <c r="S46" s="339">
        <f t="shared" si="14"/>
        <v>306670.98</v>
      </c>
      <c r="T46" s="337"/>
    </row>
    <row r="47" spans="1:20">
      <c r="A47" s="378"/>
      <c r="B47" s="378"/>
      <c r="C47" s="361" t="s">
        <v>1339</v>
      </c>
      <c r="D47" s="367">
        <v>43</v>
      </c>
      <c r="E47" s="337" t="s">
        <v>1437</v>
      </c>
      <c r="F47" s="337" t="s">
        <v>408</v>
      </c>
      <c r="G47" s="346">
        <v>500000</v>
      </c>
      <c r="H47" s="346">
        <v>66650</v>
      </c>
      <c r="I47" s="340">
        <f t="shared" si="8"/>
        <v>566650</v>
      </c>
      <c r="J47" s="348">
        <v>50</v>
      </c>
      <c r="K47" s="380">
        <v>11333</v>
      </c>
      <c r="L47" s="356">
        <f t="shared" si="15"/>
        <v>1333</v>
      </c>
      <c r="M47" s="356">
        <f t="shared" si="9"/>
        <v>10000</v>
      </c>
      <c r="N47" s="356">
        <f t="shared" si="10"/>
        <v>7998</v>
      </c>
      <c r="O47" s="356">
        <f t="shared" si="11"/>
        <v>58652</v>
      </c>
      <c r="P47" s="348">
        <v>6</v>
      </c>
      <c r="Q47" s="354">
        <f t="shared" si="12"/>
        <v>44</v>
      </c>
      <c r="R47" s="339">
        <f t="shared" si="13"/>
        <v>67998</v>
      </c>
      <c r="S47" s="339">
        <f t="shared" si="14"/>
        <v>498652</v>
      </c>
      <c r="T47" s="337"/>
    </row>
    <row r="48" spans="1:20">
      <c r="A48" s="378"/>
      <c r="B48" s="378"/>
      <c r="C48" s="363" t="s">
        <v>1383</v>
      </c>
      <c r="D48" s="367">
        <v>44</v>
      </c>
      <c r="E48" s="337" t="s">
        <v>1437</v>
      </c>
      <c r="F48" s="337" t="s">
        <v>1384</v>
      </c>
      <c r="G48" s="346">
        <v>330000</v>
      </c>
      <c r="H48" s="346">
        <v>43989</v>
      </c>
      <c r="I48" s="340">
        <f t="shared" si="8"/>
        <v>373989</v>
      </c>
      <c r="J48" s="348">
        <v>50</v>
      </c>
      <c r="K48" s="380">
        <v>7479.78</v>
      </c>
      <c r="L48" s="356">
        <f t="shared" si="15"/>
        <v>879.78</v>
      </c>
      <c r="M48" s="356">
        <f t="shared" si="9"/>
        <v>6600</v>
      </c>
      <c r="N48" s="356">
        <f t="shared" si="10"/>
        <v>5278.68</v>
      </c>
      <c r="O48" s="356">
        <f t="shared" si="11"/>
        <v>38710.32</v>
      </c>
      <c r="P48" s="348">
        <v>6</v>
      </c>
      <c r="Q48" s="354">
        <f t="shared" si="12"/>
        <v>44</v>
      </c>
      <c r="R48" s="339">
        <f t="shared" si="13"/>
        <v>44878.68</v>
      </c>
      <c r="S48" s="339">
        <f t="shared" si="14"/>
        <v>329110.32</v>
      </c>
      <c r="T48" s="337"/>
    </row>
    <row r="49" spans="1:20">
      <c r="A49" s="378"/>
      <c r="B49" s="378"/>
      <c r="C49" s="361" t="s">
        <v>1409</v>
      </c>
      <c r="D49" s="367">
        <v>45</v>
      </c>
      <c r="E49" s="337" t="s">
        <v>1437</v>
      </c>
      <c r="F49" s="337" t="s">
        <v>1407</v>
      </c>
      <c r="G49" s="346">
        <v>500000</v>
      </c>
      <c r="H49" s="346">
        <v>66650</v>
      </c>
      <c r="I49" s="340">
        <f t="shared" si="8"/>
        <v>566650</v>
      </c>
      <c r="J49" s="348">
        <v>50</v>
      </c>
      <c r="K49" s="380">
        <v>11333</v>
      </c>
      <c r="L49" s="356">
        <f t="shared" si="15"/>
        <v>1333</v>
      </c>
      <c r="M49" s="356">
        <f t="shared" si="9"/>
        <v>10000</v>
      </c>
      <c r="N49" s="356">
        <f t="shared" si="10"/>
        <v>34658</v>
      </c>
      <c r="O49" s="356">
        <f t="shared" si="11"/>
        <v>31992</v>
      </c>
      <c r="P49" s="348">
        <v>26</v>
      </c>
      <c r="Q49" s="354">
        <f t="shared" si="12"/>
        <v>24</v>
      </c>
      <c r="R49" s="339">
        <f t="shared" si="13"/>
        <v>294658</v>
      </c>
      <c r="S49" s="339">
        <f t="shared" si="14"/>
        <v>271992</v>
      </c>
      <c r="T49" s="337"/>
    </row>
    <row r="50" spans="1:20">
      <c r="A50" s="378"/>
      <c r="B50" s="378"/>
      <c r="C50" s="363" t="s">
        <v>1370</v>
      </c>
      <c r="D50" s="367">
        <v>46</v>
      </c>
      <c r="E50" s="337" t="s">
        <v>1437</v>
      </c>
      <c r="F50" s="337" t="s">
        <v>1371</v>
      </c>
      <c r="G50" s="346">
        <v>330000</v>
      </c>
      <c r="H50" s="346">
        <v>43989</v>
      </c>
      <c r="I50" s="340">
        <f t="shared" si="8"/>
        <v>373989</v>
      </c>
      <c r="J50" s="348">
        <v>50</v>
      </c>
      <c r="K50" s="380">
        <v>7479.78</v>
      </c>
      <c r="L50" s="356">
        <f t="shared" si="15"/>
        <v>879.78</v>
      </c>
      <c r="M50" s="356">
        <f t="shared" si="9"/>
        <v>6600</v>
      </c>
      <c r="N50" s="356">
        <f t="shared" si="10"/>
        <v>7918.0199999999995</v>
      </c>
      <c r="O50" s="356">
        <f t="shared" si="11"/>
        <v>36070.979999999996</v>
      </c>
      <c r="P50" s="348">
        <v>9</v>
      </c>
      <c r="Q50" s="354">
        <f t="shared" si="12"/>
        <v>41</v>
      </c>
      <c r="R50" s="339">
        <f t="shared" si="13"/>
        <v>67318.02</v>
      </c>
      <c r="S50" s="339">
        <f t="shared" si="14"/>
        <v>306670.98</v>
      </c>
      <c r="T50" s="337"/>
    </row>
    <row r="51" spans="1:20">
      <c r="A51" s="378"/>
      <c r="B51" s="378"/>
      <c r="C51" s="361" t="s">
        <v>1313</v>
      </c>
      <c r="D51" s="367">
        <v>47</v>
      </c>
      <c r="E51" s="337" t="s">
        <v>1437</v>
      </c>
      <c r="F51" s="337" t="s">
        <v>1314</v>
      </c>
      <c r="G51" s="346">
        <v>450000</v>
      </c>
      <c r="H51" s="346">
        <v>28792.799999999999</v>
      </c>
      <c r="I51" s="340">
        <f t="shared" si="8"/>
        <v>478792.8</v>
      </c>
      <c r="J51" s="348">
        <v>24</v>
      </c>
      <c r="K51" s="380">
        <v>19949.7</v>
      </c>
      <c r="L51" s="356">
        <f>H51/24</f>
        <v>1199.7</v>
      </c>
      <c r="M51" s="356">
        <f t="shared" si="9"/>
        <v>9000</v>
      </c>
      <c r="N51" s="356">
        <f t="shared" si="10"/>
        <v>7198.2000000000007</v>
      </c>
      <c r="O51" s="356">
        <f t="shared" si="11"/>
        <v>21594.600000000002</v>
      </c>
      <c r="P51" s="348">
        <v>6</v>
      </c>
      <c r="Q51" s="354">
        <f t="shared" si="12"/>
        <v>18</v>
      </c>
      <c r="R51" s="339">
        <f t="shared" si="13"/>
        <v>119698.20000000001</v>
      </c>
      <c r="S51" s="339">
        <f t="shared" si="14"/>
        <v>359094.6</v>
      </c>
      <c r="T51" s="337"/>
    </row>
    <row r="52" spans="1:20">
      <c r="A52" s="378"/>
      <c r="B52" s="378"/>
      <c r="C52" s="362" t="s">
        <v>1400</v>
      </c>
      <c r="D52" s="367">
        <v>48</v>
      </c>
      <c r="E52" s="337" t="s">
        <v>1437</v>
      </c>
      <c r="F52" s="337" t="s">
        <v>1401</v>
      </c>
      <c r="G52" s="346">
        <v>150000</v>
      </c>
      <c r="H52" s="346">
        <v>19995</v>
      </c>
      <c r="I52" s="340">
        <f t="shared" si="8"/>
        <v>169995</v>
      </c>
      <c r="J52" s="348">
        <v>50</v>
      </c>
      <c r="K52" s="380">
        <v>3399.9</v>
      </c>
      <c r="L52" s="356">
        <f t="shared" ref="L52:L93" si="16">H52/50</f>
        <v>399.9</v>
      </c>
      <c r="M52" s="356">
        <f t="shared" si="9"/>
        <v>3000</v>
      </c>
      <c r="N52" s="356">
        <f t="shared" si="10"/>
        <v>4398.8999999999996</v>
      </c>
      <c r="O52" s="356">
        <f t="shared" si="11"/>
        <v>15596.099999999999</v>
      </c>
      <c r="P52" s="348">
        <v>11</v>
      </c>
      <c r="Q52" s="354">
        <f t="shared" si="12"/>
        <v>39</v>
      </c>
      <c r="R52" s="339">
        <f t="shared" si="13"/>
        <v>37398.9</v>
      </c>
      <c r="S52" s="339">
        <f t="shared" si="14"/>
        <v>132596.1</v>
      </c>
      <c r="T52" s="337"/>
    </row>
    <row r="53" spans="1:20">
      <c r="A53" s="378"/>
      <c r="B53" s="378"/>
      <c r="C53" s="362" t="s">
        <v>1386</v>
      </c>
      <c r="D53" s="367">
        <v>49</v>
      </c>
      <c r="E53" s="337" t="s">
        <v>1437</v>
      </c>
      <c r="F53" s="337" t="s">
        <v>1387</v>
      </c>
      <c r="G53" s="346">
        <v>330000</v>
      </c>
      <c r="H53" s="346">
        <v>43989</v>
      </c>
      <c r="I53" s="340">
        <f t="shared" si="8"/>
        <v>373989</v>
      </c>
      <c r="J53" s="348">
        <v>50</v>
      </c>
      <c r="K53" s="380">
        <v>7479.78</v>
      </c>
      <c r="L53" s="356">
        <f t="shared" si="16"/>
        <v>879.78</v>
      </c>
      <c r="M53" s="356">
        <f t="shared" si="9"/>
        <v>6600</v>
      </c>
      <c r="N53" s="356">
        <f t="shared" si="10"/>
        <v>15836.039999999999</v>
      </c>
      <c r="O53" s="356">
        <f t="shared" si="11"/>
        <v>28152.959999999999</v>
      </c>
      <c r="P53" s="348">
        <v>18</v>
      </c>
      <c r="Q53" s="354">
        <f t="shared" si="12"/>
        <v>32</v>
      </c>
      <c r="R53" s="339">
        <f t="shared" si="13"/>
        <v>134636.04</v>
      </c>
      <c r="S53" s="339">
        <f t="shared" si="14"/>
        <v>239352.95999999999</v>
      </c>
      <c r="T53" s="337"/>
    </row>
    <row r="54" spans="1:20">
      <c r="A54" s="378"/>
      <c r="B54" s="378"/>
      <c r="C54" s="362" t="s">
        <v>975</v>
      </c>
      <c r="D54" s="367">
        <v>50</v>
      </c>
      <c r="E54" s="337" t="s">
        <v>1437</v>
      </c>
      <c r="F54" s="337" t="s">
        <v>875</v>
      </c>
      <c r="G54" s="346">
        <v>450000</v>
      </c>
      <c r="H54" s="346">
        <v>59985</v>
      </c>
      <c r="I54" s="340">
        <f t="shared" si="8"/>
        <v>509985</v>
      </c>
      <c r="J54" s="348">
        <v>50</v>
      </c>
      <c r="K54" s="380">
        <v>10199.700000000001</v>
      </c>
      <c r="L54" s="356">
        <f t="shared" si="16"/>
        <v>1199.7</v>
      </c>
      <c r="M54" s="356">
        <f t="shared" si="9"/>
        <v>9000</v>
      </c>
      <c r="N54" s="356">
        <f t="shared" si="10"/>
        <v>31192.2</v>
      </c>
      <c r="O54" s="356">
        <f t="shared" si="11"/>
        <v>28792.800000000003</v>
      </c>
      <c r="P54" s="348">
        <v>26</v>
      </c>
      <c r="Q54" s="354">
        <f t="shared" si="12"/>
        <v>24</v>
      </c>
      <c r="R54" s="339">
        <f t="shared" si="13"/>
        <v>265192.2</v>
      </c>
      <c r="S54" s="339">
        <f t="shared" si="14"/>
        <v>244792.8</v>
      </c>
      <c r="T54" s="337"/>
    </row>
    <row r="55" spans="1:20">
      <c r="A55" s="378"/>
      <c r="B55" s="378"/>
      <c r="C55" s="364" t="s">
        <v>1357</v>
      </c>
      <c r="D55" s="367">
        <v>51</v>
      </c>
      <c r="E55" s="337" t="s">
        <v>1437</v>
      </c>
      <c r="F55" s="337" t="s">
        <v>858</v>
      </c>
      <c r="G55" s="346">
        <v>450000</v>
      </c>
      <c r="H55" s="346">
        <v>59985</v>
      </c>
      <c r="I55" s="340">
        <f t="shared" si="8"/>
        <v>509985</v>
      </c>
      <c r="J55" s="348">
        <v>50</v>
      </c>
      <c r="K55" s="380">
        <v>10199.700000000001</v>
      </c>
      <c r="L55" s="356">
        <f t="shared" si="16"/>
        <v>1199.7</v>
      </c>
      <c r="M55" s="356">
        <f t="shared" si="9"/>
        <v>9000</v>
      </c>
      <c r="N55" s="356">
        <f t="shared" si="10"/>
        <v>21594.600000000002</v>
      </c>
      <c r="O55" s="356">
        <f t="shared" si="11"/>
        <v>38390.400000000001</v>
      </c>
      <c r="P55" s="348">
        <v>18</v>
      </c>
      <c r="Q55" s="354">
        <f t="shared" si="12"/>
        <v>32</v>
      </c>
      <c r="R55" s="339">
        <f t="shared" si="13"/>
        <v>183594.6</v>
      </c>
      <c r="S55" s="339">
        <f t="shared" si="14"/>
        <v>326390.40000000002</v>
      </c>
      <c r="T55" s="337"/>
    </row>
    <row r="56" spans="1:20">
      <c r="A56" s="378"/>
      <c r="B56" s="378"/>
      <c r="C56" s="363" t="s">
        <v>1097</v>
      </c>
      <c r="D56" s="367">
        <v>52</v>
      </c>
      <c r="E56" s="337" t="s">
        <v>1437</v>
      </c>
      <c r="F56" s="337" t="s">
        <v>286</v>
      </c>
      <c r="G56" s="346">
        <v>450000</v>
      </c>
      <c r="H56" s="346">
        <v>59985</v>
      </c>
      <c r="I56" s="340">
        <f t="shared" si="8"/>
        <v>509985</v>
      </c>
      <c r="J56" s="348">
        <v>50</v>
      </c>
      <c r="K56" s="380">
        <v>10199.700000000001</v>
      </c>
      <c r="L56" s="356">
        <f t="shared" si="16"/>
        <v>1199.7</v>
      </c>
      <c r="M56" s="356">
        <f t="shared" si="9"/>
        <v>9000</v>
      </c>
      <c r="N56" s="356">
        <f t="shared" si="10"/>
        <v>53986.5</v>
      </c>
      <c r="O56" s="356">
        <f t="shared" si="11"/>
        <v>5998.5</v>
      </c>
      <c r="P56" s="348">
        <v>45</v>
      </c>
      <c r="Q56" s="354">
        <f t="shared" si="12"/>
        <v>5</v>
      </c>
      <c r="R56" s="339">
        <f t="shared" si="13"/>
        <v>458986.50000000006</v>
      </c>
      <c r="S56" s="339">
        <f t="shared" si="14"/>
        <v>50998.499999999942</v>
      </c>
      <c r="T56" s="337"/>
    </row>
    <row r="57" spans="1:20">
      <c r="A57" s="378"/>
      <c r="B57" s="378"/>
      <c r="C57" s="361" t="s">
        <v>1346</v>
      </c>
      <c r="D57" s="367">
        <v>53</v>
      </c>
      <c r="E57" s="337" t="s">
        <v>1437</v>
      </c>
      <c r="F57" s="337" t="s">
        <v>1347</v>
      </c>
      <c r="G57" s="346">
        <v>500000</v>
      </c>
      <c r="H57" s="346">
        <v>66650</v>
      </c>
      <c r="I57" s="340">
        <f t="shared" si="8"/>
        <v>566650</v>
      </c>
      <c r="J57" s="348">
        <v>50</v>
      </c>
      <c r="K57" s="380">
        <v>11333</v>
      </c>
      <c r="L57" s="356">
        <f t="shared" si="16"/>
        <v>1333</v>
      </c>
      <c r="M57" s="356">
        <f t="shared" si="9"/>
        <v>10000</v>
      </c>
      <c r="N57" s="356">
        <f t="shared" si="10"/>
        <v>14663</v>
      </c>
      <c r="O57" s="356">
        <f t="shared" si="11"/>
        <v>51987</v>
      </c>
      <c r="P57" s="348">
        <v>11</v>
      </c>
      <c r="Q57" s="354">
        <f t="shared" si="12"/>
        <v>39</v>
      </c>
      <c r="R57" s="339">
        <f t="shared" si="13"/>
        <v>124663</v>
      </c>
      <c r="S57" s="339">
        <f t="shared" si="14"/>
        <v>441987</v>
      </c>
      <c r="T57" s="337"/>
    </row>
    <row r="58" spans="1:20">
      <c r="A58" s="378"/>
      <c r="B58" s="378"/>
      <c r="C58" s="364" t="s">
        <v>1356</v>
      </c>
      <c r="D58" s="367">
        <v>54</v>
      </c>
      <c r="E58" s="337" t="s">
        <v>1437</v>
      </c>
      <c r="F58" s="337" t="s">
        <v>1286</v>
      </c>
      <c r="G58" s="346">
        <v>450000</v>
      </c>
      <c r="H58" s="346">
        <v>59985</v>
      </c>
      <c r="I58" s="340">
        <f t="shared" si="8"/>
        <v>509985</v>
      </c>
      <c r="J58" s="348">
        <v>50</v>
      </c>
      <c r="K58" s="380">
        <v>10199.700000000001</v>
      </c>
      <c r="L58" s="356">
        <f t="shared" si="16"/>
        <v>1199.7</v>
      </c>
      <c r="M58" s="356">
        <f t="shared" si="9"/>
        <v>9000</v>
      </c>
      <c r="N58" s="356">
        <f t="shared" si="10"/>
        <v>13196.7</v>
      </c>
      <c r="O58" s="356">
        <f t="shared" si="11"/>
        <v>46788.3</v>
      </c>
      <c r="P58" s="348">
        <v>11</v>
      </c>
      <c r="Q58" s="354">
        <f t="shared" si="12"/>
        <v>39</v>
      </c>
      <c r="R58" s="339">
        <f t="shared" si="13"/>
        <v>112196.70000000001</v>
      </c>
      <c r="S58" s="339">
        <f t="shared" si="14"/>
        <v>397788.3</v>
      </c>
      <c r="T58" s="337"/>
    </row>
    <row r="59" spans="1:20">
      <c r="A59" s="378"/>
      <c r="B59" s="378"/>
      <c r="C59" s="364" t="s">
        <v>964</v>
      </c>
      <c r="D59" s="367">
        <v>55</v>
      </c>
      <c r="E59" s="337" t="s">
        <v>1437</v>
      </c>
      <c r="F59" s="337" t="s">
        <v>341</v>
      </c>
      <c r="G59" s="346">
        <v>500000</v>
      </c>
      <c r="H59" s="346">
        <v>66650</v>
      </c>
      <c r="I59" s="340">
        <f t="shared" si="8"/>
        <v>566650</v>
      </c>
      <c r="J59" s="348">
        <v>50</v>
      </c>
      <c r="K59" s="380">
        <v>11333</v>
      </c>
      <c r="L59" s="356">
        <f t="shared" si="16"/>
        <v>1333</v>
      </c>
      <c r="M59" s="356">
        <f t="shared" si="9"/>
        <v>10000</v>
      </c>
      <c r="N59" s="356">
        <f t="shared" si="10"/>
        <v>57319</v>
      </c>
      <c r="O59" s="356">
        <f t="shared" si="11"/>
        <v>9331</v>
      </c>
      <c r="P59" s="348">
        <v>43</v>
      </c>
      <c r="Q59" s="354">
        <f t="shared" si="12"/>
        <v>7</v>
      </c>
      <c r="R59" s="339">
        <f t="shared" si="13"/>
        <v>487319</v>
      </c>
      <c r="S59" s="339">
        <f t="shared" si="14"/>
        <v>79331</v>
      </c>
      <c r="T59" s="337"/>
    </row>
    <row r="60" spans="1:20">
      <c r="A60" s="378"/>
      <c r="B60" s="378"/>
      <c r="C60" s="364" t="s">
        <v>1103</v>
      </c>
      <c r="D60" s="367">
        <v>56</v>
      </c>
      <c r="E60" s="337" t="s">
        <v>1437</v>
      </c>
      <c r="F60" s="337" t="s">
        <v>310</v>
      </c>
      <c r="G60" s="346">
        <v>500000</v>
      </c>
      <c r="H60" s="346">
        <v>66650</v>
      </c>
      <c r="I60" s="340">
        <f t="shared" si="8"/>
        <v>566650</v>
      </c>
      <c r="J60" s="348">
        <v>50</v>
      </c>
      <c r="K60" s="380">
        <v>11333</v>
      </c>
      <c r="L60" s="356">
        <f t="shared" si="16"/>
        <v>1333</v>
      </c>
      <c r="M60" s="356">
        <f t="shared" si="9"/>
        <v>10000</v>
      </c>
      <c r="N60" s="356">
        <f t="shared" si="10"/>
        <v>57319</v>
      </c>
      <c r="O60" s="356">
        <f t="shared" si="11"/>
        <v>9331</v>
      </c>
      <c r="P60" s="348">
        <v>43</v>
      </c>
      <c r="Q60" s="354">
        <f t="shared" si="12"/>
        <v>7</v>
      </c>
      <c r="R60" s="339">
        <f t="shared" si="13"/>
        <v>487319</v>
      </c>
      <c r="S60" s="339">
        <f t="shared" si="14"/>
        <v>79331</v>
      </c>
      <c r="T60" s="337"/>
    </row>
    <row r="61" spans="1:20">
      <c r="A61" s="378"/>
      <c r="B61" s="378"/>
      <c r="C61" s="364" t="s">
        <v>1043</v>
      </c>
      <c r="D61" s="367">
        <v>57</v>
      </c>
      <c r="E61" s="337" t="s">
        <v>1437</v>
      </c>
      <c r="F61" s="337" t="s">
        <v>444</v>
      </c>
      <c r="G61" s="346">
        <v>500000</v>
      </c>
      <c r="H61" s="346">
        <v>66650</v>
      </c>
      <c r="I61" s="340">
        <f t="shared" si="8"/>
        <v>566650</v>
      </c>
      <c r="J61" s="348">
        <v>50</v>
      </c>
      <c r="K61" s="380">
        <v>11333</v>
      </c>
      <c r="L61" s="356">
        <f t="shared" si="16"/>
        <v>1333</v>
      </c>
      <c r="M61" s="356">
        <f t="shared" si="9"/>
        <v>10000</v>
      </c>
      <c r="N61" s="356">
        <f t="shared" si="10"/>
        <v>41323</v>
      </c>
      <c r="O61" s="356">
        <f t="shared" si="11"/>
        <v>25327</v>
      </c>
      <c r="P61" s="348">
        <v>31</v>
      </c>
      <c r="Q61" s="354">
        <f t="shared" si="12"/>
        <v>19</v>
      </c>
      <c r="R61" s="339">
        <f t="shared" si="13"/>
        <v>351323</v>
      </c>
      <c r="S61" s="339">
        <f t="shared" si="14"/>
        <v>215327</v>
      </c>
      <c r="T61" s="337"/>
    </row>
    <row r="62" spans="1:20">
      <c r="A62" s="378"/>
      <c r="B62" s="378"/>
      <c r="C62" s="363" t="s">
        <v>1001</v>
      </c>
      <c r="D62" s="367">
        <v>58</v>
      </c>
      <c r="E62" s="337" t="s">
        <v>1437</v>
      </c>
      <c r="F62" s="337" t="s">
        <v>834</v>
      </c>
      <c r="G62" s="346">
        <v>330000</v>
      </c>
      <c r="H62" s="346">
        <v>43989</v>
      </c>
      <c r="I62" s="340">
        <f t="shared" si="8"/>
        <v>373989</v>
      </c>
      <c r="J62" s="348">
        <v>50</v>
      </c>
      <c r="K62" s="380">
        <v>7479.78</v>
      </c>
      <c r="L62" s="356">
        <f t="shared" si="16"/>
        <v>879.78</v>
      </c>
      <c r="M62" s="356">
        <f t="shared" si="9"/>
        <v>6600</v>
      </c>
      <c r="N62" s="356">
        <f t="shared" si="10"/>
        <v>27273.18</v>
      </c>
      <c r="O62" s="356">
        <f t="shared" si="11"/>
        <v>16715.82</v>
      </c>
      <c r="P62" s="348">
        <v>31</v>
      </c>
      <c r="Q62" s="354">
        <f t="shared" si="12"/>
        <v>19</v>
      </c>
      <c r="R62" s="339">
        <f t="shared" si="13"/>
        <v>231873.18</v>
      </c>
      <c r="S62" s="339">
        <f t="shared" si="14"/>
        <v>142115.82</v>
      </c>
      <c r="T62" s="337"/>
    </row>
    <row r="63" spans="1:20">
      <c r="A63" s="378"/>
      <c r="B63" s="378"/>
      <c r="C63" s="361" t="s">
        <v>996</v>
      </c>
      <c r="D63" s="367">
        <v>59</v>
      </c>
      <c r="E63" s="337" t="s">
        <v>1437</v>
      </c>
      <c r="F63" s="337" t="s">
        <v>338</v>
      </c>
      <c r="G63" s="346">
        <v>500000</v>
      </c>
      <c r="H63" s="346">
        <v>66650</v>
      </c>
      <c r="I63" s="340">
        <f t="shared" si="8"/>
        <v>566650</v>
      </c>
      <c r="J63" s="348">
        <v>40</v>
      </c>
      <c r="K63" s="380">
        <v>13833</v>
      </c>
      <c r="L63" s="356">
        <f t="shared" si="16"/>
        <v>1333</v>
      </c>
      <c r="M63" s="356">
        <f t="shared" si="9"/>
        <v>10000</v>
      </c>
      <c r="N63" s="356">
        <f t="shared" si="10"/>
        <v>7998</v>
      </c>
      <c r="O63" s="356">
        <f t="shared" si="11"/>
        <v>45322</v>
      </c>
      <c r="P63" s="348">
        <v>6</v>
      </c>
      <c r="Q63" s="354">
        <f t="shared" si="12"/>
        <v>34</v>
      </c>
      <c r="R63" s="339">
        <f t="shared" si="13"/>
        <v>82998</v>
      </c>
      <c r="S63" s="339">
        <f t="shared" si="14"/>
        <v>483652</v>
      </c>
      <c r="T63" s="337"/>
    </row>
    <row r="64" spans="1:20">
      <c r="A64" s="378"/>
      <c r="B64" s="378"/>
      <c r="C64" s="361" t="s">
        <v>1335</v>
      </c>
      <c r="D64" s="367">
        <v>60</v>
      </c>
      <c r="E64" s="337" t="s">
        <v>1437</v>
      </c>
      <c r="F64" s="337" t="s">
        <v>1336</v>
      </c>
      <c r="G64" s="346">
        <v>500000</v>
      </c>
      <c r="H64" s="346">
        <v>66650</v>
      </c>
      <c r="I64" s="340">
        <f t="shared" si="8"/>
        <v>566650</v>
      </c>
      <c r="J64" s="348">
        <v>50</v>
      </c>
      <c r="K64" s="380">
        <v>11333</v>
      </c>
      <c r="L64" s="356">
        <f t="shared" si="16"/>
        <v>1333</v>
      </c>
      <c r="M64" s="356">
        <f t="shared" si="9"/>
        <v>10000</v>
      </c>
      <c r="N64" s="356">
        <f t="shared" si="10"/>
        <v>17329</v>
      </c>
      <c r="O64" s="356">
        <f t="shared" si="11"/>
        <v>49321</v>
      </c>
      <c r="P64" s="348">
        <v>13</v>
      </c>
      <c r="Q64" s="354">
        <f t="shared" si="12"/>
        <v>37</v>
      </c>
      <c r="R64" s="339">
        <f t="shared" si="13"/>
        <v>147329</v>
      </c>
      <c r="S64" s="339">
        <f t="shared" si="14"/>
        <v>419321</v>
      </c>
      <c r="T64" s="337"/>
    </row>
    <row r="65" spans="1:20">
      <c r="A65" s="378"/>
      <c r="B65" s="378"/>
      <c r="C65" s="364" t="s">
        <v>1312</v>
      </c>
      <c r="D65" s="367">
        <v>61</v>
      </c>
      <c r="E65" s="337" t="s">
        <v>1437</v>
      </c>
      <c r="F65" s="337" t="s">
        <v>436</v>
      </c>
      <c r="G65" s="346">
        <v>500000</v>
      </c>
      <c r="H65" s="346">
        <v>66650</v>
      </c>
      <c r="I65" s="340">
        <f t="shared" si="8"/>
        <v>566650</v>
      </c>
      <c r="J65" s="348">
        <v>25</v>
      </c>
      <c r="K65" s="380">
        <v>21333</v>
      </c>
      <c r="L65" s="356">
        <f t="shared" si="16"/>
        <v>1333</v>
      </c>
      <c r="M65" s="356">
        <f t="shared" si="9"/>
        <v>10000</v>
      </c>
      <c r="N65" s="356">
        <f t="shared" si="10"/>
        <v>14663</v>
      </c>
      <c r="O65" s="356">
        <f t="shared" si="11"/>
        <v>18662</v>
      </c>
      <c r="P65" s="348">
        <v>11</v>
      </c>
      <c r="Q65" s="354">
        <f t="shared" si="12"/>
        <v>14</v>
      </c>
      <c r="R65" s="339">
        <f t="shared" si="13"/>
        <v>234663</v>
      </c>
      <c r="S65" s="339">
        <f t="shared" si="14"/>
        <v>331987</v>
      </c>
      <c r="T65" s="337"/>
    </row>
    <row r="66" spans="1:20">
      <c r="A66" s="378"/>
      <c r="B66" s="378"/>
      <c r="C66" s="361" t="s">
        <v>1044</v>
      </c>
      <c r="D66" s="367">
        <v>62</v>
      </c>
      <c r="E66" s="337" t="s">
        <v>1437</v>
      </c>
      <c r="F66" s="337" t="s">
        <v>844</v>
      </c>
      <c r="G66" s="346">
        <v>150000</v>
      </c>
      <c r="H66" s="346">
        <v>19995</v>
      </c>
      <c r="I66" s="340">
        <f t="shared" si="8"/>
        <v>169995</v>
      </c>
      <c r="J66" s="348">
        <v>50</v>
      </c>
      <c r="K66" s="380">
        <v>3399.9</v>
      </c>
      <c r="L66" s="356">
        <f t="shared" si="16"/>
        <v>399.9</v>
      </c>
      <c r="M66" s="356">
        <f t="shared" si="9"/>
        <v>3000</v>
      </c>
      <c r="N66" s="356">
        <f t="shared" si="10"/>
        <v>12396.9</v>
      </c>
      <c r="O66" s="356">
        <f t="shared" si="11"/>
        <v>7598.0999999999995</v>
      </c>
      <c r="P66" s="348">
        <v>31</v>
      </c>
      <c r="Q66" s="354">
        <f t="shared" si="12"/>
        <v>19</v>
      </c>
      <c r="R66" s="339">
        <f t="shared" si="13"/>
        <v>105396.90000000001</v>
      </c>
      <c r="S66" s="339">
        <f t="shared" si="14"/>
        <v>64598.099999999991</v>
      </c>
      <c r="T66" s="337"/>
    </row>
    <row r="67" spans="1:20">
      <c r="A67" s="378"/>
      <c r="B67" s="378"/>
      <c r="C67" s="364" t="s">
        <v>1328</v>
      </c>
      <c r="D67" s="367">
        <v>63</v>
      </c>
      <c r="E67" s="337" t="s">
        <v>1437</v>
      </c>
      <c r="F67" s="337" t="s">
        <v>433</v>
      </c>
      <c r="G67" s="346">
        <v>500000</v>
      </c>
      <c r="H67" s="346">
        <v>66650</v>
      </c>
      <c r="I67" s="340">
        <f t="shared" si="8"/>
        <v>566650</v>
      </c>
      <c r="J67" s="348">
        <v>50</v>
      </c>
      <c r="K67" s="380">
        <v>11333</v>
      </c>
      <c r="L67" s="356">
        <f t="shared" si="16"/>
        <v>1333</v>
      </c>
      <c r="M67" s="356">
        <f t="shared" si="9"/>
        <v>10000</v>
      </c>
      <c r="N67" s="356">
        <f t="shared" si="10"/>
        <v>21328</v>
      </c>
      <c r="O67" s="356">
        <f t="shared" si="11"/>
        <v>45322</v>
      </c>
      <c r="P67" s="348">
        <v>16</v>
      </c>
      <c r="Q67" s="354">
        <f t="shared" si="12"/>
        <v>34</v>
      </c>
      <c r="R67" s="339">
        <f t="shared" si="13"/>
        <v>181328</v>
      </c>
      <c r="S67" s="339">
        <f t="shared" si="14"/>
        <v>385322</v>
      </c>
      <c r="T67" s="337"/>
    </row>
    <row r="68" spans="1:20">
      <c r="A68" s="378"/>
      <c r="B68" s="378"/>
      <c r="C68" s="362" t="s">
        <v>1058</v>
      </c>
      <c r="D68" s="367">
        <v>64</v>
      </c>
      <c r="E68" s="337" t="s">
        <v>1437</v>
      </c>
      <c r="F68" s="337" t="s">
        <v>346</v>
      </c>
      <c r="G68" s="346">
        <v>500000</v>
      </c>
      <c r="H68" s="346">
        <v>66650</v>
      </c>
      <c r="I68" s="340">
        <f t="shared" si="8"/>
        <v>566650</v>
      </c>
      <c r="J68" s="348">
        <v>50</v>
      </c>
      <c r="K68" s="380">
        <v>11333</v>
      </c>
      <c r="L68" s="356">
        <f t="shared" si="16"/>
        <v>1333</v>
      </c>
      <c r="M68" s="356">
        <f t="shared" si="9"/>
        <v>10000</v>
      </c>
      <c r="N68" s="356">
        <f t="shared" si="10"/>
        <v>55986</v>
      </c>
      <c r="O68" s="356">
        <f t="shared" si="11"/>
        <v>10664</v>
      </c>
      <c r="P68" s="348">
        <v>42</v>
      </c>
      <c r="Q68" s="354">
        <f t="shared" si="12"/>
        <v>8</v>
      </c>
      <c r="R68" s="339">
        <f t="shared" si="13"/>
        <v>475986</v>
      </c>
      <c r="S68" s="339">
        <f t="shared" si="14"/>
        <v>90664</v>
      </c>
      <c r="T68" s="337"/>
    </row>
    <row r="69" spans="1:20">
      <c r="A69" s="378"/>
      <c r="B69" s="378"/>
      <c r="C69" s="364" t="s">
        <v>1322</v>
      </c>
      <c r="D69" s="367">
        <v>65</v>
      </c>
      <c r="E69" s="337" t="s">
        <v>1437</v>
      </c>
      <c r="F69" s="337" t="s">
        <v>1122</v>
      </c>
      <c r="G69" s="346">
        <v>500000</v>
      </c>
      <c r="H69" s="346">
        <v>66650</v>
      </c>
      <c r="I69" s="340">
        <f t="shared" ref="I69:I100" si="17">SUM(G69:H69)</f>
        <v>566650</v>
      </c>
      <c r="J69" s="348">
        <v>50</v>
      </c>
      <c r="K69" s="380">
        <v>11333</v>
      </c>
      <c r="L69" s="356">
        <f t="shared" si="16"/>
        <v>1333</v>
      </c>
      <c r="M69" s="356">
        <f t="shared" ref="M69:M100" si="18">G69/50</f>
        <v>10000</v>
      </c>
      <c r="N69" s="356">
        <f t="shared" ref="N69:N100" si="19">L69*P69</f>
        <v>23994</v>
      </c>
      <c r="O69" s="356">
        <f t="shared" ref="O69:O100" si="20">L69*Q69</f>
        <v>42656</v>
      </c>
      <c r="P69" s="348">
        <v>18</v>
      </c>
      <c r="Q69" s="354">
        <f t="shared" ref="Q69:Q100" si="21">J69-P69</f>
        <v>32</v>
      </c>
      <c r="R69" s="339">
        <f t="shared" ref="R69:R100" si="22">K69*P69</f>
        <v>203994</v>
      </c>
      <c r="S69" s="339">
        <f t="shared" ref="S69:S100" si="23">I69-R69</f>
        <v>362656</v>
      </c>
      <c r="T69" s="337"/>
    </row>
    <row r="70" spans="1:20">
      <c r="A70" s="378"/>
      <c r="B70" s="378"/>
      <c r="C70" s="362" t="s">
        <v>1098</v>
      </c>
      <c r="D70" s="367">
        <v>66</v>
      </c>
      <c r="E70" s="337" t="s">
        <v>1437</v>
      </c>
      <c r="F70" s="337" t="s">
        <v>345</v>
      </c>
      <c r="G70" s="346">
        <v>500000</v>
      </c>
      <c r="H70" s="346">
        <v>66650</v>
      </c>
      <c r="I70" s="340">
        <f t="shared" si="17"/>
        <v>566650</v>
      </c>
      <c r="J70" s="348">
        <v>50</v>
      </c>
      <c r="K70" s="380">
        <v>11333</v>
      </c>
      <c r="L70" s="356">
        <f t="shared" si="16"/>
        <v>1333</v>
      </c>
      <c r="M70" s="356">
        <f t="shared" si="18"/>
        <v>10000</v>
      </c>
      <c r="N70" s="356">
        <f t="shared" si="19"/>
        <v>57319</v>
      </c>
      <c r="O70" s="356">
        <f t="shared" si="20"/>
        <v>9331</v>
      </c>
      <c r="P70" s="348">
        <v>43</v>
      </c>
      <c r="Q70" s="354">
        <f t="shared" si="21"/>
        <v>7</v>
      </c>
      <c r="R70" s="339">
        <f t="shared" si="22"/>
        <v>487319</v>
      </c>
      <c r="S70" s="339">
        <f t="shared" si="23"/>
        <v>79331</v>
      </c>
      <c r="T70" s="337"/>
    </row>
    <row r="71" spans="1:20">
      <c r="A71" s="378"/>
      <c r="B71" s="378"/>
      <c r="C71" s="362" t="s">
        <v>1125</v>
      </c>
      <c r="D71" s="367">
        <v>67</v>
      </c>
      <c r="E71" s="337" t="s">
        <v>1437</v>
      </c>
      <c r="F71" s="337" t="s">
        <v>452</v>
      </c>
      <c r="G71" s="346">
        <v>500000</v>
      </c>
      <c r="H71" s="346">
        <v>66650</v>
      </c>
      <c r="I71" s="340">
        <f t="shared" si="17"/>
        <v>566650</v>
      </c>
      <c r="J71" s="348">
        <v>50</v>
      </c>
      <c r="K71" s="380">
        <v>11333</v>
      </c>
      <c r="L71" s="356">
        <f t="shared" si="16"/>
        <v>1333</v>
      </c>
      <c r="M71" s="356">
        <f t="shared" si="18"/>
        <v>10000</v>
      </c>
      <c r="N71" s="356">
        <f t="shared" si="19"/>
        <v>25327</v>
      </c>
      <c r="O71" s="356">
        <f t="shared" si="20"/>
        <v>41323</v>
      </c>
      <c r="P71" s="348">
        <v>19</v>
      </c>
      <c r="Q71" s="354">
        <f t="shared" si="21"/>
        <v>31</v>
      </c>
      <c r="R71" s="339">
        <f t="shared" si="22"/>
        <v>215327</v>
      </c>
      <c r="S71" s="339">
        <f t="shared" si="23"/>
        <v>351323</v>
      </c>
      <c r="T71" s="337"/>
    </row>
    <row r="72" spans="1:20">
      <c r="A72" s="378"/>
      <c r="B72" s="378"/>
      <c r="C72" s="364" t="s">
        <v>1390</v>
      </c>
      <c r="D72" s="367">
        <v>68</v>
      </c>
      <c r="E72" s="337" t="s">
        <v>1437</v>
      </c>
      <c r="F72" s="337" t="s">
        <v>1391</v>
      </c>
      <c r="G72" s="346">
        <v>150000</v>
      </c>
      <c r="H72" s="346">
        <v>19995</v>
      </c>
      <c r="I72" s="340">
        <f t="shared" si="17"/>
        <v>169995</v>
      </c>
      <c r="J72" s="348">
        <v>40</v>
      </c>
      <c r="K72" s="380">
        <v>4149.8999999999996</v>
      </c>
      <c r="L72" s="356">
        <f t="shared" si="16"/>
        <v>399.9</v>
      </c>
      <c r="M72" s="356">
        <f t="shared" si="18"/>
        <v>3000</v>
      </c>
      <c r="N72" s="356">
        <f t="shared" si="19"/>
        <v>7198.2</v>
      </c>
      <c r="O72" s="356">
        <f t="shared" si="20"/>
        <v>8797.7999999999993</v>
      </c>
      <c r="P72" s="348">
        <v>18</v>
      </c>
      <c r="Q72" s="354">
        <f t="shared" si="21"/>
        <v>22</v>
      </c>
      <c r="R72" s="339">
        <f t="shared" si="22"/>
        <v>74698.2</v>
      </c>
      <c r="S72" s="339">
        <f t="shared" si="23"/>
        <v>95296.8</v>
      </c>
      <c r="T72" s="337"/>
    </row>
    <row r="73" spans="1:20">
      <c r="A73" s="378"/>
      <c r="B73" s="378"/>
      <c r="C73" s="362" t="s">
        <v>1067</v>
      </c>
      <c r="D73" s="367">
        <v>69</v>
      </c>
      <c r="E73" s="337" t="s">
        <v>1437</v>
      </c>
      <c r="F73" s="337" t="s">
        <v>368</v>
      </c>
      <c r="G73" s="346">
        <v>450000</v>
      </c>
      <c r="H73" s="346">
        <v>59985</v>
      </c>
      <c r="I73" s="340">
        <f t="shared" si="17"/>
        <v>509985</v>
      </c>
      <c r="J73" s="348">
        <v>50</v>
      </c>
      <c r="K73" s="380">
        <v>10199.700000000001</v>
      </c>
      <c r="L73" s="356">
        <f t="shared" si="16"/>
        <v>1199.7</v>
      </c>
      <c r="M73" s="356">
        <f t="shared" si="18"/>
        <v>9000</v>
      </c>
      <c r="N73" s="356">
        <f t="shared" si="19"/>
        <v>50387.4</v>
      </c>
      <c r="O73" s="356">
        <f t="shared" si="20"/>
        <v>9597.6</v>
      </c>
      <c r="P73" s="348">
        <v>42</v>
      </c>
      <c r="Q73" s="354">
        <f t="shared" si="21"/>
        <v>8</v>
      </c>
      <c r="R73" s="339">
        <f t="shared" si="22"/>
        <v>428387.4</v>
      </c>
      <c r="S73" s="339">
        <f t="shared" si="23"/>
        <v>81597.599999999977</v>
      </c>
      <c r="T73" s="337"/>
    </row>
    <row r="74" spans="1:20">
      <c r="A74" s="378"/>
      <c r="B74" s="378"/>
      <c r="C74" s="362" t="s">
        <v>1078</v>
      </c>
      <c r="D74" s="367">
        <v>70</v>
      </c>
      <c r="E74" s="337" t="s">
        <v>1437</v>
      </c>
      <c r="F74" s="337" t="s">
        <v>446</v>
      </c>
      <c r="G74" s="346">
        <v>330000</v>
      </c>
      <c r="H74" s="346">
        <v>43989</v>
      </c>
      <c r="I74" s="340">
        <f t="shared" si="17"/>
        <v>373989</v>
      </c>
      <c r="J74" s="348">
        <v>50</v>
      </c>
      <c r="K74" s="380">
        <v>7479.78</v>
      </c>
      <c r="L74" s="356">
        <f t="shared" si="16"/>
        <v>879.78</v>
      </c>
      <c r="M74" s="356">
        <f t="shared" si="18"/>
        <v>6600</v>
      </c>
      <c r="N74" s="356">
        <f t="shared" si="19"/>
        <v>22874.28</v>
      </c>
      <c r="O74" s="356">
        <f t="shared" si="20"/>
        <v>21114.720000000001</v>
      </c>
      <c r="P74" s="348">
        <v>26</v>
      </c>
      <c r="Q74" s="354">
        <f t="shared" si="21"/>
        <v>24</v>
      </c>
      <c r="R74" s="339">
        <f t="shared" si="22"/>
        <v>194474.28</v>
      </c>
      <c r="S74" s="339">
        <f t="shared" si="23"/>
        <v>179514.72</v>
      </c>
      <c r="T74" s="337"/>
    </row>
    <row r="75" spans="1:20">
      <c r="A75" s="378"/>
      <c r="B75" s="378"/>
      <c r="C75" s="337" t="s">
        <v>971</v>
      </c>
      <c r="D75" s="367">
        <v>71</v>
      </c>
      <c r="E75" s="337" t="s">
        <v>1437</v>
      </c>
      <c r="F75" s="337" t="s">
        <v>112</v>
      </c>
      <c r="G75" s="346">
        <v>330000</v>
      </c>
      <c r="H75" s="346">
        <v>43989</v>
      </c>
      <c r="I75" s="340">
        <f t="shared" si="17"/>
        <v>373989</v>
      </c>
      <c r="J75" s="348">
        <v>50</v>
      </c>
      <c r="K75" s="381">
        <v>7479.78</v>
      </c>
      <c r="L75" s="356">
        <f t="shared" si="16"/>
        <v>879.78</v>
      </c>
      <c r="M75" s="356">
        <f t="shared" si="18"/>
        <v>6600</v>
      </c>
      <c r="N75" s="356">
        <f t="shared" si="19"/>
        <v>1759.56</v>
      </c>
      <c r="O75" s="356">
        <f t="shared" si="20"/>
        <v>42229.440000000002</v>
      </c>
      <c r="P75" s="358">
        <v>2</v>
      </c>
      <c r="Q75" s="354">
        <f t="shared" si="21"/>
        <v>48</v>
      </c>
      <c r="R75" s="339">
        <f t="shared" si="22"/>
        <v>14959.56</v>
      </c>
      <c r="S75" s="339">
        <f t="shared" si="23"/>
        <v>359029.44</v>
      </c>
      <c r="T75" s="337"/>
    </row>
    <row r="76" spans="1:20">
      <c r="A76" s="378"/>
      <c r="B76" s="378"/>
      <c r="C76" s="361" t="s">
        <v>1120</v>
      </c>
      <c r="D76" s="367">
        <v>72</v>
      </c>
      <c r="E76" s="337" t="s">
        <v>1437</v>
      </c>
      <c r="F76" s="337" t="s">
        <v>1121</v>
      </c>
      <c r="G76" s="346">
        <v>150000</v>
      </c>
      <c r="H76" s="346">
        <v>19995</v>
      </c>
      <c r="I76" s="340">
        <f t="shared" si="17"/>
        <v>169995</v>
      </c>
      <c r="J76" s="348">
        <v>50</v>
      </c>
      <c r="K76" s="380">
        <v>3399.9</v>
      </c>
      <c r="L76" s="356">
        <f t="shared" si="16"/>
        <v>399.9</v>
      </c>
      <c r="M76" s="356">
        <f t="shared" si="18"/>
        <v>3000</v>
      </c>
      <c r="N76" s="356">
        <f t="shared" si="19"/>
        <v>7598.0999999999995</v>
      </c>
      <c r="O76" s="356">
        <f t="shared" si="20"/>
        <v>12396.9</v>
      </c>
      <c r="P76" s="348">
        <v>19</v>
      </c>
      <c r="Q76" s="354">
        <f t="shared" si="21"/>
        <v>31</v>
      </c>
      <c r="R76" s="339">
        <f t="shared" si="22"/>
        <v>64598.1</v>
      </c>
      <c r="S76" s="339">
        <f t="shared" si="23"/>
        <v>105396.9</v>
      </c>
      <c r="T76" s="337"/>
    </row>
    <row r="77" spans="1:20">
      <c r="A77" s="378"/>
      <c r="B77" s="378"/>
      <c r="C77" s="362" t="s">
        <v>1375</v>
      </c>
      <c r="D77" s="367">
        <v>73</v>
      </c>
      <c r="E77" s="337" t="s">
        <v>1437</v>
      </c>
      <c r="F77" s="337" t="s">
        <v>1376</v>
      </c>
      <c r="G77" s="346">
        <v>330000</v>
      </c>
      <c r="H77" s="346">
        <v>43989</v>
      </c>
      <c r="I77" s="340">
        <f t="shared" si="17"/>
        <v>373989</v>
      </c>
      <c r="J77" s="348">
        <v>50</v>
      </c>
      <c r="K77" s="380">
        <v>7479.78</v>
      </c>
      <c r="L77" s="356">
        <f t="shared" si="16"/>
        <v>879.78</v>
      </c>
      <c r="M77" s="356">
        <f t="shared" si="18"/>
        <v>6600</v>
      </c>
      <c r="N77" s="356">
        <f t="shared" si="19"/>
        <v>7918.0199999999995</v>
      </c>
      <c r="O77" s="356">
        <f t="shared" si="20"/>
        <v>36070.979999999996</v>
      </c>
      <c r="P77" s="348">
        <v>9</v>
      </c>
      <c r="Q77" s="354">
        <f t="shared" si="21"/>
        <v>41</v>
      </c>
      <c r="R77" s="339">
        <f t="shared" si="22"/>
        <v>67318.02</v>
      </c>
      <c r="S77" s="339">
        <f t="shared" si="23"/>
        <v>306670.98</v>
      </c>
      <c r="T77" s="337"/>
    </row>
    <row r="78" spans="1:20">
      <c r="A78" s="378"/>
      <c r="B78" s="378"/>
      <c r="C78" s="364" t="s">
        <v>1392</v>
      </c>
      <c r="D78" s="367">
        <v>74</v>
      </c>
      <c r="E78" s="337" t="s">
        <v>1437</v>
      </c>
      <c r="F78" s="337" t="s">
        <v>1393</v>
      </c>
      <c r="G78" s="346">
        <v>150000</v>
      </c>
      <c r="H78" s="346">
        <v>19995</v>
      </c>
      <c r="I78" s="340">
        <f t="shared" si="17"/>
        <v>169995</v>
      </c>
      <c r="J78" s="348">
        <v>40</v>
      </c>
      <c r="K78" s="380">
        <v>4149.8999999999996</v>
      </c>
      <c r="L78" s="356">
        <f t="shared" si="16"/>
        <v>399.9</v>
      </c>
      <c r="M78" s="356">
        <f t="shared" si="18"/>
        <v>3000</v>
      </c>
      <c r="N78" s="356">
        <f t="shared" si="19"/>
        <v>7198.2</v>
      </c>
      <c r="O78" s="356">
        <f t="shared" si="20"/>
        <v>8797.7999999999993</v>
      </c>
      <c r="P78" s="348">
        <v>18</v>
      </c>
      <c r="Q78" s="354">
        <f t="shared" si="21"/>
        <v>22</v>
      </c>
      <c r="R78" s="339">
        <f t="shared" si="22"/>
        <v>74698.2</v>
      </c>
      <c r="S78" s="339">
        <f t="shared" si="23"/>
        <v>95296.8</v>
      </c>
      <c r="T78" s="337"/>
    </row>
    <row r="79" spans="1:20">
      <c r="A79" s="378"/>
      <c r="B79" s="378"/>
      <c r="C79" s="337" t="s">
        <v>1438</v>
      </c>
      <c r="D79" s="367">
        <v>75</v>
      </c>
      <c r="E79" s="337" t="s">
        <v>1437</v>
      </c>
      <c r="F79" s="337" t="s">
        <v>1439</v>
      </c>
      <c r="G79" s="346">
        <v>450000</v>
      </c>
      <c r="H79" s="346">
        <v>59985</v>
      </c>
      <c r="I79" s="340">
        <f t="shared" si="17"/>
        <v>509985</v>
      </c>
      <c r="J79" s="348">
        <v>50</v>
      </c>
      <c r="K79" s="381">
        <v>10199.700000000001</v>
      </c>
      <c r="L79" s="356">
        <f t="shared" si="16"/>
        <v>1199.7</v>
      </c>
      <c r="M79" s="356">
        <f t="shared" si="18"/>
        <v>9000</v>
      </c>
      <c r="N79" s="356">
        <f t="shared" si="19"/>
        <v>47988</v>
      </c>
      <c r="O79" s="356">
        <f t="shared" si="20"/>
        <v>11997</v>
      </c>
      <c r="P79" s="358">
        <v>40</v>
      </c>
      <c r="Q79" s="354">
        <f t="shared" si="21"/>
        <v>10</v>
      </c>
      <c r="R79" s="339">
        <f t="shared" si="22"/>
        <v>407988</v>
      </c>
      <c r="S79" s="339">
        <f t="shared" si="23"/>
        <v>101997</v>
      </c>
      <c r="T79" s="390"/>
    </row>
    <row r="80" spans="1:20">
      <c r="A80" s="378"/>
      <c r="B80" s="378"/>
      <c r="C80" s="364" t="s">
        <v>982</v>
      </c>
      <c r="D80" s="367">
        <v>76</v>
      </c>
      <c r="E80" s="337" t="s">
        <v>1437</v>
      </c>
      <c r="F80" s="337" t="s">
        <v>350</v>
      </c>
      <c r="G80" s="346">
        <v>500000</v>
      </c>
      <c r="H80" s="346">
        <v>66650</v>
      </c>
      <c r="I80" s="340">
        <f t="shared" si="17"/>
        <v>566650</v>
      </c>
      <c r="J80" s="348">
        <v>50</v>
      </c>
      <c r="K80" s="380">
        <v>11333</v>
      </c>
      <c r="L80" s="356">
        <f t="shared" si="16"/>
        <v>1333</v>
      </c>
      <c r="M80" s="356">
        <f t="shared" si="18"/>
        <v>10000</v>
      </c>
      <c r="N80" s="356">
        <f t="shared" si="19"/>
        <v>46655</v>
      </c>
      <c r="O80" s="356">
        <f t="shared" si="20"/>
        <v>19995</v>
      </c>
      <c r="P80" s="348">
        <v>35</v>
      </c>
      <c r="Q80" s="354">
        <f t="shared" si="21"/>
        <v>15</v>
      </c>
      <c r="R80" s="339">
        <f t="shared" si="22"/>
        <v>396655</v>
      </c>
      <c r="S80" s="339">
        <f t="shared" si="23"/>
        <v>169995</v>
      </c>
      <c r="T80" s="337"/>
    </row>
    <row r="81" spans="1:20">
      <c r="A81" s="378"/>
      <c r="B81" s="378"/>
      <c r="C81" s="363" t="s">
        <v>965</v>
      </c>
      <c r="D81" s="367">
        <v>77</v>
      </c>
      <c r="E81" s="337" t="s">
        <v>1437</v>
      </c>
      <c r="F81" s="337" t="s">
        <v>334</v>
      </c>
      <c r="G81" s="346">
        <v>500000</v>
      </c>
      <c r="H81" s="346">
        <v>66650</v>
      </c>
      <c r="I81" s="340">
        <f t="shared" si="17"/>
        <v>566650</v>
      </c>
      <c r="J81" s="348">
        <v>50</v>
      </c>
      <c r="K81" s="380">
        <v>11333</v>
      </c>
      <c r="L81" s="356">
        <f t="shared" si="16"/>
        <v>1333</v>
      </c>
      <c r="M81" s="356">
        <f t="shared" si="18"/>
        <v>10000</v>
      </c>
      <c r="N81" s="356">
        <f t="shared" si="19"/>
        <v>57319</v>
      </c>
      <c r="O81" s="356">
        <f t="shared" si="20"/>
        <v>9331</v>
      </c>
      <c r="P81" s="348">
        <v>43</v>
      </c>
      <c r="Q81" s="354">
        <f t="shared" si="21"/>
        <v>7</v>
      </c>
      <c r="R81" s="339">
        <f t="shared" si="22"/>
        <v>487319</v>
      </c>
      <c r="S81" s="339">
        <f t="shared" si="23"/>
        <v>79331</v>
      </c>
      <c r="T81" s="337"/>
    </row>
    <row r="82" spans="1:20">
      <c r="A82" s="378"/>
      <c r="B82" s="378"/>
      <c r="C82" s="365" t="s">
        <v>1402</v>
      </c>
      <c r="D82" s="367">
        <v>78</v>
      </c>
      <c r="E82" s="337" t="s">
        <v>1437</v>
      </c>
      <c r="F82" s="337" t="s">
        <v>1403</v>
      </c>
      <c r="G82" s="346">
        <v>150000</v>
      </c>
      <c r="H82" s="346">
        <v>19995</v>
      </c>
      <c r="I82" s="340">
        <f t="shared" si="17"/>
        <v>169995</v>
      </c>
      <c r="J82" s="348">
        <v>50</v>
      </c>
      <c r="K82" s="380">
        <v>3399.9</v>
      </c>
      <c r="L82" s="356">
        <f t="shared" si="16"/>
        <v>399.9</v>
      </c>
      <c r="M82" s="356">
        <f t="shared" si="18"/>
        <v>3000</v>
      </c>
      <c r="N82" s="356">
        <f t="shared" si="19"/>
        <v>2399.3999999999996</v>
      </c>
      <c r="O82" s="356">
        <f t="shared" si="20"/>
        <v>17595.599999999999</v>
      </c>
      <c r="P82" s="348">
        <v>6</v>
      </c>
      <c r="Q82" s="354">
        <f t="shared" si="21"/>
        <v>44</v>
      </c>
      <c r="R82" s="339">
        <f t="shared" si="22"/>
        <v>20399.400000000001</v>
      </c>
      <c r="S82" s="339">
        <f t="shared" si="23"/>
        <v>149595.6</v>
      </c>
      <c r="T82" s="337"/>
    </row>
    <row r="83" spans="1:20">
      <c r="A83" s="378"/>
      <c r="B83" s="378"/>
      <c r="C83" s="361" t="s">
        <v>1355</v>
      </c>
      <c r="D83" s="367">
        <v>79</v>
      </c>
      <c r="E83" s="337" t="s">
        <v>1437</v>
      </c>
      <c r="F83" s="337" t="s">
        <v>1287</v>
      </c>
      <c r="G83" s="346">
        <v>450000</v>
      </c>
      <c r="H83" s="346">
        <v>59985</v>
      </c>
      <c r="I83" s="340">
        <f t="shared" si="17"/>
        <v>509985</v>
      </c>
      <c r="J83" s="348">
        <v>50</v>
      </c>
      <c r="K83" s="380">
        <v>10199.700000000001</v>
      </c>
      <c r="L83" s="356">
        <f t="shared" si="16"/>
        <v>1199.7</v>
      </c>
      <c r="M83" s="356">
        <f t="shared" si="18"/>
        <v>9000</v>
      </c>
      <c r="N83" s="356">
        <f t="shared" si="19"/>
        <v>13196.7</v>
      </c>
      <c r="O83" s="356">
        <f t="shared" si="20"/>
        <v>46788.3</v>
      </c>
      <c r="P83" s="348">
        <v>11</v>
      </c>
      <c r="Q83" s="354">
        <f t="shared" si="21"/>
        <v>39</v>
      </c>
      <c r="R83" s="339">
        <f t="shared" si="22"/>
        <v>112196.70000000001</v>
      </c>
      <c r="S83" s="339">
        <f t="shared" si="23"/>
        <v>397788.3</v>
      </c>
      <c r="T83" s="337"/>
    </row>
    <row r="84" spans="1:20">
      <c r="A84" s="378"/>
      <c r="B84" s="378"/>
      <c r="C84" s="365" t="s">
        <v>1102</v>
      </c>
      <c r="D84" s="367">
        <v>80</v>
      </c>
      <c r="E84" s="337" t="s">
        <v>1437</v>
      </c>
      <c r="F84" s="337" t="s">
        <v>485</v>
      </c>
      <c r="G84" s="346">
        <v>500000</v>
      </c>
      <c r="H84" s="346">
        <v>66650</v>
      </c>
      <c r="I84" s="340">
        <f t="shared" si="17"/>
        <v>566650</v>
      </c>
      <c r="J84" s="348">
        <v>50</v>
      </c>
      <c r="K84" s="380">
        <v>11333</v>
      </c>
      <c r="L84" s="356">
        <f t="shared" si="16"/>
        <v>1333</v>
      </c>
      <c r="M84" s="356">
        <f t="shared" si="18"/>
        <v>10000</v>
      </c>
      <c r="N84" s="356">
        <f t="shared" si="19"/>
        <v>10664</v>
      </c>
      <c r="O84" s="356">
        <f t="shared" si="20"/>
        <v>55986</v>
      </c>
      <c r="P84" s="348">
        <v>8</v>
      </c>
      <c r="Q84" s="354">
        <f t="shared" si="21"/>
        <v>42</v>
      </c>
      <c r="R84" s="339">
        <f t="shared" si="22"/>
        <v>90664</v>
      </c>
      <c r="S84" s="339">
        <f t="shared" si="23"/>
        <v>475986</v>
      </c>
      <c r="T84" s="337"/>
    </row>
    <row r="85" spans="1:20">
      <c r="A85" s="378"/>
      <c r="B85" s="378"/>
      <c r="C85" s="364" t="s">
        <v>1351</v>
      </c>
      <c r="D85" s="367">
        <v>81</v>
      </c>
      <c r="E85" s="337" t="s">
        <v>1437</v>
      </c>
      <c r="F85" s="337" t="s">
        <v>1285</v>
      </c>
      <c r="G85" s="346">
        <v>500000</v>
      </c>
      <c r="H85" s="346">
        <v>66650</v>
      </c>
      <c r="I85" s="340">
        <f t="shared" si="17"/>
        <v>566650</v>
      </c>
      <c r="J85" s="348">
        <v>50</v>
      </c>
      <c r="K85" s="380">
        <v>11333</v>
      </c>
      <c r="L85" s="356">
        <f t="shared" si="16"/>
        <v>1333</v>
      </c>
      <c r="M85" s="356">
        <f t="shared" si="18"/>
        <v>10000</v>
      </c>
      <c r="N85" s="356">
        <f t="shared" si="19"/>
        <v>14663</v>
      </c>
      <c r="O85" s="356">
        <f t="shared" si="20"/>
        <v>51987</v>
      </c>
      <c r="P85" s="348">
        <v>11</v>
      </c>
      <c r="Q85" s="354">
        <f t="shared" si="21"/>
        <v>39</v>
      </c>
      <c r="R85" s="339">
        <f t="shared" si="22"/>
        <v>124663</v>
      </c>
      <c r="S85" s="339">
        <f t="shared" si="23"/>
        <v>441987</v>
      </c>
      <c r="T85" s="337"/>
    </row>
    <row r="86" spans="1:20">
      <c r="A86" s="378"/>
      <c r="B86" s="378"/>
      <c r="C86" s="364" t="s">
        <v>960</v>
      </c>
      <c r="D86" s="367">
        <v>82</v>
      </c>
      <c r="E86" s="337" t="s">
        <v>1437</v>
      </c>
      <c r="F86" s="337" t="s">
        <v>488</v>
      </c>
      <c r="G86" s="346">
        <v>500000</v>
      </c>
      <c r="H86" s="346">
        <v>66650</v>
      </c>
      <c r="I86" s="340">
        <f t="shared" si="17"/>
        <v>566650</v>
      </c>
      <c r="J86" s="348">
        <v>50</v>
      </c>
      <c r="K86" s="380">
        <v>11333</v>
      </c>
      <c r="L86" s="356">
        <f t="shared" si="16"/>
        <v>1333</v>
      </c>
      <c r="M86" s="356">
        <f t="shared" si="18"/>
        <v>10000</v>
      </c>
      <c r="N86" s="356">
        <f t="shared" si="19"/>
        <v>41323</v>
      </c>
      <c r="O86" s="356">
        <f t="shared" si="20"/>
        <v>25327</v>
      </c>
      <c r="P86" s="348">
        <v>31</v>
      </c>
      <c r="Q86" s="354">
        <f t="shared" si="21"/>
        <v>19</v>
      </c>
      <c r="R86" s="339">
        <f t="shared" si="22"/>
        <v>351323</v>
      </c>
      <c r="S86" s="339">
        <f t="shared" si="23"/>
        <v>215327</v>
      </c>
      <c r="T86" s="337"/>
    </row>
    <row r="87" spans="1:20">
      <c r="A87" s="378"/>
      <c r="B87" s="378"/>
      <c r="C87" s="362" t="s">
        <v>1024</v>
      </c>
      <c r="D87" s="367">
        <v>83</v>
      </c>
      <c r="E87" s="337" t="s">
        <v>1437</v>
      </c>
      <c r="F87" s="337" t="s">
        <v>810</v>
      </c>
      <c r="G87" s="346">
        <v>450000</v>
      </c>
      <c r="H87" s="346">
        <v>59985</v>
      </c>
      <c r="I87" s="340">
        <f t="shared" si="17"/>
        <v>509985</v>
      </c>
      <c r="J87" s="348">
        <v>50</v>
      </c>
      <c r="K87" s="380">
        <v>10199.700000000001</v>
      </c>
      <c r="L87" s="356">
        <f t="shared" si="16"/>
        <v>1199.7</v>
      </c>
      <c r="M87" s="356">
        <f t="shared" si="18"/>
        <v>9000</v>
      </c>
      <c r="N87" s="356">
        <f t="shared" si="19"/>
        <v>67183.199999999997</v>
      </c>
      <c r="O87" s="356">
        <f t="shared" si="20"/>
        <v>-7198.2000000000007</v>
      </c>
      <c r="P87" s="348">
        <v>56</v>
      </c>
      <c r="Q87" s="354">
        <f t="shared" si="21"/>
        <v>-6</v>
      </c>
      <c r="R87" s="339">
        <f t="shared" si="22"/>
        <v>571183.20000000007</v>
      </c>
      <c r="S87" s="339">
        <f t="shared" si="23"/>
        <v>-61198.20000000007</v>
      </c>
      <c r="T87" s="337"/>
    </row>
    <row r="88" spans="1:20">
      <c r="A88" s="378"/>
      <c r="B88" s="378"/>
      <c r="C88" s="363" t="s">
        <v>1011</v>
      </c>
      <c r="D88" s="367">
        <v>84</v>
      </c>
      <c r="E88" s="337" t="s">
        <v>1437</v>
      </c>
      <c r="F88" s="337" t="s">
        <v>863</v>
      </c>
      <c r="G88" s="346">
        <v>500000</v>
      </c>
      <c r="H88" s="346">
        <v>66650</v>
      </c>
      <c r="I88" s="340">
        <f t="shared" si="17"/>
        <v>566650</v>
      </c>
      <c r="J88" s="348">
        <v>50</v>
      </c>
      <c r="K88" s="380">
        <v>11333</v>
      </c>
      <c r="L88" s="356">
        <f t="shared" si="16"/>
        <v>1333</v>
      </c>
      <c r="M88" s="356">
        <f t="shared" si="18"/>
        <v>10000</v>
      </c>
      <c r="N88" s="356">
        <f t="shared" si="19"/>
        <v>34658</v>
      </c>
      <c r="O88" s="356">
        <f t="shared" si="20"/>
        <v>31992</v>
      </c>
      <c r="P88" s="348">
        <v>26</v>
      </c>
      <c r="Q88" s="354">
        <f t="shared" si="21"/>
        <v>24</v>
      </c>
      <c r="R88" s="339">
        <f t="shared" si="22"/>
        <v>294658</v>
      </c>
      <c r="S88" s="339">
        <f t="shared" si="23"/>
        <v>271992</v>
      </c>
      <c r="T88" s="337"/>
    </row>
    <row r="89" spans="1:20">
      <c r="A89" s="378"/>
      <c r="B89" s="378"/>
      <c r="C89" s="364" t="s">
        <v>1042</v>
      </c>
      <c r="D89" s="367">
        <v>85</v>
      </c>
      <c r="E89" s="337" t="s">
        <v>1437</v>
      </c>
      <c r="F89" s="337" t="s">
        <v>359</v>
      </c>
      <c r="G89" s="346">
        <v>500000</v>
      </c>
      <c r="H89" s="346">
        <v>66650</v>
      </c>
      <c r="I89" s="340">
        <f t="shared" si="17"/>
        <v>566650</v>
      </c>
      <c r="J89" s="348">
        <v>50</v>
      </c>
      <c r="K89" s="380">
        <v>11333</v>
      </c>
      <c r="L89" s="356">
        <f t="shared" si="16"/>
        <v>1333</v>
      </c>
      <c r="M89" s="356">
        <f t="shared" si="18"/>
        <v>10000</v>
      </c>
      <c r="N89" s="356">
        <f t="shared" si="19"/>
        <v>7998</v>
      </c>
      <c r="O89" s="356">
        <f t="shared" si="20"/>
        <v>58652</v>
      </c>
      <c r="P89" s="348">
        <v>6</v>
      </c>
      <c r="Q89" s="354">
        <f t="shared" si="21"/>
        <v>44</v>
      </c>
      <c r="R89" s="339">
        <f t="shared" si="22"/>
        <v>67998</v>
      </c>
      <c r="S89" s="339">
        <f t="shared" si="23"/>
        <v>498652</v>
      </c>
      <c r="T89" s="337"/>
    </row>
    <row r="90" spans="1:20">
      <c r="A90" s="378"/>
      <c r="B90" s="378"/>
      <c r="C90" s="361" t="s">
        <v>1045</v>
      </c>
      <c r="D90" s="367">
        <v>86</v>
      </c>
      <c r="E90" s="337" t="s">
        <v>1437</v>
      </c>
      <c r="F90" s="337" t="s">
        <v>867</v>
      </c>
      <c r="G90" s="346">
        <v>500000</v>
      </c>
      <c r="H90" s="346">
        <v>66650</v>
      </c>
      <c r="I90" s="340">
        <f t="shared" si="17"/>
        <v>566650</v>
      </c>
      <c r="J90" s="348">
        <v>50</v>
      </c>
      <c r="K90" s="380">
        <v>11333</v>
      </c>
      <c r="L90" s="356">
        <f t="shared" si="16"/>
        <v>1333</v>
      </c>
      <c r="M90" s="356">
        <f t="shared" si="18"/>
        <v>10000</v>
      </c>
      <c r="N90" s="356">
        <f t="shared" si="19"/>
        <v>86645</v>
      </c>
      <c r="O90" s="356">
        <f t="shared" si="20"/>
        <v>-19995</v>
      </c>
      <c r="P90" s="348">
        <v>65</v>
      </c>
      <c r="Q90" s="354">
        <f t="shared" si="21"/>
        <v>-15</v>
      </c>
      <c r="R90" s="339">
        <f t="shared" si="22"/>
        <v>736645</v>
      </c>
      <c r="S90" s="339">
        <f t="shared" si="23"/>
        <v>-169995</v>
      </c>
      <c r="T90" s="337"/>
    </row>
    <row r="91" spans="1:20">
      <c r="A91" s="378"/>
      <c r="B91" s="378"/>
      <c r="C91" s="364" t="s">
        <v>1323</v>
      </c>
      <c r="D91" s="367">
        <v>87</v>
      </c>
      <c r="E91" s="337" t="s">
        <v>1437</v>
      </c>
      <c r="F91" s="337" t="s">
        <v>448</v>
      </c>
      <c r="G91" s="346">
        <v>500000</v>
      </c>
      <c r="H91" s="346">
        <v>66650</v>
      </c>
      <c r="I91" s="340">
        <f t="shared" si="17"/>
        <v>566650</v>
      </c>
      <c r="J91" s="348">
        <v>50</v>
      </c>
      <c r="K91" s="380">
        <v>11333</v>
      </c>
      <c r="L91" s="356">
        <f t="shared" si="16"/>
        <v>1333</v>
      </c>
      <c r="M91" s="356">
        <f t="shared" si="18"/>
        <v>10000</v>
      </c>
      <c r="N91" s="356">
        <f t="shared" si="19"/>
        <v>21328</v>
      </c>
      <c r="O91" s="356">
        <f t="shared" si="20"/>
        <v>45322</v>
      </c>
      <c r="P91" s="348">
        <v>16</v>
      </c>
      <c r="Q91" s="354">
        <f t="shared" si="21"/>
        <v>34</v>
      </c>
      <c r="R91" s="339">
        <f t="shared" si="22"/>
        <v>181328</v>
      </c>
      <c r="S91" s="339">
        <f t="shared" si="23"/>
        <v>385322</v>
      </c>
      <c r="T91" s="337"/>
    </row>
    <row r="92" spans="1:20">
      <c r="A92" s="378"/>
      <c r="B92" s="378"/>
      <c r="C92" s="363" t="s">
        <v>1037</v>
      </c>
      <c r="D92" s="367">
        <v>88</v>
      </c>
      <c r="E92" s="337" t="s">
        <v>1437</v>
      </c>
      <c r="F92" s="337" t="s">
        <v>326</v>
      </c>
      <c r="G92" s="346">
        <v>500000</v>
      </c>
      <c r="H92" s="346">
        <v>66650</v>
      </c>
      <c r="I92" s="340">
        <f t="shared" si="17"/>
        <v>566650</v>
      </c>
      <c r="J92" s="348">
        <v>50</v>
      </c>
      <c r="K92" s="380">
        <v>11333</v>
      </c>
      <c r="L92" s="356">
        <f t="shared" si="16"/>
        <v>1333</v>
      </c>
      <c r="M92" s="356">
        <f t="shared" si="18"/>
        <v>10000</v>
      </c>
      <c r="N92" s="356">
        <f t="shared" si="19"/>
        <v>55986</v>
      </c>
      <c r="O92" s="356">
        <f t="shared" si="20"/>
        <v>10664</v>
      </c>
      <c r="P92" s="348">
        <v>42</v>
      </c>
      <c r="Q92" s="354">
        <f t="shared" si="21"/>
        <v>8</v>
      </c>
      <c r="R92" s="339">
        <f t="shared" si="22"/>
        <v>475986</v>
      </c>
      <c r="S92" s="339">
        <f t="shared" si="23"/>
        <v>90664</v>
      </c>
      <c r="T92" s="337"/>
    </row>
    <row r="93" spans="1:20">
      <c r="A93" s="378"/>
      <c r="B93" s="378"/>
      <c r="C93" s="363" t="s">
        <v>1002</v>
      </c>
      <c r="D93" s="367">
        <v>89</v>
      </c>
      <c r="E93" s="337" t="s">
        <v>1437</v>
      </c>
      <c r="F93" s="337" t="s">
        <v>1003</v>
      </c>
      <c r="G93" s="346">
        <v>150000</v>
      </c>
      <c r="H93" s="346">
        <v>19995</v>
      </c>
      <c r="I93" s="340">
        <f t="shared" si="17"/>
        <v>169995</v>
      </c>
      <c r="J93" s="348">
        <v>50</v>
      </c>
      <c r="K93" s="380">
        <v>3399.9</v>
      </c>
      <c r="L93" s="356">
        <f t="shared" si="16"/>
        <v>399.9</v>
      </c>
      <c r="M93" s="356">
        <f t="shared" si="18"/>
        <v>3000</v>
      </c>
      <c r="N93" s="356">
        <f t="shared" si="19"/>
        <v>9197.6999999999989</v>
      </c>
      <c r="O93" s="356">
        <f t="shared" si="20"/>
        <v>10797.3</v>
      </c>
      <c r="P93" s="348">
        <v>23</v>
      </c>
      <c r="Q93" s="354">
        <f t="shared" si="21"/>
        <v>27</v>
      </c>
      <c r="R93" s="339">
        <f t="shared" si="22"/>
        <v>78197.7</v>
      </c>
      <c r="S93" s="339">
        <f t="shared" si="23"/>
        <v>91797.3</v>
      </c>
      <c r="T93" s="337"/>
    </row>
    <row r="94" spans="1:20">
      <c r="A94" s="378"/>
      <c r="B94" s="378"/>
      <c r="C94" s="363" t="s">
        <v>1315</v>
      </c>
      <c r="D94" s="367">
        <v>90</v>
      </c>
      <c r="E94" s="337" t="s">
        <v>1437</v>
      </c>
      <c r="F94" s="337" t="s">
        <v>1316</v>
      </c>
      <c r="G94" s="346">
        <v>450000</v>
      </c>
      <c r="H94" s="346">
        <v>28792.799999999999</v>
      </c>
      <c r="I94" s="340">
        <f t="shared" si="17"/>
        <v>478792.8</v>
      </c>
      <c r="J94" s="348">
        <v>24</v>
      </c>
      <c r="K94" s="380">
        <v>19949.7</v>
      </c>
      <c r="L94" s="356">
        <f>H94/24</f>
        <v>1199.7</v>
      </c>
      <c r="M94" s="356">
        <f t="shared" si="18"/>
        <v>9000</v>
      </c>
      <c r="N94" s="356">
        <f t="shared" si="19"/>
        <v>7198.2000000000007</v>
      </c>
      <c r="O94" s="356">
        <f t="shared" si="20"/>
        <v>21594.600000000002</v>
      </c>
      <c r="P94" s="348">
        <v>6</v>
      </c>
      <c r="Q94" s="354">
        <f t="shared" si="21"/>
        <v>18</v>
      </c>
      <c r="R94" s="339">
        <f t="shared" si="22"/>
        <v>119698.20000000001</v>
      </c>
      <c r="S94" s="339">
        <f t="shared" si="23"/>
        <v>359094.6</v>
      </c>
      <c r="T94" s="337"/>
    </row>
    <row r="95" spans="1:20">
      <c r="A95" s="378"/>
      <c r="B95" s="378"/>
      <c r="C95" s="362" t="s">
        <v>1404</v>
      </c>
      <c r="D95" s="367">
        <v>91</v>
      </c>
      <c r="E95" s="337" t="s">
        <v>1437</v>
      </c>
      <c r="F95" s="337" t="s">
        <v>1405</v>
      </c>
      <c r="G95" s="346">
        <v>150000</v>
      </c>
      <c r="H95" s="346">
        <v>19995</v>
      </c>
      <c r="I95" s="340">
        <f t="shared" si="17"/>
        <v>169995</v>
      </c>
      <c r="J95" s="348">
        <v>50</v>
      </c>
      <c r="K95" s="380">
        <v>3399.9</v>
      </c>
      <c r="L95" s="356">
        <f t="shared" ref="L95:L119" si="24">H95/50</f>
        <v>399.9</v>
      </c>
      <c r="M95" s="356">
        <f t="shared" si="18"/>
        <v>3000</v>
      </c>
      <c r="N95" s="356">
        <f t="shared" si="19"/>
        <v>2399.3999999999996</v>
      </c>
      <c r="O95" s="356">
        <f t="shared" si="20"/>
        <v>17595.599999999999</v>
      </c>
      <c r="P95" s="348">
        <v>6</v>
      </c>
      <c r="Q95" s="354">
        <f t="shared" si="21"/>
        <v>44</v>
      </c>
      <c r="R95" s="339">
        <f t="shared" si="22"/>
        <v>20399.400000000001</v>
      </c>
      <c r="S95" s="339">
        <f t="shared" si="23"/>
        <v>149595.6</v>
      </c>
      <c r="T95" s="337"/>
    </row>
    <row r="96" spans="1:20">
      <c r="A96" s="378"/>
      <c r="B96" s="378"/>
      <c r="C96" s="366" t="s">
        <v>1381</v>
      </c>
      <c r="D96" s="367">
        <v>92</v>
      </c>
      <c r="E96" s="337" t="s">
        <v>1437</v>
      </c>
      <c r="F96" s="337" t="s">
        <v>1129</v>
      </c>
      <c r="G96" s="346">
        <v>330000</v>
      </c>
      <c r="H96" s="346">
        <v>43989</v>
      </c>
      <c r="I96" s="340">
        <f t="shared" si="17"/>
        <v>373989</v>
      </c>
      <c r="J96" s="348">
        <v>50</v>
      </c>
      <c r="K96" s="380">
        <v>7479.78</v>
      </c>
      <c r="L96" s="356">
        <f t="shared" si="24"/>
        <v>879.78</v>
      </c>
      <c r="M96" s="356">
        <f t="shared" si="18"/>
        <v>6600</v>
      </c>
      <c r="N96" s="356">
        <f t="shared" si="19"/>
        <v>15836.039999999999</v>
      </c>
      <c r="O96" s="356">
        <f t="shared" si="20"/>
        <v>28152.959999999999</v>
      </c>
      <c r="P96" s="348">
        <v>18</v>
      </c>
      <c r="Q96" s="354">
        <f t="shared" si="21"/>
        <v>32</v>
      </c>
      <c r="R96" s="339">
        <f t="shared" si="22"/>
        <v>134636.04</v>
      </c>
      <c r="S96" s="339">
        <f t="shared" si="23"/>
        <v>239352.95999999999</v>
      </c>
      <c r="T96" s="337"/>
    </row>
    <row r="97" spans="1:20">
      <c r="A97" s="378"/>
      <c r="B97" s="378"/>
      <c r="C97" s="337" t="s">
        <v>1417</v>
      </c>
      <c r="D97" s="367">
        <v>93</v>
      </c>
      <c r="E97" s="337" t="s">
        <v>1437</v>
      </c>
      <c r="F97" s="337" t="s">
        <v>477</v>
      </c>
      <c r="G97" s="346">
        <v>330000</v>
      </c>
      <c r="H97" s="346">
        <v>43989</v>
      </c>
      <c r="I97" s="340">
        <f t="shared" si="17"/>
        <v>373989</v>
      </c>
      <c r="J97" s="358">
        <v>50</v>
      </c>
      <c r="K97" s="381">
        <v>7479.78</v>
      </c>
      <c r="L97" s="356">
        <f t="shared" si="24"/>
        <v>879.78</v>
      </c>
      <c r="M97" s="356">
        <f t="shared" si="18"/>
        <v>6600</v>
      </c>
      <c r="N97" s="356">
        <f t="shared" si="19"/>
        <v>3519.12</v>
      </c>
      <c r="O97" s="356">
        <f t="shared" si="20"/>
        <v>40469.879999999997</v>
      </c>
      <c r="P97" s="358">
        <v>4</v>
      </c>
      <c r="Q97" s="354">
        <f t="shared" si="21"/>
        <v>46</v>
      </c>
      <c r="R97" s="339">
        <f t="shared" si="22"/>
        <v>29919.119999999999</v>
      </c>
      <c r="S97" s="339">
        <f t="shared" si="23"/>
        <v>344069.88</v>
      </c>
      <c r="T97" s="337"/>
    </row>
    <row r="98" spans="1:20">
      <c r="A98" s="378"/>
      <c r="B98" s="378"/>
      <c r="C98" s="363" t="s">
        <v>1061</v>
      </c>
      <c r="D98" s="367">
        <v>94</v>
      </c>
      <c r="E98" s="337" t="s">
        <v>1437</v>
      </c>
      <c r="F98" s="337" t="s">
        <v>854</v>
      </c>
      <c r="G98" s="346">
        <v>330000</v>
      </c>
      <c r="H98" s="346">
        <v>43989</v>
      </c>
      <c r="I98" s="340">
        <f t="shared" si="17"/>
        <v>373989</v>
      </c>
      <c r="J98" s="348">
        <v>50</v>
      </c>
      <c r="K98" s="380">
        <v>7479.78</v>
      </c>
      <c r="L98" s="356">
        <f t="shared" si="24"/>
        <v>879.78</v>
      </c>
      <c r="M98" s="356">
        <f t="shared" si="18"/>
        <v>6600</v>
      </c>
      <c r="N98" s="356">
        <f t="shared" si="19"/>
        <v>21114.720000000001</v>
      </c>
      <c r="O98" s="356">
        <f t="shared" si="20"/>
        <v>22874.28</v>
      </c>
      <c r="P98" s="348">
        <v>24</v>
      </c>
      <c r="Q98" s="354">
        <f t="shared" si="21"/>
        <v>26</v>
      </c>
      <c r="R98" s="339">
        <f t="shared" si="22"/>
        <v>179514.72</v>
      </c>
      <c r="S98" s="339">
        <f t="shared" si="23"/>
        <v>194474.28</v>
      </c>
      <c r="T98" s="337"/>
    </row>
    <row r="99" spans="1:20">
      <c r="A99" s="378"/>
      <c r="B99" s="378"/>
      <c r="C99" s="362" t="s">
        <v>969</v>
      </c>
      <c r="D99" s="367">
        <v>95</v>
      </c>
      <c r="E99" s="337" t="s">
        <v>1437</v>
      </c>
      <c r="F99" s="337" t="s">
        <v>851</v>
      </c>
      <c r="G99" s="346">
        <v>150000</v>
      </c>
      <c r="H99" s="346">
        <v>19995</v>
      </c>
      <c r="I99" s="340">
        <f t="shared" si="17"/>
        <v>169995</v>
      </c>
      <c r="J99" s="348">
        <v>50</v>
      </c>
      <c r="K99" s="380">
        <v>3399.9</v>
      </c>
      <c r="L99" s="356">
        <f t="shared" si="24"/>
        <v>399.9</v>
      </c>
      <c r="M99" s="356">
        <f t="shared" si="18"/>
        <v>3000</v>
      </c>
      <c r="N99" s="356">
        <f t="shared" si="19"/>
        <v>2399.3999999999996</v>
      </c>
      <c r="O99" s="356">
        <f t="shared" si="20"/>
        <v>17595.599999999999</v>
      </c>
      <c r="P99" s="348">
        <v>6</v>
      </c>
      <c r="Q99" s="354">
        <f t="shared" si="21"/>
        <v>44</v>
      </c>
      <c r="R99" s="339">
        <f t="shared" si="22"/>
        <v>20399.400000000001</v>
      </c>
      <c r="S99" s="339">
        <f t="shared" si="23"/>
        <v>149595.6</v>
      </c>
      <c r="T99" s="337"/>
    </row>
    <row r="100" spans="1:20">
      <c r="A100" s="378"/>
      <c r="B100" s="378"/>
      <c r="C100" s="363" t="s">
        <v>1341</v>
      </c>
      <c r="D100" s="367">
        <v>96</v>
      </c>
      <c r="E100" s="337" t="s">
        <v>1437</v>
      </c>
      <c r="F100" s="337" t="s">
        <v>1139</v>
      </c>
      <c r="G100" s="346">
        <v>500000</v>
      </c>
      <c r="H100" s="346">
        <v>66650</v>
      </c>
      <c r="I100" s="340">
        <f t="shared" si="17"/>
        <v>566650</v>
      </c>
      <c r="J100" s="348">
        <v>50</v>
      </c>
      <c r="K100" s="380">
        <v>11333</v>
      </c>
      <c r="L100" s="356">
        <f t="shared" si="24"/>
        <v>1333</v>
      </c>
      <c r="M100" s="356">
        <f t="shared" si="18"/>
        <v>10000</v>
      </c>
      <c r="N100" s="356">
        <f t="shared" si="19"/>
        <v>23994</v>
      </c>
      <c r="O100" s="356">
        <f t="shared" si="20"/>
        <v>42656</v>
      </c>
      <c r="P100" s="348">
        <v>18</v>
      </c>
      <c r="Q100" s="354">
        <f t="shared" si="21"/>
        <v>32</v>
      </c>
      <c r="R100" s="339">
        <f t="shared" si="22"/>
        <v>203994</v>
      </c>
      <c r="S100" s="339">
        <f t="shared" si="23"/>
        <v>362656</v>
      </c>
      <c r="T100" s="337"/>
    </row>
    <row r="101" spans="1:20">
      <c r="A101" s="378"/>
      <c r="B101" s="378"/>
      <c r="C101" s="362" t="s">
        <v>1398</v>
      </c>
      <c r="D101" s="367">
        <v>97</v>
      </c>
      <c r="E101" s="337" t="s">
        <v>1437</v>
      </c>
      <c r="F101" s="337" t="s">
        <v>1399</v>
      </c>
      <c r="G101" s="346">
        <v>150000</v>
      </c>
      <c r="H101" s="346">
        <v>19995</v>
      </c>
      <c r="I101" s="340">
        <f t="shared" ref="I101:I132" si="25">SUM(G101:H101)</f>
        <v>169995</v>
      </c>
      <c r="J101" s="348">
        <v>50</v>
      </c>
      <c r="K101" s="380">
        <v>3399.9</v>
      </c>
      <c r="L101" s="356">
        <f t="shared" si="24"/>
        <v>399.9</v>
      </c>
      <c r="M101" s="356">
        <f t="shared" ref="M101:M132" si="26">G101/50</f>
        <v>3000</v>
      </c>
      <c r="N101" s="356">
        <f t="shared" ref="N101:N132" si="27">L101*P101</f>
        <v>2399.3999999999996</v>
      </c>
      <c r="O101" s="356">
        <f t="shared" ref="O101:O132" si="28">L101*Q101</f>
        <v>17595.599999999999</v>
      </c>
      <c r="P101" s="348">
        <v>6</v>
      </c>
      <c r="Q101" s="354">
        <f t="shared" ref="Q101:Q132" si="29">J101-P101</f>
        <v>44</v>
      </c>
      <c r="R101" s="339">
        <f t="shared" ref="R101:R132" si="30">K101*P101</f>
        <v>20399.400000000001</v>
      </c>
      <c r="S101" s="339">
        <f t="shared" ref="S101:S132" si="31">I101-R101</f>
        <v>149595.6</v>
      </c>
      <c r="T101" s="337"/>
    </row>
    <row r="102" spans="1:20">
      <c r="A102" s="378"/>
      <c r="B102" s="378"/>
      <c r="C102" s="362" t="s">
        <v>1118</v>
      </c>
      <c r="D102" s="367">
        <v>98</v>
      </c>
      <c r="E102" s="337" t="s">
        <v>1437</v>
      </c>
      <c r="F102" s="337" t="s">
        <v>1119</v>
      </c>
      <c r="G102" s="346">
        <v>500000</v>
      </c>
      <c r="H102" s="346">
        <v>66650</v>
      </c>
      <c r="I102" s="340">
        <f t="shared" si="25"/>
        <v>566650</v>
      </c>
      <c r="J102" s="348">
        <v>50</v>
      </c>
      <c r="K102" s="380">
        <v>11333</v>
      </c>
      <c r="L102" s="356">
        <f t="shared" si="24"/>
        <v>1333</v>
      </c>
      <c r="M102" s="356">
        <f t="shared" si="26"/>
        <v>10000</v>
      </c>
      <c r="N102" s="356">
        <f t="shared" si="27"/>
        <v>25327</v>
      </c>
      <c r="O102" s="356">
        <f t="shared" si="28"/>
        <v>41323</v>
      </c>
      <c r="P102" s="348">
        <v>19</v>
      </c>
      <c r="Q102" s="354">
        <f t="shared" si="29"/>
        <v>31</v>
      </c>
      <c r="R102" s="339">
        <f t="shared" si="30"/>
        <v>215327</v>
      </c>
      <c r="S102" s="339">
        <f t="shared" si="31"/>
        <v>351323</v>
      </c>
      <c r="T102" s="337"/>
    </row>
    <row r="103" spans="1:20">
      <c r="A103" s="378"/>
      <c r="B103" s="378"/>
      <c r="C103" s="363" t="s">
        <v>1123</v>
      </c>
      <c r="D103" s="367">
        <v>99</v>
      </c>
      <c r="E103" s="337" t="s">
        <v>1437</v>
      </c>
      <c r="F103" s="337" t="s">
        <v>439</v>
      </c>
      <c r="G103" s="346">
        <v>330000</v>
      </c>
      <c r="H103" s="346">
        <v>43989</v>
      </c>
      <c r="I103" s="340">
        <f t="shared" si="25"/>
        <v>373989</v>
      </c>
      <c r="J103" s="348">
        <v>50</v>
      </c>
      <c r="K103" s="380">
        <v>7479.78</v>
      </c>
      <c r="L103" s="356">
        <f t="shared" si="24"/>
        <v>879.78</v>
      </c>
      <c r="M103" s="356">
        <f t="shared" si="26"/>
        <v>6600</v>
      </c>
      <c r="N103" s="356">
        <f t="shared" si="27"/>
        <v>16715.82</v>
      </c>
      <c r="O103" s="356">
        <f t="shared" si="28"/>
        <v>27273.18</v>
      </c>
      <c r="P103" s="348">
        <v>19</v>
      </c>
      <c r="Q103" s="354">
        <f t="shared" si="29"/>
        <v>31</v>
      </c>
      <c r="R103" s="339">
        <f t="shared" si="30"/>
        <v>142115.82</v>
      </c>
      <c r="S103" s="339">
        <f t="shared" si="31"/>
        <v>231873.18</v>
      </c>
      <c r="T103" s="337"/>
    </row>
    <row r="104" spans="1:20">
      <c r="A104" s="378"/>
      <c r="B104" s="378"/>
      <c r="C104" s="361" t="s">
        <v>1365</v>
      </c>
      <c r="D104" s="367">
        <v>100</v>
      </c>
      <c r="E104" s="337" t="s">
        <v>1437</v>
      </c>
      <c r="F104" s="337" t="s">
        <v>449</v>
      </c>
      <c r="G104" s="346">
        <v>450000</v>
      </c>
      <c r="H104" s="346">
        <v>59985</v>
      </c>
      <c r="I104" s="340">
        <f t="shared" si="25"/>
        <v>509985</v>
      </c>
      <c r="J104" s="348">
        <v>50</v>
      </c>
      <c r="K104" s="380">
        <v>10199.700000000001</v>
      </c>
      <c r="L104" s="356">
        <f t="shared" si="24"/>
        <v>1199.7</v>
      </c>
      <c r="M104" s="356">
        <f t="shared" si="26"/>
        <v>9000</v>
      </c>
      <c r="N104" s="356">
        <f t="shared" si="27"/>
        <v>13196.7</v>
      </c>
      <c r="O104" s="356">
        <f t="shared" si="28"/>
        <v>46788.3</v>
      </c>
      <c r="P104" s="348">
        <v>11</v>
      </c>
      <c r="Q104" s="354">
        <f t="shared" si="29"/>
        <v>39</v>
      </c>
      <c r="R104" s="339">
        <f t="shared" si="30"/>
        <v>112196.70000000001</v>
      </c>
      <c r="S104" s="339">
        <f t="shared" si="31"/>
        <v>397788.3</v>
      </c>
      <c r="T104" s="337"/>
    </row>
    <row r="105" spans="1:20">
      <c r="A105" s="378"/>
      <c r="B105" s="378"/>
      <c r="C105" s="363" t="s">
        <v>987</v>
      </c>
      <c r="D105" s="367">
        <v>101</v>
      </c>
      <c r="E105" s="337" t="s">
        <v>1437</v>
      </c>
      <c r="F105" s="337" t="s">
        <v>866</v>
      </c>
      <c r="G105" s="346">
        <v>500000</v>
      </c>
      <c r="H105" s="346">
        <v>66650</v>
      </c>
      <c r="I105" s="340">
        <f t="shared" si="25"/>
        <v>566650</v>
      </c>
      <c r="J105" s="348">
        <v>50</v>
      </c>
      <c r="K105" s="380">
        <v>11333</v>
      </c>
      <c r="L105" s="356">
        <f t="shared" si="24"/>
        <v>1333</v>
      </c>
      <c r="M105" s="356">
        <f t="shared" si="26"/>
        <v>10000</v>
      </c>
      <c r="N105" s="356">
        <f t="shared" si="27"/>
        <v>14663</v>
      </c>
      <c r="O105" s="356">
        <f t="shared" si="28"/>
        <v>51987</v>
      </c>
      <c r="P105" s="348">
        <v>11</v>
      </c>
      <c r="Q105" s="354">
        <f t="shared" si="29"/>
        <v>39</v>
      </c>
      <c r="R105" s="339">
        <f t="shared" si="30"/>
        <v>124663</v>
      </c>
      <c r="S105" s="339">
        <f t="shared" si="31"/>
        <v>441987</v>
      </c>
      <c r="T105" s="337"/>
    </row>
    <row r="106" spans="1:20">
      <c r="A106" s="378"/>
      <c r="B106" s="378"/>
      <c r="C106" s="364" t="s">
        <v>1321</v>
      </c>
      <c r="D106" s="367">
        <v>102</v>
      </c>
      <c r="E106" s="337" t="s">
        <v>1437</v>
      </c>
      <c r="F106" s="337" t="s">
        <v>403</v>
      </c>
      <c r="G106" s="346">
        <v>500000</v>
      </c>
      <c r="H106" s="346">
        <v>66650</v>
      </c>
      <c r="I106" s="340">
        <f t="shared" si="25"/>
        <v>566650</v>
      </c>
      <c r="J106" s="348">
        <v>50</v>
      </c>
      <c r="K106" s="380">
        <v>11333</v>
      </c>
      <c r="L106" s="356">
        <f t="shared" si="24"/>
        <v>1333</v>
      </c>
      <c r="M106" s="356">
        <f t="shared" si="26"/>
        <v>10000</v>
      </c>
      <c r="N106" s="356">
        <f t="shared" si="27"/>
        <v>11997</v>
      </c>
      <c r="O106" s="356">
        <f t="shared" si="28"/>
        <v>54653</v>
      </c>
      <c r="P106" s="348">
        <v>9</v>
      </c>
      <c r="Q106" s="354">
        <f t="shared" si="29"/>
        <v>41</v>
      </c>
      <c r="R106" s="339">
        <f t="shared" si="30"/>
        <v>101997</v>
      </c>
      <c r="S106" s="339">
        <f t="shared" si="31"/>
        <v>464653</v>
      </c>
      <c r="T106" s="337"/>
    </row>
    <row r="107" spans="1:20">
      <c r="A107" s="378"/>
      <c r="B107" s="378"/>
      <c r="C107" s="366" t="s">
        <v>1093</v>
      </c>
      <c r="D107" s="367">
        <v>103</v>
      </c>
      <c r="E107" s="337" t="s">
        <v>1437</v>
      </c>
      <c r="F107" s="337" t="s">
        <v>364</v>
      </c>
      <c r="G107" s="346">
        <v>450000</v>
      </c>
      <c r="H107" s="346">
        <v>59985</v>
      </c>
      <c r="I107" s="340">
        <f t="shared" si="25"/>
        <v>509985</v>
      </c>
      <c r="J107" s="348">
        <v>50</v>
      </c>
      <c r="K107" s="380">
        <v>10199.700000000001</v>
      </c>
      <c r="L107" s="356">
        <f t="shared" si="24"/>
        <v>1199.7</v>
      </c>
      <c r="M107" s="356">
        <f t="shared" si="26"/>
        <v>9000</v>
      </c>
      <c r="N107" s="356">
        <f t="shared" si="27"/>
        <v>50387.4</v>
      </c>
      <c r="O107" s="356">
        <f t="shared" si="28"/>
        <v>9597.6</v>
      </c>
      <c r="P107" s="348">
        <v>42</v>
      </c>
      <c r="Q107" s="354">
        <f t="shared" si="29"/>
        <v>8</v>
      </c>
      <c r="R107" s="339">
        <f t="shared" si="30"/>
        <v>428387.4</v>
      </c>
      <c r="S107" s="339">
        <f t="shared" si="31"/>
        <v>81597.599999999977</v>
      </c>
      <c r="T107" s="337"/>
    </row>
    <row r="108" spans="1:20">
      <c r="A108" s="378"/>
      <c r="B108" s="378"/>
      <c r="C108" s="361" t="s">
        <v>1105</v>
      </c>
      <c r="D108" s="367">
        <v>104</v>
      </c>
      <c r="E108" s="337" t="s">
        <v>1437</v>
      </c>
      <c r="F108" s="337" t="s">
        <v>861</v>
      </c>
      <c r="G108" s="346">
        <v>500000</v>
      </c>
      <c r="H108" s="346">
        <v>66650</v>
      </c>
      <c r="I108" s="340">
        <f t="shared" si="25"/>
        <v>566650</v>
      </c>
      <c r="J108" s="348">
        <v>50</v>
      </c>
      <c r="K108" s="380">
        <v>11333</v>
      </c>
      <c r="L108" s="356">
        <f t="shared" si="24"/>
        <v>1333</v>
      </c>
      <c r="M108" s="356">
        <f t="shared" si="26"/>
        <v>10000</v>
      </c>
      <c r="N108" s="356">
        <f t="shared" si="27"/>
        <v>31992</v>
      </c>
      <c r="O108" s="356">
        <f t="shared" si="28"/>
        <v>34658</v>
      </c>
      <c r="P108" s="348">
        <v>24</v>
      </c>
      <c r="Q108" s="354">
        <f t="shared" si="29"/>
        <v>26</v>
      </c>
      <c r="R108" s="339">
        <f t="shared" si="30"/>
        <v>271992</v>
      </c>
      <c r="S108" s="339">
        <f t="shared" si="31"/>
        <v>294658</v>
      </c>
      <c r="T108" s="337"/>
    </row>
    <row r="109" spans="1:20">
      <c r="A109" s="378"/>
      <c r="B109" s="378"/>
      <c r="C109" s="364" t="s">
        <v>1361</v>
      </c>
      <c r="D109" s="367">
        <v>105</v>
      </c>
      <c r="E109" s="337" t="s">
        <v>1437</v>
      </c>
      <c r="F109" s="337" t="s">
        <v>1362</v>
      </c>
      <c r="G109" s="346">
        <v>450000</v>
      </c>
      <c r="H109" s="346">
        <v>59985</v>
      </c>
      <c r="I109" s="340">
        <f t="shared" si="25"/>
        <v>509985</v>
      </c>
      <c r="J109" s="348">
        <v>50</v>
      </c>
      <c r="K109" s="380">
        <v>10199.700000000001</v>
      </c>
      <c r="L109" s="356">
        <f t="shared" si="24"/>
        <v>1199.7</v>
      </c>
      <c r="M109" s="356">
        <f t="shared" si="26"/>
        <v>9000</v>
      </c>
      <c r="N109" s="356">
        <f t="shared" si="27"/>
        <v>10797.300000000001</v>
      </c>
      <c r="O109" s="356">
        <f t="shared" si="28"/>
        <v>49187.700000000004</v>
      </c>
      <c r="P109" s="348">
        <v>9</v>
      </c>
      <c r="Q109" s="354">
        <f t="shared" si="29"/>
        <v>41</v>
      </c>
      <c r="R109" s="339">
        <f t="shared" si="30"/>
        <v>91797.3</v>
      </c>
      <c r="S109" s="339">
        <f t="shared" si="31"/>
        <v>418187.7</v>
      </c>
      <c r="T109" s="337"/>
    </row>
    <row r="110" spans="1:20">
      <c r="A110" s="378"/>
      <c r="B110" s="378"/>
      <c r="C110" s="364" t="s">
        <v>999</v>
      </c>
      <c r="D110" s="367">
        <v>106</v>
      </c>
      <c r="E110" s="337" t="s">
        <v>1437</v>
      </c>
      <c r="F110" s="337" t="s">
        <v>441</v>
      </c>
      <c r="G110" s="346">
        <v>500000</v>
      </c>
      <c r="H110" s="346">
        <v>66650</v>
      </c>
      <c r="I110" s="340">
        <f t="shared" si="25"/>
        <v>566650</v>
      </c>
      <c r="J110" s="348">
        <v>50</v>
      </c>
      <c r="K110" s="380">
        <v>11333</v>
      </c>
      <c r="L110" s="356">
        <f t="shared" si="24"/>
        <v>1333</v>
      </c>
      <c r="M110" s="356">
        <f t="shared" si="26"/>
        <v>10000</v>
      </c>
      <c r="N110" s="356">
        <f t="shared" si="27"/>
        <v>41323</v>
      </c>
      <c r="O110" s="356">
        <f t="shared" si="28"/>
        <v>25327</v>
      </c>
      <c r="P110" s="348">
        <v>31</v>
      </c>
      <c r="Q110" s="354">
        <f t="shared" si="29"/>
        <v>19</v>
      </c>
      <c r="R110" s="339">
        <f t="shared" si="30"/>
        <v>351323</v>
      </c>
      <c r="S110" s="339">
        <f t="shared" si="31"/>
        <v>215327</v>
      </c>
      <c r="T110" s="337"/>
    </row>
    <row r="111" spans="1:20">
      <c r="A111" s="378"/>
      <c r="B111" s="378"/>
      <c r="C111" s="362" t="s">
        <v>1053</v>
      </c>
      <c r="D111" s="367">
        <v>107</v>
      </c>
      <c r="E111" s="337" t="s">
        <v>1437</v>
      </c>
      <c r="F111" s="337" t="s">
        <v>845</v>
      </c>
      <c r="G111" s="346">
        <v>150000</v>
      </c>
      <c r="H111" s="346">
        <v>19995</v>
      </c>
      <c r="I111" s="340">
        <f t="shared" si="25"/>
        <v>169995</v>
      </c>
      <c r="J111" s="348">
        <v>50</v>
      </c>
      <c r="K111" s="380">
        <v>3399.9</v>
      </c>
      <c r="L111" s="356">
        <f t="shared" si="24"/>
        <v>399.9</v>
      </c>
      <c r="M111" s="356">
        <f t="shared" si="26"/>
        <v>3000</v>
      </c>
      <c r="N111" s="356">
        <f t="shared" si="27"/>
        <v>17195.7</v>
      </c>
      <c r="O111" s="356">
        <f t="shared" si="28"/>
        <v>2799.2999999999997</v>
      </c>
      <c r="P111" s="348">
        <v>43</v>
      </c>
      <c r="Q111" s="354">
        <f t="shared" si="29"/>
        <v>7</v>
      </c>
      <c r="R111" s="339">
        <f t="shared" si="30"/>
        <v>146195.70000000001</v>
      </c>
      <c r="S111" s="339">
        <f t="shared" si="31"/>
        <v>23799.299999999988</v>
      </c>
      <c r="T111" s="337"/>
    </row>
    <row r="112" spans="1:20">
      <c r="A112" s="378"/>
      <c r="B112" s="378"/>
      <c r="C112" s="364" t="s">
        <v>1332</v>
      </c>
      <c r="D112" s="367">
        <v>108</v>
      </c>
      <c r="E112" s="337" t="s">
        <v>1437</v>
      </c>
      <c r="F112" s="337" t="s">
        <v>1284</v>
      </c>
      <c r="G112" s="346">
        <v>500000</v>
      </c>
      <c r="H112" s="346">
        <v>66650</v>
      </c>
      <c r="I112" s="340">
        <f t="shared" si="25"/>
        <v>566650</v>
      </c>
      <c r="J112" s="348">
        <v>50</v>
      </c>
      <c r="K112" s="380">
        <v>11333</v>
      </c>
      <c r="L112" s="356">
        <f t="shared" si="24"/>
        <v>1333</v>
      </c>
      <c r="M112" s="356">
        <f t="shared" si="26"/>
        <v>10000</v>
      </c>
      <c r="N112" s="356">
        <f t="shared" si="27"/>
        <v>34658</v>
      </c>
      <c r="O112" s="356">
        <f t="shared" si="28"/>
        <v>31992</v>
      </c>
      <c r="P112" s="348">
        <v>26</v>
      </c>
      <c r="Q112" s="354">
        <f t="shared" si="29"/>
        <v>24</v>
      </c>
      <c r="R112" s="339">
        <f t="shared" si="30"/>
        <v>294658</v>
      </c>
      <c r="S112" s="339">
        <f t="shared" si="31"/>
        <v>271992</v>
      </c>
      <c r="T112" s="337"/>
    </row>
    <row r="113" spans="1:20">
      <c r="A113" s="378"/>
      <c r="B113" s="378"/>
      <c r="C113" s="363" t="s">
        <v>1062</v>
      </c>
      <c r="D113" s="367">
        <v>109</v>
      </c>
      <c r="E113" s="337" t="s">
        <v>1437</v>
      </c>
      <c r="F113" s="337" t="s">
        <v>335</v>
      </c>
      <c r="G113" s="346">
        <v>500000</v>
      </c>
      <c r="H113" s="346">
        <v>66650</v>
      </c>
      <c r="I113" s="340">
        <f t="shared" si="25"/>
        <v>566650</v>
      </c>
      <c r="J113" s="348">
        <v>50</v>
      </c>
      <c r="K113" s="380">
        <v>11333</v>
      </c>
      <c r="L113" s="356">
        <f t="shared" si="24"/>
        <v>1333</v>
      </c>
      <c r="M113" s="356">
        <f t="shared" si="26"/>
        <v>10000</v>
      </c>
      <c r="N113" s="356">
        <f t="shared" si="27"/>
        <v>74648</v>
      </c>
      <c r="O113" s="356">
        <f t="shared" si="28"/>
        <v>-7998</v>
      </c>
      <c r="P113" s="348">
        <v>56</v>
      </c>
      <c r="Q113" s="354">
        <f t="shared" si="29"/>
        <v>-6</v>
      </c>
      <c r="R113" s="339">
        <f t="shared" si="30"/>
        <v>634648</v>
      </c>
      <c r="S113" s="339">
        <f t="shared" si="31"/>
        <v>-67998</v>
      </c>
      <c r="T113" s="337"/>
    </row>
    <row r="114" spans="1:20">
      <c r="A114" s="378"/>
      <c r="B114" s="378"/>
      <c r="C114" s="337" t="s">
        <v>1411</v>
      </c>
      <c r="D114" s="367">
        <v>110</v>
      </c>
      <c r="E114" s="337" t="s">
        <v>1437</v>
      </c>
      <c r="F114" s="337" t="s">
        <v>473</v>
      </c>
      <c r="G114" s="346">
        <v>500000</v>
      </c>
      <c r="H114" s="346">
        <v>66650</v>
      </c>
      <c r="I114" s="340">
        <f t="shared" si="25"/>
        <v>566650</v>
      </c>
      <c r="J114" s="348">
        <v>40</v>
      </c>
      <c r="K114" s="380">
        <v>13833</v>
      </c>
      <c r="L114" s="356">
        <f t="shared" si="24"/>
        <v>1333</v>
      </c>
      <c r="M114" s="356">
        <f t="shared" si="26"/>
        <v>10000</v>
      </c>
      <c r="N114" s="356">
        <f t="shared" si="27"/>
        <v>5332</v>
      </c>
      <c r="O114" s="356">
        <f t="shared" si="28"/>
        <v>47988</v>
      </c>
      <c r="P114" s="348">
        <v>4</v>
      </c>
      <c r="Q114" s="354">
        <f t="shared" si="29"/>
        <v>36</v>
      </c>
      <c r="R114" s="339">
        <f t="shared" si="30"/>
        <v>55332</v>
      </c>
      <c r="S114" s="339">
        <f t="shared" si="31"/>
        <v>511318</v>
      </c>
      <c r="T114" s="337"/>
    </row>
    <row r="115" spans="1:20">
      <c r="A115" s="378"/>
      <c r="B115" s="378"/>
      <c r="C115" s="363" t="s">
        <v>1329</v>
      </c>
      <c r="D115" s="367">
        <v>111</v>
      </c>
      <c r="E115" s="337" t="s">
        <v>1437</v>
      </c>
      <c r="F115" s="337" t="s">
        <v>463</v>
      </c>
      <c r="G115" s="346">
        <v>500000</v>
      </c>
      <c r="H115" s="346">
        <v>66650</v>
      </c>
      <c r="I115" s="340">
        <f t="shared" si="25"/>
        <v>566650</v>
      </c>
      <c r="J115" s="348">
        <v>50</v>
      </c>
      <c r="K115" s="380">
        <v>11333</v>
      </c>
      <c r="L115" s="356">
        <f t="shared" si="24"/>
        <v>1333</v>
      </c>
      <c r="M115" s="356">
        <f t="shared" si="26"/>
        <v>10000</v>
      </c>
      <c r="N115" s="356">
        <f t="shared" si="27"/>
        <v>21328</v>
      </c>
      <c r="O115" s="356">
        <f t="shared" si="28"/>
        <v>45322</v>
      </c>
      <c r="P115" s="348">
        <v>16</v>
      </c>
      <c r="Q115" s="354">
        <f t="shared" si="29"/>
        <v>34</v>
      </c>
      <c r="R115" s="339">
        <f t="shared" si="30"/>
        <v>181328</v>
      </c>
      <c r="S115" s="339">
        <f t="shared" si="31"/>
        <v>385322</v>
      </c>
      <c r="T115" s="337"/>
    </row>
    <row r="116" spans="1:20">
      <c r="A116" s="378"/>
      <c r="B116" s="378"/>
      <c r="C116" s="365" t="s">
        <v>1358</v>
      </c>
      <c r="D116" s="367">
        <v>112</v>
      </c>
      <c r="E116" s="337" t="s">
        <v>1437</v>
      </c>
      <c r="F116" s="337" t="s">
        <v>1359</v>
      </c>
      <c r="G116" s="346">
        <v>450000</v>
      </c>
      <c r="H116" s="346">
        <v>59985</v>
      </c>
      <c r="I116" s="340">
        <f t="shared" si="25"/>
        <v>509985</v>
      </c>
      <c r="J116" s="348">
        <v>50</v>
      </c>
      <c r="K116" s="380">
        <v>10199.700000000001</v>
      </c>
      <c r="L116" s="356">
        <f t="shared" si="24"/>
        <v>1199.7</v>
      </c>
      <c r="M116" s="356">
        <f t="shared" si="26"/>
        <v>9000</v>
      </c>
      <c r="N116" s="356">
        <f t="shared" si="27"/>
        <v>7198.2000000000007</v>
      </c>
      <c r="O116" s="356">
        <f t="shared" si="28"/>
        <v>52786.8</v>
      </c>
      <c r="P116" s="348">
        <v>6</v>
      </c>
      <c r="Q116" s="354">
        <f t="shared" si="29"/>
        <v>44</v>
      </c>
      <c r="R116" s="339">
        <f t="shared" si="30"/>
        <v>61198.200000000004</v>
      </c>
      <c r="S116" s="339">
        <f t="shared" si="31"/>
        <v>448786.8</v>
      </c>
      <c r="T116" s="337"/>
    </row>
    <row r="117" spans="1:20">
      <c r="A117" s="378"/>
      <c r="B117" s="378"/>
      <c r="C117" s="361" t="s">
        <v>1334</v>
      </c>
      <c r="D117" s="367">
        <v>113</v>
      </c>
      <c r="E117" s="337" t="s">
        <v>1437</v>
      </c>
      <c r="F117" s="337" t="s">
        <v>1294</v>
      </c>
      <c r="G117" s="346">
        <v>500000</v>
      </c>
      <c r="H117" s="346">
        <v>66650</v>
      </c>
      <c r="I117" s="340">
        <f t="shared" si="25"/>
        <v>566650</v>
      </c>
      <c r="J117" s="348">
        <v>50</v>
      </c>
      <c r="K117" s="380">
        <v>11333</v>
      </c>
      <c r="L117" s="356">
        <f t="shared" si="24"/>
        <v>1333</v>
      </c>
      <c r="M117" s="356">
        <f t="shared" si="26"/>
        <v>10000</v>
      </c>
      <c r="N117" s="356">
        <f t="shared" si="27"/>
        <v>21328</v>
      </c>
      <c r="O117" s="356">
        <f t="shared" si="28"/>
        <v>45322</v>
      </c>
      <c r="P117" s="348">
        <v>16</v>
      </c>
      <c r="Q117" s="354">
        <f t="shared" si="29"/>
        <v>34</v>
      </c>
      <c r="R117" s="339">
        <f t="shared" si="30"/>
        <v>181328</v>
      </c>
      <c r="S117" s="339">
        <f t="shared" si="31"/>
        <v>385322</v>
      </c>
      <c r="T117" s="337"/>
    </row>
    <row r="118" spans="1:20">
      <c r="A118" s="378"/>
      <c r="B118" s="378"/>
      <c r="C118" s="361" t="s">
        <v>1319</v>
      </c>
      <c r="D118" s="367">
        <v>114</v>
      </c>
      <c r="E118" s="337" t="s">
        <v>1437</v>
      </c>
      <c r="F118" s="337" t="s">
        <v>305</v>
      </c>
      <c r="G118" s="346">
        <v>500000</v>
      </c>
      <c r="H118" s="346">
        <v>66650</v>
      </c>
      <c r="I118" s="340">
        <f t="shared" si="25"/>
        <v>566650</v>
      </c>
      <c r="J118" s="348">
        <v>40</v>
      </c>
      <c r="K118" s="380">
        <v>13833</v>
      </c>
      <c r="L118" s="356">
        <f t="shared" si="24"/>
        <v>1333</v>
      </c>
      <c r="M118" s="356">
        <f t="shared" si="26"/>
        <v>10000</v>
      </c>
      <c r="N118" s="356">
        <f t="shared" si="27"/>
        <v>7998</v>
      </c>
      <c r="O118" s="356">
        <f t="shared" si="28"/>
        <v>45322</v>
      </c>
      <c r="P118" s="348">
        <v>6</v>
      </c>
      <c r="Q118" s="354">
        <f t="shared" si="29"/>
        <v>34</v>
      </c>
      <c r="R118" s="339">
        <f t="shared" si="30"/>
        <v>82998</v>
      </c>
      <c r="S118" s="339">
        <f t="shared" si="31"/>
        <v>483652</v>
      </c>
      <c r="T118" s="337"/>
    </row>
    <row r="119" spans="1:20">
      <c r="A119" s="378"/>
      <c r="B119" s="378"/>
      <c r="C119" s="361" t="s">
        <v>1388</v>
      </c>
      <c r="D119" s="367">
        <v>115</v>
      </c>
      <c r="E119" s="337" t="s">
        <v>1437</v>
      </c>
      <c r="F119" s="337" t="s">
        <v>1389</v>
      </c>
      <c r="G119" s="346">
        <v>330000</v>
      </c>
      <c r="H119" s="346">
        <v>43989</v>
      </c>
      <c r="I119" s="340">
        <f t="shared" si="25"/>
        <v>373989</v>
      </c>
      <c r="J119" s="348">
        <v>50</v>
      </c>
      <c r="K119" s="380">
        <v>7479.78</v>
      </c>
      <c r="L119" s="356">
        <f t="shared" si="24"/>
        <v>879.78</v>
      </c>
      <c r="M119" s="356">
        <f t="shared" si="26"/>
        <v>6600</v>
      </c>
      <c r="N119" s="356">
        <f t="shared" si="27"/>
        <v>7038.24</v>
      </c>
      <c r="O119" s="356">
        <f t="shared" si="28"/>
        <v>36950.76</v>
      </c>
      <c r="P119" s="348">
        <v>8</v>
      </c>
      <c r="Q119" s="354">
        <f t="shared" si="29"/>
        <v>42</v>
      </c>
      <c r="R119" s="339">
        <f t="shared" si="30"/>
        <v>59838.239999999998</v>
      </c>
      <c r="S119" s="339">
        <f t="shared" si="31"/>
        <v>314150.76</v>
      </c>
      <c r="T119" s="337"/>
    </row>
    <row r="120" spans="1:20">
      <c r="A120" s="378"/>
      <c r="B120" s="378"/>
      <c r="C120" s="362" t="s">
        <v>1317</v>
      </c>
      <c r="D120" s="367">
        <v>116</v>
      </c>
      <c r="E120" s="337" t="s">
        <v>1437</v>
      </c>
      <c r="F120" s="337" t="s">
        <v>1318</v>
      </c>
      <c r="G120" s="346">
        <v>450000</v>
      </c>
      <c r="H120" s="346">
        <v>43189.2</v>
      </c>
      <c r="I120" s="340">
        <f t="shared" si="25"/>
        <v>493189.2</v>
      </c>
      <c r="J120" s="348">
        <v>36</v>
      </c>
      <c r="K120" s="380">
        <v>14153.05</v>
      </c>
      <c r="L120" s="356">
        <f>H120/36</f>
        <v>1199.6999999999998</v>
      </c>
      <c r="M120" s="356">
        <f t="shared" si="26"/>
        <v>9000</v>
      </c>
      <c r="N120" s="356">
        <f t="shared" si="27"/>
        <v>29992.499999999996</v>
      </c>
      <c r="O120" s="356">
        <f t="shared" si="28"/>
        <v>13196.699999999997</v>
      </c>
      <c r="P120" s="348">
        <v>25</v>
      </c>
      <c r="Q120" s="354">
        <f t="shared" si="29"/>
        <v>11</v>
      </c>
      <c r="R120" s="339">
        <f t="shared" si="30"/>
        <v>353826.25</v>
      </c>
      <c r="S120" s="339">
        <f t="shared" si="31"/>
        <v>139362.95000000001</v>
      </c>
      <c r="T120" s="337"/>
    </row>
    <row r="121" spans="1:20">
      <c r="A121" s="378"/>
      <c r="B121" s="378"/>
      <c r="C121" s="363" t="s">
        <v>1360</v>
      </c>
      <c r="D121" s="367">
        <v>117</v>
      </c>
      <c r="E121" s="337" t="s">
        <v>1437</v>
      </c>
      <c r="F121" s="337" t="s">
        <v>293</v>
      </c>
      <c r="G121" s="346">
        <v>450000</v>
      </c>
      <c r="H121" s="346">
        <v>59985</v>
      </c>
      <c r="I121" s="340">
        <f t="shared" si="25"/>
        <v>509985</v>
      </c>
      <c r="J121" s="348">
        <v>50</v>
      </c>
      <c r="K121" s="380">
        <v>10199.700000000001</v>
      </c>
      <c r="L121" s="356">
        <f t="shared" ref="L121:L167" si="32">H121/50</f>
        <v>1199.7</v>
      </c>
      <c r="M121" s="356">
        <f t="shared" si="26"/>
        <v>9000</v>
      </c>
      <c r="N121" s="356">
        <f t="shared" si="27"/>
        <v>21594.600000000002</v>
      </c>
      <c r="O121" s="356">
        <f t="shared" si="28"/>
        <v>38390.400000000001</v>
      </c>
      <c r="P121" s="348">
        <v>18</v>
      </c>
      <c r="Q121" s="354">
        <f t="shared" si="29"/>
        <v>32</v>
      </c>
      <c r="R121" s="339">
        <f t="shared" si="30"/>
        <v>183594.6</v>
      </c>
      <c r="S121" s="339">
        <f t="shared" si="31"/>
        <v>326390.40000000002</v>
      </c>
      <c r="T121" s="337"/>
    </row>
    <row r="122" spans="1:20">
      <c r="A122" s="378"/>
      <c r="B122" s="378"/>
      <c r="C122" s="337" t="s">
        <v>1450</v>
      </c>
      <c r="D122" s="367">
        <v>118</v>
      </c>
      <c r="E122" s="337" t="s">
        <v>1437</v>
      </c>
      <c r="F122" s="337" t="s">
        <v>1451</v>
      </c>
      <c r="G122" s="346">
        <v>450000</v>
      </c>
      <c r="H122" s="346">
        <v>59985</v>
      </c>
      <c r="I122" s="340">
        <f t="shared" si="25"/>
        <v>509985</v>
      </c>
      <c r="J122" s="348">
        <v>50</v>
      </c>
      <c r="K122" s="381">
        <v>10199.700000000001</v>
      </c>
      <c r="L122" s="356">
        <f t="shared" si="32"/>
        <v>1199.7</v>
      </c>
      <c r="M122" s="356">
        <f t="shared" si="26"/>
        <v>9000</v>
      </c>
      <c r="N122" s="356">
        <f t="shared" si="27"/>
        <v>2399.4</v>
      </c>
      <c r="O122" s="356">
        <f t="shared" si="28"/>
        <v>57585.600000000006</v>
      </c>
      <c r="P122" s="358">
        <v>2</v>
      </c>
      <c r="Q122" s="354">
        <f t="shared" si="29"/>
        <v>48</v>
      </c>
      <c r="R122" s="339">
        <f t="shared" si="30"/>
        <v>20399.400000000001</v>
      </c>
      <c r="S122" s="339">
        <f t="shared" si="31"/>
        <v>489585.6</v>
      </c>
      <c r="T122" s="337"/>
    </row>
    <row r="123" spans="1:20">
      <c r="A123" s="378"/>
      <c r="B123" s="378"/>
      <c r="C123" s="362" t="s">
        <v>1094</v>
      </c>
      <c r="D123" s="367">
        <v>119</v>
      </c>
      <c r="E123" s="337" t="s">
        <v>1437</v>
      </c>
      <c r="F123" s="337" t="s">
        <v>1095</v>
      </c>
      <c r="G123" s="346">
        <v>500000</v>
      </c>
      <c r="H123" s="346">
        <v>66650</v>
      </c>
      <c r="I123" s="340">
        <f t="shared" si="25"/>
        <v>566650</v>
      </c>
      <c r="J123" s="348">
        <v>50</v>
      </c>
      <c r="K123" s="380">
        <v>11333</v>
      </c>
      <c r="L123" s="356">
        <f t="shared" si="32"/>
        <v>1333</v>
      </c>
      <c r="M123" s="356">
        <f t="shared" si="26"/>
        <v>10000</v>
      </c>
      <c r="N123" s="356">
        <f t="shared" si="27"/>
        <v>30659</v>
      </c>
      <c r="O123" s="356">
        <f t="shared" si="28"/>
        <v>35991</v>
      </c>
      <c r="P123" s="348">
        <v>23</v>
      </c>
      <c r="Q123" s="354">
        <f t="shared" si="29"/>
        <v>27</v>
      </c>
      <c r="R123" s="339">
        <f t="shared" si="30"/>
        <v>260659</v>
      </c>
      <c r="S123" s="339">
        <f t="shared" si="31"/>
        <v>305991</v>
      </c>
      <c r="T123" s="337"/>
    </row>
    <row r="124" spans="1:20">
      <c r="A124" s="378"/>
      <c r="B124" s="378"/>
      <c r="C124" s="365" t="s">
        <v>1330</v>
      </c>
      <c r="D124" s="367">
        <v>120</v>
      </c>
      <c r="E124" s="337" t="s">
        <v>1437</v>
      </c>
      <c r="F124" s="337" t="s">
        <v>1331</v>
      </c>
      <c r="G124" s="346">
        <v>500000</v>
      </c>
      <c r="H124" s="346">
        <v>66650</v>
      </c>
      <c r="I124" s="340">
        <f t="shared" si="25"/>
        <v>566650</v>
      </c>
      <c r="J124" s="348">
        <v>50</v>
      </c>
      <c r="K124" s="380">
        <v>11333</v>
      </c>
      <c r="L124" s="356">
        <f t="shared" si="32"/>
        <v>1333</v>
      </c>
      <c r="M124" s="356">
        <f t="shared" si="26"/>
        <v>10000</v>
      </c>
      <c r="N124" s="356">
        <f t="shared" si="27"/>
        <v>23994</v>
      </c>
      <c r="O124" s="356">
        <f t="shared" si="28"/>
        <v>42656</v>
      </c>
      <c r="P124" s="348">
        <v>18</v>
      </c>
      <c r="Q124" s="354">
        <f t="shared" si="29"/>
        <v>32</v>
      </c>
      <c r="R124" s="339">
        <f t="shared" si="30"/>
        <v>203994</v>
      </c>
      <c r="S124" s="339">
        <f t="shared" si="31"/>
        <v>362656</v>
      </c>
      <c r="T124" s="337"/>
    </row>
    <row r="125" spans="1:20">
      <c r="A125" s="378"/>
      <c r="B125" s="378"/>
      <c r="C125" s="364" t="s">
        <v>1368</v>
      </c>
      <c r="D125" s="367">
        <v>121</v>
      </c>
      <c r="E125" s="337" t="s">
        <v>1437</v>
      </c>
      <c r="F125" s="337" t="s">
        <v>443</v>
      </c>
      <c r="G125" s="346">
        <v>330000</v>
      </c>
      <c r="H125" s="346">
        <v>43989</v>
      </c>
      <c r="I125" s="340">
        <f t="shared" si="25"/>
        <v>373989</v>
      </c>
      <c r="J125" s="348">
        <v>50</v>
      </c>
      <c r="K125" s="380">
        <v>7479.78</v>
      </c>
      <c r="L125" s="356">
        <f t="shared" si="32"/>
        <v>879.78</v>
      </c>
      <c r="M125" s="356">
        <f t="shared" si="26"/>
        <v>6600</v>
      </c>
      <c r="N125" s="356">
        <f t="shared" si="27"/>
        <v>9677.58</v>
      </c>
      <c r="O125" s="356">
        <f t="shared" si="28"/>
        <v>34311.42</v>
      </c>
      <c r="P125" s="348">
        <v>11</v>
      </c>
      <c r="Q125" s="354">
        <f t="shared" si="29"/>
        <v>39</v>
      </c>
      <c r="R125" s="339">
        <f t="shared" si="30"/>
        <v>82277.58</v>
      </c>
      <c r="S125" s="339">
        <f t="shared" si="31"/>
        <v>291711.42</v>
      </c>
      <c r="T125" s="337"/>
    </row>
    <row r="126" spans="1:20">
      <c r="A126" s="378"/>
      <c r="B126" s="378"/>
      <c r="C126" s="364" t="s">
        <v>1006</v>
      </c>
      <c r="D126" s="367">
        <v>122</v>
      </c>
      <c r="E126" s="337" t="s">
        <v>1437</v>
      </c>
      <c r="F126" s="337" t="s">
        <v>865</v>
      </c>
      <c r="G126" s="346">
        <v>500000</v>
      </c>
      <c r="H126" s="346">
        <v>66650</v>
      </c>
      <c r="I126" s="340">
        <f t="shared" si="25"/>
        <v>566650</v>
      </c>
      <c r="J126" s="348">
        <v>50</v>
      </c>
      <c r="K126" s="380">
        <v>11333</v>
      </c>
      <c r="L126" s="356">
        <f t="shared" si="32"/>
        <v>1333</v>
      </c>
      <c r="M126" s="356">
        <f t="shared" si="26"/>
        <v>10000</v>
      </c>
      <c r="N126" s="356">
        <f t="shared" si="27"/>
        <v>75981</v>
      </c>
      <c r="O126" s="356">
        <f t="shared" si="28"/>
        <v>-9331</v>
      </c>
      <c r="P126" s="348">
        <v>57</v>
      </c>
      <c r="Q126" s="354">
        <f t="shared" si="29"/>
        <v>-7</v>
      </c>
      <c r="R126" s="339">
        <f t="shared" si="30"/>
        <v>645981</v>
      </c>
      <c r="S126" s="339">
        <f t="shared" si="31"/>
        <v>-79331</v>
      </c>
      <c r="T126" s="337"/>
    </row>
    <row r="127" spans="1:20">
      <c r="A127" s="378"/>
      <c r="B127" s="378"/>
      <c r="C127" s="337" t="s">
        <v>1414</v>
      </c>
      <c r="D127" s="367">
        <v>123</v>
      </c>
      <c r="E127" s="337" t="s">
        <v>1437</v>
      </c>
      <c r="F127" s="337" t="s">
        <v>459</v>
      </c>
      <c r="G127" s="346">
        <v>500000</v>
      </c>
      <c r="H127" s="346">
        <v>66650</v>
      </c>
      <c r="I127" s="340">
        <f t="shared" si="25"/>
        <v>566650</v>
      </c>
      <c r="J127" s="348">
        <v>50</v>
      </c>
      <c r="K127" s="380">
        <v>11333</v>
      </c>
      <c r="L127" s="356">
        <f t="shared" si="32"/>
        <v>1333</v>
      </c>
      <c r="M127" s="356">
        <f t="shared" si="26"/>
        <v>10000</v>
      </c>
      <c r="N127" s="356">
        <f t="shared" si="27"/>
        <v>5332</v>
      </c>
      <c r="O127" s="356">
        <f t="shared" si="28"/>
        <v>61318</v>
      </c>
      <c r="P127" s="348">
        <v>4</v>
      </c>
      <c r="Q127" s="354">
        <f t="shared" si="29"/>
        <v>46</v>
      </c>
      <c r="R127" s="339">
        <f t="shared" si="30"/>
        <v>45332</v>
      </c>
      <c r="S127" s="339">
        <f t="shared" si="31"/>
        <v>521318</v>
      </c>
      <c r="T127" s="337"/>
    </row>
    <row r="128" spans="1:20">
      <c r="A128" s="378"/>
      <c r="B128" s="378"/>
      <c r="C128" s="364" t="s">
        <v>983</v>
      </c>
      <c r="D128" s="367">
        <v>124</v>
      </c>
      <c r="E128" s="337" t="s">
        <v>1437</v>
      </c>
      <c r="F128" s="337" t="s">
        <v>323</v>
      </c>
      <c r="G128" s="346">
        <v>500000</v>
      </c>
      <c r="H128" s="346">
        <v>66650</v>
      </c>
      <c r="I128" s="340">
        <f t="shared" si="25"/>
        <v>566650</v>
      </c>
      <c r="J128" s="348">
        <v>50</v>
      </c>
      <c r="K128" s="380">
        <v>11333</v>
      </c>
      <c r="L128" s="356">
        <f t="shared" si="32"/>
        <v>1333</v>
      </c>
      <c r="M128" s="356">
        <f t="shared" si="26"/>
        <v>10000</v>
      </c>
      <c r="N128" s="356">
        <f t="shared" si="27"/>
        <v>74648</v>
      </c>
      <c r="O128" s="356">
        <f t="shared" si="28"/>
        <v>-7998</v>
      </c>
      <c r="P128" s="348">
        <v>56</v>
      </c>
      <c r="Q128" s="354">
        <f t="shared" si="29"/>
        <v>-6</v>
      </c>
      <c r="R128" s="339">
        <f t="shared" si="30"/>
        <v>634648</v>
      </c>
      <c r="S128" s="339">
        <f t="shared" si="31"/>
        <v>-67998</v>
      </c>
      <c r="T128" s="337"/>
    </row>
    <row r="129" spans="1:20">
      <c r="A129" s="378"/>
      <c r="B129" s="378"/>
      <c r="C129" s="364" t="s">
        <v>1080</v>
      </c>
      <c r="D129" s="367">
        <v>125</v>
      </c>
      <c r="E129" s="337" t="s">
        <v>1437</v>
      </c>
      <c r="F129" s="337" t="s">
        <v>315</v>
      </c>
      <c r="G129" s="346">
        <v>500000</v>
      </c>
      <c r="H129" s="346">
        <v>66650</v>
      </c>
      <c r="I129" s="340">
        <f t="shared" si="25"/>
        <v>566650</v>
      </c>
      <c r="J129" s="348">
        <v>50</v>
      </c>
      <c r="K129" s="380">
        <v>11333</v>
      </c>
      <c r="L129" s="356">
        <f t="shared" si="32"/>
        <v>1333</v>
      </c>
      <c r="M129" s="356">
        <f t="shared" si="26"/>
        <v>10000</v>
      </c>
      <c r="N129" s="356">
        <f t="shared" si="27"/>
        <v>57319</v>
      </c>
      <c r="O129" s="356">
        <f t="shared" si="28"/>
        <v>9331</v>
      </c>
      <c r="P129" s="348">
        <v>43</v>
      </c>
      <c r="Q129" s="354">
        <f t="shared" si="29"/>
        <v>7</v>
      </c>
      <c r="R129" s="339">
        <f t="shared" si="30"/>
        <v>487319</v>
      </c>
      <c r="S129" s="339">
        <f t="shared" si="31"/>
        <v>79331</v>
      </c>
      <c r="T129" s="337"/>
    </row>
    <row r="130" spans="1:20">
      <c r="A130" s="378"/>
      <c r="B130" s="378"/>
      <c r="C130" s="364" t="s">
        <v>1084</v>
      </c>
      <c r="D130" s="367">
        <v>126</v>
      </c>
      <c r="E130" s="337" t="s">
        <v>1437</v>
      </c>
      <c r="F130" s="337" t="s">
        <v>353</v>
      </c>
      <c r="G130" s="346">
        <v>500000</v>
      </c>
      <c r="H130" s="346">
        <v>66650</v>
      </c>
      <c r="I130" s="340">
        <f t="shared" si="25"/>
        <v>566650</v>
      </c>
      <c r="J130" s="348">
        <v>50</v>
      </c>
      <c r="K130" s="380">
        <v>11333</v>
      </c>
      <c r="L130" s="356">
        <f t="shared" si="32"/>
        <v>1333</v>
      </c>
      <c r="M130" s="356">
        <f t="shared" si="26"/>
        <v>10000</v>
      </c>
      <c r="N130" s="356">
        <f t="shared" si="27"/>
        <v>57319</v>
      </c>
      <c r="O130" s="356">
        <f t="shared" si="28"/>
        <v>9331</v>
      </c>
      <c r="P130" s="348">
        <v>43</v>
      </c>
      <c r="Q130" s="354">
        <f t="shared" si="29"/>
        <v>7</v>
      </c>
      <c r="R130" s="339">
        <f t="shared" si="30"/>
        <v>487319</v>
      </c>
      <c r="S130" s="339">
        <f t="shared" si="31"/>
        <v>79331</v>
      </c>
      <c r="T130" s="337"/>
    </row>
    <row r="131" spans="1:20">
      <c r="A131" s="378"/>
      <c r="B131" s="378"/>
      <c r="C131" s="361" t="s">
        <v>1108</v>
      </c>
      <c r="D131" s="367">
        <v>127</v>
      </c>
      <c r="E131" s="337" t="s">
        <v>1437</v>
      </c>
      <c r="F131" s="337" t="s">
        <v>802</v>
      </c>
      <c r="G131" s="346">
        <v>500000</v>
      </c>
      <c r="H131" s="346">
        <v>66650</v>
      </c>
      <c r="I131" s="340">
        <f t="shared" si="25"/>
        <v>566650</v>
      </c>
      <c r="J131" s="348">
        <v>50</v>
      </c>
      <c r="K131" s="380">
        <v>11333</v>
      </c>
      <c r="L131" s="356">
        <f t="shared" si="32"/>
        <v>1333</v>
      </c>
      <c r="M131" s="356">
        <f t="shared" si="26"/>
        <v>10000</v>
      </c>
      <c r="N131" s="356">
        <f t="shared" si="27"/>
        <v>43989</v>
      </c>
      <c r="O131" s="356">
        <f t="shared" si="28"/>
        <v>22661</v>
      </c>
      <c r="P131" s="348">
        <v>33</v>
      </c>
      <c r="Q131" s="354">
        <f t="shared" si="29"/>
        <v>17</v>
      </c>
      <c r="R131" s="339">
        <f t="shared" si="30"/>
        <v>373989</v>
      </c>
      <c r="S131" s="339">
        <f t="shared" si="31"/>
        <v>192661</v>
      </c>
      <c r="T131" s="337"/>
    </row>
    <row r="132" spans="1:20">
      <c r="A132" s="378"/>
      <c r="B132" s="378"/>
      <c r="C132" s="362" t="s">
        <v>1333</v>
      </c>
      <c r="D132" s="367">
        <v>128</v>
      </c>
      <c r="E132" s="337" t="s">
        <v>1437</v>
      </c>
      <c r="F132" s="337" t="s">
        <v>1281</v>
      </c>
      <c r="G132" s="346">
        <v>500000</v>
      </c>
      <c r="H132" s="346">
        <v>66650</v>
      </c>
      <c r="I132" s="340">
        <f t="shared" si="25"/>
        <v>566650</v>
      </c>
      <c r="J132" s="348">
        <v>50</v>
      </c>
      <c r="K132" s="380">
        <v>11333</v>
      </c>
      <c r="L132" s="356">
        <f t="shared" si="32"/>
        <v>1333</v>
      </c>
      <c r="M132" s="356">
        <f t="shared" si="26"/>
        <v>10000</v>
      </c>
      <c r="N132" s="356">
        <f t="shared" si="27"/>
        <v>14663</v>
      </c>
      <c r="O132" s="356">
        <f t="shared" si="28"/>
        <v>51987</v>
      </c>
      <c r="P132" s="348">
        <v>11</v>
      </c>
      <c r="Q132" s="354">
        <f t="shared" si="29"/>
        <v>39</v>
      </c>
      <c r="R132" s="339">
        <f t="shared" si="30"/>
        <v>124663</v>
      </c>
      <c r="S132" s="339">
        <f t="shared" si="31"/>
        <v>441987</v>
      </c>
      <c r="T132" s="337"/>
    </row>
    <row r="133" spans="1:20">
      <c r="A133" s="378"/>
      <c r="B133" s="378"/>
      <c r="C133" s="364" t="s">
        <v>1057</v>
      </c>
      <c r="D133" s="367">
        <v>129</v>
      </c>
      <c r="E133" s="337" t="s">
        <v>1437</v>
      </c>
      <c r="F133" s="337" t="s">
        <v>412</v>
      </c>
      <c r="G133" s="346">
        <v>500000</v>
      </c>
      <c r="H133" s="346">
        <v>66650</v>
      </c>
      <c r="I133" s="340">
        <f t="shared" ref="I133:I164" si="33">SUM(G133:H133)</f>
        <v>566650</v>
      </c>
      <c r="J133" s="348">
        <v>50</v>
      </c>
      <c r="K133" s="380">
        <v>11333</v>
      </c>
      <c r="L133" s="356">
        <f t="shared" si="32"/>
        <v>1333</v>
      </c>
      <c r="M133" s="356">
        <f t="shared" ref="M133:M167" si="34">G133/50</f>
        <v>10000</v>
      </c>
      <c r="N133" s="356">
        <f t="shared" ref="N133:N167" si="35">L133*P133</f>
        <v>34658</v>
      </c>
      <c r="O133" s="356">
        <f t="shared" ref="O133:O167" si="36">L133*Q133</f>
        <v>31992</v>
      </c>
      <c r="P133" s="348">
        <v>26</v>
      </c>
      <c r="Q133" s="354">
        <f t="shared" ref="Q133:Q164" si="37">J133-P133</f>
        <v>24</v>
      </c>
      <c r="R133" s="339">
        <f t="shared" ref="R133:R167" si="38">K133*P133</f>
        <v>294658</v>
      </c>
      <c r="S133" s="339">
        <f t="shared" ref="S133:S164" si="39">I133-R133</f>
        <v>271992</v>
      </c>
      <c r="T133" s="337"/>
    </row>
    <row r="134" spans="1:20">
      <c r="A134" s="378"/>
      <c r="B134" s="378"/>
      <c r="C134" s="364" t="s">
        <v>1091</v>
      </c>
      <c r="D134" s="367">
        <v>130</v>
      </c>
      <c r="E134" s="337" t="s">
        <v>1437</v>
      </c>
      <c r="F134" s="337" t="s">
        <v>1092</v>
      </c>
      <c r="G134" s="346">
        <v>500000</v>
      </c>
      <c r="H134" s="346">
        <v>66650</v>
      </c>
      <c r="I134" s="340">
        <f t="shared" si="33"/>
        <v>566650</v>
      </c>
      <c r="J134" s="348">
        <v>50</v>
      </c>
      <c r="K134" s="380">
        <v>11333</v>
      </c>
      <c r="L134" s="356">
        <f t="shared" si="32"/>
        <v>1333</v>
      </c>
      <c r="M134" s="356">
        <f t="shared" si="34"/>
        <v>10000</v>
      </c>
      <c r="N134" s="356">
        <f t="shared" si="35"/>
        <v>74648</v>
      </c>
      <c r="O134" s="356">
        <f t="shared" si="36"/>
        <v>-7998</v>
      </c>
      <c r="P134" s="348">
        <v>56</v>
      </c>
      <c r="Q134" s="354">
        <f t="shared" si="37"/>
        <v>-6</v>
      </c>
      <c r="R134" s="339">
        <f t="shared" si="38"/>
        <v>634648</v>
      </c>
      <c r="S134" s="339">
        <f t="shared" si="39"/>
        <v>-67998</v>
      </c>
      <c r="T134" s="337"/>
    </row>
    <row r="135" spans="1:20">
      <c r="A135" s="378"/>
      <c r="B135" s="378"/>
      <c r="C135" s="363" t="s">
        <v>1087</v>
      </c>
      <c r="D135" s="367">
        <v>131</v>
      </c>
      <c r="E135" s="337" t="s">
        <v>1437</v>
      </c>
      <c r="F135" s="337" t="s">
        <v>1088</v>
      </c>
      <c r="G135" s="346">
        <v>500000</v>
      </c>
      <c r="H135" s="346">
        <v>66650</v>
      </c>
      <c r="I135" s="340">
        <f t="shared" si="33"/>
        <v>566650</v>
      </c>
      <c r="J135" s="348">
        <v>50</v>
      </c>
      <c r="K135" s="380">
        <v>11333</v>
      </c>
      <c r="L135" s="356">
        <f t="shared" si="32"/>
        <v>1333</v>
      </c>
      <c r="M135" s="356">
        <f t="shared" si="34"/>
        <v>10000</v>
      </c>
      <c r="N135" s="356">
        <f t="shared" si="35"/>
        <v>74648</v>
      </c>
      <c r="O135" s="356">
        <f t="shared" si="36"/>
        <v>-7998</v>
      </c>
      <c r="P135" s="348">
        <v>56</v>
      </c>
      <c r="Q135" s="354">
        <f t="shared" si="37"/>
        <v>-6</v>
      </c>
      <c r="R135" s="339">
        <f t="shared" si="38"/>
        <v>634648</v>
      </c>
      <c r="S135" s="339">
        <f t="shared" si="39"/>
        <v>-67998</v>
      </c>
      <c r="T135" s="337"/>
    </row>
    <row r="136" spans="1:20">
      <c r="A136" s="378"/>
      <c r="B136" s="378"/>
      <c r="C136" s="363" t="s">
        <v>1324</v>
      </c>
      <c r="D136" s="367">
        <v>132</v>
      </c>
      <c r="E136" s="337" t="s">
        <v>1437</v>
      </c>
      <c r="F136" s="337" t="s">
        <v>1325</v>
      </c>
      <c r="G136" s="346">
        <v>500000</v>
      </c>
      <c r="H136" s="346">
        <v>66650</v>
      </c>
      <c r="I136" s="340">
        <f t="shared" si="33"/>
        <v>566650</v>
      </c>
      <c r="J136" s="348">
        <v>50</v>
      </c>
      <c r="K136" s="380">
        <v>11333</v>
      </c>
      <c r="L136" s="356">
        <f t="shared" si="32"/>
        <v>1333</v>
      </c>
      <c r="M136" s="356">
        <f t="shared" si="34"/>
        <v>10000</v>
      </c>
      <c r="N136" s="356">
        <f t="shared" si="35"/>
        <v>11997</v>
      </c>
      <c r="O136" s="356">
        <f t="shared" si="36"/>
        <v>54653</v>
      </c>
      <c r="P136" s="348">
        <v>9</v>
      </c>
      <c r="Q136" s="354">
        <f t="shared" si="37"/>
        <v>41</v>
      </c>
      <c r="R136" s="339">
        <f t="shared" si="38"/>
        <v>101997</v>
      </c>
      <c r="S136" s="339">
        <f t="shared" si="39"/>
        <v>464653</v>
      </c>
      <c r="T136" s="337"/>
    </row>
    <row r="137" spans="1:20">
      <c r="A137" s="378"/>
      <c r="B137" s="378"/>
      <c r="C137" s="363" t="s">
        <v>1340</v>
      </c>
      <c r="D137" s="367">
        <v>133</v>
      </c>
      <c r="E137" s="337" t="s">
        <v>1437</v>
      </c>
      <c r="F137" s="337" t="s">
        <v>410</v>
      </c>
      <c r="G137" s="346">
        <v>500000</v>
      </c>
      <c r="H137" s="346">
        <v>66650</v>
      </c>
      <c r="I137" s="340">
        <f t="shared" si="33"/>
        <v>566650</v>
      </c>
      <c r="J137" s="348">
        <v>50</v>
      </c>
      <c r="K137" s="380">
        <v>11333</v>
      </c>
      <c r="L137" s="356">
        <f t="shared" si="32"/>
        <v>1333</v>
      </c>
      <c r="M137" s="356">
        <f t="shared" si="34"/>
        <v>10000</v>
      </c>
      <c r="N137" s="356">
        <f t="shared" si="35"/>
        <v>11997</v>
      </c>
      <c r="O137" s="356">
        <f t="shared" si="36"/>
        <v>54653</v>
      </c>
      <c r="P137" s="348">
        <v>9</v>
      </c>
      <c r="Q137" s="354">
        <f t="shared" si="37"/>
        <v>41</v>
      </c>
      <c r="R137" s="339">
        <f t="shared" si="38"/>
        <v>101997</v>
      </c>
      <c r="S137" s="339">
        <f t="shared" si="39"/>
        <v>464653</v>
      </c>
      <c r="T137" s="337"/>
    </row>
    <row r="138" spans="1:20">
      <c r="A138" s="378"/>
      <c r="B138" s="378"/>
      <c r="C138" s="363" t="s">
        <v>1021</v>
      </c>
      <c r="D138" s="367">
        <v>134</v>
      </c>
      <c r="E138" s="337" t="s">
        <v>1437</v>
      </c>
      <c r="F138" s="337" t="s">
        <v>1022</v>
      </c>
      <c r="G138" s="346">
        <v>330000</v>
      </c>
      <c r="H138" s="346">
        <v>43989</v>
      </c>
      <c r="I138" s="340">
        <f t="shared" si="33"/>
        <v>373989</v>
      </c>
      <c r="J138" s="348">
        <v>50</v>
      </c>
      <c r="K138" s="380">
        <v>7479.78</v>
      </c>
      <c r="L138" s="356">
        <f t="shared" si="32"/>
        <v>879.78</v>
      </c>
      <c r="M138" s="356">
        <f t="shared" si="34"/>
        <v>6600</v>
      </c>
      <c r="N138" s="356">
        <f t="shared" si="35"/>
        <v>20234.939999999999</v>
      </c>
      <c r="O138" s="356">
        <f t="shared" si="36"/>
        <v>23754.059999999998</v>
      </c>
      <c r="P138" s="348">
        <v>23</v>
      </c>
      <c r="Q138" s="354">
        <f t="shared" si="37"/>
        <v>27</v>
      </c>
      <c r="R138" s="339">
        <f t="shared" si="38"/>
        <v>172034.94</v>
      </c>
      <c r="S138" s="339">
        <f t="shared" si="39"/>
        <v>201954.06</v>
      </c>
      <c r="T138" s="337"/>
    </row>
    <row r="139" spans="1:20">
      <c r="A139" s="378"/>
      <c r="B139" s="378"/>
      <c r="C139" s="362" t="s">
        <v>1385</v>
      </c>
      <c r="D139" s="367">
        <v>135</v>
      </c>
      <c r="E139" s="337" t="s">
        <v>1437</v>
      </c>
      <c r="F139" s="337" t="s">
        <v>1295</v>
      </c>
      <c r="G139" s="346">
        <v>330000</v>
      </c>
      <c r="H139" s="346">
        <v>43989</v>
      </c>
      <c r="I139" s="340">
        <f t="shared" si="33"/>
        <v>373989</v>
      </c>
      <c r="J139" s="348">
        <v>50</v>
      </c>
      <c r="K139" s="380">
        <v>7479.78</v>
      </c>
      <c r="L139" s="356">
        <f t="shared" si="32"/>
        <v>879.78</v>
      </c>
      <c r="M139" s="356">
        <f t="shared" si="34"/>
        <v>6600</v>
      </c>
      <c r="N139" s="356">
        <f t="shared" si="35"/>
        <v>9677.58</v>
      </c>
      <c r="O139" s="356">
        <f t="shared" si="36"/>
        <v>34311.42</v>
      </c>
      <c r="P139" s="348">
        <v>11</v>
      </c>
      <c r="Q139" s="354">
        <f t="shared" si="37"/>
        <v>39</v>
      </c>
      <c r="R139" s="339">
        <f t="shared" si="38"/>
        <v>82277.58</v>
      </c>
      <c r="S139" s="339">
        <f t="shared" si="39"/>
        <v>291711.42</v>
      </c>
      <c r="T139" s="337"/>
    </row>
    <row r="140" spans="1:20">
      <c r="A140" s="378"/>
      <c r="B140" s="378"/>
      <c r="C140" s="337" t="s">
        <v>1128</v>
      </c>
      <c r="D140" s="367">
        <v>136</v>
      </c>
      <c r="E140" s="337" t="s">
        <v>1437</v>
      </c>
      <c r="F140" s="337" t="s">
        <v>462</v>
      </c>
      <c r="G140" s="346">
        <v>450000</v>
      </c>
      <c r="H140" s="346">
        <v>59985</v>
      </c>
      <c r="I140" s="340">
        <f t="shared" si="33"/>
        <v>509985</v>
      </c>
      <c r="J140" s="348">
        <v>50</v>
      </c>
      <c r="K140" s="381">
        <v>10199.700000000001</v>
      </c>
      <c r="L140" s="356">
        <f t="shared" si="32"/>
        <v>1199.7</v>
      </c>
      <c r="M140" s="356">
        <f t="shared" si="34"/>
        <v>9000</v>
      </c>
      <c r="N140" s="356">
        <f t="shared" si="35"/>
        <v>2399.4</v>
      </c>
      <c r="O140" s="356">
        <f t="shared" si="36"/>
        <v>57585.600000000006</v>
      </c>
      <c r="P140" s="358">
        <v>2</v>
      </c>
      <c r="Q140" s="354">
        <f t="shared" si="37"/>
        <v>48</v>
      </c>
      <c r="R140" s="339">
        <f t="shared" si="38"/>
        <v>20399.400000000001</v>
      </c>
      <c r="S140" s="339">
        <f t="shared" si="39"/>
        <v>489585.6</v>
      </c>
      <c r="T140" s="337"/>
    </row>
    <row r="141" spans="1:20">
      <c r="A141" s="378"/>
      <c r="B141" s="378"/>
      <c r="C141" s="362" t="s">
        <v>1004</v>
      </c>
      <c r="D141" s="367">
        <v>137</v>
      </c>
      <c r="E141" s="337" t="s">
        <v>1437</v>
      </c>
      <c r="F141" s="337" t="s">
        <v>107</v>
      </c>
      <c r="G141" s="346">
        <v>450000</v>
      </c>
      <c r="H141" s="346">
        <v>59985</v>
      </c>
      <c r="I141" s="340">
        <f t="shared" si="33"/>
        <v>509985</v>
      </c>
      <c r="J141" s="348">
        <v>50</v>
      </c>
      <c r="K141" s="380">
        <v>10199.700000000001</v>
      </c>
      <c r="L141" s="356">
        <f t="shared" si="32"/>
        <v>1199.7</v>
      </c>
      <c r="M141" s="356">
        <f t="shared" si="34"/>
        <v>9000</v>
      </c>
      <c r="N141" s="356">
        <f t="shared" si="35"/>
        <v>22794.3</v>
      </c>
      <c r="O141" s="356">
        <f t="shared" si="36"/>
        <v>37190.700000000004</v>
      </c>
      <c r="P141" s="348">
        <v>19</v>
      </c>
      <c r="Q141" s="354">
        <f t="shared" si="37"/>
        <v>31</v>
      </c>
      <c r="R141" s="339">
        <f t="shared" si="38"/>
        <v>193794.30000000002</v>
      </c>
      <c r="S141" s="339">
        <f t="shared" si="39"/>
        <v>316190.69999999995</v>
      </c>
      <c r="T141" s="337"/>
    </row>
    <row r="142" spans="1:20">
      <c r="A142" s="378"/>
      <c r="B142" s="378"/>
      <c r="C142" s="362" t="s">
        <v>1140</v>
      </c>
      <c r="D142" s="367">
        <v>138</v>
      </c>
      <c r="E142" s="337" t="s">
        <v>1437</v>
      </c>
      <c r="F142" s="337" t="s">
        <v>372</v>
      </c>
      <c r="G142" s="346">
        <v>330000</v>
      </c>
      <c r="H142" s="346">
        <v>43989</v>
      </c>
      <c r="I142" s="340">
        <f t="shared" si="33"/>
        <v>373989</v>
      </c>
      <c r="J142" s="348">
        <v>50</v>
      </c>
      <c r="K142" s="380">
        <v>7479.78</v>
      </c>
      <c r="L142" s="356">
        <f t="shared" si="32"/>
        <v>879.78</v>
      </c>
      <c r="M142" s="356">
        <f t="shared" si="34"/>
        <v>6600</v>
      </c>
      <c r="N142" s="356">
        <f t="shared" si="35"/>
        <v>16715.82</v>
      </c>
      <c r="O142" s="356">
        <f t="shared" si="36"/>
        <v>27273.18</v>
      </c>
      <c r="P142" s="348">
        <v>19</v>
      </c>
      <c r="Q142" s="354">
        <f t="shared" si="37"/>
        <v>31</v>
      </c>
      <c r="R142" s="339">
        <f t="shared" si="38"/>
        <v>142115.82</v>
      </c>
      <c r="S142" s="339">
        <f t="shared" si="39"/>
        <v>231873.18</v>
      </c>
      <c r="T142" s="337"/>
    </row>
    <row r="143" spans="1:20">
      <c r="A143" s="378"/>
      <c r="B143" s="378"/>
      <c r="C143" s="362" t="s">
        <v>1136</v>
      </c>
      <c r="D143" s="367">
        <v>139</v>
      </c>
      <c r="E143" s="337" t="s">
        <v>1437</v>
      </c>
      <c r="F143" s="337" t="s">
        <v>1137</v>
      </c>
      <c r="G143" s="346">
        <v>330000</v>
      </c>
      <c r="H143" s="346">
        <v>43989</v>
      </c>
      <c r="I143" s="340">
        <f t="shared" si="33"/>
        <v>373989</v>
      </c>
      <c r="J143" s="348">
        <v>50</v>
      </c>
      <c r="K143" s="380">
        <v>7479.78</v>
      </c>
      <c r="L143" s="356">
        <f t="shared" si="32"/>
        <v>879.78</v>
      </c>
      <c r="M143" s="356">
        <f t="shared" si="34"/>
        <v>6600</v>
      </c>
      <c r="N143" s="356">
        <f t="shared" si="35"/>
        <v>16715.82</v>
      </c>
      <c r="O143" s="356">
        <f t="shared" si="36"/>
        <v>27273.18</v>
      </c>
      <c r="P143" s="348">
        <v>19</v>
      </c>
      <c r="Q143" s="354">
        <f t="shared" si="37"/>
        <v>31</v>
      </c>
      <c r="R143" s="339">
        <f t="shared" si="38"/>
        <v>142115.82</v>
      </c>
      <c r="S143" s="339">
        <f t="shared" si="39"/>
        <v>231873.18</v>
      </c>
      <c r="T143" s="337"/>
    </row>
    <row r="144" spans="1:20">
      <c r="A144" s="378"/>
      <c r="B144" s="378"/>
      <c r="C144" s="337" t="s">
        <v>1452</v>
      </c>
      <c r="D144" s="367">
        <v>140</v>
      </c>
      <c r="E144" s="337" t="s">
        <v>1437</v>
      </c>
      <c r="F144" s="337" t="s">
        <v>1453</v>
      </c>
      <c r="G144" s="346">
        <v>500000</v>
      </c>
      <c r="H144" s="346">
        <v>66650</v>
      </c>
      <c r="I144" s="340">
        <f t="shared" si="33"/>
        <v>566650</v>
      </c>
      <c r="J144" s="348">
        <v>50</v>
      </c>
      <c r="K144" s="381">
        <v>11333</v>
      </c>
      <c r="L144" s="356">
        <f t="shared" si="32"/>
        <v>1333</v>
      </c>
      <c r="M144" s="356">
        <f t="shared" si="34"/>
        <v>10000</v>
      </c>
      <c r="N144" s="356">
        <f t="shared" si="35"/>
        <v>2666</v>
      </c>
      <c r="O144" s="356">
        <f t="shared" si="36"/>
        <v>63984</v>
      </c>
      <c r="P144" s="358">
        <v>2</v>
      </c>
      <c r="Q144" s="354">
        <f t="shared" si="37"/>
        <v>48</v>
      </c>
      <c r="R144" s="339">
        <f t="shared" si="38"/>
        <v>22666</v>
      </c>
      <c r="S144" s="339">
        <f t="shared" si="39"/>
        <v>543984</v>
      </c>
      <c r="T144" s="337"/>
    </row>
    <row r="145" spans="1:20">
      <c r="A145" s="378"/>
      <c r="B145" s="378"/>
      <c r="C145" s="362" t="s">
        <v>1115</v>
      </c>
      <c r="D145" s="367">
        <v>141</v>
      </c>
      <c r="E145" s="337" t="s">
        <v>1437</v>
      </c>
      <c r="F145" s="337" t="s">
        <v>1116</v>
      </c>
      <c r="G145" s="346">
        <v>200000</v>
      </c>
      <c r="H145" s="346">
        <v>26660</v>
      </c>
      <c r="I145" s="340">
        <f t="shared" si="33"/>
        <v>226660</v>
      </c>
      <c r="J145" s="348">
        <v>50</v>
      </c>
      <c r="K145" s="380">
        <v>5099.8500000000004</v>
      </c>
      <c r="L145" s="356">
        <f t="shared" si="32"/>
        <v>533.20000000000005</v>
      </c>
      <c r="M145" s="356">
        <f t="shared" si="34"/>
        <v>4000</v>
      </c>
      <c r="N145" s="356">
        <f t="shared" si="35"/>
        <v>10130.800000000001</v>
      </c>
      <c r="O145" s="356">
        <f t="shared" si="36"/>
        <v>16529.2</v>
      </c>
      <c r="P145" s="348">
        <v>19</v>
      </c>
      <c r="Q145" s="354">
        <f t="shared" si="37"/>
        <v>31</v>
      </c>
      <c r="R145" s="339">
        <f t="shared" si="38"/>
        <v>96897.150000000009</v>
      </c>
      <c r="S145" s="339">
        <f t="shared" si="39"/>
        <v>129762.84999999999</v>
      </c>
      <c r="T145" s="337"/>
    </row>
    <row r="146" spans="1:20">
      <c r="A146" s="378"/>
      <c r="B146" s="378"/>
      <c r="C146" s="366" t="s">
        <v>1408</v>
      </c>
      <c r="D146" s="367">
        <v>142</v>
      </c>
      <c r="E146" s="337" t="s">
        <v>1437</v>
      </c>
      <c r="F146" s="337" t="s">
        <v>406</v>
      </c>
      <c r="G146" s="346">
        <v>500000</v>
      </c>
      <c r="H146" s="346">
        <v>66650</v>
      </c>
      <c r="I146" s="340">
        <f t="shared" si="33"/>
        <v>566650</v>
      </c>
      <c r="J146" s="348">
        <v>40</v>
      </c>
      <c r="K146" s="380">
        <v>13833</v>
      </c>
      <c r="L146" s="356">
        <f t="shared" si="32"/>
        <v>1333</v>
      </c>
      <c r="M146" s="356">
        <f t="shared" si="34"/>
        <v>10000</v>
      </c>
      <c r="N146" s="356">
        <f t="shared" si="35"/>
        <v>6665</v>
      </c>
      <c r="O146" s="356">
        <f t="shared" si="36"/>
        <v>46655</v>
      </c>
      <c r="P146" s="348">
        <v>5</v>
      </c>
      <c r="Q146" s="354">
        <f t="shared" si="37"/>
        <v>35</v>
      </c>
      <c r="R146" s="339">
        <f t="shared" si="38"/>
        <v>69165</v>
      </c>
      <c r="S146" s="339">
        <f t="shared" si="39"/>
        <v>497485</v>
      </c>
      <c r="T146" s="337"/>
    </row>
    <row r="147" spans="1:20">
      <c r="A147" s="378"/>
      <c r="B147" s="378"/>
      <c r="C147" s="364" t="s">
        <v>1134</v>
      </c>
      <c r="D147" s="367">
        <v>143</v>
      </c>
      <c r="E147" s="337" t="s">
        <v>1437</v>
      </c>
      <c r="F147" s="337" t="s">
        <v>1135</v>
      </c>
      <c r="G147" s="346">
        <v>500000</v>
      </c>
      <c r="H147" s="346">
        <v>66650</v>
      </c>
      <c r="I147" s="340">
        <f t="shared" si="33"/>
        <v>566650</v>
      </c>
      <c r="J147" s="348">
        <v>50</v>
      </c>
      <c r="K147" s="380">
        <v>11333</v>
      </c>
      <c r="L147" s="356">
        <f t="shared" si="32"/>
        <v>1333</v>
      </c>
      <c r="M147" s="356">
        <f t="shared" si="34"/>
        <v>10000</v>
      </c>
      <c r="N147" s="356">
        <f t="shared" si="35"/>
        <v>25327</v>
      </c>
      <c r="O147" s="356">
        <f t="shared" si="36"/>
        <v>41323</v>
      </c>
      <c r="P147" s="348">
        <v>19</v>
      </c>
      <c r="Q147" s="354">
        <f t="shared" si="37"/>
        <v>31</v>
      </c>
      <c r="R147" s="339">
        <f t="shared" si="38"/>
        <v>215327</v>
      </c>
      <c r="S147" s="339">
        <f t="shared" si="39"/>
        <v>351323</v>
      </c>
      <c r="T147" s="337"/>
    </row>
    <row r="148" spans="1:20">
      <c r="A148" s="378"/>
      <c r="B148" s="378"/>
      <c r="C148" s="365" t="s">
        <v>1048</v>
      </c>
      <c r="D148" s="367">
        <v>144</v>
      </c>
      <c r="E148" s="337" t="s">
        <v>1437</v>
      </c>
      <c r="F148" s="337" t="s">
        <v>1049</v>
      </c>
      <c r="G148" s="346">
        <v>450000</v>
      </c>
      <c r="H148" s="346">
        <v>59985</v>
      </c>
      <c r="I148" s="340">
        <f t="shared" si="33"/>
        <v>509985</v>
      </c>
      <c r="J148" s="348">
        <v>50</v>
      </c>
      <c r="K148" s="380">
        <v>10199.700000000001</v>
      </c>
      <c r="L148" s="356">
        <f t="shared" si="32"/>
        <v>1199.7</v>
      </c>
      <c r="M148" s="356">
        <f t="shared" si="34"/>
        <v>9000</v>
      </c>
      <c r="N148" s="356">
        <f t="shared" si="35"/>
        <v>50387.4</v>
      </c>
      <c r="O148" s="356">
        <f t="shared" si="36"/>
        <v>9597.6</v>
      </c>
      <c r="P148" s="348">
        <v>42</v>
      </c>
      <c r="Q148" s="354">
        <f t="shared" si="37"/>
        <v>8</v>
      </c>
      <c r="R148" s="339">
        <f t="shared" si="38"/>
        <v>428387.4</v>
      </c>
      <c r="S148" s="339">
        <f t="shared" si="39"/>
        <v>81597.599999999977</v>
      </c>
      <c r="T148" s="337"/>
    </row>
    <row r="149" spans="1:20">
      <c r="A149" s="378"/>
      <c r="B149" s="378"/>
      <c r="C149" s="364" t="s">
        <v>1090</v>
      </c>
      <c r="D149" s="367">
        <v>145</v>
      </c>
      <c r="E149" s="337" t="s">
        <v>1437</v>
      </c>
      <c r="F149" s="337" t="s">
        <v>295</v>
      </c>
      <c r="G149" s="346">
        <v>500000</v>
      </c>
      <c r="H149" s="346">
        <v>66650</v>
      </c>
      <c r="I149" s="340">
        <f t="shared" si="33"/>
        <v>566650</v>
      </c>
      <c r="J149" s="348">
        <v>50</v>
      </c>
      <c r="K149" s="380">
        <v>11333</v>
      </c>
      <c r="L149" s="356">
        <f t="shared" si="32"/>
        <v>1333</v>
      </c>
      <c r="M149" s="356">
        <f t="shared" si="34"/>
        <v>10000</v>
      </c>
      <c r="N149" s="356">
        <f t="shared" si="35"/>
        <v>34658</v>
      </c>
      <c r="O149" s="356">
        <f t="shared" si="36"/>
        <v>31992</v>
      </c>
      <c r="P149" s="348">
        <v>26</v>
      </c>
      <c r="Q149" s="354">
        <f t="shared" si="37"/>
        <v>24</v>
      </c>
      <c r="R149" s="339">
        <f t="shared" si="38"/>
        <v>294658</v>
      </c>
      <c r="S149" s="339">
        <f t="shared" si="39"/>
        <v>271992</v>
      </c>
      <c r="T149" s="337"/>
    </row>
    <row r="150" spans="1:20">
      <c r="A150" s="378"/>
      <c r="B150" s="378"/>
      <c r="C150" s="362" t="s">
        <v>1337</v>
      </c>
      <c r="D150" s="367">
        <v>146</v>
      </c>
      <c r="E150" s="337" t="s">
        <v>1437</v>
      </c>
      <c r="F150" s="337" t="s">
        <v>1280</v>
      </c>
      <c r="G150" s="346">
        <v>500000</v>
      </c>
      <c r="H150" s="346">
        <v>66650</v>
      </c>
      <c r="I150" s="340">
        <f t="shared" si="33"/>
        <v>566650</v>
      </c>
      <c r="J150" s="348">
        <v>50</v>
      </c>
      <c r="K150" s="380">
        <v>11333</v>
      </c>
      <c r="L150" s="356">
        <f t="shared" si="32"/>
        <v>1333</v>
      </c>
      <c r="M150" s="356">
        <f t="shared" si="34"/>
        <v>10000</v>
      </c>
      <c r="N150" s="356">
        <f t="shared" si="35"/>
        <v>14663</v>
      </c>
      <c r="O150" s="356">
        <f t="shared" si="36"/>
        <v>51987</v>
      </c>
      <c r="P150" s="348">
        <v>11</v>
      </c>
      <c r="Q150" s="354">
        <f t="shared" si="37"/>
        <v>39</v>
      </c>
      <c r="R150" s="339">
        <f t="shared" si="38"/>
        <v>124663</v>
      </c>
      <c r="S150" s="339">
        <f t="shared" si="39"/>
        <v>441987</v>
      </c>
      <c r="T150" s="337"/>
    </row>
    <row r="151" spans="1:20">
      <c r="A151" s="378"/>
      <c r="B151" s="378"/>
      <c r="C151" s="337" t="s">
        <v>1415</v>
      </c>
      <c r="D151" s="367">
        <v>147</v>
      </c>
      <c r="E151" s="337" t="s">
        <v>1437</v>
      </c>
      <c r="F151" s="337" t="s">
        <v>1416</v>
      </c>
      <c r="G151" s="346">
        <v>500000</v>
      </c>
      <c r="H151" s="346">
        <v>66650</v>
      </c>
      <c r="I151" s="340">
        <f t="shared" si="33"/>
        <v>566650</v>
      </c>
      <c r="J151" s="358">
        <v>50</v>
      </c>
      <c r="K151" s="381">
        <v>11333</v>
      </c>
      <c r="L151" s="356">
        <f t="shared" si="32"/>
        <v>1333</v>
      </c>
      <c r="M151" s="356">
        <f t="shared" si="34"/>
        <v>10000</v>
      </c>
      <c r="N151" s="356">
        <f t="shared" si="35"/>
        <v>5332</v>
      </c>
      <c r="O151" s="356">
        <f t="shared" si="36"/>
        <v>61318</v>
      </c>
      <c r="P151" s="358">
        <v>4</v>
      </c>
      <c r="Q151" s="354">
        <f t="shared" si="37"/>
        <v>46</v>
      </c>
      <c r="R151" s="339">
        <f t="shared" si="38"/>
        <v>45332</v>
      </c>
      <c r="S151" s="339">
        <f t="shared" si="39"/>
        <v>521318</v>
      </c>
      <c r="T151" s="337"/>
    </row>
    <row r="152" spans="1:20">
      <c r="A152" s="378"/>
      <c r="B152" s="378"/>
      <c r="C152" s="363" t="s">
        <v>1023</v>
      </c>
      <c r="D152" s="367">
        <v>148</v>
      </c>
      <c r="E152" s="337" t="s">
        <v>1437</v>
      </c>
      <c r="F152" s="337" t="s">
        <v>321</v>
      </c>
      <c r="G152" s="346">
        <v>500000</v>
      </c>
      <c r="H152" s="346">
        <v>66650</v>
      </c>
      <c r="I152" s="340">
        <f t="shared" si="33"/>
        <v>566650</v>
      </c>
      <c r="J152" s="348">
        <v>50</v>
      </c>
      <c r="K152" s="380">
        <v>11333</v>
      </c>
      <c r="L152" s="356">
        <f t="shared" si="32"/>
        <v>1333</v>
      </c>
      <c r="M152" s="356">
        <f t="shared" si="34"/>
        <v>10000</v>
      </c>
      <c r="N152" s="356">
        <f t="shared" si="35"/>
        <v>74648</v>
      </c>
      <c r="O152" s="356">
        <f t="shared" si="36"/>
        <v>-7998</v>
      </c>
      <c r="P152" s="348">
        <v>56</v>
      </c>
      <c r="Q152" s="354">
        <f t="shared" si="37"/>
        <v>-6</v>
      </c>
      <c r="R152" s="339">
        <f t="shared" si="38"/>
        <v>634648</v>
      </c>
      <c r="S152" s="339">
        <f t="shared" si="39"/>
        <v>-67998</v>
      </c>
      <c r="T152" s="337"/>
    </row>
    <row r="153" spans="1:20">
      <c r="A153" s="378"/>
      <c r="B153" s="378"/>
      <c r="C153" s="364" t="s">
        <v>1354</v>
      </c>
      <c r="D153" s="367">
        <v>149</v>
      </c>
      <c r="E153" s="337" t="s">
        <v>1437</v>
      </c>
      <c r="F153" s="337" t="s">
        <v>450</v>
      </c>
      <c r="G153" s="346">
        <v>450000</v>
      </c>
      <c r="H153" s="346">
        <v>59985</v>
      </c>
      <c r="I153" s="340">
        <f t="shared" si="33"/>
        <v>509985</v>
      </c>
      <c r="J153" s="348">
        <v>50</v>
      </c>
      <c r="K153" s="380">
        <v>10199.700000000001</v>
      </c>
      <c r="L153" s="356">
        <f t="shared" si="32"/>
        <v>1199.7</v>
      </c>
      <c r="M153" s="356">
        <f t="shared" si="34"/>
        <v>9000</v>
      </c>
      <c r="N153" s="356">
        <f t="shared" si="35"/>
        <v>21594.600000000002</v>
      </c>
      <c r="O153" s="356">
        <f t="shared" si="36"/>
        <v>38390.400000000001</v>
      </c>
      <c r="P153" s="348">
        <v>18</v>
      </c>
      <c r="Q153" s="354">
        <f t="shared" si="37"/>
        <v>32</v>
      </c>
      <c r="R153" s="339">
        <f t="shared" si="38"/>
        <v>183594.6</v>
      </c>
      <c r="S153" s="339">
        <f t="shared" si="39"/>
        <v>326390.40000000002</v>
      </c>
      <c r="T153" s="337"/>
    </row>
    <row r="154" spans="1:20">
      <c r="A154" s="378"/>
      <c r="B154" s="378"/>
      <c r="C154" s="364" t="s">
        <v>1394</v>
      </c>
      <c r="D154" s="367">
        <v>150</v>
      </c>
      <c r="E154" s="337" t="s">
        <v>1437</v>
      </c>
      <c r="F154" s="337" t="s">
        <v>1395</v>
      </c>
      <c r="G154" s="346">
        <v>150000</v>
      </c>
      <c r="H154" s="346">
        <v>19995</v>
      </c>
      <c r="I154" s="340">
        <f t="shared" si="33"/>
        <v>169995</v>
      </c>
      <c r="J154" s="348">
        <v>40</v>
      </c>
      <c r="K154" s="380">
        <v>4149.8999999999996</v>
      </c>
      <c r="L154" s="356">
        <f t="shared" si="32"/>
        <v>399.9</v>
      </c>
      <c r="M154" s="356">
        <f t="shared" si="34"/>
        <v>3000</v>
      </c>
      <c r="N154" s="356">
        <f t="shared" si="35"/>
        <v>2399.3999999999996</v>
      </c>
      <c r="O154" s="356">
        <f t="shared" si="36"/>
        <v>13596.599999999999</v>
      </c>
      <c r="P154" s="348">
        <v>6</v>
      </c>
      <c r="Q154" s="354">
        <f t="shared" si="37"/>
        <v>34</v>
      </c>
      <c r="R154" s="339">
        <f t="shared" si="38"/>
        <v>24899.399999999998</v>
      </c>
      <c r="S154" s="339">
        <f t="shared" si="39"/>
        <v>145095.6</v>
      </c>
      <c r="T154" s="337"/>
    </row>
    <row r="155" spans="1:20">
      <c r="A155" s="378"/>
      <c r="B155" s="378"/>
      <c r="C155" s="363" t="s">
        <v>968</v>
      </c>
      <c r="D155" s="367">
        <v>151</v>
      </c>
      <c r="E155" s="337" t="s">
        <v>1437</v>
      </c>
      <c r="F155" s="337" t="s">
        <v>490</v>
      </c>
      <c r="G155" s="346">
        <v>330000</v>
      </c>
      <c r="H155" s="346">
        <v>43989</v>
      </c>
      <c r="I155" s="340">
        <f t="shared" si="33"/>
        <v>373989</v>
      </c>
      <c r="J155" s="348">
        <v>50</v>
      </c>
      <c r="K155" s="380">
        <v>7479.78</v>
      </c>
      <c r="L155" s="356">
        <f t="shared" si="32"/>
        <v>879.78</v>
      </c>
      <c r="M155" s="356">
        <f t="shared" si="34"/>
        <v>6600</v>
      </c>
      <c r="N155" s="356">
        <f t="shared" si="35"/>
        <v>27273.18</v>
      </c>
      <c r="O155" s="356">
        <f t="shared" si="36"/>
        <v>16715.82</v>
      </c>
      <c r="P155" s="348">
        <v>31</v>
      </c>
      <c r="Q155" s="354">
        <f t="shared" si="37"/>
        <v>19</v>
      </c>
      <c r="R155" s="339">
        <f t="shared" si="38"/>
        <v>231873.18</v>
      </c>
      <c r="S155" s="339">
        <f t="shared" si="39"/>
        <v>142115.82</v>
      </c>
      <c r="T155" s="337"/>
    </row>
    <row r="156" spans="1:20">
      <c r="A156" s="378"/>
      <c r="B156" s="378"/>
      <c r="C156" s="365" t="s">
        <v>1036</v>
      </c>
      <c r="D156" s="367">
        <v>152</v>
      </c>
      <c r="E156" s="337" t="s">
        <v>1437</v>
      </c>
      <c r="F156" s="337" t="s">
        <v>216</v>
      </c>
      <c r="G156" s="346">
        <v>60000</v>
      </c>
      <c r="H156" s="346">
        <v>7998</v>
      </c>
      <c r="I156" s="340">
        <f t="shared" si="33"/>
        <v>67998</v>
      </c>
      <c r="J156" s="348">
        <v>40</v>
      </c>
      <c r="K156" s="380">
        <v>1699.95</v>
      </c>
      <c r="L156" s="356">
        <f t="shared" si="32"/>
        <v>159.96</v>
      </c>
      <c r="M156" s="356">
        <f t="shared" si="34"/>
        <v>1200</v>
      </c>
      <c r="N156" s="356">
        <f t="shared" si="35"/>
        <v>5118.72</v>
      </c>
      <c r="O156" s="356">
        <f t="shared" si="36"/>
        <v>1279.68</v>
      </c>
      <c r="P156" s="348">
        <v>32</v>
      </c>
      <c r="Q156" s="354">
        <f t="shared" si="37"/>
        <v>8</v>
      </c>
      <c r="R156" s="339">
        <f t="shared" si="38"/>
        <v>54398.400000000001</v>
      </c>
      <c r="S156" s="339">
        <f t="shared" si="39"/>
        <v>13599.599999999999</v>
      </c>
      <c r="T156" s="337"/>
    </row>
    <row r="157" spans="1:20">
      <c r="A157" s="378"/>
      <c r="B157" s="378"/>
      <c r="C157" s="363" t="s">
        <v>1379</v>
      </c>
      <c r="D157" s="367">
        <v>153</v>
      </c>
      <c r="E157" s="337" t="s">
        <v>1437</v>
      </c>
      <c r="F157" s="337" t="s">
        <v>1380</v>
      </c>
      <c r="G157" s="346">
        <v>330000</v>
      </c>
      <c r="H157" s="346">
        <v>43989</v>
      </c>
      <c r="I157" s="340">
        <f t="shared" si="33"/>
        <v>373989</v>
      </c>
      <c r="J157" s="348">
        <v>50</v>
      </c>
      <c r="K157" s="380">
        <v>7479.78</v>
      </c>
      <c r="L157" s="356">
        <f t="shared" si="32"/>
        <v>879.78</v>
      </c>
      <c r="M157" s="356">
        <f t="shared" si="34"/>
        <v>6600</v>
      </c>
      <c r="N157" s="356">
        <f t="shared" si="35"/>
        <v>5278.68</v>
      </c>
      <c r="O157" s="356">
        <f t="shared" si="36"/>
        <v>38710.32</v>
      </c>
      <c r="P157" s="348">
        <v>6</v>
      </c>
      <c r="Q157" s="354">
        <f t="shared" si="37"/>
        <v>44</v>
      </c>
      <c r="R157" s="339">
        <f t="shared" si="38"/>
        <v>44878.68</v>
      </c>
      <c r="S157" s="339">
        <f t="shared" si="39"/>
        <v>329110.32</v>
      </c>
      <c r="T157" s="337"/>
    </row>
    <row r="158" spans="1:20">
      <c r="A158" s="378"/>
      <c r="B158" s="378"/>
      <c r="C158" s="362" t="s">
        <v>1372</v>
      </c>
      <c r="D158" s="367">
        <v>154</v>
      </c>
      <c r="E158" s="337" t="s">
        <v>1437</v>
      </c>
      <c r="F158" s="337" t="s">
        <v>1297</v>
      </c>
      <c r="G158" s="346">
        <v>330000</v>
      </c>
      <c r="H158" s="346">
        <v>43989</v>
      </c>
      <c r="I158" s="340">
        <f t="shared" si="33"/>
        <v>373989</v>
      </c>
      <c r="J158" s="348">
        <v>50</v>
      </c>
      <c r="K158" s="380">
        <v>7479.78</v>
      </c>
      <c r="L158" s="356">
        <f t="shared" si="32"/>
        <v>879.78</v>
      </c>
      <c r="M158" s="356">
        <f t="shared" si="34"/>
        <v>6600</v>
      </c>
      <c r="N158" s="356">
        <f t="shared" si="35"/>
        <v>14076.48</v>
      </c>
      <c r="O158" s="356">
        <f t="shared" si="36"/>
        <v>29912.52</v>
      </c>
      <c r="P158" s="348">
        <v>16</v>
      </c>
      <c r="Q158" s="354">
        <f t="shared" si="37"/>
        <v>34</v>
      </c>
      <c r="R158" s="339">
        <f t="shared" si="38"/>
        <v>119676.48</v>
      </c>
      <c r="S158" s="339">
        <f t="shared" si="39"/>
        <v>254312.52000000002</v>
      </c>
      <c r="T158" s="337"/>
    </row>
    <row r="159" spans="1:20">
      <c r="A159" s="378"/>
      <c r="B159" s="378"/>
      <c r="C159" s="337" t="s">
        <v>1447</v>
      </c>
      <c r="D159" s="367">
        <v>155</v>
      </c>
      <c r="E159" s="337" t="s">
        <v>1437</v>
      </c>
      <c r="F159" s="337" t="s">
        <v>1448</v>
      </c>
      <c r="G159" s="346">
        <v>450000</v>
      </c>
      <c r="H159" s="346">
        <v>59985</v>
      </c>
      <c r="I159" s="340">
        <f t="shared" si="33"/>
        <v>509985</v>
      </c>
      <c r="J159" s="348">
        <v>50</v>
      </c>
      <c r="K159" s="381">
        <v>10199.700000000001</v>
      </c>
      <c r="L159" s="356">
        <f t="shared" si="32"/>
        <v>1199.7</v>
      </c>
      <c r="M159" s="356">
        <f t="shared" si="34"/>
        <v>9000</v>
      </c>
      <c r="N159" s="356">
        <f t="shared" si="35"/>
        <v>2399.4</v>
      </c>
      <c r="O159" s="356">
        <f t="shared" si="36"/>
        <v>57585.600000000006</v>
      </c>
      <c r="P159" s="358">
        <v>2</v>
      </c>
      <c r="Q159" s="354">
        <f t="shared" si="37"/>
        <v>48</v>
      </c>
      <c r="R159" s="339">
        <f t="shared" si="38"/>
        <v>20399.400000000001</v>
      </c>
      <c r="S159" s="339">
        <f t="shared" si="39"/>
        <v>489585.6</v>
      </c>
      <c r="T159" s="337"/>
    </row>
    <row r="160" spans="1:20">
      <c r="A160" s="378"/>
      <c r="B160" s="378"/>
      <c r="C160" s="365" t="s">
        <v>1373</v>
      </c>
      <c r="D160" s="367">
        <v>156</v>
      </c>
      <c r="E160" s="337" t="s">
        <v>1437</v>
      </c>
      <c r="F160" s="337" t="s">
        <v>1374</v>
      </c>
      <c r="G160" s="346">
        <v>330000</v>
      </c>
      <c r="H160" s="346">
        <v>43989</v>
      </c>
      <c r="I160" s="340">
        <f t="shared" si="33"/>
        <v>373989</v>
      </c>
      <c r="J160" s="348">
        <v>50</v>
      </c>
      <c r="K160" s="380">
        <v>7479.78</v>
      </c>
      <c r="L160" s="356">
        <f t="shared" si="32"/>
        <v>879.78</v>
      </c>
      <c r="M160" s="356">
        <f t="shared" si="34"/>
        <v>6600</v>
      </c>
      <c r="N160" s="356">
        <f t="shared" si="35"/>
        <v>5278.68</v>
      </c>
      <c r="O160" s="356">
        <f t="shared" si="36"/>
        <v>38710.32</v>
      </c>
      <c r="P160" s="348">
        <v>6</v>
      </c>
      <c r="Q160" s="354">
        <f t="shared" si="37"/>
        <v>44</v>
      </c>
      <c r="R160" s="339">
        <f t="shared" si="38"/>
        <v>44878.68</v>
      </c>
      <c r="S160" s="339">
        <f t="shared" si="39"/>
        <v>329110.32</v>
      </c>
      <c r="T160" s="337"/>
    </row>
    <row r="161" spans="1:20">
      <c r="A161" s="378"/>
      <c r="B161" s="378"/>
      <c r="C161" s="365" t="s">
        <v>1367</v>
      </c>
      <c r="D161" s="367">
        <v>157</v>
      </c>
      <c r="E161" s="337" t="s">
        <v>1437</v>
      </c>
      <c r="F161" s="337" t="s">
        <v>465</v>
      </c>
      <c r="G161" s="346">
        <v>450000</v>
      </c>
      <c r="H161" s="346">
        <v>59985</v>
      </c>
      <c r="I161" s="340">
        <f t="shared" si="33"/>
        <v>509985</v>
      </c>
      <c r="J161" s="348">
        <v>50</v>
      </c>
      <c r="K161" s="380">
        <v>10199.700000000001</v>
      </c>
      <c r="L161" s="356">
        <f t="shared" si="32"/>
        <v>1199.7</v>
      </c>
      <c r="M161" s="356">
        <f t="shared" si="34"/>
        <v>9000</v>
      </c>
      <c r="N161" s="356">
        <f t="shared" si="35"/>
        <v>31192.2</v>
      </c>
      <c r="O161" s="356">
        <f t="shared" si="36"/>
        <v>28792.800000000003</v>
      </c>
      <c r="P161" s="348">
        <v>26</v>
      </c>
      <c r="Q161" s="354">
        <f t="shared" si="37"/>
        <v>24</v>
      </c>
      <c r="R161" s="339">
        <f t="shared" si="38"/>
        <v>265192.2</v>
      </c>
      <c r="S161" s="339">
        <f t="shared" si="39"/>
        <v>244792.8</v>
      </c>
      <c r="T161" s="337"/>
    </row>
    <row r="162" spans="1:20" s="392" customFormat="1" ht="31.5">
      <c r="A162" s="391"/>
      <c r="C162" s="393" t="s">
        <v>1456</v>
      </c>
      <c r="D162" s="367">
        <v>158</v>
      </c>
      <c r="E162" s="393" t="s">
        <v>1437</v>
      </c>
      <c r="F162" s="393" t="s">
        <v>1457</v>
      </c>
      <c r="G162" s="351">
        <v>150000</v>
      </c>
      <c r="H162" s="351">
        <v>19995</v>
      </c>
      <c r="I162" s="349">
        <f t="shared" si="33"/>
        <v>169995</v>
      </c>
      <c r="J162" s="348">
        <v>50</v>
      </c>
      <c r="K162" s="351">
        <v>3399.9</v>
      </c>
      <c r="L162" s="394">
        <f t="shared" si="32"/>
        <v>399.9</v>
      </c>
      <c r="M162" s="394">
        <f t="shared" si="34"/>
        <v>3000</v>
      </c>
      <c r="N162" s="394">
        <f t="shared" si="35"/>
        <v>15196.199999999999</v>
      </c>
      <c r="O162" s="394">
        <f t="shared" si="36"/>
        <v>4798.7999999999993</v>
      </c>
      <c r="P162" s="348">
        <v>38</v>
      </c>
      <c r="Q162" s="354">
        <f t="shared" si="37"/>
        <v>12</v>
      </c>
      <c r="R162" s="350">
        <f t="shared" si="38"/>
        <v>129196.2</v>
      </c>
      <c r="S162" s="350">
        <f t="shared" si="39"/>
        <v>40798.800000000003</v>
      </c>
      <c r="T162" s="395" t="s">
        <v>1458</v>
      </c>
    </row>
    <row r="163" spans="1:20">
      <c r="C163" s="337"/>
      <c r="D163" s="367">
        <v>159</v>
      </c>
      <c r="E163" s="337" t="s">
        <v>1437</v>
      </c>
      <c r="F163" s="337" t="s">
        <v>1270</v>
      </c>
      <c r="G163" s="346">
        <v>150000</v>
      </c>
      <c r="H163" s="346">
        <v>19995</v>
      </c>
      <c r="I163" s="340">
        <f t="shared" si="33"/>
        <v>169995</v>
      </c>
      <c r="J163" s="358">
        <v>50</v>
      </c>
      <c r="K163" s="346">
        <v>3399.9</v>
      </c>
      <c r="L163" s="356">
        <f t="shared" si="32"/>
        <v>399.9</v>
      </c>
      <c r="M163" s="356">
        <f t="shared" si="34"/>
        <v>3000</v>
      </c>
      <c r="N163" s="356">
        <f t="shared" si="35"/>
        <v>16795.8</v>
      </c>
      <c r="O163" s="356">
        <f t="shared" si="36"/>
        <v>3199.2</v>
      </c>
      <c r="P163" s="358">
        <v>42</v>
      </c>
      <c r="Q163" s="354">
        <f t="shared" si="37"/>
        <v>8</v>
      </c>
      <c r="R163" s="339">
        <f t="shared" si="38"/>
        <v>142795.80000000002</v>
      </c>
      <c r="S163" s="339">
        <f t="shared" si="39"/>
        <v>27199.199999999983</v>
      </c>
      <c r="T163" s="337"/>
    </row>
    <row r="164" spans="1:20">
      <c r="C164" s="337"/>
      <c r="D164" s="367">
        <v>160</v>
      </c>
      <c r="E164" s="337" t="s">
        <v>1437</v>
      </c>
      <c r="F164" s="337" t="s">
        <v>1272</v>
      </c>
      <c r="G164" s="346">
        <v>450000</v>
      </c>
      <c r="H164" s="346">
        <v>59985</v>
      </c>
      <c r="I164" s="340">
        <f t="shared" si="33"/>
        <v>509985</v>
      </c>
      <c r="J164" s="358">
        <v>50</v>
      </c>
      <c r="K164" s="346">
        <v>10199.700000000001</v>
      </c>
      <c r="L164" s="356">
        <f t="shared" si="32"/>
        <v>1199.7</v>
      </c>
      <c r="M164" s="356">
        <f t="shared" si="34"/>
        <v>9000</v>
      </c>
      <c r="N164" s="356">
        <f t="shared" si="35"/>
        <v>19195.2</v>
      </c>
      <c r="O164" s="356">
        <f t="shared" si="36"/>
        <v>40789.800000000003</v>
      </c>
      <c r="P164" s="358">
        <v>16</v>
      </c>
      <c r="Q164" s="354">
        <f t="shared" si="37"/>
        <v>34</v>
      </c>
      <c r="R164" s="339">
        <f t="shared" si="38"/>
        <v>163195.20000000001</v>
      </c>
      <c r="S164" s="339">
        <f t="shared" si="39"/>
        <v>346789.8</v>
      </c>
      <c r="T164" s="337"/>
    </row>
    <row r="165" spans="1:20">
      <c r="C165" s="337"/>
      <c r="D165" s="367">
        <v>161</v>
      </c>
      <c r="E165" s="337" t="s">
        <v>1437</v>
      </c>
      <c r="F165" s="337" t="s">
        <v>1268</v>
      </c>
      <c r="G165" s="346">
        <v>500000</v>
      </c>
      <c r="H165" s="346">
        <v>66650</v>
      </c>
      <c r="I165" s="340">
        <f>SUM(G165:H165)</f>
        <v>566650</v>
      </c>
      <c r="J165" s="358">
        <v>50</v>
      </c>
      <c r="K165" s="346">
        <v>11749.67</v>
      </c>
      <c r="L165" s="356">
        <f t="shared" si="32"/>
        <v>1333</v>
      </c>
      <c r="M165" s="356">
        <f t="shared" si="34"/>
        <v>10000</v>
      </c>
      <c r="N165" s="356">
        <f t="shared" si="35"/>
        <v>41323</v>
      </c>
      <c r="O165" s="356">
        <f t="shared" si="36"/>
        <v>25327</v>
      </c>
      <c r="P165" s="358">
        <v>31</v>
      </c>
      <c r="Q165" s="354">
        <f>J165-P165</f>
        <v>19</v>
      </c>
      <c r="R165" s="339">
        <f t="shared" si="38"/>
        <v>364239.77</v>
      </c>
      <c r="S165" s="339">
        <f>I165-R165</f>
        <v>202410.22999999998</v>
      </c>
      <c r="T165" s="337"/>
    </row>
    <row r="166" spans="1:20">
      <c r="C166" s="337"/>
      <c r="D166" s="367">
        <v>162</v>
      </c>
      <c r="E166" s="337" t="s">
        <v>1437</v>
      </c>
      <c r="F166" s="337" t="s">
        <v>1420</v>
      </c>
      <c r="G166" s="346">
        <v>450000</v>
      </c>
      <c r="H166" s="346">
        <v>59985</v>
      </c>
      <c r="I166" s="340">
        <f>SUM(G166:H166)</f>
        <v>509985</v>
      </c>
      <c r="J166" s="358">
        <v>50</v>
      </c>
      <c r="K166" s="346">
        <v>10199.700000000001</v>
      </c>
      <c r="L166" s="356">
        <f t="shared" si="32"/>
        <v>1199.7</v>
      </c>
      <c r="M166" s="356">
        <f t="shared" si="34"/>
        <v>9000</v>
      </c>
      <c r="N166" s="356">
        <f t="shared" si="35"/>
        <v>7198.2000000000007</v>
      </c>
      <c r="O166" s="356">
        <f t="shared" si="36"/>
        <v>52786.8</v>
      </c>
      <c r="P166" s="358">
        <v>6</v>
      </c>
      <c r="Q166" s="354">
        <f>J166-P166</f>
        <v>44</v>
      </c>
      <c r="R166" s="339">
        <f t="shared" si="38"/>
        <v>61198.200000000004</v>
      </c>
      <c r="S166" s="339">
        <f>I166-R166</f>
        <v>448786.8</v>
      </c>
      <c r="T166" s="337"/>
    </row>
    <row r="167" spans="1:20">
      <c r="C167" s="337"/>
      <c r="D167" s="367">
        <v>163</v>
      </c>
      <c r="E167" s="337" t="s">
        <v>1437</v>
      </c>
      <c r="F167" s="337" t="s">
        <v>1269</v>
      </c>
      <c r="G167" s="346">
        <v>450000</v>
      </c>
      <c r="H167" s="346">
        <v>59985</v>
      </c>
      <c r="I167" s="340">
        <f>SUM(G167:H167)</f>
        <v>509985</v>
      </c>
      <c r="J167" s="358">
        <v>50</v>
      </c>
      <c r="K167" s="346">
        <v>10199.700000000001</v>
      </c>
      <c r="L167" s="356">
        <f t="shared" si="32"/>
        <v>1199.7</v>
      </c>
      <c r="M167" s="356">
        <f t="shared" si="34"/>
        <v>9000</v>
      </c>
      <c r="N167" s="356">
        <f t="shared" si="35"/>
        <v>45588.6</v>
      </c>
      <c r="O167" s="356">
        <f t="shared" si="36"/>
        <v>14396.400000000001</v>
      </c>
      <c r="P167" s="358">
        <v>38</v>
      </c>
      <c r="Q167" s="354">
        <f>J167-P167</f>
        <v>12</v>
      </c>
      <c r="R167" s="339">
        <f t="shared" si="38"/>
        <v>387588.60000000003</v>
      </c>
      <c r="S167" s="339">
        <f>I167-R167</f>
        <v>122396.39999999997</v>
      </c>
      <c r="T167" s="337"/>
    </row>
    <row r="168" spans="1:20">
      <c r="C168" s="337"/>
      <c r="D168" s="337"/>
      <c r="E168" s="337"/>
      <c r="F168" s="337"/>
      <c r="G168" s="386">
        <f>SUM(G5:G167)</f>
        <v>68350000</v>
      </c>
      <c r="H168" s="346">
        <f>SUM(H5:H167)</f>
        <v>8984900</v>
      </c>
      <c r="I168" s="346">
        <f>SUM(I5:I167)</f>
        <v>77334900</v>
      </c>
      <c r="J168" s="357"/>
      <c r="K168" s="346">
        <f>SUM(K5:K167)</f>
        <v>1612147.7699999996</v>
      </c>
      <c r="L168" s="346">
        <f>SUM(L5:L167)</f>
        <v>181974.76399999994</v>
      </c>
      <c r="M168" s="346">
        <f>SUM(M5:M167)</f>
        <v>1367000</v>
      </c>
      <c r="N168" s="346">
        <f>SUM(N5:N167)</f>
        <v>3963963.5000000009</v>
      </c>
      <c r="O168" s="346">
        <f>SUM(O5:O167)</f>
        <v>4898496.6839999994</v>
      </c>
      <c r="P168" s="358"/>
      <c r="Q168" s="358"/>
      <c r="R168" s="346">
        <f>SUM(R5:R167)</f>
        <v>34343683.589999981</v>
      </c>
      <c r="S168" s="386">
        <f>SUM(S5:S167)</f>
        <v>42991216.410000034</v>
      </c>
      <c r="T168" s="337"/>
    </row>
  </sheetData>
  <sortState ref="C5:T161">
    <sortCondition ref="C5:C161"/>
  </sortState>
  <mergeCells count="3">
    <mergeCell ref="D1:T1"/>
    <mergeCell ref="D2:T2"/>
    <mergeCell ref="D3:T3"/>
  </mergeCells>
  <conditionalFormatting sqref="C97:C98">
    <cfRule type="duplicateValues" dxfId="23" priority="2"/>
  </conditionalFormatting>
  <conditionalFormatting sqref="C104:C107 C4:C90 C96:C98 C113:C119 C127:C140">
    <cfRule type="duplicateValues" dxfId="22" priority="1"/>
  </conditionalFormatting>
  <pageMargins left="0.2" right="0.2" top="0.25" bottom="0.25" header="0.3" footer="0.3"/>
  <pageSetup paperSize="9" scale="5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170"/>
  <sheetViews>
    <sheetView zoomScale="90" zoomScaleNormal="90" workbookViewId="0">
      <selection activeCell="F28" sqref="F28"/>
    </sheetView>
  </sheetViews>
  <sheetFormatPr defaultRowHeight="15.75"/>
  <cols>
    <col min="1" max="1" width="13.140625" style="336" bestFit="1" customWidth="1"/>
    <col min="2" max="2" width="14.5703125" style="336" bestFit="1" customWidth="1"/>
    <col min="3" max="3" width="18.7109375" style="336" customWidth="1"/>
    <col min="4" max="4" width="5.42578125" style="336" customWidth="1"/>
    <col min="5" max="5" width="13.5703125" style="336" customWidth="1"/>
    <col min="6" max="6" width="36.5703125" style="336" customWidth="1"/>
    <col min="7" max="7" width="16.85546875" style="342" customWidth="1"/>
    <col min="8" max="8" width="16" style="342" customWidth="1"/>
    <col min="9" max="9" width="17.42578125" style="342" customWidth="1"/>
    <col min="10" max="10" width="8.28515625" style="343" customWidth="1"/>
    <col min="11" max="11" width="16.5703125" style="342" customWidth="1"/>
    <col min="12" max="12" width="14.140625" style="355" customWidth="1"/>
    <col min="13" max="13" width="16.85546875" style="355" customWidth="1"/>
    <col min="14" max="14" width="16.5703125" style="355" customWidth="1"/>
    <col min="15" max="15" width="15.85546875" style="355" customWidth="1"/>
    <col min="16" max="16" width="10.140625" style="344" customWidth="1"/>
    <col min="17" max="17" width="12.140625" style="344" customWidth="1"/>
    <col min="18" max="18" width="17" style="342" customWidth="1"/>
    <col min="19" max="19" width="16.85546875" style="342" customWidth="1"/>
    <col min="20" max="20" width="9.5703125" style="336" customWidth="1"/>
    <col min="21" max="16384" width="9.140625" style="336"/>
  </cols>
  <sheetData>
    <row r="1" spans="1:20" ht="22.5">
      <c r="D1" s="425" t="s">
        <v>1421</v>
      </c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</row>
    <row r="2" spans="1:20" customFormat="1" ht="20.25">
      <c r="C2" s="360"/>
      <c r="D2" s="419" t="s">
        <v>245</v>
      </c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</row>
    <row r="3" spans="1:20" customFormat="1" ht="18">
      <c r="C3" s="360"/>
      <c r="D3" s="426" t="s">
        <v>1459</v>
      </c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</row>
    <row r="4" spans="1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70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1:20">
      <c r="A5" s="378"/>
      <c r="B5" s="378"/>
      <c r="C5" s="361" t="s">
        <v>1369</v>
      </c>
      <c r="D5" s="367">
        <v>1</v>
      </c>
      <c r="E5" s="337" t="s">
        <v>1437</v>
      </c>
      <c r="F5" s="338" t="s">
        <v>1282</v>
      </c>
      <c r="G5" s="339">
        <v>330000</v>
      </c>
      <c r="H5" s="339">
        <v>43989</v>
      </c>
      <c r="I5" s="340">
        <f t="shared" ref="I5:I68" si="0">SUM(G5:H5)</f>
        <v>373989</v>
      </c>
      <c r="J5" s="347">
        <v>50</v>
      </c>
      <c r="K5" s="379">
        <v>7479.78</v>
      </c>
      <c r="L5" s="356">
        <f t="shared" ref="L5:L38" si="1">H5/50</f>
        <v>879.78</v>
      </c>
      <c r="M5" s="356">
        <f t="shared" ref="M5:M68" si="2">G5/50</f>
        <v>6600</v>
      </c>
      <c r="N5" s="356">
        <f t="shared" ref="N5:N68" si="3">L5*P5</f>
        <v>10557.36</v>
      </c>
      <c r="O5" s="356">
        <f t="shared" ref="O5:O36" si="4">L5*Q5</f>
        <v>33431.64</v>
      </c>
      <c r="P5" s="352">
        <v>12</v>
      </c>
      <c r="Q5" s="354">
        <f t="shared" ref="Q5:Q68" si="5">J5-P5</f>
        <v>38</v>
      </c>
      <c r="R5" s="339">
        <f t="shared" ref="R5:R68" si="6">K5*P5</f>
        <v>89757.36</v>
      </c>
      <c r="S5" s="339">
        <f t="shared" ref="S5:S36" si="7">I5-R5</f>
        <v>284231.64</v>
      </c>
      <c r="T5" s="341"/>
    </row>
    <row r="6" spans="1:20">
      <c r="A6" s="378"/>
      <c r="B6" s="378"/>
      <c r="C6" s="361" t="s">
        <v>1396</v>
      </c>
      <c r="D6" s="367">
        <v>2</v>
      </c>
      <c r="E6" s="337" t="s">
        <v>1437</v>
      </c>
      <c r="F6" s="341" t="s">
        <v>1397</v>
      </c>
      <c r="G6" s="339">
        <v>150000</v>
      </c>
      <c r="H6" s="339">
        <v>19995</v>
      </c>
      <c r="I6" s="340">
        <f t="shared" si="0"/>
        <v>169995</v>
      </c>
      <c r="J6" s="347">
        <v>50</v>
      </c>
      <c r="K6" s="379">
        <v>3399.9</v>
      </c>
      <c r="L6" s="356">
        <f t="shared" si="1"/>
        <v>399.9</v>
      </c>
      <c r="M6" s="356">
        <f t="shared" si="2"/>
        <v>3000</v>
      </c>
      <c r="N6" s="356">
        <f t="shared" si="3"/>
        <v>5598.5999999999995</v>
      </c>
      <c r="O6" s="356">
        <f t="shared" si="4"/>
        <v>14396.4</v>
      </c>
      <c r="P6" s="352">
        <v>14</v>
      </c>
      <c r="Q6" s="354">
        <f t="shared" si="5"/>
        <v>36</v>
      </c>
      <c r="R6" s="339">
        <f t="shared" si="6"/>
        <v>47598.6</v>
      </c>
      <c r="S6" s="339">
        <f t="shared" si="7"/>
        <v>122396.4</v>
      </c>
      <c r="T6" s="341"/>
    </row>
    <row r="7" spans="1:20">
      <c r="A7" s="378"/>
      <c r="B7" s="378"/>
      <c r="C7" s="337" t="s">
        <v>1412</v>
      </c>
      <c r="D7" s="367">
        <v>3</v>
      </c>
      <c r="E7" s="337" t="s">
        <v>1437</v>
      </c>
      <c r="F7" s="337" t="s">
        <v>468</v>
      </c>
      <c r="G7" s="346">
        <v>500000</v>
      </c>
      <c r="H7" s="346">
        <v>66650</v>
      </c>
      <c r="I7" s="340">
        <f t="shared" si="0"/>
        <v>566650</v>
      </c>
      <c r="J7" s="348">
        <v>50</v>
      </c>
      <c r="K7" s="380">
        <v>11333</v>
      </c>
      <c r="L7" s="356">
        <f t="shared" si="1"/>
        <v>1333</v>
      </c>
      <c r="M7" s="356">
        <f t="shared" si="2"/>
        <v>10000</v>
      </c>
      <c r="N7" s="356">
        <f t="shared" si="3"/>
        <v>6665</v>
      </c>
      <c r="O7" s="356">
        <f t="shared" si="4"/>
        <v>59985</v>
      </c>
      <c r="P7" s="348">
        <v>5</v>
      </c>
      <c r="Q7" s="354">
        <f t="shared" si="5"/>
        <v>45</v>
      </c>
      <c r="R7" s="339">
        <f t="shared" si="6"/>
        <v>56665</v>
      </c>
      <c r="S7" s="339">
        <f t="shared" si="7"/>
        <v>509985</v>
      </c>
      <c r="T7" s="337"/>
    </row>
    <row r="8" spans="1:20">
      <c r="A8" s="378"/>
      <c r="B8" s="378"/>
      <c r="C8" s="362" t="s">
        <v>1047</v>
      </c>
      <c r="D8" s="367">
        <v>4</v>
      </c>
      <c r="E8" s="337" t="s">
        <v>1437</v>
      </c>
      <c r="F8" s="338" t="s">
        <v>873</v>
      </c>
      <c r="G8" s="339">
        <v>450000</v>
      </c>
      <c r="H8" s="339">
        <v>59985</v>
      </c>
      <c r="I8" s="340">
        <f t="shared" si="0"/>
        <v>509985</v>
      </c>
      <c r="J8" s="347">
        <v>50</v>
      </c>
      <c r="K8" s="379">
        <v>10199.700000000001</v>
      </c>
      <c r="L8" s="356">
        <f t="shared" si="1"/>
        <v>1199.7</v>
      </c>
      <c r="M8" s="356">
        <f t="shared" si="2"/>
        <v>9000</v>
      </c>
      <c r="N8" s="356">
        <f t="shared" si="3"/>
        <v>32391.9</v>
      </c>
      <c r="O8" s="356">
        <f t="shared" si="4"/>
        <v>27593.100000000002</v>
      </c>
      <c r="P8" s="352">
        <v>27</v>
      </c>
      <c r="Q8" s="354">
        <f t="shared" si="5"/>
        <v>23</v>
      </c>
      <c r="R8" s="339">
        <f t="shared" si="6"/>
        <v>275391.90000000002</v>
      </c>
      <c r="S8" s="339">
        <f t="shared" si="7"/>
        <v>234593.09999999998</v>
      </c>
      <c r="T8" s="341"/>
    </row>
    <row r="9" spans="1:20">
      <c r="A9" s="378"/>
      <c r="B9" s="378"/>
      <c r="C9" s="337" t="s">
        <v>1418</v>
      </c>
      <c r="D9" s="367">
        <v>5</v>
      </c>
      <c r="E9" s="337" t="s">
        <v>1437</v>
      </c>
      <c r="F9" s="337" t="s">
        <v>455</v>
      </c>
      <c r="G9" s="346">
        <v>150000</v>
      </c>
      <c r="H9" s="346">
        <v>19995</v>
      </c>
      <c r="I9" s="340">
        <f t="shared" si="0"/>
        <v>169995</v>
      </c>
      <c r="J9" s="358">
        <v>50</v>
      </c>
      <c r="K9" s="381">
        <v>3399.9</v>
      </c>
      <c r="L9" s="356">
        <f t="shared" si="1"/>
        <v>399.9</v>
      </c>
      <c r="M9" s="356">
        <f t="shared" si="2"/>
        <v>3000</v>
      </c>
      <c r="N9" s="356">
        <f t="shared" si="3"/>
        <v>1999.5</v>
      </c>
      <c r="O9" s="356">
        <f t="shared" si="4"/>
        <v>17995.5</v>
      </c>
      <c r="P9" s="358">
        <v>5</v>
      </c>
      <c r="Q9" s="354">
        <f t="shared" si="5"/>
        <v>45</v>
      </c>
      <c r="R9" s="339">
        <f t="shared" si="6"/>
        <v>16999.5</v>
      </c>
      <c r="S9" s="339">
        <f t="shared" si="7"/>
        <v>152995.5</v>
      </c>
      <c r="T9" s="337"/>
    </row>
    <row r="10" spans="1:20">
      <c r="A10" s="378"/>
      <c r="B10" s="378"/>
      <c r="C10" s="363" t="s">
        <v>1034</v>
      </c>
      <c r="D10" s="367">
        <v>6</v>
      </c>
      <c r="E10" s="337" t="s">
        <v>1437</v>
      </c>
      <c r="F10" s="341" t="s">
        <v>1035</v>
      </c>
      <c r="G10" s="339">
        <v>500000</v>
      </c>
      <c r="H10" s="339">
        <v>66650</v>
      </c>
      <c r="I10" s="340">
        <f t="shared" si="0"/>
        <v>566650</v>
      </c>
      <c r="J10" s="347">
        <v>50</v>
      </c>
      <c r="K10" s="379">
        <v>11333</v>
      </c>
      <c r="L10" s="356">
        <f t="shared" si="1"/>
        <v>1333</v>
      </c>
      <c r="M10" s="356">
        <f t="shared" si="2"/>
        <v>10000</v>
      </c>
      <c r="N10" s="356">
        <f t="shared" si="3"/>
        <v>35991</v>
      </c>
      <c r="O10" s="356">
        <f t="shared" si="4"/>
        <v>30659</v>
      </c>
      <c r="P10" s="347">
        <v>27</v>
      </c>
      <c r="Q10" s="354">
        <f t="shared" si="5"/>
        <v>23</v>
      </c>
      <c r="R10" s="339">
        <f t="shared" si="6"/>
        <v>305991</v>
      </c>
      <c r="S10" s="339">
        <f t="shared" si="7"/>
        <v>260659</v>
      </c>
      <c r="T10" s="341"/>
    </row>
    <row r="11" spans="1:20">
      <c r="A11" s="378"/>
      <c r="B11" s="378"/>
      <c r="C11" s="362" t="s">
        <v>1382</v>
      </c>
      <c r="D11" s="367">
        <v>7</v>
      </c>
      <c r="E11" s="337" t="s">
        <v>1437</v>
      </c>
      <c r="F11" s="341" t="s">
        <v>1130</v>
      </c>
      <c r="G11" s="339">
        <v>330000</v>
      </c>
      <c r="H11" s="339">
        <v>43989</v>
      </c>
      <c r="I11" s="340">
        <f t="shared" si="0"/>
        <v>373989</v>
      </c>
      <c r="J11" s="347">
        <v>50</v>
      </c>
      <c r="K11" s="379">
        <v>7479.78</v>
      </c>
      <c r="L11" s="356">
        <f t="shared" si="1"/>
        <v>879.78</v>
      </c>
      <c r="M11" s="356">
        <f t="shared" si="2"/>
        <v>6600</v>
      </c>
      <c r="N11" s="356">
        <f t="shared" si="3"/>
        <v>16715.82</v>
      </c>
      <c r="O11" s="356">
        <f t="shared" si="4"/>
        <v>27273.18</v>
      </c>
      <c r="P11" s="353">
        <v>19</v>
      </c>
      <c r="Q11" s="354">
        <f t="shared" si="5"/>
        <v>31</v>
      </c>
      <c r="R11" s="339">
        <f t="shared" si="6"/>
        <v>142115.82</v>
      </c>
      <c r="S11" s="339">
        <f t="shared" si="7"/>
        <v>231873.18</v>
      </c>
      <c r="T11" s="341"/>
    </row>
    <row r="12" spans="1:20">
      <c r="A12" s="378"/>
      <c r="B12" s="378"/>
      <c r="C12" s="362" t="s">
        <v>1350</v>
      </c>
      <c r="D12" s="367">
        <v>8</v>
      </c>
      <c r="E12" s="337" t="s">
        <v>1437</v>
      </c>
      <c r="F12" s="338" t="s">
        <v>1117</v>
      </c>
      <c r="G12" s="339">
        <v>500000</v>
      </c>
      <c r="H12" s="339">
        <v>66650</v>
      </c>
      <c r="I12" s="340">
        <f t="shared" si="0"/>
        <v>566650</v>
      </c>
      <c r="J12" s="347">
        <v>50</v>
      </c>
      <c r="K12" s="379">
        <v>11333</v>
      </c>
      <c r="L12" s="356">
        <f t="shared" si="1"/>
        <v>1333</v>
      </c>
      <c r="M12" s="356">
        <f t="shared" si="2"/>
        <v>10000</v>
      </c>
      <c r="N12" s="356">
        <f t="shared" si="3"/>
        <v>25327</v>
      </c>
      <c r="O12" s="356">
        <f t="shared" si="4"/>
        <v>41323</v>
      </c>
      <c r="P12" s="352">
        <v>19</v>
      </c>
      <c r="Q12" s="354">
        <f t="shared" si="5"/>
        <v>31</v>
      </c>
      <c r="R12" s="339">
        <f t="shared" si="6"/>
        <v>215327</v>
      </c>
      <c r="S12" s="339">
        <f t="shared" si="7"/>
        <v>351323</v>
      </c>
      <c r="T12" s="341"/>
    </row>
    <row r="13" spans="1:20">
      <c r="A13" s="378"/>
      <c r="B13" s="378"/>
      <c r="C13" s="361" t="s">
        <v>1338</v>
      </c>
      <c r="D13" s="367">
        <v>9</v>
      </c>
      <c r="E13" s="337" t="s">
        <v>1437</v>
      </c>
      <c r="F13" s="341" t="s">
        <v>438</v>
      </c>
      <c r="G13" s="339">
        <v>500000</v>
      </c>
      <c r="H13" s="339">
        <v>66650</v>
      </c>
      <c r="I13" s="340">
        <f t="shared" si="0"/>
        <v>566650</v>
      </c>
      <c r="J13" s="347">
        <v>50</v>
      </c>
      <c r="K13" s="379">
        <v>11333</v>
      </c>
      <c r="L13" s="356">
        <f t="shared" si="1"/>
        <v>1333</v>
      </c>
      <c r="M13" s="356">
        <f t="shared" si="2"/>
        <v>10000</v>
      </c>
      <c r="N13" s="356">
        <f t="shared" si="3"/>
        <v>9331</v>
      </c>
      <c r="O13" s="356">
        <f t="shared" si="4"/>
        <v>57319</v>
      </c>
      <c r="P13" s="352">
        <v>7</v>
      </c>
      <c r="Q13" s="354">
        <f t="shared" si="5"/>
        <v>43</v>
      </c>
      <c r="R13" s="339">
        <f t="shared" si="6"/>
        <v>79331</v>
      </c>
      <c r="S13" s="339">
        <f t="shared" si="7"/>
        <v>487319</v>
      </c>
      <c r="T13" s="341"/>
    </row>
    <row r="14" spans="1:20">
      <c r="A14" s="378"/>
      <c r="B14" s="378"/>
      <c r="C14" s="337" t="s">
        <v>1413</v>
      </c>
      <c r="D14" s="367">
        <v>10</v>
      </c>
      <c r="E14" s="337" t="s">
        <v>1437</v>
      </c>
      <c r="F14" s="337" t="s">
        <v>454</v>
      </c>
      <c r="G14" s="346">
        <v>500000</v>
      </c>
      <c r="H14" s="346">
        <v>66650</v>
      </c>
      <c r="I14" s="340">
        <f t="shared" si="0"/>
        <v>566650</v>
      </c>
      <c r="J14" s="348">
        <v>50</v>
      </c>
      <c r="K14" s="380">
        <v>11333</v>
      </c>
      <c r="L14" s="356">
        <f t="shared" si="1"/>
        <v>1333</v>
      </c>
      <c r="M14" s="356">
        <f t="shared" si="2"/>
        <v>10000</v>
      </c>
      <c r="N14" s="356">
        <f t="shared" si="3"/>
        <v>6665</v>
      </c>
      <c r="O14" s="356">
        <f t="shared" si="4"/>
        <v>59985</v>
      </c>
      <c r="P14" s="348">
        <v>5</v>
      </c>
      <c r="Q14" s="354">
        <f t="shared" si="5"/>
        <v>45</v>
      </c>
      <c r="R14" s="339">
        <f t="shared" si="6"/>
        <v>56665</v>
      </c>
      <c r="S14" s="339">
        <f t="shared" si="7"/>
        <v>509985</v>
      </c>
      <c r="T14" s="337"/>
    </row>
    <row r="15" spans="1:20">
      <c r="A15" s="378"/>
      <c r="B15" s="378"/>
      <c r="C15" s="363" t="s">
        <v>1363</v>
      </c>
      <c r="D15" s="367">
        <v>11</v>
      </c>
      <c r="E15" s="337" t="s">
        <v>1437</v>
      </c>
      <c r="F15" s="341" t="s">
        <v>1364</v>
      </c>
      <c r="G15" s="339">
        <v>450000</v>
      </c>
      <c r="H15" s="339">
        <v>59985</v>
      </c>
      <c r="I15" s="340">
        <f t="shared" si="0"/>
        <v>509985</v>
      </c>
      <c r="J15" s="347">
        <v>50</v>
      </c>
      <c r="K15" s="379">
        <v>10199.700000000001</v>
      </c>
      <c r="L15" s="356">
        <f t="shared" si="1"/>
        <v>1199.7</v>
      </c>
      <c r="M15" s="356">
        <f t="shared" si="2"/>
        <v>9000</v>
      </c>
      <c r="N15" s="356">
        <f t="shared" si="3"/>
        <v>11997</v>
      </c>
      <c r="O15" s="356">
        <f t="shared" si="4"/>
        <v>47988</v>
      </c>
      <c r="P15" s="353">
        <v>10</v>
      </c>
      <c r="Q15" s="354">
        <f t="shared" si="5"/>
        <v>40</v>
      </c>
      <c r="R15" s="339">
        <f t="shared" si="6"/>
        <v>101997</v>
      </c>
      <c r="S15" s="339">
        <f t="shared" si="7"/>
        <v>407988</v>
      </c>
      <c r="T15" s="341"/>
    </row>
    <row r="16" spans="1:20">
      <c r="A16" s="378"/>
      <c r="B16" s="378"/>
      <c r="C16" s="361" t="s">
        <v>1343</v>
      </c>
      <c r="D16" s="367">
        <v>12</v>
      </c>
      <c r="E16" s="337" t="s">
        <v>1437</v>
      </c>
      <c r="F16" s="341" t="s">
        <v>451</v>
      </c>
      <c r="G16" s="339">
        <v>500000</v>
      </c>
      <c r="H16" s="339">
        <v>66650</v>
      </c>
      <c r="I16" s="340">
        <f t="shared" si="0"/>
        <v>566650</v>
      </c>
      <c r="J16" s="347">
        <v>50</v>
      </c>
      <c r="K16" s="379">
        <v>11333</v>
      </c>
      <c r="L16" s="356">
        <f t="shared" si="1"/>
        <v>1333</v>
      </c>
      <c r="M16" s="356">
        <f t="shared" si="2"/>
        <v>10000</v>
      </c>
      <c r="N16" s="356">
        <f t="shared" si="3"/>
        <v>23994</v>
      </c>
      <c r="O16" s="356">
        <f t="shared" si="4"/>
        <v>42656</v>
      </c>
      <c r="P16" s="353">
        <v>18</v>
      </c>
      <c r="Q16" s="354">
        <f t="shared" si="5"/>
        <v>32</v>
      </c>
      <c r="R16" s="339">
        <f t="shared" si="6"/>
        <v>203994</v>
      </c>
      <c r="S16" s="339">
        <f t="shared" si="7"/>
        <v>362656</v>
      </c>
      <c r="T16" s="341"/>
    </row>
    <row r="17" spans="1:20">
      <c r="A17" s="378"/>
      <c r="B17" s="378"/>
      <c r="C17" s="363" t="s">
        <v>1107</v>
      </c>
      <c r="D17" s="367">
        <v>13</v>
      </c>
      <c r="E17" s="337" t="s">
        <v>1437</v>
      </c>
      <c r="F17" s="341" t="s">
        <v>734</v>
      </c>
      <c r="G17" s="339">
        <v>500000</v>
      </c>
      <c r="H17" s="339">
        <v>66650</v>
      </c>
      <c r="I17" s="340">
        <f t="shared" si="0"/>
        <v>566650</v>
      </c>
      <c r="J17" s="347">
        <v>50</v>
      </c>
      <c r="K17" s="379">
        <v>11333</v>
      </c>
      <c r="L17" s="356">
        <f t="shared" si="1"/>
        <v>1333</v>
      </c>
      <c r="M17" s="356">
        <f t="shared" si="2"/>
        <v>10000</v>
      </c>
      <c r="N17" s="356">
        <f t="shared" si="3"/>
        <v>9331</v>
      </c>
      <c r="O17" s="356">
        <f t="shared" si="4"/>
        <v>57319</v>
      </c>
      <c r="P17" s="353">
        <v>7</v>
      </c>
      <c r="Q17" s="354">
        <f t="shared" si="5"/>
        <v>43</v>
      </c>
      <c r="R17" s="339">
        <f t="shared" si="6"/>
        <v>79331</v>
      </c>
      <c r="S17" s="339">
        <f t="shared" si="7"/>
        <v>487319</v>
      </c>
      <c r="T17" s="341"/>
    </row>
    <row r="18" spans="1:20">
      <c r="A18" s="378"/>
      <c r="B18" s="378"/>
      <c r="C18" s="337" t="s">
        <v>984</v>
      </c>
      <c r="D18" s="367">
        <v>14</v>
      </c>
      <c r="E18" s="337" t="s">
        <v>1437</v>
      </c>
      <c r="F18" s="337" t="s">
        <v>287</v>
      </c>
      <c r="G18" s="346">
        <v>450000</v>
      </c>
      <c r="H18" s="346">
        <v>59985</v>
      </c>
      <c r="I18" s="340">
        <f t="shared" si="0"/>
        <v>509985</v>
      </c>
      <c r="J18" s="358">
        <v>50</v>
      </c>
      <c r="K18" s="381">
        <v>10199.700000000001</v>
      </c>
      <c r="L18" s="356">
        <f t="shared" si="1"/>
        <v>1199.7</v>
      </c>
      <c r="M18" s="356">
        <f t="shared" si="2"/>
        <v>9000</v>
      </c>
      <c r="N18" s="356">
        <f t="shared" si="3"/>
        <v>5998.5</v>
      </c>
      <c r="O18" s="356">
        <f t="shared" si="4"/>
        <v>53986.5</v>
      </c>
      <c r="P18" s="358">
        <v>5</v>
      </c>
      <c r="Q18" s="354">
        <f t="shared" si="5"/>
        <v>45</v>
      </c>
      <c r="R18" s="339">
        <f t="shared" si="6"/>
        <v>50998.5</v>
      </c>
      <c r="S18" s="339">
        <f t="shared" si="7"/>
        <v>458986.5</v>
      </c>
      <c r="T18" s="337"/>
    </row>
    <row r="19" spans="1:20">
      <c r="A19" s="378"/>
      <c r="B19" s="378"/>
      <c r="C19" s="363" t="s">
        <v>1344</v>
      </c>
      <c r="D19" s="367">
        <v>15</v>
      </c>
      <c r="E19" s="337" t="s">
        <v>1437</v>
      </c>
      <c r="F19" s="341" t="s">
        <v>1345</v>
      </c>
      <c r="G19" s="339">
        <v>500000</v>
      </c>
      <c r="H19" s="339">
        <v>66650</v>
      </c>
      <c r="I19" s="340">
        <f t="shared" si="0"/>
        <v>566650</v>
      </c>
      <c r="J19" s="347">
        <v>50</v>
      </c>
      <c r="K19" s="379">
        <v>11333</v>
      </c>
      <c r="L19" s="356">
        <f t="shared" si="1"/>
        <v>1333</v>
      </c>
      <c r="M19" s="356">
        <f t="shared" si="2"/>
        <v>10000</v>
      </c>
      <c r="N19" s="356">
        <f t="shared" si="3"/>
        <v>13330</v>
      </c>
      <c r="O19" s="356">
        <f t="shared" si="4"/>
        <v>53320</v>
      </c>
      <c r="P19" s="352">
        <v>10</v>
      </c>
      <c r="Q19" s="354">
        <f t="shared" si="5"/>
        <v>40</v>
      </c>
      <c r="R19" s="339">
        <f t="shared" si="6"/>
        <v>113330</v>
      </c>
      <c r="S19" s="339">
        <f t="shared" si="7"/>
        <v>453320</v>
      </c>
      <c r="T19" s="341"/>
    </row>
    <row r="20" spans="1:20">
      <c r="A20" s="378"/>
      <c r="B20" s="378"/>
      <c r="C20" s="364" t="s">
        <v>1100</v>
      </c>
      <c r="D20" s="367">
        <v>16</v>
      </c>
      <c r="E20" s="337" t="s">
        <v>1437</v>
      </c>
      <c r="F20" s="341" t="s">
        <v>351</v>
      </c>
      <c r="G20" s="340">
        <v>500000</v>
      </c>
      <c r="H20" s="339">
        <v>66650</v>
      </c>
      <c r="I20" s="340">
        <f t="shared" si="0"/>
        <v>566650</v>
      </c>
      <c r="J20" s="347">
        <v>50</v>
      </c>
      <c r="K20" s="379">
        <v>11333</v>
      </c>
      <c r="L20" s="356">
        <f t="shared" si="1"/>
        <v>1333</v>
      </c>
      <c r="M20" s="356">
        <f t="shared" si="2"/>
        <v>10000</v>
      </c>
      <c r="N20" s="356">
        <f t="shared" si="3"/>
        <v>75981</v>
      </c>
      <c r="O20" s="356">
        <f t="shared" si="4"/>
        <v>-9331</v>
      </c>
      <c r="P20" s="352">
        <v>57</v>
      </c>
      <c r="Q20" s="354">
        <f t="shared" si="5"/>
        <v>-7</v>
      </c>
      <c r="R20" s="339">
        <f t="shared" si="6"/>
        <v>645981</v>
      </c>
      <c r="S20" s="339">
        <f t="shared" si="7"/>
        <v>-79331</v>
      </c>
      <c r="T20" s="341"/>
    </row>
    <row r="21" spans="1:20">
      <c r="A21" s="378"/>
      <c r="B21" s="378"/>
      <c r="C21" s="362" t="s">
        <v>989</v>
      </c>
      <c r="D21" s="367">
        <v>17</v>
      </c>
      <c r="E21" s="337" t="s">
        <v>1437</v>
      </c>
      <c r="F21" s="338" t="s">
        <v>864</v>
      </c>
      <c r="G21" s="339">
        <v>500000</v>
      </c>
      <c r="H21" s="339">
        <v>66650</v>
      </c>
      <c r="I21" s="340">
        <f t="shared" si="0"/>
        <v>566650</v>
      </c>
      <c r="J21" s="347">
        <v>50</v>
      </c>
      <c r="K21" s="379">
        <v>11333</v>
      </c>
      <c r="L21" s="356">
        <f t="shared" si="1"/>
        <v>1333</v>
      </c>
      <c r="M21" s="356">
        <f t="shared" si="2"/>
        <v>10000</v>
      </c>
      <c r="N21" s="356">
        <f t="shared" si="3"/>
        <v>35991</v>
      </c>
      <c r="O21" s="356">
        <f t="shared" si="4"/>
        <v>30659</v>
      </c>
      <c r="P21" s="352">
        <v>27</v>
      </c>
      <c r="Q21" s="354">
        <f t="shared" si="5"/>
        <v>23</v>
      </c>
      <c r="R21" s="339">
        <f t="shared" si="6"/>
        <v>305991</v>
      </c>
      <c r="S21" s="339">
        <f t="shared" si="7"/>
        <v>260659</v>
      </c>
      <c r="T21" s="341"/>
    </row>
    <row r="22" spans="1:20">
      <c r="A22" s="378"/>
      <c r="B22" s="378"/>
      <c r="C22" s="363" t="s">
        <v>991</v>
      </c>
      <c r="D22" s="367">
        <v>18</v>
      </c>
      <c r="E22" s="337" t="s">
        <v>1437</v>
      </c>
      <c r="F22" s="341" t="s">
        <v>992</v>
      </c>
      <c r="G22" s="339">
        <v>330000</v>
      </c>
      <c r="H22" s="339">
        <v>31672.200000000012</v>
      </c>
      <c r="I22" s="340">
        <f t="shared" si="0"/>
        <v>361672.2</v>
      </c>
      <c r="J22" s="347">
        <v>36</v>
      </c>
      <c r="K22" s="379">
        <v>10046.450000000001</v>
      </c>
      <c r="L22" s="356">
        <f t="shared" si="1"/>
        <v>633.44400000000019</v>
      </c>
      <c r="M22" s="356">
        <f t="shared" si="2"/>
        <v>6600</v>
      </c>
      <c r="N22" s="356">
        <f t="shared" si="3"/>
        <v>19636.764000000006</v>
      </c>
      <c r="O22" s="356">
        <f t="shared" si="4"/>
        <v>3167.2200000000012</v>
      </c>
      <c r="P22" s="347">
        <v>31</v>
      </c>
      <c r="Q22" s="354">
        <f t="shared" si="5"/>
        <v>5</v>
      </c>
      <c r="R22" s="339">
        <f t="shared" si="6"/>
        <v>311439.95</v>
      </c>
      <c r="S22" s="339">
        <f t="shared" si="7"/>
        <v>50232.25</v>
      </c>
      <c r="T22" s="341"/>
    </row>
    <row r="23" spans="1:20">
      <c r="A23" s="378"/>
      <c r="B23" s="378"/>
      <c r="C23" s="337" t="s">
        <v>1038</v>
      </c>
      <c r="D23" s="367">
        <v>19</v>
      </c>
      <c r="E23" s="337" t="s">
        <v>1437</v>
      </c>
      <c r="F23" s="337" t="s">
        <v>375</v>
      </c>
      <c r="G23" s="346">
        <v>450000</v>
      </c>
      <c r="H23" s="346">
        <v>59985</v>
      </c>
      <c r="I23" s="340">
        <f t="shared" si="0"/>
        <v>509985</v>
      </c>
      <c r="J23" s="348">
        <v>50</v>
      </c>
      <c r="K23" s="381">
        <v>10199.700000000001</v>
      </c>
      <c r="L23" s="356">
        <f t="shared" si="1"/>
        <v>1199.7</v>
      </c>
      <c r="M23" s="356">
        <f t="shared" si="2"/>
        <v>9000</v>
      </c>
      <c r="N23" s="356">
        <f t="shared" si="3"/>
        <v>3599.1000000000004</v>
      </c>
      <c r="O23" s="356">
        <f t="shared" si="4"/>
        <v>56385.9</v>
      </c>
      <c r="P23" s="358">
        <v>3</v>
      </c>
      <c r="Q23" s="354">
        <f t="shared" si="5"/>
        <v>47</v>
      </c>
      <c r="R23" s="339">
        <f t="shared" si="6"/>
        <v>30599.100000000002</v>
      </c>
      <c r="S23" s="339">
        <f t="shared" si="7"/>
        <v>479385.9</v>
      </c>
      <c r="T23" s="337"/>
    </row>
    <row r="24" spans="1:20">
      <c r="A24" s="378"/>
      <c r="B24" s="378"/>
      <c r="C24" s="363" t="s">
        <v>1352</v>
      </c>
      <c r="D24" s="367">
        <v>20</v>
      </c>
      <c r="E24" s="337" t="s">
        <v>1437</v>
      </c>
      <c r="F24" s="341" t="s">
        <v>1353</v>
      </c>
      <c r="G24" s="339">
        <v>500000</v>
      </c>
      <c r="H24" s="339">
        <v>66650</v>
      </c>
      <c r="I24" s="340">
        <f t="shared" si="0"/>
        <v>566650</v>
      </c>
      <c r="J24" s="347">
        <v>50</v>
      </c>
      <c r="K24" s="379">
        <v>11333</v>
      </c>
      <c r="L24" s="356">
        <f t="shared" si="1"/>
        <v>1333</v>
      </c>
      <c r="M24" s="356">
        <f t="shared" si="2"/>
        <v>10000</v>
      </c>
      <c r="N24" s="356">
        <f t="shared" si="3"/>
        <v>9331</v>
      </c>
      <c r="O24" s="356">
        <f t="shared" si="4"/>
        <v>57319</v>
      </c>
      <c r="P24" s="347">
        <v>7</v>
      </c>
      <c r="Q24" s="354">
        <f t="shared" si="5"/>
        <v>43</v>
      </c>
      <c r="R24" s="339">
        <f t="shared" si="6"/>
        <v>79331</v>
      </c>
      <c r="S24" s="339">
        <f t="shared" si="7"/>
        <v>487319</v>
      </c>
      <c r="T24" s="341"/>
    </row>
    <row r="25" spans="1:20">
      <c r="A25" s="378"/>
      <c r="B25" s="378"/>
      <c r="C25" s="362" t="s">
        <v>1141</v>
      </c>
      <c r="D25" s="367">
        <v>21</v>
      </c>
      <c r="E25" s="337" t="s">
        <v>1437</v>
      </c>
      <c r="F25" s="338" t="s">
        <v>1142</v>
      </c>
      <c r="G25" s="339">
        <v>330000</v>
      </c>
      <c r="H25" s="339">
        <v>43989</v>
      </c>
      <c r="I25" s="340">
        <f t="shared" si="0"/>
        <v>373989</v>
      </c>
      <c r="J25" s="347">
        <v>50</v>
      </c>
      <c r="K25" s="379">
        <v>7479.78</v>
      </c>
      <c r="L25" s="356">
        <f t="shared" si="1"/>
        <v>879.78</v>
      </c>
      <c r="M25" s="356">
        <f t="shared" si="2"/>
        <v>6600</v>
      </c>
      <c r="N25" s="356">
        <f t="shared" si="3"/>
        <v>17595.599999999999</v>
      </c>
      <c r="O25" s="356">
        <f t="shared" si="4"/>
        <v>26393.399999999998</v>
      </c>
      <c r="P25" s="352">
        <v>20</v>
      </c>
      <c r="Q25" s="354">
        <f t="shared" si="5"/>
        <v>30</v>
      </c>
      <c r="R25" s="339">
        <f t="shared" si="6"/>
        <v>149595.6</v>
      </c>
      <c r="S25" s="339">
        <f t="shared" si="7"/>
        <v>224393.4</v>
      </c>
      <c r="T25" s="341"/>
    </row>
    <row r="26" spans="1:20">
      <c r="A26" s="378"/>
      <c r="B26" s="378"/>
      <c r="C26" s="364" t="s">
        <v>966</v>
      </c>
      <c r="D26" s="367">
        <v>22</v>
      </c>
      <c r="E26" s="337" t="s">
        <v>1437</v>
      </c>
      <c r="F26" s="337" t="s">
        <v>29</v>
      </c>
      <c r="G26" s="346">
        <v>450000</v>
      </c>
      <c r="H26" s="346">
        <v>59985</v>
      </c>
      <c r="I26" s="340">
        <f t="shared" si="0"/>
        <v>509985</v>
      </c>
      <c r="J26" s="348">
        <v>50</v>
      </c>
      <c r="K26" s="380">
        <v>10199.700000000001</v>
      </c>
      <c r="L26" s="356">
        <f t="shared" si="1"/>
        <v>1199.7</v>
      </c>
      <c r="M26" s="356">
        <f t="shared" si="2"/>
        <v>9000</v>
      </c>
      <c r="N26" s="356">
        <f t="shared" si="3"/>
        <v>52786.8</v>
      </c>
      <c r="O26" s="356">
        <f t="shared" si="4"/>
        <v>7198.2000000000007</v>
      </c>
      <c r="P26" s="348">
        <v>44</v>
      </c>
      <c r="Q26" s="354">
        <f t="shared" si="5"/>
        <v>6</v>
      </c>
      <c r="R26" s="339">
        <f t="shared" si="6"/>
        <v>448786.80000000005</v>
      </c>
      <c r="S26" s="339">
        <f t="shared" si="7"/>
        <v>61198.199999999953</v>
      </c>
      <c r="T26" s="337"/>
    </row>
    <row r="27" spans="1:20">
      <c r="A27" s="378"/>
      <c r="B27" s="378"/>
      <c r="C27" s="362" t="s">
        <v>993</v>
      </c>
      <c r="D27" s="367">
        <v>23</v>
      </c>
      <c r="E27" s="337" t="s">
        <v>1437</v>
      </c>
      <c r="F27" s="337" t="s">
        <v>994</v>
      </c>
      <c r="G27" s="346">
        <v>150000</v>
      </c>
      <c r="H27" s="346">
        <v>19995</v>
      </c>
      <c r="I27" s="340">
        <f t="shared" si="0"/>
        <v>169995</v>
      </c>
      <c r="J27" s="348">
        <v>50</v>
      </c>
      <c r="K27" s="380">
        <v>3399.9</v>
      </c>
      <c r="L27" s="356">
        <f t="shared" si="1"/>
        <v>399.9</v>
      </c>
      <c r="M27" s="356">
        <f t="shared" si="2"/>
        <v>3000</v>
      </c>
      <c r="N27" s="356">
        <f t="shared" si="3"/>
        <v>10797.3</v>
      </c>
      <c r="O27" s="356">
        <f t="shared" si="4"/>
        <v>9197.6999999999989</v>
      </c>
      <c r="P27" s="348">
        <v>27</v>
      </c>
      <c r="Q27" s="354">
        <f t="shared" si="5"/>
        <v>23</v>
      </c>
      <c r="R27" s="339">
        <f t="shared" si="6"/>
        <v>91797.3</v>
      </c>
      <c r="S27" s="339">
        <f t="shared" si="7"/>
        <v>78197.7</v>
      </c>
      <c r="T27" s="337"/>
    </row>
    <row r="28" spans="1:20">
      <c r="A28" s="378"/>
      <c r="B28" s="378"/>
      <c r="C28" s="364" t="s">
        <v>1099</v>
      </c>
      <c r="D28" s="367">
        <v>24</v>
      </c>
      <c r="E28" s="337" t="s">
        <v>1437</v>
      </c>
      <c r="F28" s="337" t="s">
        <v>487</v>
      </c>
      <c r="G28" s="346">
        <v>500000</v>
      </c>
      <c r="H28" s="346">
        <v>66650</v>
      </c>
      <c r="I28" s="340">
        <f t="shared" si="0"/>
        <v>566650</v>
      </c>
      <c r="J28" s="348">
        <v>50</v>
      </c>
      <c r="K28" s="380">
        <v>11333</v>
      </c>
      <c r="L28" s="356">
        <f t="shared" si="1"/>
        <v>1333</v>
      </c>
      <c r="M28" s="356">
        <f t="shared" si="2"/>
        <v>10000</v>
      </c>
      <c r="N28" s="356">
        <f t="shared" si="3"/>
        <v>42656</v>
      </c>
      <c r="O28" s="356">
        <f t="shared" si="4"/>
        <v>23994</v>
      </c>
      <c r="P28" s="348">
        <v>32</v>
      </c>
      <c r="Q28" s="354">
        <f t="shared" si="5"/>
        <v>18</v>
      </c>
      <c r="R28" s="339">
        <f t="shared" si="6"/>
        <v>362656</v>
      </c>
      <c r="S28" s="339">
        <f t="shared" si="7"/>
        <v>203994</v>
      </c>
      <c r="T28" s="337"/>
    </row>
    <row r="29" spans="1:20">
      <c r="A29" s="378"/>
      <c r="B29" s="378"/>
      <c r="C29" s="364" t="s">
        <v>1069</v>
      </c>
      <c r="D29" s="367">
        <v>25</v>
      </c>
      <c r="E29" s="337" t="s">
        <v>1437</v>
      </c>
      <c r="F29" s="337" t="s">
        <v>358</v>
      </c>
      <c r="G29" s="346">
        <v>500000</v>
      </c>
      <c r="H29" s="346">
        <v>66650</v>
      </c>
      <c r="I29" s="340">
        <f t="shared" si="0"/>
        <v>566650</v>
      </c>
      <c r="J29" s="348">
        <v>50</v>
      </c>
      <c r="K29" s="380">
        <v>11333</v>
      </c>
      <c r="L29" s="356">
        <f t="shared" si="1"/>
        <v>1333</v>
      </c>
      <c r="M29" s="356">
        <f t="shared" si="2"/>
        <v>10000</v>
      </c>
      <c r="N29" s="356">
        <f t="shared" si="3"/>
        <v>58652</v>
      </c>
      <c r="O29" s="356">
        <f t="shared" si="4"/>
        <v>7998</v>
      </c>
      <c r="P29" s="348">
        <v>44</v>
      </c>
      <c r="Q29" s="354">
        <f t="shared" si="5"/>
        <v>6</v>
      </c>
      <c r="R29" s="339">
        <f t="shared" si="6"/>
        <v>498652</v>
      </c>
      <c r="S29" s="339">
        <f t="shared" si="7"/>
        <v>67998</v>
      </c>
      <c r="T29" s="337"/>
    </row>
    <row r="30" spans="1:20">
      <c r="A30" s="378"/>
      <c r="B30" s="378"/>
      <c r="C30" s="337" t="s">
        <v>1445</v>
      </c>
      <c r="D30" s="367">
        <v>26</v>
      </c>
      <c r="E30" s="337" t="s">
        <v>1437</v>
      </c>
      <c r="F30" s="337" t="s">
        <v>1446</v>
      </c>
      <c r="G30" s="346">
        <v>500000</v>
      </c>
      <c r="H30" s="346">
        <v>66650</v>
      </c>
      <c r="I30" s="340">
        <f t="shared" si="0"/>
        <v>566650</v>
      </c>
      <c r="J30" s="348">
        <v>50</v>
      </c>
      <c r="K30" s="381">
        <v>11333</v>
      </c>
      <c r="L30" s="356">
        <f t="shared" si="1"/>
        <v>1333</v>
      </c>
      <c r="M30" s="356">
        <f t="shared" si="2"/>
        <v>10000</v>
      </c>
      <c r="N30" s="356">
        <f t="shared" si="3"/>
        <v>3999</v>
      </c>
      <c r="O30" s="356">
        <f t="shared" si="4"/>
        <v>62651</v>
      </c>
      <c r="P30" s="358">
        <v>3</v>
      </c>
      <c r="Q30" s="354">
        <f t="shared" si="5"/>
        <v>47</v>
      </c>
      <c r="R30" s="339">
        <f t="shared" si="6"/>
        <v>33999</v>
      </c>
      <c r="S30" s="339">
        <f t="shared" si="7"/>
        <v>532651</v>
      </c>
      <c r="T30" s="337"/>
    </row>
    <row r="31" spans="1:20">
      <c r="A31" s="378"/>
      <c r="B31" s="378"/>
      <c r="C31" s="364" t="s">
        <v>1106</v>
      </c>
      <c r="D31" s="367">
        <v>27</v>
      </c>
      <c r="E31" s="337" t="s">
        <v>1437</v>
      </c>
      <c r="F31" s="337" t="s">
        <v>314</v>
      </c>
      <c r="G31" s="346">
        <v>500000</v>
      </c>
      <c r="H31" s="346">
        <v>66650</v>
      </c>
      <c r="I31" s="340">
        <f t="shared" si="0"/>
        <v>566650</v>
      </c>
      <c r="J31" s="348">
        <v>50</v>
      </c>
      <c r="K31" s="380">
        <v>11333</v>
      </c>
      <c r="L31" s="356">
        <f t="shared" si="1"/>
        <v>1333</v>
      </c>
      <c r="M31" s="356">
        <f t="shared" si="2"/>
        <v>10000</v>
      </c>
      <c r="N31" s="356">
        <f t="shared" si="3"/>
        <v>58652</v>
      </c>
      <c r="O31" s="356">
        <f t="shared" si="4"/>
        <v>7998</v>
      </c>
      <c r="P31" s="348">
        <v>44</v>
      </c>
      <c r="Q31" s="354">
        <f t="shared" si="5"/>
        <v>6</v>
      </c>
      <c r="R31" s="339">
        <f t="shared" si="6"/>
        <v>498652</v>
      </c>
      <c r="S31" s="339">
        <f t="shared" si="7"/>
        <v>67998</v>
      </c>
      <c r="T31" s="337"/>
    </row>
    <row r="32" spans="1:20">
      <c r="A32" s="378"/>
      <c r="B32" s="378"/>
      <c r="C32" s="364" t="s">
        <v>1046</v>
      </c>
      <c r="D32" s="367">
        <v>28</v>
      </c>
      <c r="E32" s="337" t="s">
        <v>1437</v>
      </c>
      <c r="F32" s="337" t="s">
        <v>349</v>
      </c>
      <c r="G32" s="346">
        <v>500000</v>
      </c>
      <c r="H32" s="346">
        <v>66650</v>
      </c>
      <c r="I32" s="340">
        <f t="shared" si="0"/>
        <v>566650</v>
      </c>
      <c r="J32" s="348">
        <v>50</v>
      </c>
      <c r="K32" s="380">
        <v>11333</v>
      </c>
      <c r="L32" s="356">
        <f t="shared" si="1"/>
        <v>1333</v>
      </c>
      <c r="M32" s="356">
        <f t="shared" si="2"/>
        <v>10000</v>
      </c>
      <c r="N32" s="356">
        <f t="shared" si="3"/>
        <v>47988</v>
      </c>
      <c r="O32" s="356">
        <f t="shared" si="4"/>
        <v>18662</v>
      </c>
      <c r="P32" s="348">
        <v>36</v>
      </c>
      <c r="Q32" s="354">
        <f t="shared" si="5"/>
        <v>14</v>
      </c>
      <c r="R32" s="339">
        <f t="shared" si="6"/>
        <v>407988</v>
      </c>
      <c r="S32" s="339">
        <f t="shared" si="7"/>
        <v>158662</v>
      </c>
      <c r="T32" s="337"/>
    </row>
    <row r="33" spans="1:20" ht="22.5">
      <c r="A33" s="378"/>
      <c r="B33" s="378"/>
      <c r="C33" s="337" t="s">
        <v>1440</v>
      </c>
      <c r="D33" s="367">
        <v>29</v>
      </c>
      <c r="E33" s="337" t="s">
        <v>1437</v>
      </c>
      <c r="F33" s="337" t="s">
        <v>1441</v>
      </c>
      <c r="G33" s="346">
        <v>500000</v>
      </c>
      <c r="H33" s="346">
        <v>66650</v>
      </c>
      <c r="I33" s="340">
        <f t="shared" si="0"/>
        <v>566650</v>
      </c>
      <c r="J33" s="348">
        <v>50</v>
      </c>
      <c r="K33" s="381">
        <v>11333</v>
      </c>
      <c r="L33" s="356">
        <f t="shared" si="1"/>
        <v>1333</v>
      </c>
      <c r="M33" s="356">
        <f t="shared" si="2"/>
        <v>10000</v>
      </c>
      <c r="N33" s="356">
        <f t="shared" si="3"/>
        <v>58652</v>
      </c>
      <c r="O33" s="356">
        <f t="shared" si="4"/>
        <v>7998</v>
      </c>
      <c r="P33" s="358">
        <v>44</v>
      </c>
      <c r="Q33" s="354">
        <f t="shared" si="5"/>
        <v>6</v>
      </c>
      <c r="R33" s="339">
        <f t="shared" si="6"/>
        <v>498652</v>
      </c>
      <c r="S33" s="339">
        <f t="shared" si="7"/>
        <v>67998</v>
      </c>
      <c r="T33" s="389" t="s">
        <v>1444</v>
      </c>
    </row>
    <row r="34" spans="1:20">
      <c r="A34" s="378"/>
      <c r="B34" s="378"/>
      <c r="C34" s="364" t="s">
        <v>1009</v>
      </c>
      <c r="D34" s="367">
        <v>30</v>
      </c>
      <c r="E34" s="337" t="s">
        <v>1437</v>
      </c>
      <c r="F34" s="337" t="s">
        <v>332</v>
      </c>
      <c r="G34" s="346">
        <v>500000</v>
      </c>
      <c r="H34" s="346">
        <v>66650</v>
      </c>
      <c r="I34" s="340">
        <f t="shared" si="0"/>
        <v>566650</v>
      </c>
      <c r="J34" s="348">
        <v>50</v>
      </c>
      <c r="K34" s="380">
        <v>11333</v>
      </c>
      <c r="L34" s="356">
        <f t="shared" si="1"/>
        <v>1333</v>
      </c>
      <c r="M34" s="356">
        <f t="shared" si="2"/>
        <v>10000</v>
      </c>
      <c r="N34" s="356">
        <f t="shared" si="3"/>
        <v>58652</v>
      </c>
      <c r="O34" s="356">
        <f t="shared" si="4"/>
        <v>7998</v>
      </c>
      <c r="P34" s="348">
        <v>44</v>
      </c>
      <c r="Q34" s="354">
        <f t="shared" si="5"/>
        <v>6</v>
      </c>
      <c r="R34" s="339">
        <f t="shared" si="6"/>
        <v>498652</v>
      </c>
      <c r="S34" s="339">
        <f t="shared" si="7"/>
        <v>67998</v>
      </c>
      <c r="T34" s="337"/>
    </row>
    <row r="35" spans="1:20">
      <c r="A35" s="378"/>
      <c r="B35" s="378"/>
      <c r="C35" s="361" t="s">
        <v>1342</v>
      </c>
      <c r="D35" s="367">
        <v>31</v>
      </c>
      <c r="E35" s="337" t="s">
        <v>1437</v>
      </c>
      <c r="F35" s="337" t="s">
        <v>1290</v>
      </c>
      <c r="G35" s="346">
        <v>500000</v>
      </c>
      <c r="H35" s="346">
        <v>66650</v>
      </c>
      <c r="I35" s="340">
        <f t="shared" si="0"/>
        <v>566650</v>
      </c>
      <c r="J35" s="348">
        <v>50</v>
      </c>
      <c r="K35" s="380">
        <v>11333</v>
      </c>
      <c r="L35" s="356">
        <f t="shared" si="1"/>
        <v>1333</v>
      </c>
      <c r="M35" s="356">
        <f t="shared" si="2"/>
        <v>10000</v>
      </c>
      <c r="N35" s="356">
        <f t="shared" si="3"/>
        <v>22661</v>
      </c>
      <c r="O35" s="356">
        <f t="shared" si="4"/>
        <v>43989</v>
      </c>
      <c r="P35" s="348">
        <v>17</v>
      </c>
      <c r="Q35" s="354">
        <f t="shared" si="5"/>
        <v>33</v>
      </c>
      <c r="R35" s="339">
        <f t="shared" si="6"/>
        <v>192661</v>
      </c>
      <c r="S35" s="339">
        <f t="shared" si="7"/>
        <v>373989</v>
      </c>
      <c r="T35" s="337"/>
    </row>
    <row r="36" spans="1:20">
      <c r="A36" s="378"/>
      <c r="B36" s="378"/>
      <c r="C36" s="364" t="s">
        <v>995</v>
      </c>
      <c r="D36" s="367">
        <v>32</v>
      </c>
      <c r="E36" s="337" t="s">
        <v>1437</v>
      </c>
      <c r="F36" s="337" t="s">
        <v>339</v>
      </c>
      <c r="G36" s="346">
        <v>500000</v>
      </c>
      <c r="H36" s="346">
        <v>66650</v>
      </c>
      <c r="I36" s="340">
        <f t="shared" si="0"/>
        <v>566650</v>
      </c>
      <c r="J36" s="348">
        <v>50</v>
      </c>
      <c r="K36" s="380">
        <v>11333</v>
      </c>
      <c r="L36" s="356">
        <f t="shared" si="1"/>
        <v>1333</v>
      </c>
      <c r="M36" s="356">
        <f t="shared" si="2"/>
        <v>10000</v>
      </c>
      <c r="N36" s="356">
        <f t="shared" si="3"/>
        <v>58652</v>
      </c>
      <c r="O36" s="356">
        <f t="shared" si="4"/>
        <v>7998</v>
      </c>
      <c r="P36" s="348">
        <v>44</v>
      </c>
      <c r="Q36" s="354">
        <f t="shared" si="5"/>
        <v>6</v>
      </c>
      <c r="R36" s="339">
        <f t="shared" si="6"/>
        <v>498652</v>
      </c>
      <c r="S36" s="339">
        <f t="shared" si="7"/>
        <v>67998</v>
      </c>
      <c r="T36" s="337"/>
    </row>
    <row r="37" spans="1:20">
      <c r="A37" s="378"/>
      <c r="B37" s="378"/>
      <c r="C37" s="362" t="s">
        <v>1366</v>
      </c>
      <c r="D37" s="367">
        <v>33</v>
      </c>
      <c r="E37" s="337" t="s">
        <v>1437</v>
      </c>
      <c r="F37" s="337" t="s">
        <v>1138</v>
      </c>
      <c r="G37" s="346">
        <v>450000</v>
      </c>
      <c r="H37" s="346">
        <v>59985</v>
      </c>
      <c r="I37" s="340">
        <f t="shared" si="0"/>
        <v>509985</v>
      </c>
      <c r="J37" s="348">
        <v>50</v>
      </c>
      <c r="K37" s="380">
        <v>10199.700000000001</v>
      </c>
      <c r="L37" s="356">
        <f t="shared" si="1"/>
        <v>1199.7</v>
      </c>
      <c r="M37" s="356">
        <f t="shared" si="2"/>
        <v>9000</v>
      </c>
      <c r="N37" s="356">
        <f t="shared" si="3"/>
        <v>22794.3</v>
      </c>
      <c r="O37" s="356">
        <f t="shared" ref="O37:O68" si="8">L37*Q37</f>
        <v>37190.700000000004</v>
      </c>
      <c r="P37" s="348">
        <v>19</v>
      </c>
      <c r="Q37" s="354">
        <f t="shared" si="5"/>
        <v>31</v>
      </c>
      <c r="R37" s="339">
        <f t="shared" si="6"/>
        <v>193794.30000000002</v>
      </c>
      <c r="S37" s="339">
        <f t="shared" ref="S37:S68" si="9">I37-R37</f>
        <v>316190.69999999995</v>
      </c>
      <c r="T37" s="337"/>
    </row>
    <row r="38" spans="1:20">
      <c r="A38" s="378"/>
      <c r="B38" s="378"/>
      <c r="C38" s="364" t="s">
        <v>998</v>
      </c>
      <c r="D38" s="367">
        <v>34</v>
      </c>
      <c r="E38" s="337" t="s">
        <v>1437</v>
      </c>
      <c r="F38" s="337" t="s">
        <v>363</v>
      </c>
      <c r="G38" s="346">
        <v>450000</v>
      </c>
      <c r="H38" s="346">
        <v>59985</v>
      </c>
      <c r="I38" s="340">
        <f t="shared" si="0"/>
        <v>509985</v>
      </c>
      <c r="J38" s="348">
        <v>50</v>
      </c>
      <c r="K38" s="380">
        <v>10199.700000000001</v>
      </c>
      <c r="L38" s="356">
        <f t="shared" si="1"/>
        <v>1199.7</v>
      </c>
      <c r="M38" s="356">
        <f t="shared" si="2"/>
        <v>9000</v>
      </c>
      <c r="N38" s="356">
        <f t="shared" si="3"/>
        <v>43189.200000000004</v>
      </c>
      <c r="O38" s="356">
        <f t="shared" si="8"/>
        <v>16795.8</v>
      </c>
      <c r="P38" s="348">
        <v>36</v>
      </c>
      <c r="Q38" s="354">
        <f t="shared" si="5"/>
        <v>14</v>
      </c>
      <c r="R38" s="339">
        <f t="shared" si="6"/>
        <v>367189.2</v>
      </c>
      <c r="S38" s="339">
        <f t="shared" si="9"/>
        <v>142795.79999999999</v>
      </c>
      <c r="T38" s="337"/>
    </row>
    <row r="39" spans="1:20">
      <c r="A39" s="378"/>
      <c r="B39" s="378"/>
      <c r="C39" s="337" t="s">
        <v>1079</v>
      </c>
      <c r="D39" s="367">
        <v>35</v>
      </c>
      <c r="E39" s="337" t="s">
        <v>1437</v>
      </c>
      <c r="F39" s="337" t="s">
        <v>302</v>
      </c>
      <c r="G39" s="346">
        <v>500000</v>
      </c>
      <c r="H39" s="346">
        <v>31992</v>
      </c>
      <c r="I39" s="340">
        <f t="shared" si="0"/>
        <v>531992</v>
      </c>
      <c r="J39" s="348">
        <v>24</v>
      </c>
      <c r="K39" s="380">
        <v>22166.34</v>
      </c>
      <c r="L39" s="356">
        <f>H39/24</f>
        <v>1333</v>
      </c>
      <c r="M39" s="356">
        <f t="shared" si="2"/>
        <v>10000</v>
      </c>
      <c r="N39" s="356">
        <f t="shared" si="3"/>
        <v>6665</v>
      </c>
      <c r="O39" s="356">
        <f t="shared" si="8"/>
        <v>25327</v>
      </c>
      <c r="P39" s="348">
        <v>5</v>
      </c>
      <c r="Q39" s="354">
        <f t="shared" si="5"/>
        <v>19</v>
      </c>
      <c r="R39" s="339">
        <f t="shared" si="6"/>
        <v>110831.7</v>
      </c>
      <c r="S39" s="339">
        <f t="shared" si="9"/>
        <v>421160.3</v>
      </c>
      <c r="T39" s="337"/>
    </row>
    <row r="40" spans="1:20">
      <c r="A40" s="378"/>
      <c r="B40" s="378"/>
      <c r="C40" s="361" t="s">
        <v>1320</v>
      </c>
      <c r="D40" s="367">
        <v>36</v>
      </c>
      <c r="E40" s="337" t="s">
        <v>1437</v>
      </c>
      <c r="F40" s="337" t="s">
        <v>464</v>
      </c>
      <c r="G40" s="346">
        <v>500000</v>
      </c>
      <c r="H40" s="346">
        <v>66650</v>
      </c>
      <c r="I40" s="340">
        <f t="shared" si="0"/>
        <v>566650</v>
      </c>
      <c r="J40" s="348">
        <v>40</v>
      </c>
      <c r="K40" s="380">
        <v>13833</v>
      </c>
      <c r="L40" s="356">
        <f t="shared" ref="L40:L50" si="10">H40/50</f>
        <v>1333</v>
      </c>
      <c r="M40" s="356">
        <f t="shared" si="2"/>
        <v>10000</v>
      </c>
      <c r="N40" s="356">
        <f t="shared" si="3"/>
        <v>9331</v>
      </c>
      <c r="O40" s="356">
        <f t="shared" si="8"/>
        <v>43989</v>
      </c>
      <c r="P40" s="348">
        <v>7</v>
      </c>
      <c r="Q40" s="354">
        <f t="shared" si="5"/>
        <v>33</v>
      </c>
      <c r="R40" s="339">
        <f t="shared" si="6"/>
        <v>96831</v>
      </c>
      <c r="S40" s="339">
        <f t="shared" si="9"/>
        <v>469819</v>
      </c>
      <c r="T40" s="337"/>
    </row>
    <row r="41" spans="1:20">
      <c r="A41" s="378"/>
      <c r="B41" s="378"/>
      <c r="C41" s="363" t="s">
        <v>1348</v>
      </c>
      <c r="D41" s="367">
        <v>37</v>
      </c>
      <c r="E41" s="337" t="s">
        <v>1437</v>
      </c>
      <c r="F41" s="337" t="s">
        <v>1349</v>
      </c>
      <c r="G41" s="346">
        <v>500000</v>
      </c>
      <c r="H41" s="346">
        <v>66650</v>
      </c>
      <c r="I41" s="340">
        <f t="shared" si="0"/>
        <v>566650</v>
      </c>
      <c r="J41" s="348">
        <v>50</v>
      </c>
      <c r="K41" s="380">
        <v>11333</v>
      </c>
      <c r="L41" s="356">
        <f t="shared" si="10"/>
        <v>1333</v>
      </c>
      <c r="M41" s="356">
        <f t="shared" si="2"/>
        <v>10000</v>
      </c>
      <c r="N41" s="356">
        <f t="shared" si="3"/>
        <v>13330</v>
      </c>
      <c r="O41" s="356">
        <f t="shared" si="8"/>
        <v>53320</v>
      </c>
      <c r="P41" s="348">
        <v>10</v>
      </c>
      <c r="Q41" s="354">
        <f t="shared" si="5"/>
        <v>40</v>
      </c>
      <c r="R41" s="339">
        <f t="shared" si="6"/>
        <v>113330</v>
      </c>
      <c r="S41" s="339">
        <f t="shared" si="9"/>
        <v>453320</v>
      </c>
      <c r="T41" s="337"/>
    </row>
    <row r="42" spans="1:20">
      <c r="A42" s="378"/>
      <c r="B42" s="378"/>
      <c r="C42" s="362" t="s">
        <v>1012</v>
      </c>
      <c r="D42" s="367">
        <v>38</v>
      </c>
      <c r="E42" s="337" t="s">
        <v>1437</v>
      </c>
      <c r="F42" s="337" t="s">
        <v>852</v>
      </c>
      <c r="G42" s="346">
        <v>330000</v>
      </c>
      <c r="H42" s="346">
        <v>43989</v>
      </c>
      <c r="I42" s="340">
        <f t="shared" si="0"/>
        <v>373989</v>
      </c>
      <c r="J42" s="348">
        <v>50</v>
      </c>
      <c r="K42" s="380">
        <v>7479.78</v>
      </c>
      <c r="L42" s="356">
        <f t="shared" si="10"/>
        <v>879.78</v>
      </c>
      <c r="M42" s="356">
        <f t="shared" si="2"/>
        <v>6600</v>
      </c>
      <c r="N42" s="356">
        <f t="shared" si="3"/>
        <v>23754.059999999998</v>
      </c>
      <c r="O42" s="356">
        <f t="shared" si="8"/>
        <v>20234.939999999999</v>
      </c>
      <c r="P42" s="348">
        <v>27</v>
      </c>
      <c r="Q42" s="354">
        <f t="shared" si="5"/>
        <v>23</v>
      </c>
      <c r="R42" s="339">
        <f t="shared" si="6"/>
        <v>201954.06</v>
      </c>
      <c r="S42" s="339">
        <f t="shared" si="9"/>
        <v>172034.94</v>
      </c>
      <c r="T42" s="337"/>
    </row>
    <row r="43" spans="1:20">
      <c r="A43" s="378"/>
      <c r="B43" s="378"/>
      <c r="C43" s="363" t="s">
        <v>1065</v>
      </c>
      <c r="D43" s="367">
        <v>39</v>
      </c>
      <c r="E43" s="337" t="s">
        <v>1437</v>
      </c>
      <c r="F43" s="337" t="s">
        <v>1066</v>
      </c>
      <c r="G43" s="346">
        <v>330000</v>
      </c>
      <c r="H43" s="346">
        <v>43989</v>
      </c>
      <c r="I43" s="340">
        <f t="shared" si="0"/>
        <v>373989</v>
      </c>
      <c r="J43" s="348">
        <v>50</v>
      </c>
      <c r="K43" s="380">
        <v>7479.78</v>
      </c>
      <c r="L43" s="356">
        <f t="shared" si="10"/>
        <v>879.78</v>
      </c>
      <c r="M43" s="356">
        <f t="shared" si="2"/>
        <v>6600</v>
      </c>
      <c r="N43" s="356">
        <f t="shared" si="3"/>
        <v>21114.720000000001</v>
      </c>
      <c r="O43" s="356">
        <f t="shared" si="8"/>
        <v>22874.28</v>
      </c>
      <c r="P43" s="348">
        <v>24</v>
      </c>
      <c r="Q43" s="354">
        <f t="shared" si="5"/>
        <v>26</v>
      </c>
      <c r="R43" s="339">
        <f t="shared" si="6"/>
        <v>179514.72</v>
      </c>
      <c r="S43" s="339">
        <f t="shared" si="9"/>
        <v>194474.28</v>
      </c>
      <c r="T43" s="337"/>
    </row>
    <row r="44" spans="1:20">
      <c r="A44" s="378"/>
      <c r="B44" s="378"/>
      <c r="C44" s="337" t="s">
        <v>1449</v>
      </c>
      <c r="D44" s="367">
        <v>40</v>
      </c>
      <c r="E44" s="337" t="s">
        <v>1437</v>
      </c>
      <c r="F44" s="337" t="s">
        <v>389</v>
      </c>
      <c r="G44" s="346">
        <v>500000</v>
      </c>
      <c r="H44" s="346">
        <v>66650</v>
      </c>
      <c r="I44" s="340">
        <f t="shared" si="0"/>
        <v>566650</v>
      </c>
      <c r="J44" s="348">
        <v>50</v>
      </c>
      <c r="K44" s="381">
        <v>11333</v>
      </c>
      <c r="L44" s="356">
        <f t="shared" si="10"/>
        <v>1333</v>
      </c>
      <c r="M44" s="356">
        <f t="shared" si="2"/>
        <v>10000</v>
      </c>
      <c r="N44" s="356">
        <f t="shared" si="3"/>
        <v>3999</v>
      </c>
      <c r="O44" s="356">
        <f t="shared" si="8"/>
        <v>62651</v>
      </c>
      <c r="P44" s="358">
        <v>3</v>
      </c>
      <c r="Q44" s="354">
        <f t="shared" si="5"/>
        <v>47</v>
      </c>
      <c r="R44" s="339">
        <f t="shared" si="6"/>
        <v>33999</v>
      </c>
      <c r="S44" s="339">
        <f t="shared" si="9"/>
        <v>532651</v>
      </c>
      <c r="T44" s="337"/>
    </row>
    <row r="45" spans="1:20">
      <c r="A45" s="378"/>
      <c r="B45" s="378"/>
      <c r="C45" s="364" t="s">
        <v>1029</v>
      </c>
      <c r="D45" s="367">
        <v>41</v>
      </c>
      <c r="E45" s="337" t="s">
        <v>1437</v>
      </c>
      <c r="F45" s="337" t="s">
        <v>1030</v>
      </c>
      <c r="G45" s="346">
        <v>450000</v>
      </c>
      <c r="H45" s="346">
        <v>59985</v>
      </c>
      <c r="I45" s="340">
        <f t="shared" si="0"/>
        <v>509985</v>
      </c>
      <c r="J45" s="348">
        <v>50</v>
      </c>
      <c r="K45" s="380">
        <v>10199.700000000001</v>
      </c>
      <c r="L45" s="356">
        <f t="shared" si="10"/>
        <v>1199.7</v>
      </c>
      <c r="M45" s="356">
        <f t="shared" si="2"/>
        <v>9000</v>
      </c>
      <c r="N45" s="356">
        <f t="shared" si="3"/>
        <v>28792.800000000003</v>
      </c>
      <c r="O45" s="356">
        <f t="shared" si="8"/>
        <v>31192.2</v>
      </c>
      <c r="P45" s="348">
        <v>24</v>
      </c>
      <c r="Q45" s="354">
        <f t="shared" si="5"/>
        <v>26</v>
      </c>
      <c r="R45" s="339">
        <f t="shared" si="6"/>
        <v>244792.80000000002</v>
      </c>
      <c r="S45" s="339">
        <f t="shared" si="9"/>
        <v>265192.19999999995</v>
      </c>
      <c r="T45" s="337"/>
    </row>
    <row r="46" spans="1:20">
      <c r="A46" s="378"/>
      <c r="B46" s="378"/>
      <c r="C46" s="361" t="s">
        <v>1377</v>
      </c>
      <c r="D46" s="367">
        <v>42</v>
      </c>
      <c r="E46" s="337" t="s">
        <v>1437</v>
      </c>
      <c r="F46" s="337" t="s">
        <v>1378</v>
      </c>
      <c r="G46" s="346">
        <v>330000</v>
      </c>
      <c r="H46" s="346">
        <v>43989</v>
      </c>
      <c r="I46" s="340">
        <f t="shared" si="0"/>
        <v>373989</v>
      </c>
      <c r="J46" s="348">
        <v>50</v>
      </c>
      <c r="K46" s="380">
        <v>7479.78</v>
      </c>
      <c r="L46" s="356">
        <f t="shared" si="10"/>
        <v>879.78</v>
      </c>
      <c r="M46" s="356">
        <f t="shared" si="2"/>
        <v>6600</v>
      </c>
      <c r="N46" s="356">
        <f t="shared" si="3"/>
        <v>8797.7999999999993</v>
      </c>
      <c r="O46" s="356">
        <f t="shared" si="8"/>
        <v>35191.199999999997</v>
      </c>
      <c r="P46" s="348">
        <v>10</v>
      </c>
      <c r="Q46" s="354">
        <f t="shared" si="5"/>
        <v>40</v>
      </c>
      <c r="R46" s="339">
        <f t="shared" si="6"/>
        <v>74797.8</v>
      </c>
      <c r="S46" s="339">
        <f t="shared" si="9"/>
        <v>299191.2</v>
      </c>
      <c r="T46" s="337"/>
    </row>
    <row r="47" spans="1:20">
      <c r="A47" s="378"/>
      <c r="B47" s="378"/>
      <c r="C47" s="361" t="s">
        <v>1339</v>
      </c>
      <c r="D47" s="367">
        <v>43</v>
      </c>
      <c r="E47" s="337" t="s">
        <v>1437</v>
      </c>
      <c r="F47" s="337" t="s">
        <v>408</v>
      </c>
      <c r="G47" s="346">
        <v>500000</v>
      </c>
      <c r="H47" s="346">
        <v>66650</v>
      </c>
      <c r="I47" s="340">
        <f t="shared" si="0"/>
        <v>566650</v>
      </c>
      <c r="J47" s="348">
        <v>50</v>
      </c>
      <c r="K47" s="380">
        <v>11333</v>
      </c>
      <c r="L47" s="356">
        <f t="shared" si="10"/>
        <v>1333</v>
      </c>
      <c r="M47" s="356">
        <f t="shared" si="2"/>
        <v>10000</v>
      </c>
      <c r="N47" s="356">
        <f t="shared" si="3"/>
        <v>9331</v>
      </c>
      <c r="O47" s="356">
        <f t="shared" si="8"/>
        <v>57319</v>
      </c>
      <c r="P47" s="348">
        <v>7</v>
      </c>
      <c r="Q47" s="354">
        <f t="shared" si="5"/>
        <v>43</v>
      </c>
      <c r="R47" s="339">
        <f t="shared" si="6"/>
        <v>79331</v>
      </c>
      <c r="S47" s="339">
        <f t="shared" si="9"/>
        <v>487319</v>
      </c>
      <c r="T47" s="337"/>
    </row>
    <row r="48" spans="1:20">
      <c r="A48" s="378"/>
      <c r="B48" s="378"/>
      <c r="C48" s="363" t="s">
        <v>1383</v>
      </c>
      <c r="D48" s="367">
        <v>44</v>
      </c>
      <c r="E48" s="337" t="s">
        <v>1437</v>
      </c>
      <c r="F48" s="337" t="s">
        <v>1384</v>
      </c>
      <c r="G48" s="346">
        <v>330000</v>
      </c>
      <c r="H48" s="346">
        <v>43989</v>
      </c>
      <c r="I48" s="340">
        <f t="shared" si="0"/>
        <v>373989</v>
      </c>
      <c r="J48" s="348">
        <v>50</v>
      </c>
      <c r="K48" s="380">
        <v>7479.78</v>
      </c>
      <c r="L48" s="356">
        <f t="shared" si="10"/>
        <v>879.78</v>
      </c>
      <c r="M48" s="356">
        <f t="shared" si="2"/>
        <v>6600</v>
      </c>
      <c r="N48" s="356">
        <f t="shared" si="3"/>
        <v>6158.46</v>
      </c>
      <c r="O48" s="356">
        <f t="shared" si="8"/>
        <v>37830.54</v>
      </c>
      <c r="P48" s="348">
        <v>7</v>
      </c>
      <c r="Q48" s="354">
        <f t="shared" si="5"/>
        <v>43</v>
      </c>
      <c r="R48" s="339">
        <f t="shared" si="6"/>
        <v>52358.46</v>
      </c>
      <c r="S48" s="339">
        <f t="shared" si="9"/>
        <v>321630.53999999998</v>
      </c>
      <c r="T48" s="337"/>
    </row>
    <row r="49" spans="1:20">
      <c r="A49" s="378"/>
      <c r="B49" s="378"/>
      <c r="C49" s="361" t="s">
        <v>1409</v>
      </c>
      <c r="D49" s="367">
        <v>45</v>
      </c>
      <c r="E49" s="337" t="s">
        <v>1437</v>
      </c>
      <c r="F49" s="337" t="s">
        <v>1407</v>
      </c>
      <c r="G49" s="346">
        <v>500000</v>
      </c>
      <c r="H49" s="346">
        <v>66650</v>
      </c>
      <c r="I49" s="340">
        <f t="shared" si="0"/>
        <v>566650</v>
      </c>
      <c r="J49" s="348">
        <v>50</v>
      </c>
      <c r="K49" s="380">
        <v>11333</v>
      </c>
      <c r="L49" s="356">
        <f t="shared" si="10"/>
        <v>1333</v>
      </c>
      <c r="M49" s="356">
        <f t="shared" si="2"/>
        <v>10000</v>
      </c>
      <c r="N49" s="356">
        <f t="shared" si="3"/>
        <v>35991</v>
      </c>
      <c r="O49" s="356">
        <f t="shared" si="8"/>
        <v>30659</v>
      </c>
      <c r="P49" s="348">
        <v>27</v>
      </c>
      <c r="Q49" s="354">
        <f t="shared" si="5"/>
        <v>23</v>
      </c>
      <c r="R49" s="339">
        <f t="shared" si="6"/>
        <v>305991</v>
      </c>
      <c r="S49" s="339">
        <f t="shared" si="9"/>
        <v>260659</v>
      </c>
      <c r="T49" s="337"/>
    </row>
    <row r="50" spans="1:20">
      <c r="A50" s="378"/>
      <c r="B50" s="378"/>
      <c r="C50" s="363" t="s">
        <v>1370</v>
      </c>
      <c r="D50" s="367">
        <v>46</v>
      </c>
      <c r="E50" s="337" t="s">
        <v>1437</v>
      </c>
      <c r="F50" s="337" t="s">
        <v>1371</v>
      </c>
      <c r="G50" s="346">
        <v>330000</v>
      </c>
      <c r="H50" s="346">
        <v>43989</v>
      </c>
      <c r="I50" s="340">
        <f t="shared" si="0"/>
        <v>373989</v>
      </c>
      <c r="J50" s="348">
        <v>50</v>
      </c>
      <c r="K50" s="380">
        <v>7479.78</v>
      </c>
      <c r="L50" s="356">
        <f t="shared" si="10"/>
        <v>879.78</v>
      </c>
      <c r="M50" s="356">
        <f t="shared" si="2"/>
        <v>6600</v>
      </c>
      <c r="N50" s="356">
        <f t="shared" si="3"/>
        <v>8797.7999999999993</v>
      </c>
      <c r="O50" s="356">
        <f t="shared" si="8"/>
        <v>35191.199999999997</v>
      </c>
      <c r="P50" s="348">
        <v>10</v>
      </c>
      <c r="Q50" s="354">
        <f t="shared" si="5"/>
        <v>40</v>
      </c>
      <c r="R50" s="339">
        <f t="shared" si="6"/>
        <v>74797.8</v>
      </c>
      <c r="S50" s="339">
        <f t="shared" si="9"/>
        <v>299191.2</v>
      </c>
      <c r="T50" s="337"/>
    </row>
    <row r="51" spans="1:20">
      <c r="A51" s="378"/>
      <c r="B51" s="378"/>
      <c r="C51" s="361" t="s">
        <v>1313</v>
      </c>
      <c r="D51" s="367">
        <v>47</v>
      </c>
      <c r="E51" s="337" t="s">
        <v>1437</v>
      </c>
      <c r="F51" s="337" t="s">
        <v>1314</v>
      </c>
      <c r="G51" s="346">
        <v>450000</v>
      </c>
      <c r="H51" s="346">
        <v>28792.799999999999</v>
      </c>
      <c r="I51" s="340">
        <f t="shared" si="0"/>
        <v>478792.8</v>
      </c>
      <c r="J51" s="348">
        <v>24</v>
      </c>
      <c r="K51" s="380">
        <v>19949.7</v>
      </c>
      <c r="L51" s="356">
        <f>H51/24</f>
        <v>1199.7</v>
      </c>
      <c r="M51" s="356">
        <f t="shared" si="2"/>
        <v>9000</v>
      </c>
      <c r="N51" s="356">
        <f t="shared" si="3"/>
        <v>8397.9</v>
      </c>
      <c r="O51" s="356">
        <f t="shared" si="8"/>
        <v>20394.900000000001</v>
      </c>
      <c r="P51" s="348">
        <v>7</v>
      </c>
      <c r="Q51" s="354">
        <f t="shared" si="5"/>
        <v>17</v>
      </c>
      <c r="R51" s="339">
        <f t="shared" si="6"/>
        <v>139647.9</v>
      </c>
      <c r="S51" s="339">
        <f t="shared" si="9"/>
        <v>339144.9</v>
      </c>
      <c r="T51" s="337"/>
    </row>
    <row r="52" spans="1:20">
      <c r="A52" s="378"/>
      <c r="B52" s="378"/>
      <c r="C52" s="362" t="s">
        <v>1400</v>
      </c>
      <c r="D52" s="367">
        <v>48</v>
      </c>
      <c r="E52" s="337" t="s">
        <v>1437</v>
      </c>
      <c r="F52" s="337" t="s">
        <v>1401</v>
      </c>
      <c r="G52" s="346">
        <v>150000</v>
      </c>
      <c r="H52" s="346">
        <v>19995</v>
      </c>
      <c r="I52" s="340">
        <f t="shared" si="0"/>
        <v>169995</v>
      </c>
      <c r="J52" s="348">
        <v>50</v>
      </c>
      <c r="K52" s="380">
        <v>3399.9</v>
      </c>
      <c r="L52" s="356">
        <f t="shared" ref="L52:L93" si="11">H52/50</f>
        <v>399.9</v>
      </c>
      <c r="M52" s="356">
        <f t="shared" si="2"/>
        <v>3000</v>
      </c>
      <c r="N52" s="356">
        <f t="shared" si="3"/>
        <v>4798.7999999999993</v>
      </c>
      <c r="O52" s="356">
        <f t="shared" si="8"/>
        <v>15196.199999999999</v>
      </c>
      <c r="P52" s="348">
        <v>12</v>
      </c>
      <c r="Q52" s="354">
        <f t="shared" si="5"/>
        <v>38</v>
      </c>
      <c r="R52" s="339">
        <f t="shared" si="6"/>
        <v>40798.800000000003</v>
      </c>
      <c r="S52" s="339">
        <f t="shared" si="9"/>
        <v>129196.2</v>
      </c>
      <c r="T52" s="337"/>
    </row>
    <row r="53" spans="1:20">
      <c r="A53" s="378"/>
      <c r="B53" s="378"/>
      <c r="C53" s="362" t="s">
        <v>1386</v>
      </c>
      <c r="D53" s="367">
        <v>49</v>
      </c>
      <c r="E53" s="337" t="s">
        <v>1437</v>
      </c>
      <c r="F53" s="337" t="s">
        <v>1387</v>
      </c>
      <c r="G53" s="346">
        <v>330000</v>
      </c>
      <c r="H53" s="346">
        <v>43989</v>
      </c>
      <c r="I53" s="340">
        <f t="shared" si="0"/>
        <v>373989</v>
      </c>
      <c r="J53" s="348">
        <v>50</v>
      </c>
      <c r="K53" s="380">
        <v>7479.78</v>
      </c>
      <c r="L53" s="356">
        <f t="shared" si="11"/>
        <v>879.78</v>
      </c>
      <c r="M53" s="356">
        <f t="shared" si="2"/>
        <v>6600</v>
      </c>
      <c r="N53" s="356">
        <f t="shared" si="3"/>
        <v>16715.82</v>
      </c>
      <c r="O53" s="356">
        <f t="shared" si="8"/>
        <v>27273.18</v>
      </c>
      <c r="P53" s="348">
        <v>19</v>
      </c>
      <c r="Q53" s="354">
        <f t="shared" si="5"/>
        <v>31</v>
      </c>
      <c r="R53" s="339">
        <f t="shared" si="6"/>
        <v>142115.82</v>
      </c>
      <c r="S53" s="339">
        <f t="shared" si="9"/>
        <v>231873.18</v>
      </c>
      <c r="T53" s="337"/>
    </row>
    <row r="54" spans="1:20">
      <c r="A54" s="378"/>
      <c r="B54" s="378"/>
      <c r="C54" s="362" t="s">
        <v>975</v>
      </c>
      <c r="D54" s="367">
        <v>50</v>
      </c>
      <c r="E54" s="337" t="s">
        <v>1437</v>
      </c>
      <c r="F54" s="337" t="s">
        <v>875</v>
      </c>
      <c r="G54" s="346">
        <v>450000</v>
      </c>
      <c r="H54" s="346">
        <v>59985</v>
      </c>
      <c r="I54" s="340">
        <f t="shared" si="0"/>
        <v>509985</v>
      </c>
      <c r="J54" s="348">
        <v>50</v>
      </c>
      <c r="K54" s="380">
        <v>10199.700000000001</v>
      </c>
      <c r="L54" s="356">
        <f t="shared" si="11"/>
        <v>1199.7</v>
      </c>
      <c r="M54" s="356">
        <f t="shared" si="2"/>
        <v>9000</v>
      </c>
      <c r="N54" s="356">
        <f t="shared" si="3"/>
        <v>32391.9</v>
      </c>
      <c r="O54" s="356">
        <f t="shared" si="8"/>
        <v>27593.100000000002</v>
      </c>
      <c r="P54" s="348">
        <v>27</v>
      </c>
      <c r="Q54" s="354">
        <f t="shared" si="5"/>
        <v>23</v>
      </c>
      <c r="R54" s="339">
        <f t="shared" si="6"/>
        <v>275391.90000000002</v>
      </c>
      <c r="S54" s="339">
        <f t="shared" si="9"/>
        <v>234593.09999999998</v>
      </c>
      <c r="T54" s="337"/>
    </row>
    <row r="55" spans="1:20">
      <c r="A55" s="378"/>
      <c r="B55" s="378"/>
      <c r="C55" s="364" t="s">
        <v>1357</v>
      </c>
      <c r="D55" s="367">
        <v>51</v>
      </c>
      <c r="E55" s="337" t="s">
        <v>1437</v>
      </c>
      <c r="F55" s="337" t="s">
        <v>858</v>
      </c>
      <c r="G55" s="346">
        <v>450000</v>
      </c>
      <c r="H55" s="346">
        <v>59985</v>
      </c>
      <c r="I55" s="340">
        <f t="shared" si="0"/>
        <v>509985</v>
      </c>
      <c r="J55" s="348">
        <v>50</v>
      </c>
      <c r="K55" s="380">
        <v>10199.700000000001</v>
      </c>
      <c r="L55" s="356">
        <f t="shared" si="11"/>
        <v>1199.7</v>
      </c>
      <c r="M55" s="356">
        <f t="shared" si="2"/>
        <v>9000</v>
      </c>
      <c r="N55" s="356">
        <f t="shared" si="3"/>
        <v>22794.3</v>
      </c>
      <c r="O55" s="356">
        <f t="shared" si="8"/>
        <v>37190.700000000004</v>
      </c>
      <c r="P55" s="348">
        <v>19</v>
      </c>
      <c r="Q55" s="354">
        <f t="shared" si="5"/>
        <v>31</v>
      </c>
      <c r="R55" s="339">
        <f t="shared" si="6"/>
        <v>193794.30000000002</v>
      </c>
      <c r="S55" s="339">
        <f t="shared" si="9"/>
        <v>316190.69999999995</v>
      </c>
      <c r="T55" s="337"/>
    </row>
    <row r="56" spans="1:20">
      <c r="A56" s="378"/>
      <c r="B56" s="378"/>
      <c r="C56" s="363" t="s">
        <v>1097</v>
      </c>
      <c r="D56" s="367">
        <v>52</v>
      </c>
      <c r="E56" s="337" t="s">
        <v>1437</v>
      </c>
      <c r="F56" s="337" t="s">
        <v>286</v>
      </c>
      <c r="G56" s="346">
        <v>450000</v>
      </c>
      <c r="H56" s="346">
        <v>59985</v>
      </c>
      <c r="I56" s="340">
        <f t="shared" si="0"/>
        <v>509985</v>
      </c>
      <c r="J56" s="348">
        <v>50</v>
      </c>
      <c r="K56" s="380">
        <v>10199.700000000001</v>
      </c>
      <c r="L56" s="356">
        <f t="shared" si="11"/>
        <v>1199.7</v>
      </c>
      <c r="M56" s="356">
        <f t="shared" si="2"/>
        <v>9000</v>
      </c>
      <c r="N56" s="356">
        <f t="shared" si="3"/>
        <v>55186.200000000004</v>
      </c>
      <c r="O56" s="356">
        <f t="shared" si="8"/>
        <v>4798.8</v>
      </c>
      <c r="P56" s="348">
        <v>46</v>
      </c>
      <c r="Q56" s="354">
        <f t="shared" si="5"/>
        <v>4</v>
      </c>
      <c r="R56" s="339">
        <f t="shared" si="6"/>
        <v>469186.2</v>
      </c>
      <c r="S56" s="339">
        <f t="shared" si="9"/>
        <v>40798.799999999988</v>
      </c>
      <c r="T56" s="337"/>
    </row>
    <row r="57" spans="1:20">
      <c r="A57" s="378"/>
      <c r="B57" s="378"/>
      <c r="C57" s="361" t="s">
        <v>1346</v>
      </c>
      <c r="D57" s="367">
        <v>53</v>
      </c>
      <c r="E57" s="337" t="s">
        <v>1437</v>
      </c>
      <c r="F57" s="337" t="s">
        <v>1347</v>
      </c>
      <c r="G57" s="346">
        <v>500000</v>
      </c>
      <c r="H57" s="346">
        <v>66650</v>
      </c>
      <c r="I57" s="340">
        <f t="shared" si="0"/>
        <v>566650</v>
      </c>
      <c r="J57" s="348">
        <v>50</v>
      </c>
      <c r="K57" s="380">
        <v>11333</v>
      </c>
      <c r="L57" s="356">
        <f t="shared" si="11"/>
        <v>1333</v>
      </c>
      <c r="M57" s="356">
        <f t="shared" si="2"/>
        <v>10000</v>
      </c>
      <c r="N57" s="356">
        <f t="shared" si="3"/>
        <v>15996</v>
      </c>
      <c r="O57" s="356">
        <f t="shared" si="8"/>
        <v>50654</v>
      </c>
      <c r="P57" s="348">
        <v>12</v>
      </c>
      <c r="Q57" s="354">
        <f t="shared" si="5"/>
        <v>38</v>
      </c>
      <c r="R57" s="339">
        <f t="shared" si="6"/>
        <v>135996</v>
      </c>
      <c r="S57" s="339">
        <f t="shared" si="9"/>
        <v>430654</v>
      </c>
      <c r="T57" s="337"/>
    </row>
    <row r="58" spans="1:20">
      <c r="A58" s="378"/>
      <c r="B58" s="378"/>
      <c r="C58" s="364" t="s">
        <v>1356</v>
      </c>
      <c r="D58" s="367">
        <v>54</v>
      </c>
      <c r="E58" s="337" t="s">
        <v>1437</v>
      </c>
      <c r="F58" s="337" t="s">
        <v>1286</v>
      </c>
      <c r="G58" s="346">
        <v>450000</v>
      </c>
      <c r="H58" s="346">
        <v>59985</v>
      </c>
      <c r="I58" s="340">
        <f t="shared" si="0"/>
        <v>509985</v>
      </c>
      <c r="J58" s="348">
        <v>50</v>
      </c>
      <c r="K58" s="380">
        <v>10199.700000000001</v>
      </c>
      <c r="L58" s="356">
        <f t="shared" si="11"/>
        <v>1199.7</v>
      </c>
      <c r="M58" s="356">
        <f t="shared" si="2"/>
        <v>9000</v>
      </c>
      <c r="N58" s="356">
        <f t="shared" si="3"/>
        <v>14396.400000000001</v>
      </c>
      <c r="O58" s="356">
        <f t="shared" si="8"/>
        <v>45588.6</v>
      </c>
      <c r="P58" s="348">
        <v>12</v>
      </c>
      <c r="Q58" s="354">
        <f t="shared" si="5"/>
        <v>38</v>
      </c>
      <c r="R58" s="339">
        <f t="shared" si="6"/>
        <v>122396.40000000001</v>
      </c>
      <c r="S58" s="339">
        <f t="shared" si="9"/>
        <v>387588.6</v>
      </c>
      <c r="T58" s="337"/>
    </row>
    <row r="59" spans="1:20">
      <c r="A59" s="378"/>
      <c r="B59" s="378"/>
      <c r="C59" s="364" t="s">
        <v>964</v>
      </c>
      <c r="D59" s="367">
        <v>55</v>
      </c>
      <c r="E59" s="337" t="s">
        <v>1437</v>
      </c>
      <c r="F59" s="337" t="s">
        <v>341</v>
      </c>
      <c r="G59" s="346">
        <v>500000</v>
      </c>
      <c r="H59" s="346">
        <v>66650</v>
      </c>
      <c r="I59" s="340">
        <f t="shared" si="0"/>
        <v>566650</v>
      </c>
      <c r="J59" s="348">
        <v>50</v>
      </c>
      <c r="K59" s="380">
        <v>11333</v>
      </c>
      <c r="L59" s="356">
        <f t="shared" si="11"/>
        <v>1333</v>
      </c>
      <c r="M59" s="356">
        <f t="shared" si="2"/>
        <v>10000</v>
      </c>
      <c r="N59" s="356">
        <f t="shared" si="3"/>
        <v>58652</v>
      </c>
      <c r="O59" s="356">
        <f t="shared" si="8"/>
        <v>7998</v>
      </c>
      <c r="P59" s="348">
        <v>44</v>
      </c>
      <c r="Q59" s="354">
        <f t="shared" si="5"/>
        <v>6</v>
      </c>
      <c r="R59" s="339">
        <f t="shared" si="6"/>
        <v>498652</v>
      </c>
      <c r="S59" s="339">
        <f t="shared" si="9"/>
        <v>67998</v>
      </c>
      <c r="T59" s="337"/>
    </row>
    <row r="60" spans="1:20">
      <c r="A60" s="378"/>
      <c r="B60" s="378"/>
      <c r="C60" s="364" t="s">
        <v>1103</v>
      </c>
      <c r="D60" s="367">
        <v>56</v>
      </c>
      <c r="E60" s="337" t="s">
        <v>1437</v>
      </c>
      <c r="F60" s="337" t="s">
        <v>310</v>
      </c>
      <c r="G60" s="346">
        <v>500000</v>
      </c>
      <c r="H60" s="346">
        <v>66650</v>
      </c>
      <c r="I60" s="340">
        <f t="shared" si="0"/>
        <v>566650</v>
      </c>
      <c r="J60" s="348">
        <v>50</v>
      </c>
      <c r="K60" s="380">
        <v>11333</v>
      </c>
      <c r="L60" s="356">
        <f t="shared" si="11"/>
        <v>1333</v>
      </c>
      <c r="M60" s="356">
        <f t="shared" si="2"/>
        <v>10000</v>
      </c>
      <c r="N60" s="356">
        <f t="shared" si="3"/>
        <v>58652</v>
      </c>
      <c r="O60" s="356">
        <f t="shared" si="8"/>
        <v>7998</v>
      </c>
      <c r="P60" s="348">
        <v>44</v>
      </c>
      <c r="Q60" s="354">
        <f t="shared" si="5"/>
        <v>6</v>
      </c>
      <c r="R60" s="339">
        <f t="shared" si="6"/>
        <v>498652</v>
      </c>
      <c r="S60" s="339">
        <f t="shared" si="9"/>
        <v>67998</v>
      </c>
      <c r="T60" s="337"/>
    </row>
    <row r="61" spans="1:20">
      <c r="A61" s="378"/>
      <c r="B61" s="378"/>
      <c r="C61" s="364" t="s">
        <v>1043</v>
      </c>
      <c r="D61" s="367">
        <v>57</v>
      </c>
      <c r="E61" s="337" t="s">
        <v>1437</v>
      </c>
      <c r="F61" s="337" t="s">
        <v>444</v>
      </c>
      <c r="G61" s="346">
        <v>500000</v>
      </c>
      <c r="H61" s="346">
        <v>66650</v>
      </c>
      <c r="I61" s="340">
        <f t="shared" si="0"/>
        <v>566650</v>
      </c>
      <c r="J61" s="348">
        <v>50</v>
      </c>
      <c r="K61" s="380">
        <v>11333</v>
      </c>
      <c r="L61" s="356">
        <f t="shared" si="11"/>
        <v>1333</v>
      </c>
      <c r="M61" s="356">
        <f t="shared" si="2"/>
        <v>10000</v>
      </c>
      <c r="N61" s="356">
        <f t="shared" si="3"/>
        <v>42656</v>
      </c>
      <c r="O61" s="356">
        <f t="shared" si="8"/>
        <v>23994</v>
      </c>
      <c r="P61" s="348">
        <v>32</v>
      </c>
      <c r="Q61" s="354">
        <f t="shared" si="5"/>
        <v>18</v>
      </c>
      <c r="R61" s="339">
        <f t="shared" si="6"/>
        <v>362656</v>
      </c>
      <c r="S61" s="339">
        <f t="shared" si="9"/>
        <v>203994</v>
      </c>
      <c r="T61" s="337"/>
    </row>
    <row r="62" spans="1:20">
      <c r="A62" s="378"/>
      <c r="B62" s="378"/>
      <c r="C62" s="363" t="s">
        <v>1001</v>
      </c>
      <c r="D62" s="367">
        <v>58</v>
      </c>
      <c r="E62" s="337" t="s">
        <v>1437</v>
      </c>
      <c r="F62" s="337" t="s">
        <v>834</v>
      </c>
      <c r="G62" s="346">
        <v>330000</v>
      </c>
      <c r="H62" s="346">
        <v>43989</v>
      </c>
      <c r="I62" s="340">
        <f t="shared" si="0"/>
        <v>373989</v>
      </c>
      <c r="J62" s="348">
        <v>50</v>
      </c>
      <c r="K62" s="380">
        <v>7479.78</v>
      </c>
      <c r="L62" s="356">
        <f t="shared" si="11"/>
        <v>879.78</v>
      </c>
      <c r="M62" s="356">
        <f t="shared" si="2"/>
        <v>6600</v>
      </c>
      <c r="N62" s="356">
        <f t="shared" si="3"/>
        <v>28152.959999999999</v>
      </c>
      <c r="O62" s="356">
        <f t="shared" si="8"/>
        <v>15836.039999999999</v>
      </c>
      <c r="P62" s="348">
        <v>32</v>
      </c>
      <c r="Q62" s="354">
        <f t="shared" si="5"/>
        <v>18</v>
      </c>
      <c r="R62" s="339">
        <f t="shared" si="6"/>
        <v>239352.95999999999</v>
      </c>
      <c r="S62" s="339">
        <f t="shared" si="9"/>
        <v>134636.04</v>
      </c>
      <c r="T62" s="337"/>
    </row>
    <row r="63" spans="1:20">
      <c r="A63" s="378"/>
      <c r="B63" s="378"/>
      <c r="C63" s="361" t="s">
        <v>996</v>
      </c>
      <c r="D63" s="367">
        <v>59</v>
      </c>
      <c r="E63" s="337" t="s">
        <v>1437</v>
      </c>
      <c r="F63" s="337" t="s">
        <v>338</v>
      </c>
      <c r="G63" s="346">
        <v>500000</v>
      </c>
      <c r="H63" s="346">
        <v>66650</v>
      </c>
      <c r="I63" s="340">
        <f t="shared" si="0"/>
        <v>566650</v>
      </c>
      <c r="J63" s="348">
        <v>40</v>
      </c>
      <c r="K63" s="380">
        <v>13833</v>
      </c>
      <c r="L63" s="356">
        <f t="shared" si="11"/>
        <v>1333</v>
      </c>
      <c r="M63" s="356">
        <f t="shared" si="2"/>
        <v>10000</v>
      </c>
      <c r="N63" s="356">
        <f t="shared" si="3"/>
        <v>9331</v>
      </c>
      <c r="O63" s="356">
        <f t="shared" si="8"/>
        <v>43989</v>
      </c>
      <c r="P63" s="348">
        <v>7</v>
      </c>
      <c r="Q63" s="354">
        <f t="shared" si="5"/>
        <v>33</v>
      </c>
      <c r="R63" s="339">
        <f t="shared" si="6"/>
        <v>96831</v>
      </c>
      <c r="S63" s="339">
        <f t="shared" si="9"/>
        <v>469819</v>
      </c>
      <c r="T63" s="337"/>
    </row>
    <row r="64" spans="1:20">
      <c r="A64" s="378"/>
      <c r="B64" s="378"/>
      <c r="C64" s="361" t="s">
        <v>1335</v>
      </c>
      <c r="D64" s="367">
        <v>60</v>
      </c>
      <c r="E64" s="337" t="s">
        <v>1437</v>
      </c>
      <c r="F64" s="337" t="s">
        <v>1336</v>
      </c>
      <c r="G64" s="346">
        <v>500000</v>
      </c>
      <c r="H64" s="346">
        <v>66650</v>
      </c>
      <c r="I64" s="340">
        <f t="shared" si="0"/>
        <v>566650</v>
      </c>
      <c r="J64" s="348">
        <v>50</v>
      </c>
      <c r="K64" s="380">
        <v>11333</v>
      </c>
      <c r="L64" s="356">
        <f t="shared" si="11"/>
        <v>1333</v>
      </c>
      <c r="M64" s="356">
        <f t="shared" si="2"/>
        <v>10000</v>
      </c>
      <c r="N64" s="356">
        <f t="shared" si="3"/>
        <v>18662</v>
      </c>
      <c r="O64" s="356">
        <f t="shared" si="8"/>
        <v>47988</v>
      </c>
      <c r="P64" s="348">
        <v>14</v>
      </c>
      <c r="Q64" s="354">
        <f t="shared" si="5"/>
        <v>36</v>
      </c>
      <c r="R64" s="339">
        <f t="shared" si="6"/>
        <v>158662</v>
      </c>
      <c r="S64" s="339">
        <f t="shared" si="9"/>
        <v>407988</v>
      </c>
      <c r="T64" s="337"/>
    </row>
    <row r="65" spans="1:20">
      <c r="A65" s="378"/>
      <c r="B65" s="378"/>
      <c r="C65" s="364" t="s">
        <v>1312</v>
      </c>
      <c r="D65" s="367">
        <v>61</v>
      </c>
      <c r="E65" s="337" t="s">
        <v>1437</v>
      </c>
      <c r="F65" s="337" t="s">
        <v>436</v>
      </c>
      <c r="G65" s="346">
        <v>500000</v>
      </c>
      <c r="H65" s="346">
        <v>66650</v>
      </c>
      <c r="I65" s="340">
        <f t="shared" si="0"/>
        <v>566650</v>
      </c>
      <c r="J65" s="348">
        <v>25</v>
      </c>
      <c r="K65" s="380">
        <v>21333</v>
      </c>
      <c r="L65" s="356">
        <f t="shared" si="11"/>
        <v>1333</v>
      </c>
      <c r="M65" s="356">
        <f t="shared" si="2"/>
        <v>10000</v>
      </c>
      <c r="N65" s="356">
        <f t="shared" si="3"/>
        <v>15996</v>
      </c>
      <c r="O65" s="356">
        <f t="shared" si="8"/>
        <v>17329</v>
      </c>
      <c r="P65" s="348">
        <v>12</v>
      </c>
      <c r="Q65" s="354">
        <f t="shared" si="5"/>
        <v>13</v>
      </c>
      <c r="R65" s="339">
        <f t="shared" si="6"/>
        <v>255996</v>
      </c>
      <c r="S65" s="339">
        <f t="shared" si="9"/>
        <v>310654</v>
      </c>
      <c r="T65" s="337"/>
    </row>
    <row r="66" spans="1:20">
      <c r="A66" s="378"/>
      <c r="B66" s="378"/>
      <c r="C66" s="361" t="s">
        <v>1044</v>
      </c>
      <c r="D66" s="367">
        <v>62</v>
      </c>
      <c r="E66" s="337" t="s">
        <v>1437</v>
      </c>
      <c r="F66" s="337" t="s">
        <v>844</v>
      </c>
      <c r="G66" s="346">
        <v>150000</v>
      </c>
      <c r="H66" s="346">
        <v>19995</v>
      </c>
      <c r="I66" s="340">
        <f t="shared" si="0"/>
        <v>169995</v>
      </c>
      <c r="J66" s="348">
        <v>50</v>
      </c>
      <c r="K66" s="380">
        <v>3399.9</v>
      </c>
      <c r="L66" s="356">
        <f t="shared" si="11"/>
        <v>399.9</v>
      </c>
      <c r="M66" s="356">
        <f t="shared" si="2"/>
        <v>3000</v>
      </c>
      <c r="N66" s="356">
        <f t="shared" si="3"/>
        <v>12796.8</v>
      </c>
      <c r="O66" s="356">
        <f t="shared" si="8"/>
        <v>7198.2</v>
      </c>
      <c r="P66" s="348">
        <v>32</v>
      </c>
      <c r="Q66" s="354">
        <f t="shared" si="5"/>
        <v>18</v>
      </c>
      <c r="R66" s="339">
        <f t="shared" si="6"/>
        <v>108796.8</v>
      </c>
      <c r="S66" s="339">
        <f t="shared" si="9"/>
        <v>61198.2</v>
      </c>
      <c r="T66" s="337"/>
    </row>
    <row r="67" spans="1:20">
      <c r="A67" s="378"/>
      <c r="B67" s="378"/>
      <c r="C67" s="364" t="s">
        <v>1328</v>
      </c>
      <c r="D67" s="367">
        <v>63</v>
      </c>
      <c r="E67" s="337" t="s">
        <v>1437</v>
      </c>
      <c r="F67" s="337" t="s">
        <v>433</v>
      </c>
      <c r="G67" s="346">
        <v>500000</v>
      </c>
      <c r="H67" s="346">
        <v>66650</v>
      </c>
      <c r="I67" s="340">
        <f t="shared" si="0"/>
        <v>566650</v>
      </c>
      <c r="J67" s="348">
        <v>50</v>
      </c>
      <c r="K67" s="380">
        <v>11333</v>
      </c>
      <c r="L67" s="356">
        <f t="shared" si="11"/>
        <v>1333</v>
      </c>
      <c r="M67" s="356">
        <f t="shared" si="2"/>
        <v>10000</v>
      </c>
      <c r="N67" s="356">
        <f t="shared" si="3"/>
        <v>23994</v>
      </c>
      <c r="O67" s="356">
        <f t="shared" si="8"/>
        <v>42656</v>
      </c>
      <c r="P67" s="348">
        <v>18</v>
      </c>
      <c r="Q67" s="354">
        <f t="shared" si="5"/>
        <v>32</v>
      </c>
      <c r="R67" s="339">
        <f t="shared" si="6"/>
        <v>203994</v>
      </c>
      <c r="S67" s="339">
        <f t="shared" si="9"/>
        <v>362656</v>
      </c>
      <c r="T67" s="337"/>
    </row>
    <row r="68" spans="1:20">
      <c r="A68" s="378"/>
      <c r="B68" s="378"/>
      <c r="C68" s="362" t="s">
        <v>1058</v>
      </c>
      <c r="D68" s="367">
        <v>64</v>
      </c>
      <c r="E68" s="337" t="s">
        <v>1437</v>
      </c>
      <c r="F68" s="337" t="s">
        <v>346</v>
      </c>
      <c r="G68" s="346">
        <v>500000</v>
      </c>
      <c r="H68" s="346">
        <v>66650</v>
      </c>
      <c r="I68" s="340">
        <f t="shared" si="0"/>
        <v>566650</v>
      </c>
      <c r="J68" s="348">
        <v>50</v>
      </c>
      <c r="K68" s="380">
        <v>11333</v>
      </c>
      <c r="L68" s="356">
        <f t="shared" si="11"/>
        <v>1333</v>
      </c>
      <c r="M68" s="356">
        <f t="shared" si="2"/>
        <v>10000</v>
      </c>
      <c r="N68" s="356">
        <f t="shared" si="3"/>
        <v>57319</v>
      </c>
      <c r="O68" s="356">
        <f t="shared" si="8"/>
        <v>9331</v>
      </c>
      <c r="P68" s="348">
        <v>43</v>
      </c>
      <c r="Q68" s="354">
        <f t="shared" si="5"/>
        <v>7</v>
      </c>
      <c r="R68" s="339">
        <f t="shared" si="6"/>
        <v>487319</v>
      </c>
      <c r="S68" s="339">
        <f t="shared" si="9"/>
        <v>79331</v>
      </c>
      <c r="T68" s="337"/>
    </row>
    <row r="69" spans="1:20">
      <c r="A69" s="378"/>
      <c r="B69" s="378"/>
      <c r="C69" s="364" t="s">
        <v>1322</v>
      </c>
      <c r="D69" s="367">
        <v>65</v>
      </c>
      <c r="E69" s="337" t="s">
        <v>1437</v>
      </c>
      <c r="F69" s="337" t="s">
        <v>1122</v>
      </c>
      <c r="G69" s="346">
        <v>500000</v>
      </c>
      <c r="H69" s="346">
        <v>66650</v>
      </c>
      <c r="I69" s="340">
        <f t="shared" ref="I69:I132" si="12">SUM(G69:H69)</f>
        <v>566650</v>
      </c>
      <c r="J69" s="348">
        <v>50</v>
      </c>
      <c r="K69" s="380">
        <v>11333</v>
      </c>
      <c r="L69" s="356">
        <f t="shared" si="11"/>
        <v>1333</v>
      </c>
      <c r="M69" s="356">
        <f t="shared" ref="M69:M132" si="13">G69/50</f>
        <v>10000</v>
      </c>
      <c r="N69" s="356">
        <f t="shared" ref="N69:N132" si="14">L69*P69</f>
        <v>25327</v>
      </c>
      <c r="O69" s="356">
        <f t="shared" ref="O69:O100" si="15">L69*Q69</f>
        <v>41323</v>
      </c>
      <c r="P69" s="348">
        <v>19</v>
      </c>
      <c r="Q69" s="354">
        <f t="shared" ref="Q69:Q132" si="16">J69-P69</f>
        <v>31</v>
      </c>
      <c r="R69" s="339">
        <f t="shared" ref="R69:R132" si="17">K69*P69</f>
        <v>215327</v>
      </c>
      <c r="S69" s="339">
        <f t="shared" ref="S69:S100" si="18">I69-R69</f>
        <v>351323</v>
      </c>
      <c r="T69" s="337"/>
    </row>
    <row r="70" spans="1:20">
      <c r="A70" s="378"/>
      <c r="B70" s="378"/>
      <c r="C70" s="362" t="s">
        <v>1098</v>
      </c>
      <c r="D70" s="367">
        <v>66</v>
      </c>
      <c r="E70" s="337" t="s">
        <v>1437</v>
      </c>
      <c r="F70" s="337" t="s">
        <v>345</v>
      </c>
      <c r="G70" s="346">
        <v>500000</v>
      </c>
      <c r="H70" s="346">
        <v>66650</v>
      </c>
      <c r="I70" s="340">
        <f t="shared" si="12"/>
        <v>566650</v>
      </c>
      <c r="J70" s="348">
        <v>50</v>
      </c>
      <c r="K70" s="380">
        <v>11333</v>
      </c>
      <c r="L70" s="356">
        <f t="shared" si="11"/>
        <v>1333</v>
      </c>
      <c r="M70" s="356">
        <f t="shared" si="13"/>
        <v>10000</v>
      </c>
      <c r="N70" s="356">
        <f t="shared" si="14"/>
        <v>58652</v>
      </c>
      <c r="O70" s="356">
        <f t="shared" si="15"/>
        <v>7998</v>
      </c>
      <c r="P70" s="348">
        <v>44</v>
      </c>
      <c r="Q70" s="354">
        <f t="shared" si="16"/>
        <v>6</v>
      </c>
      <c r="R70" s="339">
        <f t="shared" si="17"/>
        <v>498652</v>
      </c>
      <c r="S70" s="339">
        <f t="shared" si="18"/>
        <v>67998</v>
      </c>
      <c r="T70" s="337"/>
    </row>
    <row r="71" spans="1:20">
      <c r="A71" s="378"/>
      <c r="B71" s="378"/>
      <c r="C71" s="362" t="s">
        <v>1125</v>
      </c>
      <c r="D71" s="367">
        <v>67</v>
      </c>
      <c r="E71" s="337" t="s">
        <v>1437</v>
      </c>
      <c r="F71" s="337" t="s">
        <v>452</v>
      </c>
      <c r="G71" s="346">
        <v>500000</v>
      </c>
      <c r="H71" s="346">
        <v>66650</v>
      </c>
      <c r="I71" s="340">
        <f t="shared" si="12"/>
        <v>566650</v>
      </c>
      <c r="J71" s="348">
        <v>50</v>
      </c>
      <c r="K71" s="380">
        <v>11333</v>
      </c>
      <c r="L71" s="356">
        <f t="shared" si="11"/>
        <v>1333</v>
      </c>
      <c r="M71" s="356">
        <f t="shared" si="13"/>
        <v>10000</v>
      </c>
      <c r="N71" s="356">
        <f t="shared" si="14"/>
        <v>26660</v>
      </c>
      <c r="O71" s="356">
        <f t="shared" si="15"/>
        <v>39990</v>
      </c>
      <c r="P71" s="348">
        <v>20</v>
      </c>
      <c r="Q71" s="354">
        <f t="shared" si="16"/>
        <v>30</v>
      </c>
      <c r="R71" s="339">
        <f t="shared" si="17"/>
        <v>226660</v>
      </c>
      <c r="S71" s="339">
        <f t="shared" si="18"/>
        <v>339990</v>
      </c>
      <c r="T71" s="337"/>
    </row>
    <row r="72" spans="1:20">
      <c r="A72" s="378"/>
      <c r="B72" s="378"/>
      <c r="C72" s="364" t="s">
        <v>1390</v>
      </c>
      <c r="D72" s="367">
        <v>68</v>
      </c>
      <c r="E72" s="337" t="s">
        <v>1437</v>
      </c>
      <c r="F72" s="337" t="s">
        <v>1391</v>
      </c>
      <c r="G72" s="346">
        <v>150000</v>
      </c>
      <c r="H72" s="346">
        <v>19995</v>
      </c>
      <c r="I72" s="340">
        <f t="shared" si="12"/>
        <v>169995</v>
      </c>
      <c r="J72" s="348">
        <v>40</v>
      </c>
      <c r="K72" s="380">
        <v>4149.8999999999996</v>
      </c>
      <c r="L72" s="356">
        <f t="shared" si="11"/>
        <v>399.9</v>
      </c>
      <c r="M72" s="356">
        <f t="shared" si="13"/>
        <v>3000</v>
      </c>
      <c r="N72" s="356">
        <f t="shared" si="14"/>
        <v>7598.0999999999995</v>
      </c>
      <c r="O72" s="356">
        <f t="shared" si="15"/>
        <v>8397.9</v>
      </c>
      <c r="P72" s="348">
        <v>19</v>
      </c>
      <c r="Q72" s="354">
        <f t="shared" si="16"/>
        <v>21</v>
      </c>
      <c r="R72" s="339">
        <f t="shared" si="17"/>
        <v>78848.099999999991</v>
      </c>
      <c r="S72" s="339">
        <f t="shared" si="18"/>
        <v>91146.900000000009</v>
      </c>
      <c r="T72" s="337"/>
    </row>
    <row r="73" spans="1:20">
      <c r="A73" s="378"/>
      <c r="B73" s="378"/>
      <c r="C73" s="362" t="s">
        <v>1067</v>
      </c>
      <c r="D73" s="367">
        <v>69</v>
      </c>
      <c r="E73" s="337" t="s">
        <v>1437</v>
      </c>
      <c r="F73" s="337" t="s">
        <v>368</v>
      </c>
      <c r="G73" s="346">
        <v>450000</v>
      </c>
      <c r="H73" s="346">
        <v>59985</v>
      </c>
      <c r="I73" s="340">
        <f t="shared" si="12"/>
        <v>509985</v>
      </c>
      <c r="J73" s="348">
        <v>50</v>
      </c>
      <c r="K73" s="380">
        <v>10199.700000000001</v>
      </c>
      <c r="L73" s="356">
        <f t="shared" si="11"/>
        <v>1199.7</v>
      </c>
      <c r="M73" s="356">
        <f t="shared" si="13"/>
        <v>9000</v>
      </c>
      <c r="N73" s="356">
        <f t="shared" si="14"/>
        <v>51587.1</v>
      </c>
      <c r="O73" s="356">
        <f t="shared" si="15"/>
        <v>8397.9</v>
      </c>
      <c r="P73" s="348">
        <v>43</v>
      </c>
      <c r="Q73" s="354">
        <f t="shared" si="16"/>
        <v>7</v>
      </c>
      <c r="R73" s="339">
        <f t="shared" si="17"/>
        <v>438587.10000000003</v>
      </c>
      <c r="S73" s="339">
        <f t="shared" si="18"/>
        <v>71397.899999999965</v>
      </c>
      <c r="T73" s="337"/>
    </row>
    <row r="74" spans="1:20">
      <c r="A74" s="378"/>
      <c r="B74" s="378"/>
      <c r="C74" s="362" t="s">
        <v>1078</v>
      </c>
      <c r="D74" s="367">
        <v>70</v>
      </c>
      <c r="E74" s="337" t="s">
        <v>1437</v>
      </c>
      <c r="F74" s="337" t="s">
        <v>446</v>
      </c>
      <c r="G74" s="346">
        <v>330000</v>
      </c>
      <c r="H74" s="346">
        <v>43989</v>
      </c>
      <c r="I74" s="340">
        <f t="shared" si="12"/>
        <v>373989</v>
      </c>
      <c r="J74" s="348">
        <v>50</v>
      </c>
      <c r="K74" s="380">
        <v>7479.78</v>
      </c>
      <c r="L74" s="356">
        <f t="shared" si="11"/>
        <v>879.78</v>
      </c>
      <c r="M74" s="356">
        <f t="shared" si="13"/>
        <v>6600</v>
      </c>
      <c r="N74" s="356">
        <f t="shared" si="14"/>
        <v>23754.059999999998</v>
      </c>
      <c r="O74" s="356">
        <f t="shared" si="15"/>
        <v>20234.939999999999</v>
      </c>
      <c r="P74" s="348">
        <v>27</v>
      </c>
      <c r="Q74" s="354">
        <f t="shared" si="16"/>
        <v>23</v>
      </c>
      <c r="R74" s="339">
        <f t="shared" si="17"/>
        <v>201954.06</v>
      </c>
      <c r="S74" s="339">
        <f t="shared" si="18"/>
        <v>172034.94</v>
      </c>
      <c r="T74" s="337"/>
    </row>
    <row r="75" spans="1:20">
      <c r="A75" s="378"/>
      <c r="B75" s="378"/>
      <c r="C75" s="337" t="s">
        <v>971</v>
      </c>
      <c r="D75" s="367">
        <v>71</v>
      </c>
      <c r="E75" s="337" t="s">
        <v>1437</v>
      </c>
      <c r="F75" s="337" t="s">
        <v>112</v>
      </c>
      <c r="G75" s="346">
        <v>330000</v>
      </c>
      <c r="H75" s="346">
        <v>43989</v>
      </c>
      <c r="I75" s="340">
        <f t="shared" si="12"/>
        <v>373989</v>
      </c>
      <c r="J75" s="348">
        <v>50</v>
      </c>
      <c r="K75" s="381">
        <v>7479.78</v>
      </c>
      <c r="L75" s="356">
        <f t="shared" si="11"/>
        <v>879.78</v>
      </c>
      <c r="M75" s="356">
        <f t="shared" si="13"/>
        <v>6600</v>
      </c>
      <c r="N75" s="356">
        <f t="shared" si="14"/>
        <v>2639.34</v>
      </c>
      <c r="O75" s="356">
        <f t="shared" si="15"/>
        <v>41349.659999999996</v>
      </c>
      <c r="P75" s="358">
        <v>3</v>
      </c>
      <c r="Q75" s="354">
        <f t="shared" si="16"/>
        <v>47</v>
      </c>
      <c r="R75" s="339">
        <f t="shared" si="17"/>
        <v>22439.34</v>
      </c>
      <c r="S75" s="339">
        <f t="shared" si="18"/>
        <v>351549.66</v>
      </c>
      <c r="T75" s="337"/>
    </row>
    <row r="76" spans="1:20">
      <c r="A76" s="378"/>
      <c r="B76" s="378"/>
      <c r="C76" s="361" t="s">
        <v>1120</v>
      </c>
      <c r="D76" s="367">
        <v>72</v>
      </c>
      <c r="E76" s="337" t="s">
        <v>1437</v>
      </c>
      <c r="F76" s="337" t="s">
        <v>1121</v>
      </c>
      <c r="G76" s="346">
        <v>150000</v>
      </c>
      <c r="H76" s="346">
        <v>19995</v>
      </c>
      <c r="I76" s="340">
        <f t="shared" si="12"/>
        <v>169995</v>
      </c>
      <c r="J76" s="348">
        <v>50</v>
      </c>
      <c r="K76" s="380">
        <v>3399.9</v>
      </c>
      <c r="L76" s="356">
        <f t="shared" si="11"/>
        <v>399.9</v>
      </c>
      <c r="M76" s="356">
        <f t="shared" si="13"/>
        <v>3000</v>
      </c>
      <c r="N76" s="356">
        <f t="shared" si="14"/>
        <v>7998</v>
      </c>
      <c r="O76" s="356">
        <f t="shared" si="15"/>
        <v>11997</v>
      </c>
      <c r="P76" s="348">
        <v>20</v>
      </c>
      <c r="Q76" s="354">
        <f t="shared" si="16"/>
        <v>30</v>
      </c>
      <c r="R76" s="339">
        <f t="shared" si="17"/>
        <v>67998</v>
      </c>
      <c r="S76" s="339">
        <f t="shared" si="18"/>
        <v>101997</v>
      </c>
      <c r="T76" s="337"/>
    </row>
    <row r="77" spans="1:20">
      <c r="A77" s="378"/>
      <c r="B77" s="378"/>
      <c r="C77" s="362" t="s">
        <v>1375</v>
      </c>
      <c r="D77" s="367">
        <v>73</v>
      </c>
      <c r="E77" s="337" t="s">
        <v>1437</v>
      </c>
      <c r="F77" s="337" t="s">
        <v>1376</v>
      </c>
      <c r="G77" s="346">
        <v>330000</v>
      </c>
      <c r="H77" s="346">
        <v>43989</v>
      </c>
      <c r="I77" s="340">
        <f t="shared" si="12"/>
        <v>373989</v>
      </c>
      <c r="J77" s="348">
        <v>50</v>
      </c>
      <c r="K77" s="380">
        <v>7479.78</v>
      </c>
      <c r="L77" s="356">
        <f t="shared" si="11"/>
        <v>879.78</v>
      </c>
      <c r="M77" s="356">
        <f t="shared" si="13"/>
        <v>6600</v>
      </c>
      <c r="N77" s="356">
        <f t="shared" si="14"/>
        <v>8797.7999999999993</v>
      </c>
      <c r="O77" s="356">
        <f t="shared" si="15"/>
        <v>35191.199999999997</v>
      </c>
      <c r="P77" s="348">
        <v>10</v>
      </c>
      <c r="Q77" s="354">
        <f t="shared" si="16"/>
        <v>40</v>
      </c>
      <c r="R77" s="339">
        <f t="shared" si="17"/>
        <v>74797.8</v>
      </c>
      <c r="S77" s="339">
        <f t="shared" si="18"/>
        <v>299191.2</v>
      </c>
      <c r="T77" s="337"/>
    </row>
    <row r="78" spans="1:20">
      <c r="A78" s="378"/>
      <c r="B78" s="378"/>
      <c r="C78" s="364" t="s">
        <v>1392</v>
      </c>
      <c r="D78" s="367">
        <v>74</v>
      </c>
      <c r="E78" s="337" t="s">
        <v>1437</v>
      </c>
      <c r="F78" s="337" t="s">
        <v>1393</v>
      </c>
      <c r="G78" s="346">
        <v>150000</v>
      </c>
      <c r="H78" s="346">
        <v>19995</v>
      </c>
      <c r="I78" s="340">
        <f t="shared" si="12"/>
        <v>169995</v>
      </c>
      <c r="J78" s="348">
        <v>40</v>
      </c>
      <c r="K78" s="380">
        <v>4149.8999999999996</v>
      </c>
      <c r="L78" s="356">
        <f t="shared" si="11"/>
        <v>399.9</v>
      </c>
      <c r="M78" s="356">
        <f t="shared" si="13"/>
        <v>3000</v>
      </c>
      <c r="N78" s="356">
        <f t="shared" si="14"/>
        <v>7598.0999999999995</v>
      </c>
      <c r="O78" s="356">
        <f t="shared" si="15"/>
        <v>8397.9</v>
      </c>
      <c r="P78" s="348">
        <v>19</v>
      </c>
      <c r="Q78" s="354">
        <f t="shared" si="16"/>
        <v>21</v>
      </c>
      <c r="R78" s="339">
        <f t="shared" si="17"/>
        <v>78848.099999999991</v>
      </c>
      <c r="S78" s="339">
        <f t="shared" si="18"/>
        <v>91146.900000000009</v>
      </c>
      <c r="T78" s="337"/>
    </row>
    <row r="79" spans="1:20">
      <c r="A79" s="378"/>
      <c r="B79" s="378"/>
      <c r="C79" s="337" t="s">
        <v>1438</v>
      </c>
      <c r="D79" s="367">
        <v>75</v>
      </c>
      <c r="E79" s="337" t="s">
        <v>1437</v>
      </c>
      <c r="F79" s="337" t="s">
        <v>1439</v>
      </c>
      <c r="G79" s="346">
        <v>450000</v>
      </c>
      <c r="H79" s="346">
        <v>59985</v>
      </c>
      <c r="I79" s="340">
        <f t="shared" si="12"/>
        <v>509985</v>
      </c>
      <c r="J79" s="348">
        <v>50</v>
      </c>
      <c r="K79" s="381">
        <v>10199.700000000001</v>
      </c>
      <c r="L79" s="356">
        <f t="shared" si="11"/>
        <v>1199.7</v>
      </c>
      <c r="M79" s="356">
        <f t="shared" si="13"/>
        <v>9000</v>
      </c>
      <c r="N79" s="356">
        <f t="shared" si="14"/>
        <v>49187.700000000004</v>
      </c>
      <c r="O79" s="356">
        <f t="shared" si="15"/>
        <v>10797.300000000001</v>
      </c>
      <c r="P79" s="358">
        <v>41</v>
      </c>
      <c r="Q79" s="354">
        <f t="shared" si="16"/>
        <v>9</v>
      </c>
      <c r="R79" s="339">
        <f t="shared" si="17"/>
        <v>418187.7</v>
      </c>
      <c r="S79" s="339">
        <f t="shared" si="18"/>
        <v>91797.299999999988</v>
      </c>
      <c r="T79" s="390"/>
    </row>
    <row r="80" spans="1:20">
      <c r="A80" s="378"/>
      <c r="B80" s="378"/>
      <c r="C80" s="364" t="s">
        <v>982</v>
      </c>
      <c r="D80" s="367">
        <v>76</v>
      </c>
      <c r="E80" s="337" t="s">
        <v>1437</v>
      </c>
      <c r="F80" s="337" t="s">
        <v>350</v>
      </c>
      <c r="G80" s="346">
        <v>500000</v>
      </c>
      <c r="H80" s="346">
        <v>66650</v>
      </c>
      <c r="I80" s="340">
        <f t="shared" si="12"/>
        <v>566650</v>
      </c>
      <c r="J80" s="348">
        <v>50</v>
      </c>
      <c r="K80" s="380">
        <v>11333</v>
      </c>
      <c r="L80" s="356">
        <f t="shared" si="11"/>
        <v>1333</v>
      </c>
      <c r="M80" s="356">
        <f t="shared" si="13"/>
        <v>10000</v>
      </c>
      <c r="N80" s="356">
        <f t="shared" si="14"/>
        <v>47988</v>
      </c>
      <c r="O80" s="356">
        <f t="shared" si="15"/>
        <v>18662</v>
      </c>
      <c r="P80" s="348">
        <v>36</v>
      </c>
      <c r="Q80" s="354">
        <f t="shared" si="16"/>
        <v>14</v>
      </c>
      <c r="R80" s="339">
        <f t="shared" si="17"/>
        <v>407988</v>
      </c>
      <c r="S80" s="339">
        <f t="shared" si="18"/>
        <v>158662</v>
      </c>
      <c r="T80" s="337"/>
    </row>
    <row r="81" spans="1:20">
      <c r="A81" s="378"/>
      <c r="B81" s="378"/>
      <c r="C81" s="363" t="s">
        <v>965</v>
      </c>
      <c r="D81" s="367">
        <v>77</v>
      </c>
      <c r="E81" s="337" t="s">
        <v>1437</v>
      </c>
      <c r="F81" s="337" t="s">
        <v>334</v>
      </c>
      <c r="G81" s="346">
        <v>500000</v>
      </c>
      <c r="H81" s="346">
        <v>66650</v>
      </c>
      <c r="I81" s="340">
        <f t="shared" si="12"/>
        <v>566650</v>
      </c>
      <c r="J81" s="348">
        <v>50</v>
      </c>
      <c r="K81" s="380">
        <v>11333</v>
      </c>
      <c r="L81" s="356">
        <f t="shared" si="11"/>
        <v>1333</v>
      </c>
      <c r="M81" s="356">
        <f t="shared" si="13"/>
        <v>10000</v>
      </c>
      <c r="N81" s="356">
        <f t="shared" si="14"/>
        <v>58652</v>
      </c>
      <c r="O81" s="356">
        <f t="shared" si="15"/>
        <v>7998</v>
      </c>
      <c r="P81" s="348">
        <v>44</v>
      </c>
      <c r="Q81" s="354">
        <f t="shared" si="16"/>
        <v>6</v>
      </c>
      <c r="R81" s="339">
        <f t="shared" si="17"/>
        <v>498652</v>
      </c>
      <c r="S81" s="339">
        <f t="shared" si="18"/>
        <v>67998</v>
      </c>
      <c r="T81" s="337"/>
    </row>
    <row r="82" spans="1:20">
      <c r="A82" s="378"/>
      <c r="B82" s="378"/>
      <c r="C82" s="365" t="s">
        <v>1402</v>
      </c>
      <c r="D82" s="367">
        <v>78</v>
      </c>
      <c r="E82" s="337" t="s">
        <v>1437</v>
      </c>
      <c r="F82" s="337" t="s">
        <v>1403</v>
      </c>
      <c r="G82" s="346">
        <v>150000</v>
      </c>
      <c r="H82" s="346">
        <v>19995</v>
      </c>
      <c r="I82" s="340">
        <f t="shared" si="12"/>
        <v>169995</v>
      </c>
      <c r="J82" s="348">
        <v>50</v>
      </c>
      <c r="K82" s="380">
        <v>3399.9</v>
      </c>
      <c r="L82" s="356">
        <f t="shared" si="11"/>
        <v>399.9</v>
      </c>
      <c r="M82" s="356">
        <f t="shared" si="13"/>
        <v>3000</v>
      </c>
      <c r="N82" s="356">
        <f t="shared" si="14"/>
        <v>2799.2999999999997</v>
      </c>
      <c r="O82" s="356">
        <f t="shared" si="15"/>
        <v>17195.7</v>
      </c>
      <c r="P82" s="348">
        <v>7</v>
      </c>
      <c r="Q82" s="354">
        <f t="shared" si="16"/>
        <v>43</v>
      </c>
      <c r="R82" s="339">
        <f t="shared" si="17"/>
        <v>23799.3</v>
      </c>
      <c r="S82" s="339">
        <f t="shared" si="18"/>
        <v>146195.70000000001</v>
      </c>
      <c r="T82" s="337"/>
    </row>
    <row r="83" spans="1:20">
      <c r="A83" s="378"/>
      <c r="B83" s="378"/>
      <c r="C83" s="361" t="s">
        <v>1355</v>
      </c>
      <c r="D83" s="367">
        <v>79</v>
      </c>
      <c r="E83" s="337" t="s">
        <v>1437</v>
      </c>
      <c r="F83" s="337" t="s">
        <v>1287</v>
      </c>
      <c r="G83" s="346">
        <v>450000</v>
      </c>
      <c r="H83" s="346">
        <v>59985</v>
      </c>
      <c r="I83" s="340">
        <f t="shared" si="12"/>
        <v>509985</v>
      </c>
      <c r="J83" s="348">
        <v>50</v>
      </c>
      <c r="K83" s="380">
        <v>10199.700000000001</v>
      </c>
      <c r="L83" s="356">
        <f t="shared" si="11"/>
        <v>1199.7</v>
      </c>
      <c r="M83" s="356">
        <f t="shared" si="13"/>
        <v>9000</v>
      </c>
      <c r="N83" s="356">
        <f t="shared" si="14"/>
        <v>14396.400000000001</v>
      </c>
      <c r="O83" s="356">
        <f t="shared" si="15"/>
        <v>45588.6</v>
      </c>
      <c r="P83" s="348">
        <v>12</v>
      </c>
      <c r="Q83" s="354">
        <f t="shared" si="16"/>
        <v>38</v>
      </c>
      <c r="R83" s="339">
        <f t="shared" si="17"/>
        <v>122396.40000000001</v>
      </c>
      <c r="S83" s="339">
        <f t="shared" si="18"/>
        <v>387588.6</v>
      </c>
      <c r="T83" s="337"/>
    </row>
    <row r="84" spans="1:20">
      <c r="A84" s="378"/>
      <c r="B84" s="378"/>
      <c r="C84" s="365" t="s">
        <v>1102</v>
      </c>
      <c r="D84" s="367">
        <v>80</v>
      </c>
      <c r="E84" s="337" t="s">
        <v>1437</v>
      </c>
      <c r="F84" s="337" t="s">
        <v>485</v>
      </c>
      <c r="G84" s="346">
        <v>500000</v>
      </c>
      <c r="H84" s="346">
        <v>66650</v>
      </c>
      <c r="I84" s="340">
        <f t="shared" si="12"/>
        <v>566650</v>
      </c>
      <c r="J84" s="348">
        <v>50</v>
      </c>
      <c r="K84" s="380">
        <v>11333</v>
      </c>
      <c r="L84" s="356">
        <f t="shared" si="11"/>
        <v>1333</v>
      </c>
      <c r="M84" s="356">
        <f t="shared" si="13"/>
        <v>10000</v>
      </c>
      <c r="N84" s="356">
        <f t="shared" si="14"/>
        <v>11997</v>
      </c>
      <c r="O84" s="356">
        <f t="shared" si="15"/>
        <v>54653</v>
      </c>
      <c r="P84" s="348">
        <v>9</v>
      </c>
      <c r="Q84" s="354">
        <f t="shared" si="16"/>
        <v>41</v>
      </c>
      <c r="R84" s="339">
        <f t="shared" si="17"/>
        <v>101997</v>
      </c>
      <c r="S84" s="339">
        <f t="shared" si="18"/>
        <v>464653</v>
      </c>
      <c r="T84" s="337"/>
    </row>
    <row r="85" spans="1:20">
      <c r="A85" s="378"/>
      <c r="B85" s="378"/>
      <c r="C85" s="364" t="s">
        <v>1351</v>
      </c>
      <c r="D85" s="367">
        <v>81</v>
      </c>
      <c r="E85" s="337" t="s">
        <v>1437</v>
      </c>
      <c r="F85" s="337" t="s">
        <v>1285</v>
      </c>
      <c r="G85" s="346">
        <v>500000</v>
      </c>
      <c r="H85" s="346">
        <v>66650</v>
      </c>
      <c r="I85" s="340">
        <f t="shared" si="12"/>
        <v>566650</v>
      </c>
      <c r="J85" s="348">
        <v>50</v>
      </c>
      <c r="K85" s="380">
        <v>11333</v>
      </c>
      <c r="L85" s="356">
        <f t="shared" si="11"/>
        <v>1333</v>
      </c>
      <c r="M85" s="356">
        <f t="shared" si="13"/>
        <v>10000</v>
      </c>
      <c r="N85" s="356">
        <f t="shared" si="14"/>
        <v>15996</v>
      </c>
      <c r="O85" s="356">
        <f t="shared" si="15"/>
        <v>50654</v>
      </c>
      <c r="P85" s="348">
        <v>12</v>
      </c>
      <c r="Q85" s="354">
        <f t="shared" si="16"/>
        <v>38</v>
      </c>
      <c r="R85" s="339">
        <f t="shared" si="17"/>
        <v>135996</v>
      </c>
      <c r="S85" s="339">
        <f t="shared" si="18"/>
        <v>430654</v>
      </c>
      <c r="T85" s="337"/>
    </row>
    <row r="86" spans="1:20">
      <c r="A86" s="378"/>
      <c r="B86" s="378"/>
      <c r="C86" s="364" t="s">
        <v>960</v>
      </c>
      <c r="D86" s="367">
        <v>82</v>
      </c>
      <c r="E86" s="337" t="s">
        <v>1437</v>
      </c>
      <c r="F86" s="337" t="s">
        <v>488</v>
      </c>
      <c r="G86" s="346">
        <v>500000</v>
      </c>
      <c r="H86" s="346">
        <v>66650</v>
      </c>
      <c r="I86" s="340">
        <f t="shared" si="12"/>
        <v>566650</v>
      </c>
      <c r="J86" s="348">
        <v>50</v>
      </c>
      <c r="K86" s="380">
        <v>11333</v>
      </c>
      <c r="L86" s="356">
        <f t="shared" si="11"/>
        <v>1333</v>
      </c>
      <c r="M86" s="356">
        <f t="shared" si="13"/>
        <v>10000</v>
      </c>
      <c r="N86" s="356">
        <f t="shared" si="14"/>
        <v>42656</v>
      </c>
      <c r="O86" s="356">
        <f t="shared" si="15"/>
        <v>23994</v>
      </c>
      <c r="P86" s="348">
        <v>32</v>
      </c>
      <c r="Q86" s="354">
        <f t="shared" si="16"/>
        <v>18</v>
      </c>
      <c r="R86" s="339">
        <f t="shared" si="17"/>
        <v>362656</v>
      </c>
      <c r="S86" s="339">
        <f t="shared" si="18"/>
        <v>203994</v>
      </c>
      <c r="T86" s="337"/>
    </row>
    <row r="87" spans="1:20">
      <c r="A87" s="378"/>
      <c r="B87" s="378"/>
      <c r="C87" s="362" t="s">
        <v>1024</v>
      </c>
      <c r="D87" s="367">
        <v>83</v>
      </c>
      <c r="E87" s="337" t="s">
        <v>1437</v>
      </c>
      <c r="F87" s="337" t="s">
        <v>810</v>
      </c>
      <c r="G87" s="346">
        <v>450000</v>
      </c>
      <c r="H87" s="346">
        <v>59985</v>
      </c>
      <c r="I87" s="340">
        <f t="shared" si="12"/>
        <v>509985</v>
      </c>
      <c r="J87" s="348">
        <v>50</v>
      </c>
      <c r="K87" s="380">
        <v>10199.700000000001</v>
      </c>
      <c r="L87" s="356">
        <f t="shared" si="11"/>
        <v>1199.7</v>
      </c>
      <c r="M87" s="356">
        <f t="shared" si="13"/>
        <v>9000</v>
      </c>
      <c r="N87" s="356">
        <f t="shared" si="14"/>
        <v>68382.900000000009</v>
      </c>
      <c r="O87" s="356">
        <f t="shared" si="15"/>
        <v>-8397.9</v>
      </c>
      <c r="P87" s="348">
        <v>57</v>
      </c>
      <c r="Q87" s="354">
        <f t="shared" si="16"/>
        <v>-7</v>
      </c>
      <c r="R87" s="339">
        <f t="shared" si="17"/>
        <v>581382.9</v>
      </c>
      <c r="S87" s="339">
        <f t="shared" si="18"/>
        <v>-71397.900000000023</v>
      </c>
      <c r="T87" s="337"/>
    </row>
    <row r="88" spans="1:20">
      <c r="A88" s="378"/>
      <c r="B88" s="378"/>
      <c r="C88" s="363" t="s">
        <v>1011</v>
      </c>
      <c r="D88" s="367">
        <v>84</v>
      </c>
      <c r="E88" s="337" t="s">
        <v>1437</v>
      </c>
      <c r="F88" s="337" t="s">
        <v>863</v>
      </c>
      <c r="G88" s="346">
        <v>500000</v>
      </c>
      <c r="H88" s="346">
        <v>66650</v>
      </c>
      <c r="I88" s="340">
        <f t="shared" si="12"/>
        <v>566650</v>
      </c>
      <c r="J88" s="348">
        <v>50</v>
      </c>
      <c r="K88" s="380">
        <v>11333</v>
      </c>
      <c r="L88" s="356">
        <f t="shared" si="11"/>
        <v>1333</v>
      </c>
      <c r="M88" s="356">
        <f t="shared" si="13"/>
        <v>10000</v>
      </c>
      <c r="N88" s="356">
        <f t="shared" si="14"/>
        <v>35991</v>
      </c>
      <c r="O88" s="356">
        <f t="shared" si="15"/>
        <v>30659</v>
      </c>
      <c r="P88" s="348">
        <v>27</v>
      </c>
      <c r="Q88" s="354">
        <f t="shared" si="16"/>
        <v>23</v>
      </c>
      <c r="R88" s="339">
        <f t="shared" si="17"/>
        <v>305991</v>
      </c>
      <c r="S88" s="339">
        <f t="shared" si="18"/>
        <v>260659</v>
      </c>
      <c r="T88" s="337"/>
    </row>
    <row r="89" spans="1:20">
      <c r="A89" s="378"/>
      <c r="B89" s="378"/>
      <c r="C89" s="364" t="s">
        <v>1042</v>
      </c>
      <c r="D89" s="367">
        <v>85</v>
      </c>
      <c r="E89" s="337" t="s">
        <v>1437</v>
      </c>
      <c r="F89" s="337" t="s">
        <v>359</v>
      </c>
      <c r="G89" s="346">
        <v>500000</v>
      </c>
      <c r="H89" s="346">
        <v>66650</v>
      </c>
      <c r="I89" s="340">
        <f t="shared" si="12"/>
        <v>566650</v>
      </c>
      <c r="J89" s="348">
        <v>50</v>
      </c>
      <c r="K89" s="380">
        <v>11333</v>
      </c>
      <c r="L89" s="356">
        <f t="shared" si="11"/>
        <v>1333</v>
      </c>
      <c r="M89" s="356">
        <f t="shared" si="13"/>
        <v>10000</v>
      </c>
      <c r="N89" s="356">
        <f t="shared" si="14"/>
        <v>9331</v>
      </c>
      <c r="O89" s="356">
        <f t="shared" si="15"/>
        <v>57319</v>
      </c>
      <c r="P89" s="348">
        <v>7</v>
      </c>
      <c r="Q89" s="354">
        <f t="shared" si="16"/>
        <v>43</v>
      </c>
      <c r="R89" s="339">
        <f t="shared" si="17"/>
        <v>79331</v>
      </c>
      <c r="S89" s="339">
        <f t="shared" si="18"/>
        <v>487319</v>
      </c>
      <c r="T89" s="337"/>
    </row>
    <row r="90" spans="1:20">
      <c r="A90" s="378"/>
      <c r="B90" s="378"/>
      <c r="C90" s="361" t="s">
        <v>1045</v>
      </c>
      <c r="D90" s="367">
        <v>86</v>
      </c>
      <c r="E90" s="337" t="s">
        <v>1437</v>
      </c>
      <c r="F90" s="337" t="s">
        <v>867</v>
      </c>
      <c r="G90" s="346">
        <v>500000</v>
      </c>
      <c r="H90" s="346">
        <v>66650</v>
      </c>
      <c r="I90" s="340">
        <f t="shared" si="12"/>
        <v>566650</v>
      </c>
      <c r="J90" s="348">
        <v>50</v>
      </c>
      <c r="K90" s="380">
        <v>11333</v>
      </c>
      <c r="L90" s="356">
        <f t="shared" si="11"/>
        <v>1333</v>
      </c>
      <c r="M90" s="356">
        <f t="shared" si="13"/>
        <v>10000</v>
      </c>
      <c r="N90" s="356">
        <f t="shared" si="14"/>
        <v>87978</v>
      </c>
      <c r="O90" s="356">
        <f t="shared" si="15"/>
        <v>-21328</v>
      </c>
      <c r="P90" s="348">
        <v>66</v>
      </c>
      <c r="Q90" s="354">
        <f t="shared" si="16"/>
        <v>-16</v>
      </c>
      <c r="R90" s="339">
        <f t="shared" si="17"/>
        <v>747978</v>
      </c>
      <c r="S90" s="339">
        <f t="shared" si="18"/>
        <v>-181328</v>
      </c>
      <c r="T90" s="337"/>
    </row>
    <row r="91" spans="1:20">
      <c r="A91" s="378"/>
      <c r="B91" s="378"/>
      <c r="C91" s="364" t="s">
        <v>1323</v>
      </c>
      <c r="D91" s="367">
        <v>87</v>
      </c>
      <c r="E91" s="337" t="s">
        <v>1437</v>
      </c>
      <c r="F91" s="337" t="s">
        <v>448</v>
      </c>
      <c r="G91" s="346">
        <v>500000</v>
      </c>
      <c r="H91" s="346">
        <v>66650</v>
      </c>
      <c r="I91" s="340">
        <f t="shared" si="12"/>
        <v>566650</v>
      </c>
      <c r="J91" s="348">
        <v>50</v>
      </c>
      <c r="K91" s="380">
        <v>11333</v>
      </c>
      <c r="L91" s="356">
        <f t="shared" si="11"/>
        <v>1333</v>
      </c>
      <c r="M91" s="356">
        <f t="shared" si="13"/>
        <v>10000</v>
      </c>
      <c r="N91" s="356">
        <f t="shared" si="14"/>
        <v>23994</v>
      </c>
      <c r="O91" s="356">
        <f t="shared" si="15"/>
        <v>42656</v>
      </c>
      <c r="P91" s="348">
        <v>18</v>
      </c>
      <c r="Q91" s="354">
        <f t="shared" si="16"/>
        <v>32</v>
      </c>
      <c r="R91" s="339">
        <f t="shared" si="17"/>
        <v>203994</v>
      </c>
      <c r="S91" s="339">
        <f t="shared" si="18"/>
        <v>362656</v>
      </c>
      <c r="T91" s="337"/>
    </row>
    <row r="92" spans="1:20">
      <c r="A92" s="378"/>
      <c r="B92" s="378"/>
      <c r="C92" s="363" t="s">
        <v>1037</v>
      </c>
      <c r="D92" s="367">
        <v>88</v>
      </c>
      <c r="E92" s="337" t="s">
        <v>1437</v>
      </c>
      <c r="F92" s="337" t="s">
        <v>326</v>
      </c>
      <c r="G92" s="346">
        <v>500000</v>
      </c>
      <c r="H92" s="346">
        <v>66650</v>
      </c>
      <c r="I92" s="340">
        <f t="shared" si="12"/>
        <v>566650</v>
      </c>
      <c r="J92" s="348">
        <v>50</v>
      </c>
      <c r="K92" s="380">
        <v>11333</v>
      </c>
      <c r="L92" s="356">
        <f t="shared" si="11"/>
        <v>1333</v>
      </c>
      <c r="M92" s="356">
        <f t="shared" si="13"/>
        <v>10000</v>
      </c>
      <c r="N92" s="356">
        <f t="shared" si="14"/>
        <v>57319</v>
      </c>
      <c r="O92" s="356">
        <f t="shared" si="15"/>
        <v>9331</v>
      </c>
      <c r="P92" s="348">
        <v>43</v>
      </c>
      <c r="Q92" s="354">
        <f t="shared" si="16"/>
        <v>7</v>
      </c>
      <c r="R92" s="339">
        <f t="shared" si="17"/>
        <v>487319</v>
      </c>
      <c r="S92" s="339">
        <f t="shared" si="18"/>
        <v>79331</v>
      </c>
      <c r="T92" s="337"/>
    </row>
    <row r="93" spans="1:20">
      <c r="A93" s="378"/>
      <c r="B93" s="378"/>
      <c r="C93" s="363" t="s">
        <v>1002</v>
      </c>
      <c r="D93" s="367">
        <v>89</v>
      </c>
      <c r="E93" s="337" t="s">
        <v>1437</v>
      </c>
      <c r="F93" s="337" t="s">
        <v>1003</v>
      </c>
      <c r="G93" s="346">
        <v>150000</v>
      </c>
      <c r="H93" s="346">
        <v>19995</v>
      </c>
      <c r="I93" s="340">
        <f t="shared" si="12"/>
        <v>169995</v>
      </c>
      <c r="J93" s="348">
        <v>50</v>
      </c>
      <c r="K93" s="380">
        <v>3399.9</v>
      </c>
      <c r="L93" s="356">
        <f t="shared" si="11"/>
        <v>399.9</v>
      </c>
      <c r="M93" s="356">
        <f t="shared" si="13"/>
        <v>3000</v>
      </c>
      <c r="N93" s="356">
        <f t="shared" si="14"/>
        <v>9597.5999999999985</v>
      </c>
      <c r="O93" s="356">
        <f t="shared" si="15"/>
        <v>10397.4</v>
      </c>
      <c r="P93" s="348">
        <v>24</v>
      </c>
      <c r="Q93" s="354">
        <f t="shared" si="16"/>
        <v>26</v>
      </c>
      <c r="R93" s="339">
        <f t="shared" si="17"/>
        <v>81597.600000000006</v>
      </c>
      <c r="S93" s="339">
        <f t="shared" si="18"/>
        <v>88397.4</v>
      </c>
      <c r="T93" s="337"/>
    </row>
    <row r="94" spans="1:20">
      <c r="A94" s="378"/>
      <c r="B94" s="378"/>
      <c r="C94" s="363" t="s">
        <v>1315</v>
      </c>
      <c r="D94" s="367">
        <v>90</v>
      </c>
      <c r="E94" s="337" t="s">
        <v>1437</v>
      </c>
      <c r="F94" s="337" t="s">
        <v>1316</v>
      </c>
      <c r="G94" s="346">
        <v>450000</v>
      </c>
      <c r="H94" s="346">
        <v>28792.799999999999</v>
      </c>
      <c r="I94" s="340">
        <f t="shared" si="12"/>
        <v>478792.8</v>
      </c>
      <c r="J94" s="348">
        <v>24</v>
      </c>
      <c r="K94" s="380">
        <v>19949.7</v>
      </c>
      <c r="L94" s="356">
        <f>H94/24</f>
        <v>1199.7</v>
      </c>
      <c r="M94" s="356">
        <f t="shared" si="13"/>
        <v>9000</v>
      </c>
      <c r="N94" s="356">
        <f t="shared" si="14"/>
        <v>8397.9</v>
      </c>
      <c r="O94" s="356">
        <f t="shared" si="15"/>
        <v>20394.900000000001</v>
      </c>
      <c r="P94" s="348">
        <v>7</v>
      </c>
      <c r="Q94" s="354">
        <f t="shared" si="16"/>
        <v>17</v>
      </c>
      <c r="R94" s="339">
        <f t="shared" si="17"/>
        <v>139647.9</v>
      </c>
      <c r="S94" s="339">
        <f t="shared" si="18"/>
        <v>339144.9</v>
      </c>
      <c r="T94" s="337"/>
    </row>
    <row r="95" spans="1:20">
      <c r="A95" s="378"/>
      <c r="B95" s="378"/>
      <c r="C95" s="362" t="s">
        <v>1404</v>
      </c>
      <c r="D95" s="367">
        <v>91</v>
      </c>
      <c r="E95" s="337" t="s">
        <v>1437</v>
      </c>
      <c r="F95" s="337" t="s">
        <v>1405</v>
      </c>
      <c r="G95" s="346">
        <v>150000</v>
      </c>
      <c r="H95" s="346">
        <v>19995</v>
      </c>
      <c r="I95" s="340">
        <f t="shared" si="12"/>
        <v>169995</v>
      </c>
      <c r="J95" s="348">
        <v>50</v>
      </c>
      <c r="K95" s="380">
        <v>3399.9</v>
      </c>
      <c r="L95" s="356">
        <f t="shared" ref="L95:L119" si="19">H95/50</f>
        <v>399.9</v>
      </c>
      <c r="M95" s="356">
        <f t="shared" si="13"/>
        <v>3000</v>
      </c>
      <c r="N95" s="356">
        <f t="shared" si="14"/>
        <v>2799.2999999999997</v>
      </c>
      <c r="O95" s="356">
        <f t="shared" si="15"/>
        <v>17195.7</v>
      </c>
      <c r="P95" s="348">
        <v>7</v>
      </c>
      <c r="Q95" s="354">
        <f t="shared" si="16"/>
        <v>43</v>
      </c>
      <c r="R95" s="339">
        <f t="shared" si="17"/>
        <v>23799.3</v>
      </c>
      <c r="S95" s="339">
        <f t="shared" si="18"/>
        <v>146195.70000000001</v>
      </c>
      <c r="T95" s="337"/>
    </row>
    <row r="96" spans="1:20">
      <c r="A96" s="378"/>
      <c r="B96" s="378"/>
      <c r="C96" s="366" t="s">
        <v>1381</v>
      </c>
      <c r="D96" s="367">
        <v>92</v>
      </c>
      <c r="E96" s="337" t="s">
        <v>1437</v>
      </c>
      <c r="F96" s="337" t="s">
        <v>1129</v>
      </c>
      <c r="G96" s="346">
        <v>330000</v>
      </c>
      <c r="H96" s="346">
        <v>43989</v>
      </c>
      <c r="I96" s="340">
        <f t="shared" si="12"/>
        <v>373989</v>
      </c>
      <c r="J96" s="348">
        <v>50</v>
      </c>
      <c r="K96" s="380">
        <v>7479.78</v>
      </c>
      <c r="L96" s="356">
        <f t="shared" si="19"/>
        <v>879.78</v>
      </c>
      <c r="M96" s="356">
        <f t="shared" si="13"/>
        <v>6600</v>
      </c>
      <c r="N96" s="356">
        <f t="shared" si="14"/>
        <v>16715.82</v>
      </c>
      <c r="O96" s="356">
        <f t="shared" si="15"/>
        <v>27273.18</v>
      </c>
      <c r="P96" s="348">
        <v>19</v>
      </c>
      <c r="Q96" s="354">
        <f t="shared" si="16"/>
        <v>31</v>
      </c>
      <c r="R96" s="339">
        <f t="shared" si="17"/>
        <v>142115.82</v>
      </c>
      <c r="S96" s="339">
        <f t="shared" si="18"/>
        <v>231873.18</v>
      </c>
      <c r="T96" s="337"/>
    </row>
    <row r="97" spans="1:20">
      <c r="A97" s="378"/>
      <c r="B97" s="378"/>
      <c r="C97" s="337" t="s">
        <v>1417</v>
      </c>
      <c r="D97" s="367">
        <v>93</v>
      </c>
      <c r="E97" s="337" t="s">
        <v>1437</v>
      </c>
      <c r="F97" s="337" t="s">
        <v>477</v>
      </c>
      <c r="G97" s="346">
        <v>330000</v>
      </c>
      <c r="H97" s="346">
        <v>43989</v>
      </c>
      <c r="I97" s="340">
        <f t="shared" si="12"/>
        <v>373989</v>
      </c>
      <c r="J97" s="358">
        <v>50</v>
      </c>
      <c r="K97" s="381">
        <v>7479.78</v>
      </c>
      <c r="L97" s="356">
        <f t="shared" si="19"/>
        <v>879.78</v>
      </c>
      <c r="M97" s="356">
        <f t="shared" si="13"/>
        <v>6600</v>
      </c>
      <c r="N97" s="356">
        <f t="shared" si="14"/>
        <v>4398.8999999999996</v>
      </c>
      <c r="O97" s="356">
        <f t="shared" si="15"/>
        <v>39590.1</v>
      </c>
      <c r="P97" s="358">
        <v>5</v>
      </c>
      <c r="Q97" s="354">
        <f t="shared" si="16"/>
        <v>45</v>
      </c>
      <c r="R97" s="339">
        <f t="shared" si="17"/>
        <v>37398.9</v>
      </c>
      <c r="S97" s="339">
        <f t="shared" si="18"/>
        <v>336590.1</v>
      </c>
      <c r="T97" s="337"/>
    </row>
    <row r="98" spans="1:20">
      <c r="A98" s="378"/>
      <c r="B98" s="378"/>
      <c r="C98" s="363" t="s">
        <v>1061</v>
      </c>
      <c r="D98" s="367">
        <v>94</v>
      </c>
      <c r="E98" s="337" t="s">
        <v>1437</v>
      </c>
      <c r="F98" s="337" t="s">
        <v>854</v>
      </c>
      <c r="G98" s="346">
        <v>330000</v>
      </c>
      <c r="H98" s="346">
        <v>43989</v>
      </c>
      <c r="I98" s="340">
        <f t="shared" si="12"/>
        <v>373989</v>
      </c>
      <c r="J98" s="348">
        <v>50</v>
      </c>
      <c r="K98" s="380">
        <v>7479.78</v>
      </c>
      <c r="L98" s="356">
        <f t="shared" si="19"/>
        <v>879.78</v>
      </c>
      <c r="M98" s="356">
        <f t="shared" si="13"/>
        <v>6600</v>
      </c>
      <c r="N98" s="356">
        <f t="shared" si="14"/>
        <v>21994.5</v>
      </c>
      <c r="O98" s="356">
        <f t="shared" si="15"/>
        <v>21994.5</v>
      </c>
      <c r="P98" s="348">
        <v>25</v>
      </c>
      <c r="Q98" s="354">
        <f t="shared" si="16"/>
        <v>25</v>
      </c>
      <c r="R98" s="339">
        <f t="shared" si="17"/>
        <v>186994.5</v>
      </c>
      <c r="S98" s="339">
        <f t="shared" si="18"/>
        <v>186994.5</v>
      </c>
      <c r="T98" s="337"/>
    </row>
    <row r="99" spans="1:20">
      <c r="A99" s="378"/>
      <c r="B99" s="378"/>
      <c r="C99" s="362" t="s">
        <v>969</v>
      </c>
      <c r="D99" s="367">
        <v>95</v>
      </c>
      <c r="E99" s="337" t="s">
        <v>1437</v>
      </c>
      <c r="F99" s="337" t="s">
        <v>851</v>
      </c>
      <c r="G99" s="346">
        <v>150000</v>
      </c>
      <c r="H99" s="346">
        <v>19995</v>
      </c>
      <c r="I99" s="340">
        <f t="shared" si="12"/>
        <v>169995</v>
      </c>
      <c r="J99" s="348">
        <v>50</v>
      </c>
      <c r="K99" s="380">
        <v>3399.9</v>
      </c>
      <c r="L99" s="356">
        <f t="shared" si="19"/>
        <v>399.9</v>
      </c>
      <c r="M99" s="356">
        <f t="shared" si="13"/>
        <v>3000</v>
      </c>
      <c r="N99" s="356">
        <f t="shared" si="14"/>
        <v>2799.2999999999997</v>
      </c>
      <c r="O99" s="356">
        <f t="shared" si="15"/>
        <v>17195.7</v>
      </c>
      <c r="P99" s="348">
        <v>7</v>
      </c>
      <c r="Q99" s="354">
        <f t="shared" si="16"/>
        <v>43</v>
      </c>
      <c r="R99" s="339">
        <f t="shared" si="17"/>
        <v>23799.3</v>
      </c>
      <c r="S99" s="339">
        <f t="shared" si="18"/>
        <v>146195.70000000001</v>
      </c>
      <c r="T99" s="337"/>
    </row>
    <row r="100" spans="1:20">
      <c r="A100" s="378"/>
      <c r="B100" s="378"/>
      <c r="C100" s="363" t="s">
        <v>1341</v>
      </c>
      <c r="D100" s="367">
        <v>96</v>
      </c>
      <c r="E100" s="337" t="s">
        <v>1437</v>
      </c>
      <c r="F100" s="337" t="s">
        <v>1139</v>
      </c>
      <c r="G100" s="346">
        <v>500000</v>
      </c>
      <c r="H100" s="346">
        <v>66650</v>
      </c>
      <c r="I100" s="340">
        <f t="shared" si="12"/>
        <v>566650</v>
      </c>
      <c r="J100" s="348">
        <v>50</v>
      </c>
      <c r="K100" s="380">
        <v>11333</v>
      </c>
      <c r="L100" s="356">
        <f t="shared" si="19"/>
        <v>1333</v>
      </c>
      <c r="M100" s="356">
        <f t="shared" si="13"/>
        <v>10000</v>
      </c>
      <c r="N100" s="356">
        <f t="shared" si="14"/>
        <v>25327</v>
      </c>
      <c r="O100" s="356">
        <f t="shared" si="15"/>
        <v>41323</v>
      </c>
      <c r="P100" s="348">
        <v>19</v>
      </c>
      <c r="Q100" s="354">
        <f t="shared" si="16"/>
        <v>31</v>
      </c>
      <c r="R100" s="339">
        <f t="shared" si="17"/>
        <v>215327</v>
      </c>
      <c r="S100" s="339">
        <f t="shared" si="18"/>
        <v>351323</v>
      </c>
      <c r="T100" s="337"/>
    </row>
    <row r="101" spans="1:20">
      <c r="A101" s="378"/>
      <c r="B101" s="378"/>
      <c r="C101" s="362" t="s">
        <v>1398</v>
      </c>
      <c r="D101" s="367">
        <v>97</v>
      </c>
      <c r="E101" s="337" t="s">
        <v>1437</v>
      </c>
      <c r="F101" s="337" t="s">
        <v>1399</v>
      </c>
      <c r="G101" s="346">
        <v>150000</v>
      </c>
      <c r="H101" s="346">
        <v>19995</v>
      </c>
      <c r="I101" s="340">
        <f t="shared" si="12"/>
        <v>169995</v>
      </c>
      <c r="J101" s="348">
        <v>50</v>
      </c>
      <c r="K101" s="380">
        <v>3399.9</v>
      </c>
      <c r="L101" s="356">
        <f t="shared" si="19"/>
        <v>399.9</v>
      </c>
      <c r="M101" s="356">
        <f t="shared" si="13"/>
        <v>3000</v>
      </c>
      <c r="N101" s="356">
        <f t="shared" si="14"/>
        <v>2799.2999999999997</v>
      </c>
      <c r="O101" s="356">
        <f t="shared" ref="O101:O132" si="20">L101*Q101</f>
        <v>17195.7</v>
      </c>
      <c r="P101" s="348">
        <v>7</v>
      </c>
      <c r="Q101" s="354">
        <f t="shared" si="16"/>
        <v>43</v>
      </c>
      <c r="R101" s="339">
        <f t="shared" si="17"/>
        <v>23799.3</v>
      </c>
      <c r="S101" s="339">
        <f t="shared" ref="S101:S132" si="21">I101-R101</f>
        <v>146195.70000000001</v>
      </c>
      <c r="T101" s="337"/>
    </row>
    <row r="102" spans="1:20">
      <c r="A102" s="378"/>
      <c r="B102" s="378"/>
      <c r="C102" s="362" t="s">
        <v>1118</v>
      </c>
      <c r="D102" s="367">
        <v>98</v>
      </c>
      <c r="E102" s="337" t="s">
        <v>1437</v>
      </c>
      <c r="F102" s="337" t="s">
        <v>1119</v>
      </c>
      <c r="G102" s="346">
        <v>500000</v>
      </c>
      <c r="H102" s="346">
        <v>66650</v>
      </c>
      <c r="I102" s="340">
        <f t="shared" si="12"/>
        <v>566650</v>
      </c>
      <c r="J102" s="348">
        <v>50</v>
      </c>
      <c r="K102" s="380">
        <v>11333</v>
      </c>
      <c r="L102" s="356">
        <f t="shared" si="19"/>
        <v>1333</v>
      </c>
      <c r="M102" s="356">
        <f t="shared" si="13"/>
        <v>10000</v>
      </c>
      <c r="N102" s="356">
        <f t="shared" si="14"/>
        <v>26660</v>
      </c>
      <c r="O102" s="356">
        <f t="shared" si="20"/>
        <v>39990</v>
      </c>
      <c r="P102" s="348">
        <v>20</v>
      </c>
      <c r="Q102" s="354">
        <f t="shared" si="16"/>
        <v>30</v>
      </c>
      <c r="R102" s="339">
        <f t="shared" si="17"/>
        <v>226660</v>
      </c>
      <c r="S102" s="339">
        <f t="shared" si="21"/>
        <v>339990</v>
      </c>
      <c r="T102" s="337"/>
    </row>
    <row r="103" spans="1:20">
      <c r="A103" s="378"/>
      <c r="B103" s="378"/>
      <c r="C103" s="363" t="s">
        <v>1123</v>
      </c>
      <c r="D103" s="367">
        <v>99</v>
      </c>
      <c r="E103" s="337" t="s">
        <v>1437</v>
      </c>
      <c r="F103" s="337" t="s">
        <v>439</v>
      </c>
      <c r="G103" s="346">
        <v>330000</v>
      </c>
      <c r="H103" s="346">
        <v>43989</v>
      </c>
      <c r="I103" s="340">
        <f t="shared" si="12"/>
        <v>373989</v>
      </c>
      <c r="J103" s="348">
        <v>50</v>
      </c>
      <c r="K103" s="380">
        <v>7479.78</v>
      </c>
      <c r="L103" s="356">
        <f t="shared" si="19"/>
        <v>879.78</v>
      </c>
      <c r="M103" s="356">
        <f t="shared" si="13"/>
        <v>6600</v>
      </c>
      <c r="N103" s="356">
        <f t="shared" si="14"/>
        <v>17595.599999999999</v>
      </c>
      <c r="O103" s="356">
        <f t="shared" si="20"/>
        <v>26393.399999999998</v>
      </c>
      <c r="P103" s="348">
        <v>20</v>
      </c>
      <c r="Q103" s="354">
        <f t="shared" si="16"/>
        <v>30</v>
      </c>
      <c r="R103" s="339">
        <f t="shared" si="17"/>
        <v>149595.6</v>
      </c>
      <c r="S103" s="339">
        <f t="shared" si="21"/>
        <v>224393.4</v>
      </c>
      <c r="T103" s="337"/>
    </row>
    <row r="104" spans="1:20">
      <c r="A104" s="378"/>
      <c r="B104" s="378"/>
      <c r="C104" s="361" t="s">
        <v>1365</v>
      </c>
      <c r="D104" s="367">
        <v>100</v>
      </c>
      <c r="E104" s="337" t="s">
        <v>1437</v>
      </c>
      <c r="F104" s="337" t="s">
        <v>449</v>
      </c>
      <c r="G104" s="346">
        <v>450000</v>
      </c>
      <c r="H104" s="346">
        <v>59985</v>
      </c>
      <c r="I104" s="340">
        <f t="shared" si="12"/>
        <v>509985</v>
      </c>
      <c r="J104" s="348">
        <v>50</v>
      </c>
      <c r="K104" s="380">
        <v>10199.700000000001</v>
      </c>
      <c r="L104" s="356">
        <f t="shared" si="19"/>
        <v>1199.7</v>
      </c>
      <c r="M104" s="356">
        <f t="shared" si="13"/>
        <v>9000</v>
      </c>
      <c r="N104" s="356">
        <f t="shared" si="14"/>
        <v>14396.400000000001</v>
      </c>
      <c r="O104" s="356">
        <f t="shared" si="20"/>
        <v>45588.6</v>
      </c>
      <c r="P104" s="348">
        <v>12</v>
      </c>
      <c r="Q104" s="354">
        <f t="shared" si="16"/>
        <v>38</v>
      </c>
      <c r="R104" s="339">
        <f t="shared" si="17"/>
        <v>122396.40000000001</v>
      </c>
      <c r="S104" s="339">
        <f t="shared" si="21"/>
        <v>387588.6</v>
      </c>
      <c r="T104" s="337"/>
    </row>
    <row r="105" spans="1:20">
      <c r="A105" s="378"/>
      <c r="B105" s="378"/>
      <c r="C105" s="363" t="s">
        <v>987</v>
      </c>
      <c r="D105" s="367">
        <v>101</v>
      </c>
      <c r="E105" s="337" t="s">
        <v>1437</v>
      </c>
      <c r="F105" s="337" t="s">
        <v>866</v>
      </c>
      <c r="G105" s="346">
        <v>500000</v>
      </c>
      <c r="H105" s="346">
        <v>66650</v>
      </c>
      <c r="I105" s="340">
        <f t="shared" si="12"/>
        <v>566650</v>
      </c>
      <c r="J105" s="348">
        <v>50</v>
      </c>
      <c r="K105" s="380">
        <v>11333</v>
      </c>
      <c r="L105" s="356">
        <f t="shared" si="19"/>
        <v>1333</v>
      </c>
      <c r="M105" s="356">
        <f t="shared" si="13"/>
        <v>10000</v>
      </c>
      <c r="N105" s="356">
        <f t="shared" si="14"/>
        <v>15996</v>
      </c>
      <c r="O105" s="356">
        <f t="shared" si="20"/>
        <v>50654</v>
      </c>
      <c r="P105" s="348">
        <v>12</v>
      </c>
      <c r="Q105" s="354">
        <f t="shared" si="16"/>
        <v>38</v>
      </c>
      <c r="R105" s="339">
        <f t="shared" si="17"/>
        <v>135996</v>
      </c>
      <c r="S105" s="339">
        <f t="shared" si="21"/>
        <v>430654</v>
      </c>
      <c r="T105" s="337"/>
    </row>
    <row r="106" spans="1:20">
      <c r="A106" s="378"/>
      <c r="B106" s="378"/>
      <c r="C106" s="364" t="s">
        <v>1321</v>
      </c>
      <c r="D106" s="367">
        <v>102</v>
      </c>
      <c r="E106" s="337" t="s">
        <v>1437</v>
      </c>
      <c r="F106" s="337" t="s">
        <v>403</v>
      </c>
      <c r="G106" s="346">
        <v>500000</v>
      </c>
      <c r="H106" s="346">
        <v>66650</v>
      </c>
      <c r="I106" s="340">
        <f t="shared" si="12"/>
        <v>566650</v>
      </c>
      <c r="J106" s="348">
        <v>50</v>
      </c>
      <c r="K106" s="380">
        <v>11333</v>
      </c>
      <c r="L106" s="356">
        <f t="shared" si="19"/>
        <v>1333</v>
      </c>
      <c r="M106" s="356">
        <f t="shared" si="13"/>
        <v>10000</v>
      </c>
      <c r="N106" s="356">
        <f t="shared" si="14"/>
        <v>13330</v>
      </c>
      <c r="O106" s="356">
        <f t="shared" si="20"/>
        <v>53320</v>
      </c>
      <c r="P106" s="348">
        <v>10</v>
      </c>
      <c r="Q106" s="354">
        <f t="shared" si="16"/>
        <v>40</v>
      </c>
      <c r="R106" s="339">
        <f t="shared" si="17"/>
        <v>113330</v>
      </c>
      <c r="S106" s="339">
        <f t="shared" si="21"/>
        <v>453320</v>
      </c>
      <c r="T106" s="337"/>
    </row>
    <row r="107" spans="1:20">
      <c r="A107" s="378"/>
      <c r="B107" s="378"/>
      <c r="C107" s="366" t="s">
        <v>1093</v>
      </c>
      <c r="D107" s="367">
        <v>103</v>
      </c>
      <c r="E107" s="337" t="s">
        <v>1437</v>
      </c>
      <c r="F107" s="337" t="s">
        <v>364</v>
      </c>
      <c r="G107" s="346">
        <v>450000</v>
      </c>
      <c r="H107" s="346">
        <v>59985</v>
      </c>
      <c r="I107" s="340">
        <f t="shared" si="12"/>
        <v>509985</v>
      </c>
      <c r="J107" s="348">
        <v>50</v>
      </c>
      <c r="K107" s="380">
        <v>10199.700000000001</v>
      </c>
      <c r="L107" s="356">
        <f t="shared" si="19"/>
        <v>1199.7</v>
      </c>
      <c r="M107" s="356">
        <f t="shared" si="13"/>
        <v>9000</v>
      </c>
      <c r="N107" s="356">
        <f t="shared" si="14"/>
        <v>51587.1</v>
      </c>
      <c r="O107" s="356">
        <f t="shared" si="20"/>
        <v>8397.9</v>
      </c>
      <c r="P107" s="348">
        <v>43</v>
      </c>
      <c r="Q107" s="354">
        <f t="shared" si="16"/>
        <v>7</v>
      </c>
      <c r="R107" s="339">
        <f t="shared" si="17"/>
        <v>438587.10000000003</v>
      </c>
      <c r="S107" s="339">
        <f t="shared" si="21"/>
        <v>71397.899999999965</v>
      </c>
      <c r="T107" s="337"/>
    </row>
    <row r="108" spans="1:20">
      <c r="A108" s="378"/>
      <c r="B108" s="378"/>
      <c r="C108" s="361" t="s">
        <v>1105</v>
      </c>
      <c r="D108" s="367">
        <v>104</v>
      </c>
      <c r="E108" s="337" t="s">
        <v>1437</v>
      </c>
      <c r="F108" s="337" t="s">
        <v>861</v>
      </c>
      <c r="G108" s="346">
        <v>500000</v>
      </c>
      <c r="H108" s="346">
        <v>66650</v>
      </c>
      <c r="I108" s="340">
        <f t="shared" si="12"/>
        <v>566650</v>
      </c>
      <c r="J108" s="348">
        <v>50</v>
      </c>
      <c r="K108" s="380">
        <v>11333</v>
      </c>
      <c r="L108" s="356">
        <f t="shared" si="19"/>
        <v>1333</v>
      </c>
      <c r="M108" s="356">
        <f t="shared" si="13"/>
        <v>10000</v>
      </c>
      <c r="N108" s="356">
        <f t="shared" si="14"/>
        <v>33325</v>
      </c>
      <c r="O108" s="356">
        <f t="shared" si="20"/>
        <v>33325</v>
      </c>
      <c r="P108" s="348">
        <v>25</v>
      </c>
      <c r="Q108" s="354">
        <f t="shared" si="16"/>
        <v>25</v>
      </c>
      <c r="R108" s="339">
        <f t="shared" si="17"/>
        <v>283325</v>
      </c>
      <c r="S108" s="339">
        <f t="shared" si="21"/>
        <v>283325</v>
      </c>
      <c r="T108" s="337"/>
    </row>
    <row r="109" spans="1:20">
      <c r="A109" s="378"/>
      <c r="B109" s="378"/>
      <c r="C109" s="364" t="s">
        <v>1361</v>
      </c>
      <c r="D109" s="367">
        <v>105</v>
      </c>
      <c r="E109" s="337" t="s">
        <v>1437</v>
      </c>
      <c r="F109" s="337" t="s">
        <v>1362</v>
      </c>
      <c r="G109" s="346">
        <v>450000</v>
      </c>
      <c r="H109" s="346">
        <v>59985</v>
      </c>
      <c r="I109" s="340">
        <f t="shared" si="12"/>
        <v>509985</v>
      </c>
      <c r="J109" s="348">
        <v>50</v>
      </c>
      <c r="K109" s="380">
        <v>10199.700000000001</v>
      </c>
      <c r="L109" s="356">
        <f t="shared" si="19"/>
        <v>1199.7</v>
      </c>
      <c r="M109" s="356">
        <f t="shared" si="13"/>
        <v>9000</v>
      </c>
      <c r="N109" s="356">
        <f t="shared" si="14"/>
        <v>11997</v>
      </c>
      <c r="O109" s="356">
        <f t="shared" si="20"/>
        <v>47988</v>
      </c>
      <c r="P109" s="348">
        <v>10</v>
      </c>
      <c r="Q109" s="354">
        <f t="shared" si="16"/>
        <v>40</v>
      </c>
      <c r="R109" s="339">
        <f t="shared" si="17"/>
        <v>101997</v>
      </c>
      <c r="S109" s="339">
        <f t="shared" si="21"/>
        <v>407988</v>
      </c>
      <c r="T109" s="337"/>
    </row>
    <row r="110" spans="1:20">
      <c r="A110" s="378"/>
      <c r="B110" s="378"/>
      <c r="C110" s="364" t="s">
        <v>999</v>
      </c>
      <c r="D110" s="367">
        <v>106</v>
      </c>
      <c r="E110" s="337" t="s">
        <v>1437</v>
      </c>
      <c r="F110" s="337" t="s">
        <v>441</v>
      </c>
      <c r="G110" s="346">
        <v>500000</v>
      </c>
      <c r="H110" s="346">
        <v>66650</v>
      </c>
      <c r="I110" s="340">
        <f t="shared" si="12"/>
        <v>566650</v>
      </c>
      <c r="J110" s="348">
        <v>50</v>
      </c>
      <c r="K110" s="380">
        <v>11333</v>
      </c>
      <c r="L110" s="356">
        <f t="shared" si="19"/>
        <v>1333</v>
      </c>
      <c r="M110" s="356">
        <f t="shared" si="13"/>
        <v>10000</v>
      </c>
      <c r="N110" s="356">
        <f t="shared" si="14"/>
        <v>42656</v>
      </c>
      <c r="O110" s="356">
        <f t="shared" si="20"/>
        <v>23994</v>
      </c>
      <c r="P110" s="348">
        <v>32</v>
      </c>
      <c r="Q110" s="354">
        <f t="shared" si="16"/>
        <v>18</v>
      </c>
      <c r="R110" s="339">
        <f t="shared" si="17"/>
        <v>362656</v>
      </c>
      <c r="S110" s="339">
        <f t="shared" si="21"/>
        <v>203994</v>
      </c>
      <c r="T110" s="337"/>
    </row>
    <row r="111" spans="1:20">
      <c r="A111" s="378"/>
      <c r="B111" s="378"/>
      <c r="C111" s="362" t="s">
        <v>1053</v>
      </c>
      <c r="D111" s="367">
        <v>107</v>
      </c>
      <c r="E111" s="337" t="s">
        <v>1437</v>
      </c>
      <c r="F111" s="337" t="s">
        <v>845</v>
      </c>
      <c r="G111" s="346">
        <v>150000</v>
      </c>
      <c r="H111" s="346">
        <v>19995</v>
      </c>
      <c r="I111" s="340">
        <f t="shared" si="12"/>
        <v>169995</v>
      </c>
      <c r="J111" s="348">
        <v>50</v>
      </c>
      <c r="K111" s="380">
        <v>3399.9</v>
      </c>
      <c r="L111" s="356">
        <f t="shared" si="19"/>
        <v>399.9</v>
      </c>
      <c r="M111" s="356">
        <f t="shared" si="13"/>
        <v>3000</v>
      </c>
      <c r="N111" s="356">
        <f t="shared" si="14"/>
        <v>17595.599999999999</v>
      </c>
      <c r="O111" s="356">
        <f t="shared" si="20"/>
        <v>2399.3999999999996</v>
      </c>
      <c r="P111" s="348">
        <v>44</v>
      </c>
      <c r="Q111" s="354">
        <f t="shared" si="16"/>
        <v>6</v>
      </c>
      <c r="R111" s="339">
        <f t="shared" si="17"/>
        <v>149595.6</v>
      </c>
      <c r="S111" s="339">
        <f t="shared" si="21"/>
        <v>20399.399999999994</v>
      </c>
      <c r="T111" s="337"/>
    </row>
    <row r="112" spans="1:20">
      <c r="A112" s="378"/>
      <c r="B112" s="378"/>
      <c r="C112" s="364" t="s">
        <v>1332</v>
      </c>
      <c r="D112" s="367">
        <v>108</v>
      </c>
      <c r="E112" s="337" t="s">
        <v>1437</v>
      </c>
      <c r="F112" s="337" t="s">
        <v>1284</v>
      </c>
      <c r="G112" s="346">
        <v>500000</v>
      </c>
      <c r="H112" s="346">
        <v>66650</v>
      </c>
      <c r="I112" s="340">
        <f t="shared" si="12"/>
        <v>566650</v>
      </c>
      <c r="J112" s="348">
        <v>50</v>
      </c>
      <c r="K112" s="380">
        <v>11333</v>
      </c>
      <c r="L112" s="356">
        <f t="shared" si="19"/>
        <v>1333</v>
      </c>
      <c r="M112" s="356">
        <f t="shared" si="13"/>
        <v>10000</v>
      </c>
      <c r="N112" s="356">
        <f t="shared" si="14"/>
        <v>35991</v>
      </c>
      <c r="O112" s="356">
        <f t="shared" si="20"/>
        <v>30659</v>
      </c>
      <c r="P112" s="348">
        <v>27</v>
      </c>
      <c r="Q112" s="354">
        <f t="shared" si="16"/>
        <v>23</v>
      </c>
      <c r="R112" s="339">
        <f t="shared" si="17"/>
        <v>305991</v>
      </c>
      <c r="S112" s="339">
        <f t="shared" si="21"/>
        <v>260659</v>
      </c>
      <c r="T112" s="337"/>
    </row>
    <row r="113" spans="1:20">
      <c r="A113" s="378"/>
      <c r="B113" s="378"/>
      <c r="C113" s="363" t="s">
        <v>1062</v>
      </c>
      <c r="D113" s="367">
        <v>109</v>
      </c>
      <c r="E113" s="337" t="s">
        <v>1437</v>
      </c>
      <c r="F113" s="337" t="s">
        <v>335</v>
      </c>
      <c r="G113" s="346">
        <v>500000</v>
      </c>
      <c r="H113" s="346">
        <v>66650</v>
      </c>
      <c r="I113" s="340">
        <f t="shared" si="12"/>
        <v>566650</v>
      </c>
      <c r="J113" s="348">
        <v>50</v>
      </c>
      <c r="K113" s="380">
        <v>11333</v>
      </c>
      <c r="L113" s="356">
        <f t="shared" si="19"/>
        <v>1333</v>
      </c>
      <c r="M113" s="356">
        <f t="shared" si="13"/>
        <v>10000</v>
      </c>
      <c r="N113" s="356">
        <f t="shared" si="14"/>
        <v>75981</v>
      </c>
      <c r="O113" s="356">
        <f t="shared" si="20"/>
        <v>-9331</v>
      </c>
      <c r="P113" s="348">
        <v>57</v>
      </c>
      <c r="Q113" s="354">
        <f t="shared" si="16"/>
        <v>-7</v>
      </c>
      <c r="R113" s="339">
        <f t="shared" si="17"/>
        <v>645981</v>
      </c>
      <c r="S113" s="339">
        <f t="shared" si="21"/>
        <v>-79331</v>
      </c>
      <c r="T113" s="337"/>
    </row>
    <row r="114" spans="1:20">
      <c r="A114" s="378"/>
      <c r="B114" s="378"/>
      <c r="C114" s="337" t="s">
        <v>1411</v>
      </c>
      <c r="D114" s="367">
        <v>110</v>
      </c>
      <c r="E114" s="337" t="s">
        <v>1437</v>
      </c>
      <c r="F114" s="337" t="s">
        <v>473</v>
      </c>
      <c r="G114" s="346">
        <v>500000</v>
      </c>
      <c r="H114" s="346">
        <v>66650</v>
      </c>
      <c r="I114" s="340">
        <f t="shared" si="12"/>
        <v>566650</v>
      </c>
      <c r="J114" s="348">
        <v>40</v>
      </c>
      <c r="K114" s="380">
        <v>13833</v>
      </c>
      <c r="L114" s="356">
        <f t="shared" si="19"/>
        <v>1333</v>
      </c>
      <c r="M114" s="356">
        <f t="shared" si="13"/>
        <v>10000</v>
      </c>
      <c r="N114" s="356">
        <f t="shared" si="14"/>
        <v>6665</v>
      </c>
      <c r="O114" s="356">
        <f t="shared" si="20"/>
        <v>46655</v>
      </c>
      <c r="P114" s="348">
        <v>5</v>
      </c>
      <c r="Q114" s="354">
        <f t="shared" si="16"/>
        <v>35</v>
      </c>
      <c r="R114" s="339">
        <f t="shared" si="17"/>
        <v>69165</v>
      </c>
      <c r="S114" s="339">
        <f t="shared" si="21"/>
        <v>497485</v>
      </c>
      <c r="T114" s="337"/>
    </row>
    <row r="115" spans="1:20">
      <c r="A115" s="378"/>
      <c r="B115" s="378"/>
      <c r="C115" s="363" t="s">
        <v>1329</v>
      </c>
      <c r="D115" s="367">
        <v>111</v>
      </c>
      <c r="E115" s="337" t="s">
        <v>1437</v>
      </c>
      <c r="F115" s="337" t="s">
        <v>463</v>
      </c>
      <c r="G115" s="346">
        <v>500000</v>
      </c>
      <c r="H115" s="346">
        <v>66650</v>
      </c>
      <c r="I115" s="340">
        <f t="shared" si="12"/>
        <v>566650</v>
      </c>
      <c r="J115" s="348">
        <v>50</v>
      </c>
      <c r="K115" s="380">
        <v>11333</v>
      </c>
      <c r="L115" s="356">
        <f t="shared" si="19"/>
        <v>1333</v>
      </c>
      <c r="M115" s="356">
        <f t="shared" si="13"/>
        <v>10000</v>
      </c>
      <c r="N115" s="356">
        <f t="shared" si="14"/>
        <v>22661</v>
      </c>
      <c r="O115" s="356">
        <f t="shared" si="20"/>
        <v>43989</v>
      </c>
      <c r="P115" s="348">
        <v>17</v>
      </c>
      <c r="Q115" s="354">
        <f t="shared" si="16"/>
        <v>33</v>
      </c>
      <c r="R115" s="339">
        <f t="shared" si="17"/>
        <v>192661</v>
      </c>
      <c r="S115" s="339">
        <f t="shared" si="21"/>
        <v>373989</v>
      </c>
      <c r="T115" s="337"/>
    </row>
    <row r="116" spans="1:20">
      <c r="A116" s="378"/>
      <c r="B116" s="378"/>
      <c r="C116" s="365" t="s">
        <v>1358</v>
      </c>
      <c r="D116" s="367">
        <v>112</v>
      </c>
      <c r="E116" s="337" t="s">
        <v>1437</v>
      </c>
      <c r="F116" s="337" t="s">
        <v>1359</v>
      </c>
      <c r="G116" s="346">
        <v>450000</v>
      </c>
      <c r="H116" s="346">
        <v>59985</v>
      </c>
      <c r="I116" s="340">
        <f t="shared" si="12"/>
        <v>509985</v>
      </c>
      <c r="J116" s="348">
        <v>50</v>
      </c>
      <c r="K116" s="380">
        <v>10199.700000000001</v>
      </c>
      <c r="L116" s="356">
        <f t="shared" si="19"/>
        <v>1199.7</v>
      </c>
      <c r="M116" s="356">
        <f t="shared" si="13"/>
        <v>9000</v>
      </c>
      <c r="N116" s="356">
        <f t="shared" si="14"/>
        <v>8397.9</v>
      </c>
      <c r="O116" s="356">
        <f t="shared" si="20"/>
        <v>51587.1</v>
      </c>
      <c r="P116" s="348">
        <v>7</v>
      </c>
      <c r="Q116" s="354">
        <f t="shared" si="16"/>
        <v>43</v>
      </c>
      <c r="R116" s="339">
        <f t="shared" si="17"/>
        <v>71397.900000000009</v>
      </c>
      <c r="S116" s="339">
        <f t="shared" si="21"/>
        <v>438587.1</v>
      </c>
      <c r="T116" s="337"/>
    </row>
    <row r="117" spans="1:20">
      <c r="A117" s="378"/>
      <c r="B117" s="378"/>
      <c r="C117" s="361" t="s">
        <v>1334</v>
      </c>
      <c r="D117" s="367">
        <v>113</v>
      </c>
      <c r="E117" s="337" t="s">
        <v>1437</v>
      </c>
      <c r="F117" s="337" t="s">
        <v>1294</v>
      </c>
      <c r="G117" s="346">
        <v>500000</v>
      </c>
      <c r="H117" s="346">
        <v>66650</v>
      </c>
      <c r="I117" s="340">
        <f t="shared" si="12"/>
        <v>566650</v>
      </c>
      <c r="J117" s="348">
        <v>50</v>
      </c>
      <c r="K117" s="380">
        <v>11333</v>
      </c>
      <c r="L117" s="356">
        <f t="shared" si="19"/>
        <v>1333</v>
      </c>
      <c r="M117" s="356">
        <f t="shared" si="13"/>
        <v>10000</v>
      </c>
      <c r="N117" s="356">
        <f t="shared" si="14"/>
        <v>22661</v>
      </c>
      <c r="O117" s="356">
        <f t="shared" si="20"/>
        <v>43989</v>
      </c>
      <c r="P117" s="348">
        <v>17</v>
      </c>
      <c r="Q117" s="354">
        <f t="shared" si="16"/>
        <v>33</v>
      </c>
      <c r="R117" s="339">
        <f t="shared" si="17"/>
        <v>192661</v>
      </c>
      <c r="S117" s="339">
        <f t="shared" si="21"/>
        <v>373989</v>
      </c>
      <c r="T117" s="337"/>
    </row>
    <row r="118" spans="1:20">
      <c r="A118" s="378"/>
      <c r="B118" s="378"/>
      <c r="C118" s="361" t="s">
        <v>1319</v>
      </c>
      <c r="D118" s="367">
        <v>114</v>
      </c>
      <c r="E118" s="337" t="s">
        <v>1437</v>
      </c>
      <c r="F118" s="337" t="s">
        <v>305</v>
      </c>
      <c r="G118" s="346">
        <v>500000</v>
      </c>
      <c r="H118" s="346">
        <v>66650</v>
      </c>
      <c r="I118" s="340">
        <f t="shared" si="12"/>
        <v>566650</v>
      </c>
      <c r="J118" s="348">
        <v>40</v>
      </c>
      <c r="K118" s="380">
        <v>13833</v>
      </c>
      <c r="L118" s="356">
        <f t="shared" si="19"/>
        <v>1333</v>
      </c>
      <c r="M118" s="356">
        <f t="shared" si="13"/>
        <v>10000</v>
      </c>
      <c r="N118" s="356">
        <f t="shared" si="14"/>
        <v>9331</v>
      </c>
      <c r="O118" s="356">
        <f t="shared" si="20"/>
        <v>43989</v>
      </c>
      <c r="P118" s="348">
        <v>7</v>
      </c>
      <c r="Q118" s="354">
        <f t="shared" si="16"/>
        <v>33</v>
      </c>
      <c r="R118" s="339">
        <f t="shared" si="17"/>
        <v>96831</v>
      </c>
      <c r="S118" s="339">
        <f t="shared" si="21"/>
        <v>469819</v>
      </c>
      <c r="T118" s="337"/>
    </row>
    <row r="119" spans="1:20">
      <c r="A119" s="378"/>
      <c r="B119" s="378"/>
      <c r="C119" s="361" t="s">
        <v>1388</v>
      </c>
      <c r="D119" s="367">
        <v>115</v>
      </c>
      <c r="E119" s="337" t="s">
        <v>1437</v>
      </c>
      <c r="F119" s="337" t="s">
        <v>1389</v>
      </c>
      <c r="G119" s="346">
        <v>330000</v>
      </c>
      <c r="H119" s="346">
        <v>43989</v>
      </c>
      <c r="I119" s="340">
        <f t="shared" si="12"/>
        <v>373989</v>
      </c>
      <c r="J119" s="348">
        <v>50</v>
      </c>
      <c r="K119" s="380">
        <v>7479.78</v>
      </c>
      <c r="L119" s="356">
        <f t="shared" si="19"/>
        <v>879.78</v>
      </c>
      <c r="M119" s="356">
        <f t="shared" si="13"/>
        <v>6600</v>
      </c>
      <c r="N119" s="356">
        <f t="shared" si="14"/>
        <v>7918.0199999999995</v>
      </c>
      <c r="O119" s="356">
        <f t="shared" si="20"/>
        <v>36070.979999999996</v>
      </c>
      <c r="P119" s="348">
        <v>9</v>
      </c>
      <c r="Q119" s="354">
        <f t="shared" si="16"/>
        <v>41</v>
      </c>
      <c r="R119" s="339">
        <f t="shared" si="17"/>
        <v>67318.02</v>
      </c>
      <c r="S119" s="339">
        <f t="shared" si="21"/>
        <v>306670.98</v>
      </c>
      <c r="T119" s="337"/>
    </row>
    <row r="120" spans="1:20">
      <c r="A120" s="378"/>
      <c r="B120" s="378"/>
      <c r="C120" s="362" t="s">
        <v>1317</v>
      </c>
      <c r="D120" s="367">
        <v>116</v>
      </c>
      <c r="E120" s="337" t="s">
        <v>1437</v>
      </c>
      <c r="F120" s="337" t="s">
        <v>1318</v>
      </c>
      <c r="G120" s="346">
        <v>450000</v>
      </c>
      <c r="H120" s="346">
        <v>43189.2</v>
      </c>
      <c r="I120" s="340">
        <f t="shared" si="12"/>
        <v>493189.2</v>
      </c>
      <c r="J120" s="348">
        <v>36</v>
      </c>
      <c r="K120" s="380">
        <v>14153.05</v>
      </c>
      <c r="L120" s="356">
        <f>H120/36</f>
        <v>1199.6999999999998</v>
      </c>
      <c r="M120" s="356">
        <f t="shared" si="13"/>
        <v>9000</v>
      </c>
      <c r="N120" s="356">
        <f t="shared" si="14"/>
        <v>31192.199999999997</v>
      </c>
      <c r="O120" s="356">
        <f t="shared" si="20"/>
        <v>11996.999999999998</v>
      </c>
      <c r="P120" s="348">
        <v>26</v>
      </c>
      <c r="Q120" s="354">
        <f t="shared" si="16"/>
        <v>10</v>
      </c>
      <c r="R120" s="339">
        <f t="shared" si="17"/>
        <v>367979.3</v>
      </c>
      <c r="S120" s="339">
        <f t="shared" si="21"/>
        <v>125209.90000000002</v>
      </c>
      <c r="T120" s="337"/>
    </row>
    <row r="121" spans="1:20">
      <c r="A121" s="378"/>
      <c r="B121" s="378"/>
      <c r="C121" s="363" t="s">
        <v>1360</v>
      </c>
      <c r="D121" s="367">
        <v>117</v>
      </c>
      <c r="E121" s="337" t="s">
        <v>1437</v>
      </c>
      <c r="F121" s="337" t="s">
        <v>293</v>
      </c>
      <c r="G121" s="346">
        <v>450000</v>
      </c>
      <c r="H121" s="346">
        <v>59985</v>
      </c>
      <c r="I121" s="340">
        <f t="shared" si="12"/>
        <v>509985</v>
      </c>
      <c r="J121" s="348">
        <v>50</v>
      </c>
      <c r="K121" s="380">
        <v>10199.700000000001</v>
      </c>
      <c r="L121" s="356">
        <f t="shared" ref="L121:L167" si="22">H121/50</f>
        <v>1199.7</v>
      </c>
      <c r="M121" s="356">
        <f t="shared" si="13"/>
        <v>9000</v>
      </c>
      <c r="N121" s="356">
        <f t="shared" si="14"/>
        <v>22794.3</v>
      </c>
      <c r="O121" s="356">
        <f t="shared" si="20"/>
        <v>37190.700000000004</v>
      </c>
      <c r="P121" s="348">
        <v>19</v>
      </c>
      <c r="Q121" s="354">
        <f t="shared" si="16"/>
        <v>31</v>
      </c>
      <c r="R121" s="339">
        <f t="shared" si="17"/>
        <v>193794.30000000002</v>
      </c>
      <c r="S121" s="339">
        <f t="shared" si="21"/>
        <v>316190.69999999995</v>
      </c>
      <c r="T121" s="337"/>
    </row>
    <row r="122" spans="1:20">
      <c r="A122" s="378"/>
      <c r="B122" s="378"/>
      <c r="C122" s="337" t="s">
        <v>1450</v>
      </c>
      <c r="D122" s="367">
        <v>118</v>
      </c>
      <c r="E122" s="337" t="s">
        <v>1437</v>
      </c>
      <c r="F122" s="337" t="s">
        <v>1451</v>
      </c>
      <c r="G122" s="346">
        <v>450000</v>
      </c>
      <c r="H122" s="346">
        <v>59985</v>
      </c>
      <c r="I122" s="340">
        <f t="shared" si="12"/>
        <v>509985</v>
      </c>
      <c r="J122" s="348">
        <v>50</v>
      </c>
      <c r="K122" s="381">
        <v>10199.700000000001</v>
      </c>
      <c r="L122" s="356">
        <f t="shared" si="22"/>
        <v>1199.7</v>
      </c>
      <c r="M122" s="356">
        <f t="shared" si="13"/>
        <v>9000</v>
      </c>
      <c r="N122" s="356">
        <f t="shared" si="14"/>
        <v>3599.1000000000004</v>
      </c>
      <c r="O122" s="356">
        <f t="shared" si="20"/>
        <v>56385.9</v>
      </c>
      <c r="P122" s="358">
        <v>3</v>
      </c>
      <c r="Q122" s="354">
        <f t="shared" si="16"/>
        <v>47</v>
      </c>
      <c r="R122" s="339">
        <f t="shared" si="17"/>
        <v>30599.100000000002</v>
      </c>
      <c r="S122" s="339">
        <f t="shared" si="21"/>
        <v>479385.9</v>
      </c>
      <c r="T122" s="337"/>
    </row>
    <row r="123" spans="1:20">
      <c r="A123" s="378"/>
      <c r="B123" s="378"/>
      <c r="C123" s="362" t="s">
        <v>1094</v>
      </c>
      <c r="D123" s="367">
        <v>119</v>
      </c>
      <c r="E123" s="337" t="s">
        <v>1437</v>
      </c>
      <c r="F123" s="337" t="s">
        <v>1095</v>
      </c>
      <c r="G123" s="346">
        <v>500000</v>
      </c>
      <c r="H123" s="346">
        <v>66650</v>
      </c>
      <c r="I123" s="340">
        <f t="shared" si="12"/>
        <v>566650</v>
      </c>
      <c r="J123" s="348">
        <v>50</v>
      </c>
      <c r="K123" s="380">
        <v>11333</v>
      </c>
      <c r="L123" s="356">
        <f t="shared" si="22"/>
        <v>1333</v>
      </c>
      <c r="M123" s="356">
        <f t="shared" si="13"/>
        <v>10000</v>
      </c>
      <c r="N123" s="356">
        <f t="shared" si="14"/>
        <v>31992</v>
      </c>
      <c r="O123" s="356">
        <f t="shared" si="20"/>
        <v>34658</v>
      </c>
      <c r="P123" s="348">
        <v>24</v>
      </c>
      <c r="Q123" s="354">
        <f t="shared" si="16"/>
        <v>26</v>
      </c>
      <c r="R123" s="339">
        <f t="shared" si="17"/>
        <v>271992</v>
      </c>
      <c r="S123" s="339">
        <f t="shared" si="21"/>
        <v>294658</v>
      </c>
      <c r="T123" s="337"/>
    </row>
    <row r="124" spans="1:20">
      <c r="A124" s="378"/>
      <c r="B124" s="378"/>
      <c r="C124" s="365" t="s">
        <v>1330</v>
      </c>
      <c r="D124" s="367">
        <v>120</v>
      </c>
      <c r="E124" s="337" t="s">
        <v>1437</v>
      </c>
      <c r="F124" s="337" t="s">
        <v>1331</v>
      </c>
      <c r="G124" s="346">
        <v>500000</v>
      </c>
      <c r="H124" s="346">
        <v>66650</v>
      </c>
      <c r="I124" s="340">
        <f t="shared" si="12"/>
        <v>566650</v>
      </c>
      <c r="J124" s="348">
        <v>50</v>
      </c>
      <c r="K124" s="380">
        <v>11333</v>
      </c>
      <c r="L124" s="356">
        <f t="shared" si="22"/>
        <v>1333</v>
      </c>
      <c r="M124" s="356">
        <f t="shared" si="13"/>
        <v>10000</v>
      </c>
      <c r="N124" s="356">
        <f t="shared" si="14"/>
        <v>25327</v>
      </c>
      <c r="O124" s="356">
        <f t="shared" si="20"/>
        <v>41323</v>
      </c>
      <c r="P124" s="348">
        <v>19</v>
      </c>
      <c r="Q124" s="354">
        <f t="shared" si="16"/>
        <v>31</v>
      </c>
      <c r="R124" s="339">
        <f t="shared" si="17"/>
        <v>215327</v>
      </c>
      <c r="S124" s="339">
        <f t="shared" si="21"/>
        <v>351323</v>
      </c>
      <c r="T124" s="337"/>
    </row>
    <row r="125" spans="1:20">
      <c r="A125" s="378"/>
      <c r="B125" s="378"/>
      <c r="C125" s="364" t="s">
        <v>1368</v>
      </c>
      <c r="D125" s="367">
        <v>121</v>
      </c>
      <c r="E125" s="337" t="s">
        <v>1437</v>
      </c>
      <c r="F125" s="337" t="s">
        <v>443</v>
      </c>
      <c r="G125" s="346">
        <v>330000</v>
      </c>
      <c r="H125" s="346">
        <v>43989</v>
      </c>
      <c r="I125" s="340">
        <f t="shared" si="12"/>
        <v>373989</v>
      </c>
      <c r="J125" s="348">
        <v>50</v>
      </c>
      <c r="K125" s="380">
        <v>7479.78</v>
      </c>
      <c r="L125" s="356">
        <f t="shared" si="22"/>
        <v>879.78</v>
      </c>
      <c r="M125" s="356">
        <f t="shared" si="13"/>
        <v>6600</v>
      </c>
      <c r="N125" s="356">
        <f t="shared" si="14"/>
        <v>10557.36</v>
      </c>
      <c r="O125" s="356">
        <f t="shared" si="20"/>
        <v>33431.64</v>
      </c>
      <c r="P125" s="348">
        <v>12</v>
      </c>
      <c r="Q125" s="354">
        <f t="shared" si="16"/>
        <v>38</v>
      </c>
      <c r="R125" s="339">
        <f t="shared" si="17"/>
        <v>89757.36</v>
      </c>
      <c r="S125" s="339">
        <f t="shared" si="21"/>
        <v>284231.64</v>
      </c>
      <c r="T125" s="337"/>
    </row>
    <row r="126" spans="1:20">
      <c r="A126" s="378"/>
      <c r="B126" s="378"/>
      <c r="C126" s="364" t="s">
        <v>1006</v>
      </c>
      <c r="D126" s="367">
        <v>122</v>
      </c>
      <c r="E126" s="337" t="s">
        <v>1437</v>
      </c>
      <c r="F126" s="337" t="s">
        <v>865</v>
      </c>
      <c r="G126" s="346">
        <v>500000</v>
      </c>
      <c r="H126" s="346">
        <v>66650</v>
      </c>
      <c r="I126" s="340">
        <f t="shared" si="12"/>
        <v>566650</v>
      </c>
      <c r="J126" s="348">
        <v>50</v>
      </c>
      <c r="K126" s="380">
        <v>11333</v>
      </c>
      <c r="L126" s="356">
        <f t="shared" si="22"/>
        <v>1333</v>
      </c>
      <c r="M126" s="356">
        <f t="shared" si="13"/>
        <v>10000</v>
      </c>
      <c r="N126" s="356">
        <f t="shared" si="14"/>
        <v>77314</v>
      </c>
      <c r="O126" s="356">
        <f t="shared" si="20"/>
        <v>-10664</v>
      </c>
      <c r="P126" s="348">
        <v>58</v>
      </c>
      <c r="Q126" s="354">
        <f t="shared" si="16"/>
        <v>-8</v>
      </c>
      <c r="R126" s="339">
        <f t="shared" si="17"/>
        <v>657314</v>
      </c>
      <c r="S126" s="339">
        <f t="shared" si="21"/>
        <v>-90664</v>
      </c>
      <c r="T126" s="337"/>
    </row>
    <row r="127" spans="1:20">
      <c r="A127" s="378"/>
      <c r="B127" s="378"/>
      <c r="C127" s="337" t="s">
        <v>1414</v>
      </c>
      <c r="D127" s="367">
        <v>123</v>
      </c>
      <c r="E127" s="337" t="s">
        <v>1437</v>
      </c>
      <c r="F127" s="337" t="s">
        <v>459</v>
      </c>
      <c r="G127" s="346">
        <v>500000</v>
      </c>
      <c r="H127" s="346">
        <v>66650</v>
      </c>
      <c r="I127" s="340">
        <f t="shared" si="12"/>
        <v>566650</v>
      </c>
      <c r="J127" s="348">
        <v>50</v>
      </c>
      <c r="K127" s="380">
        <v>11333</v>
      </c>
      <c r="L127" s="356">
        <f t="shared" si="22"/>
        <v>1333</v>
      </c>
      <c r="M127" s="356">
        <f t="shared" si="13"/>
        <v>10000</v>
      </c>
      <c r="N127" s="356">
        <f t="shared" si="14"/>
        <v>6665</v>
      </c>
      <c r="O127" s="356">
        <f t="shared" si="20"/>
        <v>59985</v>
      </c>
      <c r="P127" s="348">
        <v>5</v>
      </c>
      <c r="Q127" s="354">
        <f t="shared" si="16"/>
        <v>45</v>
      </c>
      <c r="R127" s="339">
        <f t="shared" si="17"/>
        <v>56665</v>
      </c>
      <c r="S127" s="339">
        <f t="shared" si="21"/>
        <v>509985</v>
      </c>
      <c r="T127" s="337"/>
    </row>
    <row r="128" spans="1:20">
      <c r="A128" s="378"/>
      <c r="B128" s="378"/>
      <c r="C128" s="364" t="s">
        <v>983</v>
      </c>
      <c r="D128" s="367">
        <v>124</v>
      </c>
      <c r="E128" s="337" t="s">
        <v>1437</v>
      </c>
      <c r="F128" s="337" t="s">
        <v>323</v>
      </c>
      <c r="G128" s="346">
        <v>500000</v>
      </c>
      <c r="H128" s="346">
        <v>66650</v>
      </c>
      <c r="I128" s="340">
        <f t="shared" si="12"/>
        <v>566650</v>
      </c>
      <c r="J128" s="348">
        <v>50</v>
      </c>
      <c r="K128" s="380">
        <v>11333</v>
      </c>
      <c r="L128" s="356">
        <f t="shared" si="22"/>
        <v>1333</v>
      </c>
      <c r="M128" s="356">
        <f t="shared" si="13"/>
        <v>10000</v>
      </c>
      <c r="N128" s="356">
        <f t="shared" si="14"/>
        <v>75981</v>
      </c>
      <c r="O128" s="356">
        <f t="shared" si="20"/>
        <v>-9331</v>
      </c>
      <c r="P128" s="348">
        <v>57</v>
      </c>
      <c r="Q128" s="354">
        <f t="shared" si="16"/>
        <v>-7</v>
      </c>
      <c r="R128" s="339">
        <f t="shared" si="17"/>
        <v>645981</v>
      </c>
      <c r="S128" s="339">
        <f t="shared" si="21"/>
        <v>-79331</v>
      </c>
      <c r="T128" s="337"/>
    </row>
    <row r="129" spans="1:20">
      <c r="A129" s="378"/>
      <c r="B129" s="378"/>
      <c r="C129" s="364" t="s">
        <v>1080</v>
      </c>
      <c r="D129" s="367">
        <v>125</v>
      </c>
      <c r="E129" s="337" t="s">
        <v>1437</v>
      </c>
      <c r="F129" s="337" t="s">
        <v>315</v>
      </c>
      <c r="G129" s="346">
        <v>500000</v>
      </c>
      <c r="H129" s="346">
        <v>66650</v>
      </c>
      <c r="I129" s="340">
        <f t="shared" si="12"/>
        <v>566650</v>
      </c>
      <c r="J129" s="348">
        <v>50</v>
      </c>
      <c r="K129" s="380">
        <v>11333</v>
      </c>
      <c r="L129" s="356">
        <f t="shared" si="22"/>
        <v>1333</v>
      </c>
      <c r="M129" s="356">
        <f t="shared" si="13"/>
        <v>10000</v>
      </c>
      <c r="N129" s="356">
        <f t="shared" si="14"/>
        <v>58652</v>
      </c>
      <c r="O129" s="356">
        <f t="shared" si="20"/>
        <v>7998</v>
      </c>
      <c r="P129" s="348">
        <v>44</v>
      </c>
      <c r="Q129" s="354">
        <f t="shared" si="16"/>
        <v>6</v>
      </c>
      <c r="R129" s="339">
        <f t="shared" si="17"/>
        <v>498652</v>
      </c>
      <c r="S129" s="339">
        <f t="shared" si="21"/>
        <v>67998</v>
      </c>
      <c r="T129" s="337"/>
    </row>
    <row r="130" spans="1:20">
      <c r="A130" s="378"/>
      <c r="B130" s="378"/>
      <c r="C130" s="364" t="s">
        <v>1084</v>
      </c>
      <c r="D130" s="367">
        <v>126</v>
      </c>
      <c r="E130" s="337" t="s">
        <v>1437</v>
      </c>
      <c r="F130" s="337" t="s">
        <v>353</v>
      </c>
      <c r="G130" s="346">
        <v>500000</v>
      </c>
      <c r="H130" s="346">
        <v>66650</v>
      </c>
      <c r="I130" s="340">
        <f t="shared" si="12"/>
        <v>566650</v>
      </c>
      <c r="J130" s="348">
        <v>50</v>
      </c>
      <c r="K130" s="380">
        <v>11333</v>
      </c>
      <c r="L130" s="356">
        <f t="shared" si="22"/>
        <v>1333</v>
      </c>
      <c r="M130" s="356">
        <f t="shared" si="13"/>
        <v>10000</v>
      </c>
      <c r="N130" s="356">
        <f t="shared" si="14"/>
        <v>58652</v>
      </c>
      <c r="O130" s="356">
        <f t="shared" si="20"/>
        <v>7998</v>
      </c>
      <c r="P130" s="348">
        <v>44</v>
      </c>
      <c r="Q130" s="354">
        <f t="shared" si="16"/>
        <v>6</v>
      </c>
      <c r="R130" s="339">
        <f t="shared" si="17"/>
        <v>498652</v>
      </c>
      <c r="S130" s="339">
        <f t="shared" si="21"/>
        <v>67998</v>
      </c>
      <c r="T130" s="337"/>
    </row>
    <row r="131" spans="1:20">
      <c r="A131" s="378"/>
      <c r="B131" s="378"/>
      <c r="C131" s="361" t="s">
        <v>1108</v>
      </c>
      <c r="D131" s="367">
        <v>127</v>
      </c>
      <c r="E131" s="337" t="s">
        <v>1437</v>
      </c>
      <c r="F131" s="337" t="s">
        <v>802</v>
      </c>
      <c r="G131" s="346">
        <v>500000</v>
      </c>
      <c r="H131" s="346">
        <v>66650</v>
      </c>
      <c r="I131" s="340">
        <f t="shared" si="12"/>
        <v>566650</v>
      </c>
      <c r="J131" s="348">
        <v>50</v>
      </c>
      <c r="K131" s="380">
        <v>11333</v>
      </c>
      <c r="L131" s="356">
        <f t="shared" si="22"/>
        <v>1333</v>
      </c>
      <c r="M131" s="356">
        <f t="shared" si="13"/>
        <v>10000</v>
      </c>
      <c r="N131" s="356">
        <f t="shared" si="14"/>
        <v>45322</v>
      </c>
      <c r="O131" s="356">
        <f t="shared" si="20"/>
        <v>21328</v>
      </c>
      <c r="P131" s="348">
        <v>34</v>
      </c>
      <c r="Q131" s="354">
        <f t="shared" si="16"/>
        <v>16</v>
      </c>
      <c r="R131" s="339">
        <f t="shared" si="17"/>
        <v>385322</v>
      </c>
      <c r="S131" s="339">
        <f t="shared" si="21"/>
        <v>181328</v>
      </c>
      <c r="T131" s="337"/>
    </row>
    <row r="132" spans="1:20">
      <c r="A132" s="378"/>
      <c r="B132" s="378"/>
      <c r="C132" s="362" t="s">
        <v>1333</v>
      </c>
      <c r="D132" s="367">
        <v>128</v>
      </c>
      <c r="E132" s="337" t="s">
        <v>1437</v>
      </c>
      <c r="F132" s="337" t="s">
        <v>1281</v>
      </c>
      <c r="G132" s="346">
        <v>500000</v>
      </c>
      <c r="H132" s="346">
        <v>66650</v>
      </c>
      <c r="I132" s="340">
        <f t="shared" si="12"/>
        <v>566650</v>
      </c>
      <c r="J132" s="348">
        <v>50</v>
      </c>
      <c r="K132" s="380">
        <v>11333</v>
      </c>
      <c r="L132" s="356">
        <f t="shared" si="22"/>
        <v>1333</v>
      </c>
      <c r="M132" s="356">
        <f t="shared" si="13"/>
        <v>10000</v>
      </c>
      <c r="N132" s="356">
        <f t="shared" si="14"/>
        <v>15996</v>
      </c>
      <c r="O132" s="356">
        <f t="shared" si="20"/>
        <v>50654</v>
      </c>
      <c r="P132" s="348">
        <v>12</v>
      </c>
      <c r="Q132" s="354">
        <f t="shared" si="16"/>
        <v>38</v>
      </c>
      <c r="R132" s="339">
        <f t="shared" si="17"/>
        <v>135996</v>
      </c>
      <c r="S132" s="339">
        <f t="shared" si="21"/>
        <v>430654</v>
      </c>
      <c r="T132" s="337"/>
    </row>
    <row r="133" spans="1:20">
      <c r="A133" s="378"/>
      <c r="B133" s="378"/>
      <c r="C133" s="364" t="s">
        <v>1057</v>
      </c>
      <c r="D133" s="367">
        <v>129</v>
      </c>
      <c r="E133" s="337" t="s">
        <v>1437</v>
      </c>
      <c r="F133" s="337" t="s">
        <v>412</v>
      </c>
      <c r="G133" s="346">
        <v>500000</v>
      </c>
      <c r="H133" s="346">
        <v>66650</v>
      </c>
      <c r="I133" s="340">
        <f t="shared" ref="I133:I167" si="23">SUM(G133:H133)</f>
        <v>566650</v>
      </c>
      <c r="J133" s="348">
        <v>50</v>
      </c>
      <c r="K133" s="380">
        <v>11333</v>
      </c>
      <c r="L133" s="356">
        <f t="shared" si="22"/>
        <v>1333</v>
      </c>
      <c r="M133" s="356">
        <f t="shared" ref="M133:M167" si="24">G133/50</f>
        <v>10000</v>
      </c>
      <c r="N133" s="356">
        <f t="shared" ref="N133:N167" si="25">L133*P133</f>
        <v>35991</v>
      </c>
      <c r="O133" s="356">
        <f t="shared" ref="O133:O167" si="26">L133*Q133</f>
        <v>30659</v>
      </c>
      <c r="P133" s="348">
        <v>27</v>
      </c>
      <c r="Q133" s="354">
        <f t="shared" ref="Q133:Q167" si="27">J133-P133</f>
        <v>23</v>
      </c>
      <c r="R133" s="339">
        <f t="shared" ref="R133:R167" si="28">K133*P133</f>
        <v>305991</v>
      </c>
      <c r="S133" s="339">
        <f t="shared" ref="S133:S164" si="29">I133-R133</f>
        <v>260659</v>
      </c>
      <c r="T133" s="337"/>
    </row>
    <row r="134" spans="1:20">
      <c r="A134" s="378"/>
      <c r="B134" s="378"/>
      <c r="C134" s="364" t="s">
        <v>1091</v>
      </c>
      <c r="D134" s="367">
        <v>130</v>
      </c>
      <c r="E134" s="337" t="s">
        <v>1437</v>
      </c>
      <c r="F134" s="337" t="s">
        <v>1092</v>
      </c>
      <c r="G134" s="346">
        <v>500000</v>
      </c>
      <c r="H134" s="346">
        <v>66650</v>
      </c>
      <c r="I134" s="340">
        <f t="shared" si="23"/>
        <v>566650</v>
      </c>
      <c r="J134" s="348">
        <v>50</v>
      </c>
      <c r="K134" s="380">
        <v>11333</v>
      </c>
      <c r="L134" s="356">
        <f t="shared" si="22"/>
        <v>1333</v>
      </c>
      <c r="M134" s="356">
        <f t="shared" si="24"/>
        <v>10000</v>
      </c>
      <c r="N134" s="356">
        <f t="shared" si="25"/>
        <v>75981</v>
      </c>
      <c r="O134" s="356">
        <f t="shared" si="26"/>
        <v>-9331</v>
      </c>
      <c r="P134" s="348">
        <v>57</v>
      </c>
      <c r="Q134" s="354">
        <f t="shared" si="27"/>
        <v>-7</v>
      </c>
      <c r="R134" s="339">
        <f t="shared" si="28"/>
        <v>645981</v>
      </c>
      <c r="S134" s="339">
        <f t="shared" si="29"/>
        <v>-79331</v>
      </c>
      <c r="T134" s="337"/>
    </row>
    <row r="135" spans="1:20">
      <c r="A135" s="378"/>
      <c r="B135" s="378"/>
      <c r="C135" s="363" t="s">
        <v>1087</v>
      </c>
      <c r="D135" s="367">
        <v>131</v>
      </c>
      <c r="E135" s="337" t="s">
        <v>1437</v>
      </c>
      <c r="F135" s="337" t="s">
        <v>1088</v>
      </c>
      <c r="G135" s="346">
        <v>500000</v>
      </c>
      <c r="H135" s="346">
        <v>66650</v>
      </c>
      <c r="I135" s="340">
        <f t="shared" si="23"/>
        <v>566650</v>
      </c>
      <c r="J135" s="348">
        <v>50</v>
      </c>
      <c r="K135" s="380">
        <v>11333</v>
      </c>
      <c r="L135" s="356">
        <f t="shared" si="22"/>
        <v>1333</v>
      </c>
      <c r="M135" s="356">
        <f t="shared" si="24"/>
        <v>10000</v>
      </c>
      <c r="N135" s="356">
        <f t="shared" si="25"/>
        <v>75981</v>
      </c>
      <c r="O135" s="356">
        <f t="shared" si="26"/>
        <v>-9331</v>
      </c>
      <c r="P135" s="348">
        <v>57</v>
      </c>
      <c r="Q135" s="354">
        <f t="shared" si="27"/>
        <v>-7</v>
      </c>
      <c r="R135" s="339">
        <f t="shared" si="28"/>
        <v>645981</v>
      </c>
      <c r="S135" s="339">
        <f t="shared" si="29"/>
        <v>-79331</v>
      </c>
      <c r="T135" s="337"/>
    </row>
    <row r="136" spans="1:20">
      <c r="A136" s="378"/>
      <c r="B136" s="378"/>
      <c r="C136" s="363" t="s">
        <v>1324</v>
      </c>
      <c r="D136" s="367">
        <v>132</v>
      </c>
      <c r="E136" s="337" t="s">
        <v>1437</v>
      </c>
      <c r="F136" s="337" t="s">
        <v>1325</v>
      </c>
      <c r="G136" s="346">
        <v>500000</v>
      </c>
      <c r="H136" s="346">
        <v>66650</v>
      </c>
      <c r="I136" s="340">
        <f t="shared" si="23"/>
        <v>566650</v>
      </c>
      <c r="J136" s="348">
        <v>50</v>
      </c>
      <c r="K136" s="380">
        <v>11333</v>
      </c>
      <c r="L136" s="356">
        <f t="shared" si="22"/>
        <v>1333</v>
      </c>
      <c r="M136" s="356">
        <f t="shared" si="24"/>
        <v>10000</v>
      </c>
      <c r="N136" s="356">
        <f t="shared" si="25"/>
        <v>13330</v>
      </c>
      <c r="O136" s="356">
        <f t="shared" si="26"/>
        <v>53320</v>
      </c>
      <c r="P136" s="348">
        <v>10</v>
      </c>
      <c r="Q136" s="354">
        <f t="shared" si="27"/>
        <v>40</v>
      </c>
      <c r="R136" s="339">
        <f t="shared" si="28"/>
        <v>113330</v>
      </c>
      <c r="S136" s="339">
        <f t="shared" si="29"/>
        <v>453320</v>
      </c>
      <c r="T136" s="337"/>
    </row>
    <row r="137" spans="1:20">
      <c r="A137" s="378"/>
      <c r="B137" s="378"/>
      <c r="C137" s="363" t="s">
        <v>1340</v>
      </c>
      <c r="D137" s="367">
        <v>133</v>
      </c>
      <c r="E137" s="337" t="s">
        <v>1437</v>
      </c>
      <c r="F137" s="337" t="s">
        <v>410</v>
      </c>
      <c r="G137" s="346">
        <v>500000</v>
      </c>
      <c r="H137" s="346">
        <v>66650</v>
      </c>
      <c r="I137" s="340">
        <f t="shared" si="23"/>
        <v>566650</v>
      </c>
      <c r="J137" s="348">
        <v>50</v>
      </c>
      <c r="K137" s="380">
        <v>11333</v>
      </c>
      <c r="L137" s="356">
        <f t="shared" si="22"/>
        <v>1333</v>
      </c>
      <c r="M137" s="356">
        <f t="shared" si="24"/>
        <v>10000</v>
      </c>
      <c r="N137" s="356">
        <f t="shared" si="25"/>
        <v>13330</v>
      </c>
      <c r="O137" s="356">
        <f t="shared" si="26"/>
        <v>53320</v>
      </c>
      <c r="P137" s="348">
        <v>10</v>
      </c>
      <c r="Q137" s="354">
        <f t="shared" si="27"/>
        <v>40</v>
      </c>
      <c r="R137" s="339">
        <f t="shared" si="28"/>
        <v>113330</v>
      </c>
      <c r="S137" s="339">
        <f t="shared" si="29"/>
        <v>453320</v>
      </c>
      <c r="T137" s="337"/>
    </row>
    <row r="138" spans="1:20">
      <c r="A138" s="378"/>
      <c r="B138" s="378"/>
      <c r="C138" s="363" t="s">
        <v>1021</v>
      </c>
      <c r="D138" s="367">
        <v>134</v>
      </c>
      <c r="E138" s="337" t="s">
        <v>1437</v>
      </c>
      <c r="F138" s="337" t="s">
        <v>1022</v>
      </c>
      <c r="G138" s="346">
        <v>330000</v>
      </c>
      <c r="H138" s="346">
        <v>43989</v>
      </c>
      <c r="I138" s="340">
        <f t="shared" si="23"/>
        <v>373989</v>
      </c>
      <c r="J138" s="348">
        <v>50</v>
      </c>
      <c r="K138" s="380">
        <v>7479.78</v>
      </c>
      <c r="L138" s="356">
        <f t="shared" si="22"/>
        <v>879.78</v>
      </c>
      <c r="M138" s="356">
        <f t="shared" si="24"/>
        <v>6600</v>
      </c>
      <c r="N138" s="356">
        <f t="shared" si="25"/>
        <v>21114.720000000001</v>
      </c>
      <c r="O138" s="356">
        <f t="shared" si="26"/>
        <v>22874.28</v>
      </c>
      <c r="P138" s="348">
        <v>24</v>
      </c>
      <c r="Q138" s="354">
        <f t="shared" si="27"/>
        <v>26</v>
      </c>
      <c r="R138" s="339">
        <f t="shared" si="28"/>
        <v>179514.72</v>
      </c>
      <c r="S138" s="339">
        <f t="shared" si="29"/>
        <v>194474.28</v>
      </c>
      <c r="T138" s="337"/>
    </row>
    <row r="139" spans="1:20">
      <c r="A139" s="378"/>
      <c r="B139" s="378"/>
      <c r="C139" s="362" t="s">
        <v>1385</v>
      </c>
      <c r="D139" s="367">
        <v>135</v>
      </c>
      <c r="E139" s="337" t="s">
        <v>1437</v>
      </c>
      <c r="F139" s="337" t="s">
        <v>1295</v>
      </c>
      <c r="G139" s="346">
        <v>330000</v>
      </c>
      <c r="H139" s="346">
        <v>43989</v>
      </c>
      <c r="I139" s="340">
        <f t="shared" si="23"/>
        <v>373989</v>
      </c>
      <c r="J139" s="348">
        <v>50</v>
      </c>
      <c r="K139" s="380">
        <v>7479.78</v>
      </c>
      <c r="L139" s="356">
        <f t="shared" si="22"/>
        <v>879.78</v>
      </c>
      <c r="M139" s="356">
        <f t="shared" si="24"/>
        <v>6600</v>
      </c>
      <c r="N139" s="356">
        <f t="shared" si="25"/>
        <v>10557.36</v>
      </c>
      <c r="O139" s="356">
        <f t="shared" si="26"/>
        <v>33431.64</v>
      </c>
      <c r="P139" s="348">
        <v>12</v>
      </c>
      <c r="Q139" s="354">
        <f t="shared" si="27"/>
        <v>38</v>
      </c>
      <c r="R139" s="339">
        <f t="shared" si="28"/>
        <v>89757.36</v>
      </c>
      <c r="S139" s="339">
        <f t="shared" si="29"/>
        <v>284231.64</v>
      </c>
      <c r="T139" s="337"/>
    </row>
    <row r="140" spans="1:20">
      <c r="A140" s="378"/>
      <c r="B140" s="378"/>
      <c r="C140" s="337" t="s">
        <v>1128</v>
      </c>
      <c r="D140" s="367">
        <v>136</v>
      </c>
      <c r="E140" s="337" t="s">
        <v>1437</v>
      </c>
      <c r="F140" s="337" t="s">
        <v>462</v>
      </c>
      <c r="G140" s="346">
        <v>450000</v>
      </c>
      <c r="H140" s="346">
        <v>59985</v>
      </c>
      <c r="I140" s="340">
        <f t="shared" si="23"/>
        <v>509985</v>
      </c>
      <c r="J140" s="348">
        <v>50</v>
      </c>
      <c r="K140" s="381">
        <v>10199.700000000001</v>
      </c>
      <c r="L140" s="356">
        <f t="shared" si="22"/>
        <v>1199.7</v>
      </c>
      <c r="M140" s="356">
        <f t="shared" si="24"/>
        <v>9000</v>
      </c>
      <c r="N140" s="356">
        <f t="shared" si="25"/>
        <v>3599.1000000000004</v>
      </c>
      <c r="O140" s="356">
        <f t="shared" si="26"/>
        <v>56385.9</v>
      </c>
      <c r="P140" s="358">
        <v>3</v>
      </c>
      <c r="Q140" s="354">
        <f t="shared" si="27"/>
        <v>47</v>
      </c>
      <c r="R140" s="339">
        <f t="shared" si="28"/>
        <v>30599.100000000002</v>
      </c>
      <c r="S140" s="339">
        <f t="shared" si="29"/>
        <v>479385.9</v>
      </c>
      <c r="T140" s="337"/>
    </row>
    <row r="141" spans="1:20">
      <c r="A141" s="378"/>
      <c r="B141" s="378"/>
      <c r="C141" s="362" t="s">
        <v>1004</v>
      </c>
      <c r="D141" s="367">
        <v>137</v>
      </c>
      <c r="E141" s="337" t="s">
        <v>1437</v>
      </c>
      <c r="F141" s="337" t="s">
        <v>107</v>
      </c>
      <c r="G141" s="346">
        <v>450000</v>
      </c>
      <c r="H141" s="346">
        <v>59985</v>
      </c>
      <c r="I141" s="340">
        <f t="shared" si="23"/>
        <v>509985</v>
      </c>
      <c r="J141" s="348">
        <v>50</v>
      </c>
      <c r="K141" s="380">
        <v>10199.700000000001</v>
      </c>
      <c r="L141" s="356">
        <f t="shared" si="22"/>
        <v>1199.7</v>
      </c>
      <c r="M141" s="356">
        <f t="shared" si="24"/>
        <v>9000</v>
      </c>
      <c r="N141" s="356">
        <f t="shared" si="25"/>
        <v>23994</v>
      </c>
      <c r="O141" s="356">
        <f t="shared" si="26"/>
        <v>35991</v>
      </c>
      <c r="P141" s="348">
        <v>20</v>
      </c>
      <c r="Q141" s="354">
        <f t="shared" si="27"/>
        <v>30</v>
      </c>
      <c r="R141" s="339">
        <f t="shared" si="28"/>
        <v>203994</v>
      </c>
      <c r="S141" s="339">
        <f t="shared" si="29"/>
        <v>305991</v>
      </c>
      <c r="T141" s="337"/>
    </row>
    <row r="142" spans="1:20">
      <c r="A142" s="378"/>
      <c r="B142" s="378"/>
      <c r="C142" s="362" t="s">
        <v>1140</v>
      </c>
      <c r="D142" s="367">
        <v>138</v>
      </c>
      <c r="E142" s="337" t="s">
        <v>1437</v>
      </c>
      <c r="F142" s="337" t="s">
        <v>372</v>
      </c>
      <c r="G142" s="346">
        <v>330000</v>
      </c>
      <c r="H142" s="346">
        <v>43989</v>
      </c>
      <c r="I142" s="340">
        <f t="shared" si="23"/>
        <v>373989</v>
      </c>
      <c r="J142" s="348">
        <v>50</v>
      </c>
      <c r="K142" s="380">
        <v>7479.78</v>
      </c>
      <c r="L142" s="356">
        <f t="shared" si="22"/>
        <v>879.78</v>
      </c>
      <c r="M142" s="356">
        <f t="shared" si="24"/>
        <v>6600</v>
      </c>
      <c r="N142" s="356">
        <f t="shared" si="25"/>
        <v>17595.599999999999</v>
      </c>
      <c r="O142" s="356">
        <f t="shared" si="26"/>
        <v>26393.399999999998</v>
      </c>
      <c r="P142" s="348">
        <v>20</v>
      </c>
      <c r="Q142" s="354">
        <f t="shared" si="27"/>
        <v>30</v>
      </c>
      <c r="R142" s="339">
        <f t="shared" si="28"/>
        <v>149595.6</v>
      </c>
      <c r="S142" s="339">
        <f t="shared" si="29"/>
        <v>224393.4</v>
      </c>
      <c r="T142" s="337"/>
    </row>
    <row r="143" spans="1:20">
      <c r="A143" s="378"/>
      <c r="B143" s="378"/>
      <c r="C143" s="362" t="s">
        <v>1136</v>
      </c>
      <c r="D143" s="367">
        <v>139</v>
      </c>
      <c r="E143" s="337" t="s">
        <v>1437</v>
      </c>
      <c r="F143" s="337" t="s">
        <v>1137</v>
      </c>
      <c r="G143" s="346">
        <v>330000</v>
      </c>
      <c r="H143" s="346">
        <v>43989</v>
      </c>
      <c r="I143" s="340">
        <f t="shared" si="23"/>
        <v>373989</v>
      </c>
      <c r="J143" s="348">
        <v>50</v>
      </c>
      <c r="K143" s="380">
        <v>7479.78</v>
      </c>
      <c r="L143" s="356">
        <f t="shared" si="22"/>
        <v>879.78</v>
      </c>
      <c r="M143" s="356">
        <f t="shared" si="24"/>
        <v>6600</v>
      </c>
      <c r="N143" s="356">
        <f t="shared" si="25"/>
        <v>17595.599999999999</v>
      </c>
      <c r="O143" s="356">
        <f t="shared" si="26"/>
        <v>26393.399999999998</v>
      </c>
      <c r="P143" s="348">
        <v>20</v>
      </c>
      <c r="Q143" s="354">
        <f t="shared" si="27"/>
        <v>30</v>
      </c>
      <c r="R143" s="339">
        <f t="shared" si="28"/>
        <v>149595.6</v>
      </c>
      <c r="S143" s="339">
        <f t="shared" si="29"/>
        <v>224393.4</v>
      </c>
      <c r="T143" s="337"/>
    </row>
    <row r="144" spans="1:20">
      <c r="A144" s="378"/>
      <c r="B144" s="378"/>
      <c r="C144" s="337" t="s">
        <v>1452</v>
      </c>
      <c r="D144" s="367">
        <v>140</v>
      </c>
      <c r="E144" s="337" t="s">
        <v>1437</v>
      </c>
      <c r="F144" s="337" t="s">
        <v>1453</v>
      </c>
      <c r="G144" s="346">
        <v>500000</v>
      </c>
      <c r="H144" s="346">
        <v>66650</v>
      </c>
      <c r="I144" s="340">
        <f t="shared" si="23"/>
        <v>566650</v>
      </c>
      <c r="J144" s="348">
        <v>50</v>
      </c>
      <c r="K144" s="381">
        <v>11333</v>
      </c>
      <c r="L144" s="356">
        <f t="shared" si="22"/>
        <v>1333</v>
      </c>
      <c r="M144" s="356">
        <f t="shared" si="24"/>
        <v>10000</v>
      </c>
      <c r="N144" s="356">
        <f t="shared" si="25"/>
        <v>3999</v>
      </c>
      <c r="O144" s="356">
        <f t="shared" si="26"/>
        <v>62651</v>
      </c>
      <c r="P144" s="358">
        <v>3</v>
      </c>
      <c r="Q144" s="354">
        <f t="shared" si="27"/>
        <v>47</v>
      </c>
      <c r="R144" s="339">
        <f t="shared" si="28"/>
        <v>33999</v>
      </c>
      <c r="S144" s="339">
        <f t="shared" si="29"/>
        <v>532651</v>
      </c>
      <c r="T144" s="337"/>
    </row>
    <row r="145" spans="1:20">
      <c r="A145" s="378"/>
      <c r="B145" s="378"/>
      <c r="C145" s="362" t="s">
        <v>1115</v>
      </c>
      <c r="D145" s="367">
        <v>141</v>
      </c>
      <c r="E145" s="337" t="s">
        <v>1437</v>
      </c>
      <c r="F145" s="337" t="s">
        <v>1116</v>
      </c>
      <c r="G145" s="346">
        <v>200000</v>
      </c>
      <c r="H145" s="346">
        <v>26660</v>
      </c>
      <c r="I145" s="340">
        <f t="shared" si="23"/>
        <v>226660</v>
      </c>
      <c r="J145" s="348">
        <v>50</v>
      </c>
      <c r="K145" s="380">
        <v>5099.8500000000004</v>
      </c>
      <c r="L145" s="356">
        <f t="shared" si="22"/>
        <v>533.20000000000005</v>
      </c>
      <c r="M145" s="356">
        <f t="shared" si="24"/>
        <v>4000</v>
      </c>
      <c r="N145" s="356">
        <f t="shared" si="25"/>
        <v>10664</v>
      </c>
      <c r="O145" s="356">
        <f t="shared" si="26"/>
        <v>15996.000000000002</v>
      </c>
      <c r="P145" s="348">
        <v>20</v>
      </c>
      <c r="Q145" s="354">
        <f t="shared" si="27"/>
        <v>30</v>
      </c>
      <c r="R145" s="339">
        <f t="shared" si="28"/>
        <v>101997</v>
      </c>
      <c r="S145" s="339">
        <f t="shared" si="29"/>
        <v>124663</v>
      </c>
      <c r="T145" s="337"/>
    </row>
    <row r="146" spans="1:20">
      <c r="A146" s="378"/>
      <c r="B146" s="378"/>
      <c r="C146" s="366" t="s">
        <v>1408</v>
      </c>
      <c r="D146" s="367">
        <v>142</v>
      </c>
      <c r="E146" s="337" t="s">
        <v>1437</v>
      </c>
      <c r="F146" s="337" t="s">
        <v>406</v>
      </c>
      <c r="G146" s="346">
        <v>500000</v>
      </c>
      <c r="H146" s="346">
        <v>66650</v>
      </c>
      <c r="I146" s="340">
        <f t="shared" si="23"/>
        <v>566650</v>
      </c>
      <c r="J146" s="348">
        <v>40</v>
      </c>
      <c r="K146" s="380">
        <v>13833</v>
      </c>
      <c r="L146" s="356">
        <f t="shared" si="22"/>
        <v>1333</v>
      </c>
      <c r="M146" s="356">
        <f t="shared" si="24"/>
        <v>10000</v>
      </c>
      <c r="N146" s="356">
        <f t="shared" si="25"/>
        <v>7998</v>
      </c>
      <c r="O146" s="356">
        <f t="shared" si="26"/>
        <v>45322</v>
      </c>
      <c r="P146" s="348">
        <v>6</v>
      </c>
      <c r="Q146" s="354">
        <f t="shared" si="27"/>
        <v>34</v>
      </c>
      <c r="R146" s="339">
        <f t="shared" si="28"/>
        <v>82998</v>
      </c>
      <c r="S146" s="339">
        <f t="shared" si="29"/>
        <v>483652</v>
      </c>
      <c r="T146" s="337"/>
    </row>
    <row r="147" spans="1:20">
      <c r="A147" s="378"/>
      <c r="B147" s="378"/>
      <c r="C147" s="364" t="s">
        <v>1134</v>
      </c>
      <c r="D147" s="367">
        <v>143</v>
      </c>
      <c r="E147" s="337" t="s">
        <v>1437</v>
      </c>
      <c r="F147" s="337" t="s">
        <v>1135</v>
      </c>
      <c r="G147" s="346">
        <v>500000</v>
      </c>
      <c r="H147" s="346">
        <v>66650</v>
      </c>
      <c r="I147" s="340">
        <f t="shared" si="23"/>
        <v>566650</v>
      </c>
      <c r="J147" s="348">
        <v>50</v>
      </c>
      <c r="K147" s="380">
        <v>11333</v>
      </c>
      <c r="L147" s="356">
        <f t="shared" si="22"/>
        <v>1333</v>
      </c>
      <c r="M147" s="356">
        <f t="shared" si="24"/>
        <v>10000</v>
      </c>
      <c r="N147" s="356">
        <f t="shared" si="25"/>
        <v>26660</v>
      </c>
      <c r="O147" s="356">
        <f t="shared" si="26"/>
        <v>39990</v>
      </c>
      <c r="P147" s="348">
        <v>20</v>
      </c>
      <c r="Q147" s="354">
        <f t="shared" si="27"/>
        <v>30</v>
      </c>
      <c r="R147" s="339">
        <f t="shared" si="28"/>
        <v>226660</v>
      </c>
      <c r="S147" s="339">
        <f t="shared" si="29"/>
        <v>339990</v>
      </c>
      <c r="T147" s="337"/>
    </row>
    <row r="148" spans="1:20">
      <c r="A148" s="378"/>
      <c r="B148" s="378"/>
      <c r="C148" s="365" t="s">
        <v>1048</v>
      </c>
      <c r="D148" s="367">
        <v>144</v>
      </c>
      <c r="E148" s="337" t="s">
        <v>1437</v>
      </c>
      <c r="F148" s="337" t="s">
        <v>1049</v>
      </c>
      <c r="G148" s="346">
        <v>450000</v>
      </c>
      <c r="H148" s="346">
        <v>59985</v>
      </c>
      <c r="I148" s="340">
        <f t="shared" si="23"/>
        <v>509985</v>
      </c>
      <c r="J148" s="348">
        <v>50</v>
      </c>
      <c r="K148" s="380">
        <v>10199.700000000001</v>
      </c>
      <c r="L148" s="356">
        <f t="shared" si="22"/>
        <v>1199.7</v>
      </c>
      <c r="M148" s="356">
        <f t="shared" si="24"/>
        <v>9000</v>
      </c>
      <c r="N148" s="356">
        <f t="shared" si="25"/>
        <v>51587.1</v>
      </c>
      <c r="O148" s="356">
        <f t="shared" si="26"/>
        <v>8397.9</v>
      </c>
      <c r="P148" s="348">
        <v>43</v>
      </c>
      <c r="Q148" s="354">
        <f t="shared" si="27"/>
        <v>7</v>
      </c>
      <c r="R148" s="339">
        <f t="shared" si="28"/>
        <v>438587.10000000003</v>
      </c>
      <c r="S148" s="339">
        <f t="shared" si="29"/>
        <v>71397.899999999965</v>
      </c>
      <c r="T148" s="337"/>
    </row>
    <row r="149" spans="1:20">
      <c r="A149" s="378"/>
      <c r="B149" s="378"/>
      <c r="C149" s="364" t="s">
        <v>1090</v>
      </c>
      <c r="D149" s="367">
        <v>145</v>
      </c>
      <c r="E149" s="337" t="s">
        <v>1437</v>
      </c>
      <c r="F149" s="337" t="s">
        <v>295</v>
      </c>
      <c r="G149" s="346">
        <v>500000</v>
      </c>
      <c r="H149" s="346">
        <v>66650</v>
      </c>
      <c r="I149" s="340">
        <f t="shared" si="23"/>
        <v>566650</v>
      </c>
      <c r="J149" s="348">
        <v>50</v>
      </c>
      <c r="K149" s="380">
        <v>11333</v>
      </c>
      <c r="L149" s="356">
        <f t="shared" si="22"/>
        <v>1333</v>
      </c>
      <c r="M149" s="356">
        <f t="shared" si="24"/>
        <v>10000</v>
      </c>
      <c r="N149" s="356">
        <f t="shared" si="25"/>
        <v>35991</v>
      </c>
      <c r="O149" s="356">
        <f t="shared" si="26"/>
        <v>30659</v>
      </c>
      <c r="P149" s="348">
        <v>27</v>
      </c>
      <c r="Q149" s="354">
        <f t="shared" si="27"/>
        <v>23</v>
      </c>
      <c r="R149" s="339">
        <f t="shared" si="28"/>
        <v>305991</v>
      </c>
      <c r="S149" s="339">
        <f t="shared" si="29"/>
        <v>260659</v>
      </c>
      <c r="T149" s="337"/>
    </row>
    <row r="150" spans="1:20">
      <c r="A150" s="378"/>
      <c r="B150" s="378"/>
      <c r="C150" s="362" t="s">
        <v>1337</v>
      </c>
      <c r="D150" s="367">
        <v>146</v>
      </c>
      <c r="E150" s="337" t="s">
        <v>1437</v>
      </c>
      <c r="F150" s="337" t="s">
        <v>1280</v>
      </c>
      <c r="G150" s="346">
        <v>500000</v>
      </c>
      <c r="H150" s="346">
        <v>66650</v>
      </c>
      <c r="I150" s="340">
        <f t="shared" si="23"/>
        <v>566650</v>
      </c>
      <c r="J150" s="348">
        <v>50</v>
      </c>
      <c r="K150" s="380">
        <v>11333</v>
      </c>
      <c r="L150" s="356">
        <f t="shared" si="22"/>
        <v>1333</v>
      </c>
      <c r="M150" s="356">
        <f t="shared" si="24"/>
        <v>10000</v>
      </c>
      <c r="N150" s="356">
        <f t="shared" si="25"/>
        <v>15996</v>
      </c>
      <c r="O150" s="356">
        <f t="shared" si="26"/>
        <v>50654</v>
      </c>
      <c r="P150" s="348">
        <v>12</v>
      </c>
      <c r="Q150" s="354">
        <f t="shared" si="27"/>
        <v>38</v>
      </c>
      <c r="R150" s="339">
        <f t="shared" si="28"/>
        <v>135996</v>
      </c>
      <c r="S150" s="339">
        <f t="shared" si="29"/>
        <v>430654</v>
      </c>
      <c r="T150" s="337"/>
    </row>
    <row r="151" spans="1:20">
      <c r="A151" s="378"/>
      <c r="B151" s="378"/>
      <c r="C151" s="337" t="s">
        <v>1415</v>
      </c>
      <c r="D151" s="367">
        <v>147</v>
      </c>
      <c r="E151" s="337" t="s">
        <v>1437</v>
      </c>
      <c r="F151" s="337" t="s">
        <v>1416</v>
      </c>
      <c r="G151" s="346">
        <v>500000</v>
      </c>
      <c r="H151" s="346">
        <v>66650</v>
      </c>
      <c r="I151" s="340">
        <f t="shared" si="23"/>
        <v>566650</v>
      </c>
      <c r="J151" s="358">
        <v>50</v>
      </c>
      <c r="K151" s="381">
        <v>11333</v>
      </c>
      <c r="L151" s="356">
        <f t="shared" si="22"/>
        <v>1333</v>
      </c>
      <c r="M151" s="356">
        <f t="shared" si="24"/>
        <v>10000</v>
      </c>
      <c r="N151" s="356">
        <f t="shared" si="25"/>
        <v>6665</v>
      </c>
      <c r="O151" s="356">
        <f t="shared" si="26"/>
        <v>59985</v>
      </c>
      <c r="P151" s="358">
        <v>5</v>
      </c>
      <c r="Q151" s="354">
        <f t="shared" si="27"/>
        <v>45</v>
      </c>
      <c r="R151" s="339">
        <f t="shared" si="28"/>
        <v>56665</v>
      </c>
      <c r="S151" s="339">
        <f t="shared" si="29"/>
        <v>509985</v>
      </c>
      <c r="T151" s="337"/>
    </row>
    <row r="152" spans="1:20">
      <c r="A152" s="378"/>
      <c r="B152" s="378"/>
      <c r="C152" s="363" t="s">
        <v>1023</v>
      </c>
      <c r="D152" s="367">
        <v>148</v>
      </c>
      <c r="E152" s="337" t="s">
        <v>1437</v>
      </c>
      <c r="F152" s="337" t="s">
        <v>321</v>
      </c>
      <c r="G152" s="346">
        <v>500000</v>
      </c>
      <c r="H152" s="346">
        <v>66650</v>
      </c>
      <c r="I152" s="340">
        <f t="shared" si="23"/>
        <v>566650</v>
      </c>
      <c r="J152" s="348">
        <v>50</v>
      </c>
      <c r="K152" s="380">
        <v>11333</v>
      </c>
      <c r="L152" s="356">
        <f t="shared" si="22"/>
        <v>1333</v>
      </c>
      <c r="M152" s="356">
        <f t="shared" si="24"/>
        <v>10000</v>
      </c>
      <c r="N152" s="356">
        <f t="shared" si="25"/>
        <v>75981</v>
      </c>
      <c r="O152" s="356">
        <f t="shared" si="26"/>
        <v>-9331</v>
      </c>
      <c r="P152" s="348">
        <v>57</v>
      </c>
      <c r="Q152" s="354">
        <f t="shared" si="27"/>
        <v>-7</v>
      </c>
      <c r="R152" s="339">
        <f t="shared" si="28"/>
        <v>645981</v>
      </c>
      <c r="S152" s="339">
        <f t="shared" si="29"/>
        <v>-79331</v>
      </c>
      <c r="T152" s="337"/>
    </row>
    <row r="153" spans="1:20">
      <c r="A153" s="378"/>
      <c r="B153" s="378"/>
      <c r="C153" s="364" t="s">
        <v>1354</v>
      </c>
      <c r="D153" s="367">
        <v>149</v>
      </c>
      <c r="E153" s="337" t="s">
        <v>1437</v>
      </c>
      <c r="F153" s="337" t="s">
        <v>450</v>
      </c>
      <c r="G153" s="346">
        <v>450000</v>
      </c>
      <c r="H153" s="346">
        <v>59985</v>
      </c>
      <c r="I153" s="340">
        <f t="shared" si="23"/>
        <v>509985</v>
      </c>
      <c r="J153" s="348">
        <v>50</v>
      </c>
      <c r="K153" s="380">
        <v>10199.700000000001</v>
      </c>
      <c r="L153" s="356">
        <f t="shared" si="22"/>
        <v>1199.7</v>
      </c>
      <c r="M153" s="356">
        <f t="shared" si="24"/>
        <v>9000</v>
      </c>
      <c r="N153" s="356">
        <f t="shared" si="25"/>
        <v>22794.3</v>
      </c>
      <c r="O153" s="356">
        <f t="shared" si="26"/>
        <v>37190.700000000004</v>
      </c>
      <c r="P153" s="348">
        <v>19</v>
      </c>
      <c r="Q153" s="354">
        <f t="shared" si="27"/>
        <v>31</v>
      </c>
      <c r="R153" s="339">
        <f t="shared" si="28"/>
        <v>193794.30000000002</v>
      </c>
      <c r="S153" s="339">
        <f t="shared" si="29"/>
        <v>316190.69999999995</v>
      </c>
      <c r="T153" s="337"/>
    </row>
    <row r="154" spans="1:20">
      <c r="A154" s="378"/>
      <c r="B154" s="378"/>
      <c r="C154" s="364" t="s">
        <v>1394</v>
      </c>
      <c r="D154" s="367">
        <v>150</v>
      </c>
      <c r="E154" s="337" t="s">
        <v>1437</v>
      </c>
      <c r="F154" s="337" t="s">
        <v>1395</v>
      </c>
      <c r="G154" s="346">
        <v>150000</v>
      </c>
      <c r="H154" s="346">
        <v>19995</v>
      </c>
      <c r="I154" s="340">
        <f t="shared" si="23"/>
        <v>169995</v>
      </c>
      <c r="J154" s="348">
        <v>40</v>
      </c>
      <c r="K154" s="380">
        <v>4149.8999999999996</v>
      </c>
      <c r="L154" s="356">
        <f t="shared" si="22"/>
        <v>399.9</v>
      </c>
      <c r="M154" s="356">
        <f t="shared" si="24"/>
        <v>3000</v>
      </c>
      <c r="N154" s="356">
        <f t="shared" si="25"/>
        <v>2799.2999999999997</v>
      </c>
      <c r="O154" s="356">
        <f t="shared" si="26"/>
        <v>13196.699999999999</v>
      </c>
      <c r="P154" s="348">
        <v>7</v>
      </c>
      <c r="Q154" s="354">
        <f t="shared" si="27"/>
        <v>33</v>
      </c>
      <c r="R154" s="339">
        <f t="shared" si="28"/>
        <v>29049.299999999996</v>
      </c>
      <c r="S154" s="339">
        <f t="shared" si="29"/>
        <v>140945.70000000001</v>
      </c>
      <c r="T154" s="337"/>
    </row>
    <row r="155" spans="1:20">
      <c r="A155" s="378"/>
      <c r="B155" s="378"/>
      <c r="C155" s="363" t="s">
        <v>968</v>
      </c>
      <c r="D155" s="367">
        <v>151</v>
      </c>
      <c r="E155" s="337" t="s">
        <v>1437</v>
      </c>
      <c r="F155" s="337" t="s">
        <v>490</v>
      </c>
      <c r="G155" s="346">
        <v>330000</v>
      </c>
      <c r="H155" s="346">
        <v>43989</v>
      </c>
      <c r="I155" s="340">
        <f t="shared" si="23"/>
        <v>373989</v>
      </c>
      <c r="J155" s="348">
        <v>50</v>
      </c>
      <c r="K155" s="380">
        <v>7479.78</v>
      </c>
      <c r="L155" s="356">
        <f t="shared" si="22"/>
        <v>879.78</v>
      </c>
      <c r="M155" s="356">
        <f t="shared" si="24"/>
        <v>6600</v>
      </c>
      <c r="N155" s="356">
        <f t="shared" si="25"/>
        <v>28152.959999999999</v>
      </c>
      <c r="O155" s="356">
        <f t="shared" si="26"/>
        <v>15836.039999999999</v>
      </c>
      <c r="P155" s="348">
        <v>32</v>
      </c>
      <c r="Q155" s="354">
        <f t="shared" si="27"/>
        <v>18</v>
      </c>
      <c r="R155" s="339">
        <f t="shared" si="28"/>
        <v>239352.95999999999</v>
      </c>
      <c r="S155" s="339">
        <f t="shared" si="29"/>
        <v>134636.04</v>
      </c>
      <c r="T155" s="337"/>
    </row>
    <row r="156" spans="1:20">
      <c r="A156" s="378"/>
      <c r="B156" s="378"/>
      <c r="C156" s="365" t="s">
        <v>1036</v>
      </c>
      <c r="D156" s="367">
        <v>152</v>
      </c>
      <c r="E156" s="337" t="s">
        <v>1437</v>
      </c>
      <c r="F156" s="337" t="s">
        <v>216</v>
      </c>
      <c r="G156" s="346">
        <v>60000</v>
      </c>
      <c r="H156" s="346">
        <v>7998</v>
      </c>
      <c r="I156" s="340">
        <f t="shared" si="23"/>
        <v>67998</v>
      </c>
      <c r="J156" s="348">
        <v>40</v>
      </c>
      <c r="K156" s="380">
        <v>1699.95</v>
      </c>
      <c r="L156" s="356">
        <f t="shared" si="22"/>
        <v>159.96</v>
      </c>
      <c r="M156" s="356">
        <f t="shared" si="24"/>
        <v>1200</v>
      </c>
      <c r="N156" s="356">
        <f t="shared" si="25"/>
        <v>5278.68</v>
      </c>
      <c r="O156" s="356">
        <f t="shared" si="26"/>
        <v>1119.72</v>
      </c>
      <c r="P156" s="348">
        <v>33</v>
      </c>
      <c r="Q156" s="354">
        <f t="shared" si="27"/>
        <v>7</v>
      </c>
      <c r="R156" s="339">
        <f t="shared" si="28"/>
        <v>56098.35</v>
      </c>
      <c r="S156" s="339">
        <f t="shared" si="29"/>
        <v>11899.650000000001</v>
      </c>
      <c r="T156" s="337"/>
    </row>
    <row r="157" spans="1:20">
      <c r="A157" s="378"/>
      <c r="B157" s="378"/>
      <c r="C157" s="363" t="s">
        <v>1379</v>
      </c>
      <c r="D157" s="367">
        <v>153</v>
      </c>
      <c r="E157" s="337" t="s">
        <v>1437</v>
      </c>
      <c r="F157" s="337" t="s">
        <v>1380</v>
      </c>
      <c r="G157" s="346">
        <v>330000</v>
      </c>
      <c r="H157" s="346">
        <v>43989</v>
      </c>
      <c r="I157" s="340">
        <f t="shared" si="23"/>
        <v>373989</v>
      </c>
      <c r="J157" s="348">
        <v>50</v>
      </c>
      <c r="K157" s="380">
        <v>7479.78</v>
      </c>
      <c r="L157" s="356">
        <f t="shared" si="22"/>
        <v>879.78</v>
      </c>
      <c r="M157" s="356">
        <f t="shared" si="24"/>
        <v>6600</v>
      </c>
      <c r="N157" s="356">
        <f t="shared" si="25"/>
        <v>6158.46</v>
      </c>
      <c r="O157" s="356">
        <f t="shared" si="26"/>
        <v>37830.54</v>
      </c>
      <c r="P157" s="348">
        <v>7</v>
      </c>
      <c r="Q157" s="354">
        <f t="shared" si="27"/>
        <v>43</v>
      </c>
      <c r="R157" s="339">
        <f t="shared" si="28"/>
        <v>52358.46</v>
      </c>
      <c r="S157" s="339">
        <f t="shared" si="29"/>
        <v>321630.53999999998</v>
      </c>
      <c r="T157" s="337"/>
    </row>
    <row r="158" spans="1:20">
      <c r="A158" s="378"/>
      <c r="B158" s="378"/>
      <c r="C158" s="362" t="s">
        <v>1372</v>
      </c>
      <c r="D158" s="367">
        <v>154</v>
      </c>
      <c r="E158" s="337" t="s">
        <v>1437</v>
      </c>
      <c r="F158" s="337" t="s">
        <v>1297</v>
      </c>
      <c r="G158" s="346">
        <v>330000</v>
      </c>
      <c r="H158" s="346">
        <v>43989</v>
      </c>
      <c r="I158" s="340">
        <f t="shared" si="23"/>
        <v>373989</v>
      </c>
      <c r="J158" s="348">
        <v>50</v>
      </c>
      <c r="K158" s="380">
        <v>7479.78</v>
      </c>
      <c r="L158" s="356">
        <f t="shared" si="22"/>
        <v>879.78</v>
      </c>
      <c r="M158" s="356">
        <f t="shared" si="24"/>
        <v>6600</v>
      </c>
      <c r="N158" s="356">
        <f t="shared" si="25"/>
        <v>15836.039999999999</v>
      </c>
      <c r="O158" s="356">
        <f t="shared" si="26"/>
        <v>28152.959999999999</v>
      </c>
      <c r="P158" s="348">
        <v>18</v>
      </c>
      <c r="Q158" s="354">
        <f t="shared" si="27"/>
        <v>32</v>
      </c>
      <c r="R158" s="339">
        <f t="shared" si="28"/>
        <v>134636.04</v>
      </c>
      <c r="S158" s="339">
        <f t="shared" si="29"/>
        <v>239352.95999999999</v>
      </c>
      <c r="T158" s="337"/>
    </row>
    <row r="159" spans="1:20">
      <c r="A159" s="378"/>
      <c r="B159" s="378"/>
      <c r="C159" s="337" t="s">
        <v>1447</v>
      </c>
      <c r="D159" s="367">
        <v>155</v>
      </c>
      <c r="E159" s="337" t="s">
        <v>1437</v>
      </c>
      <c r="F159" s="337" t="s">
        <v>1448</v>
      </c>
      <c r="G159" s="346">
        <v>450000</v>
      </c>
      <c r="H159" s="346">
        <v>59985</v>
      </c>
      <c r="I159" s="340">
        <f t="shared" si="23"/>
        <v>509985</v>
      </c>
      <c r="J159" s="348">
        <v>50</v>
      </c>
      <c r="K159" s="381">
        <v>10199.700000000001</v>
      </c>
      <c r="L159" s="356">
        <f t="shared" si="22"/>
        <v>1199.7</v>
      </c>
      <c r="M159" s="356">
        <f t="shared" si="24"/>
        <v>9000</v>
      </c>
      <c r="N159" s="356">
        <f t="shared" si="25"/>
        <v>3599.1000000000004</v>
      </c>
      <c r="O159" s="356">
        <f t="shared" si="26"/>
        <v>56385.9</v>
      </c>
      <c r="P159" s="358">
        <v>3</v>
      </c>
      <c r="Q159" s="354">
        <f t="shared" si="27"/>
        <v>47</v>
      </c>
      <c r="R159" s="339">
        <f t="shared" si="28"/>
        <v>30599.100000000002</v>
      </c>
      <c r="S159" s="339">
        <f t="shared" si="29"/>
        <v>479385.9</v>
      </c>
      <c r="T159" s="337"/>
    </row>
    <row r="160" spans="1:20">
      <c r="A160" s="378"/>
      <c r="B160" s="378"/>
      <c r="C160" s="365" t="s">
        <v>1373</v>
      </c>
      <c r="D160" s="367">
        <v>156</v>
      </c>
      <c r="E160" s="337" t="s">
        <v>1437</v>
      </c>
      <c r="F160" s="337" t="s">
        <v>1374</v>
      </c>
      <c r="G160" s="346">
        <v>330000</v>
      </c>
      <c r="H160" s="346">
        <v>43989</v>
      </c>
      <c r="I160" s="340">
        <f t="shared" si="23"/>
        <v>373989</v>
      </c>
      <c r="J160" s="348">
        <v>50</v>
      </c>
      <c r="K160" s="380">
        <v>7479.78</v>
      </c>
      <c r="L160" s="356">
        <f t="shared" si="22"/>
        <v>879.78</v>
      </c>
      <c r="M160" s="356">
        <f t="shared" si="24"/>
        <v>6600</v>
      </c>
      <c r="N160" s="356">
        <f t="shared" si="25"/>
        <v>6158.46</v>
      </c>
      <c r="O160" s="356">
        <f t="shared" si="26"/>
        <v>37830.54</v>
      </c>
      <c r="P160" s="348">
        <v>7</v>
      </c>
      <c r="Q160" s="354">
        <f t="shared" si="27"/>
        <v>43</v>
      </c>
      <c r="R160" s="339">
        <f t="shared" si="28"/>
        <v>52358.46</v>
      </c>
      <c r="S160" s="339">
        <f t="shared" si="29"/>
        <v>321630.53999999998</v>
      </c>
      <c r="T160" s="337"/>
    </row>
    <row r="161" spans="1:20">
      <c r="A161" s="378"/>
      <c r="B161" s="378"/>
      <c r="C161" s="365" t="s">
        <v>1367</v>
      </c>
      <c r="D161" s="367">
        <v>157</v>
      </c>
      <c r="E161" s="337" t="s">
        <v>1437</v>
      </c>
      <c r="F161" s="337" t="s">
        <v>465</v>
      </c>
      <c r="G161" s="346">
        <v>450000</v>
      </c>
      <c r="H161" s="346">
        <v>59985</v>
      </c>
      <c r="I161" s="340">
        <f t="shared" si="23"/>
        <v>509985</v>
      </c>
      <c r="J161" s="348">
        <v>50</v>
      </c>
      <c r="K161" s="380">
        <v>10199.700000000001</v>
      </c>
      <c r="L161" s="356">
        <f t="shared" si="22"/>
        <v>1199.7</v>
      </c>
      <c r="M161" s="356">
        <f t="shared" si="24"/>
        <v>9000</v>
      </c>
      <c r="N161" s="356">
        <f t="shared" si="25"/>
        <v>32391.9</v>
      </c>
      <c r="O161" s="356">
        <f t="shared" si="26"/>
        <v>27593.100000000002</v>
      </c>
      <c r="P161" s="348">
        <v>27</v>
      </c>
      <c r="Q161" s="354">
        <f t="shared" si="27"/>
        <v>23</v>
      </c>
      <c r="R161" s="339">
        <f t="shared" si="28"/>
        <v>275391.90000000002</v>
      </c>
      <c r="S161" s="339">
        <f t="shared" si="29"/>
        <v>234593.09999999998</v>
      </c>
      <c r="T161" s="337"/>
    </row>
    <row r="162" spans="1:20" s="392" customFormat="1" ht="31.5">
      <c r="A162" s="391"/>
      <c r="C162" s="393" t="s">
        <v>1456</v>
      </c>
      <c r="D162" s="367">
        <v>158</v>
      </c>
      <c r="E162" s="393" t="s">
        <v>1437</v>
      </c>
      <c r="F162" s="393" t="s">
        <v>1457</v>
      </c>
      <c r="G162" s="351">
        <v>150000</v>
      </c>
      <c r="H162" s="351">
        <v>19995</v>
      </c>
      <c r="I162" s="349">
        <f t="shared" si="23"/>
        <v>169995</v>
      </c>
      <c r="J162" s="348">
        <v>50</v>
      </c>
      <c r="K162" s="351">
        <v>3399.9</v>
      </c>
      <c r="L162" s="394">
        <f t="shared" si="22"/>
        <v>399.9</v>
      </c>
      <c r="M162" s="394">
        <f t="shared" si="24"/>
        <v>3000</v>
      </c>
      <c r="N162" s="394">
        <f t="shared" si="25"/>
        <v>15596.099999999999</v>
      </c>
      <c r="O162" s="394">
        <f t="shared" si="26"/>
        <v>4398.8999999999996</v>
      </c>
      <c r="P162" s="348">
        <v>39</v>
      </c>
      <c r="Q162" s="354">
        <f t="shared" si="27"/>
        <v>11</v>
      </c>
      <c r="R162" s="350">
        <f t="shared" si="28"/>
        <v>132596.1</v>
      </c>
      <c r="S162" s="350">
        <f t="shared" si="29"/>
        <v>37398.899999999994</v>
      </c>
      <c r="T162" s="395" t="s">
        <v>1458</v>
      </c>
    </row>
    <row r="163" spans="1:20">
      <c r="C163" s="337"/>
      <c r="D163" s="367">
        <v>159</v>
      </c>
      <c r="E163" s="337" t="s">
        <v>1437</v>
      </c>
      <c r="F163" s="337" t="s">
        <v>1270</v>
      </c>
      <c r="G163" s="346">
        <v>150000</v>
      </c>
      <c r="H163" s="346">
        <v>19995</v>
      </c>
      <c r="I163" s="340">
        <f t="shared" si="23"/>
        <v>169995</v>
      </c>
      <c r="J163" s="358">
        <v>50</v>
      </c>
      <c r="K163" s="346">
        <v>3399.9</v>
      </c>
      <c r="L163" s="356">
        <f t="shared" si="22"/>
        <v>399.9</v>
      </c>
      <c r="M163" s="356">
        <f t="shared" si="24"/>
        <v>3000</v>
      </c>
      <c r="N163" s="356">
        <f t="shared" si="25"/>
        <v>17195.7</v>
      </c>
      <c r="O163" s="356">
        <f t="shared" si="26"/>
        <v>2799.2999999999997</v>
      </c>
      <c r="P163" s="358">
        <v>43</v>
      </c>
      <c r="Q163" s="354">
        <f t="shared" si="27"/>
        <v>7</v>
      </c>
      <c r="R163" s="339">
        <f t="shared" si="28"/>
        <v>146195.70000000001</v>
      </c>
      <c r="S163" s="339">
        <f t="shared" si="29"/>
        <v>23799.299999999988</v>
      </c>
      <c r="T163" s="337"/>
    </row>
    <row r="164" spans="1:20">
      <c r="C164" s="337"/>
      <c r="D164" s="367">
        <v>160</v>
      </c>
      <c r="E164" s="337" t="s">
        <v>1437</v>
      </c>
      <c r="F164" s="337" t="s">
        <v>1272</v>
      </c>
      <c r="G164" s="346">
        <v>450000</v>
      </c>
      <c r="H164" s="346">
        <v>59985</v>
      </c>
      <c r="I164" s="340">
        <f t="shared" si="23"/>
        <v>509985</v>
      </c>
      <c r="J164" s="358">
        <v>50</v>
      </c>
      <c r="K164" s="346">
        <v>10199.700000000001</v>
      </c>
      <c r="L164" s="356">
        <f t="shared" si="22"/>
        <v>1199.7</v>
      </c>
      <c r="M164" s="356">
        <f t="shared" si="24"/>
        <v>9000</v>
      </c>
      <c r="N164" s="356">
        <f t="shared" si="25"/>
        <v>21594.600000000002</v>
      </c>
      <c r="O164" s="356">
        <f t="shared" si="26"/>
        <v>38390.400000000001</v>
      </c>
      <c r="P164" s="358">
        <v>18</v>
      </c>
      <c r="Q164" s="354">
        <f t="shared" si="27"/>
        <v>32</v>
      </c>
      <c r="R164" s="339">
        <f t="shared" si="28"/>
        <v>183594.6</v>
      </c>
      <c r="S164" s="339">
        <f t="shared" si="29"/>
        <v>326390.40000000002</v>
      </c>
      <c r="T164" s="337"/>
    </row>
    <row r="165" spans="1:20">
      <c r="C165" s="337"/>
      <c r="D165" s="367">
        <v>161</v>
      </c>
      <c r="E165" s="337" t="s">
        <v>1437</v>
      </c>
      <c r="F165" s="337" t="s">
        <v>1268</v>
      </c>
      <c r="G165" s="346">
        <v>500000</v>
      </c>
      <c r="H165" s="346">
        <v>66650</v>
      </c>
      <c r="I165" s="340">
        <f t="shared" si="23"/>
        <v>566650</v>
      </c>
      <c r="J165" s="358">
        <v>50</v>
      </c>
      <c r="K165" s="346">
        <v>11749.67</v>
      </c>
      <c r="L165" s="356">
        <f t="shared" si="22"/>
        <v>1333</v>
      </c>
      <c r="M165" s="356">
        <f t="shared" si="24"/>
        <v>10000</v>
      </c>
      <c r="N165" s="356">
        <f t="shared" si="25"/>
        <v>42656</v>
      </c>
      <c r="O165" s="356">
        <f t="shared" si="26"/>
        <v>23994</v>
      </c>
      <c r="P165" s="358">
        <v>32</v>
      </c>
      <c r="Q165" s="354">
        <f t="shared" si="27"/>
        <v>18</v>
      </c>
      <c r="R165" s="339">
        <f t="shared" si="28"/>
        <v>375989.44</v>
      </c>
      <c r="S165" s="339">
        <f>I165-R165</f>
        <v>190660.56</v>
      </c>
      <c r="T165" s="337"/>
    </row>
    <row r="166" spans="1:20">
      <c r="C166" s="337"/>
      <c r="D166" s="367">
        <v>162</v>
      </c>
      <c r="E166" s="337" t="s">
        <v>1437</v>
      </c>
      <c r="F166" s="337" t="s">
        <v>1420</v>
      </c>
      <c r="G166" s="346">
        <v>450000</v>
      </c>
      <c r="H166" s="346">
        <v>59985</v>
      </c>
      <c r="I166" s="340">
        <f t="shared" si="23"/>
        <v>509985</v>
      </c>
      <c r="J166" s="358">
        <v>50</v>
      </c>
      <c r="K166" s="346">
        <v>10199.700000000001</v>
      </c>
      <c r="L166" s="356">
        <f t="shared" si="22"/>
        <v>1199.7</v>
      </c>
      <c r="M166" s="356">
        <f t="shared" si="24"/>
        <v>9000</v>
      </c>
      <c r="N166" s="356">
        <f t="shared" si="25"/>
        <v>8397.9</v>
      </c>
      <c r="O166" s="356">
        <f t="shared" si="26"/>
        <v>51587.1</v>
      </c>
      <c r="P166" s="358">
        <v>7</v>
      </c>
      <c r="Q166" s="354">
        <f t="shared" si="27"/>
        <v>43</v>
      </c>
      <c r="R166" s="339">
        <f t="shared" si="28"/>
        <v>71397.900000000009</v>
      </c>
      <c r="S166" s="339">
        <f>I166-R166</f>
        <v>438587.1</v>
      </c>
      <c r="T166" s="337"/>
    </row>
    <row r="167" spans="1:20">
      <c r="C167" s="337"/>
      <c r="D167" s="367">
        <v>163</v>
      </c>
      <c r="E167" s="337" t="s">
        <v>1437</v>
      </c>
      <c r="F167" s="337" t="s">
        <v>1269</v>
      </c>
      <c r="G167" s="346">
        <v>450000</v>
      </c>
      <c r="H167" s="346">
        <v>59985</v>
      </c>
      <c r="I167" s="340">
        <f t="shared" si="23"/>
        <v>509985</v>
      </c>
      <c r="J167" s="358">
        <v>50</v>
      </c>
      <c r="K167" s="346">
        <v>10199.700000000001</v>
      </c>
      <c r="L167" s="356">
        <f t="shared" si="22"/>
        <v>1199.7</v>
      </c>
      <c r="M167" s="356">
        <f t="shared" si="24"/>
        <v>9000</v>
      </c>
      <c r="N167" s="356">
        <f t="shared" si="25"/>
        <v>46788.3</v>
      </c>
      <c r="O167" s="356">
        <f t="shared" si="26"/>
        <v>13196.7</v>
      </c>
      <c r="P167" s="358">
        <v>39</v>
      </c>
      <c r="Q167" s="354">
        <f t="shared" si="27"/>
        <v>11</v>
      </c>
      <c r="R167" s="339">
        <f t="shared" si="28"/>
        <v>397788.30000000005</v>
      </c>
      <c r="S167" s="339">
        <f>I167-R167</f>
        <v>112196.69999999995</v>
      </c>
      <c r="T167" s="337"/>
    </row>
    <row r="168" spans="1:20">
      <c r="C168" s="337"/>
      <c r="D168" s="337"/>
      <c r="E168" s="337"/>
      <c r="F168" s="337"/>
      <c r="G168" s="386">
        <f>SUM(G5:G167)</f>
        <v>68350000</v>
      </c>
      <c r="H168" s="346">
        <f>SUM(H5:H167)</f>
        <v>8984900</v>
      </c>
      <c r="I168" s="346">
        <f>SUM(I5:I167)</f>
        <v>77334900</v>
      </c>
      <c r="J168" s="357"/>
      <c r="K168" s="346">
        <f>SUM(K5:K167)</f>
        <v>1612147.7699999996</v>
      </c>
      <c r="L168" s="346">
        <f>SUM(L5:L167)</f>
        <v>181974.76399999994</v>
      </c>
      <c r="M168" s="346">
        <f>SUM(M5:M167)</f>
        <v>1367000</v>
      </c>
      <c r="N168" s="346">
        <f>SUM(N5:N167)</f>
        <v>4152016.7439999999</v>
      </c>
      <c r="O168" s="346">
        <f>SUM(O5:O167)</f>
        <v>4710443.4400000004</v>
      </c>
      <c r="P168" s="358"/>
      <c r="Q168" s="358"/>
      <c r="R168" s="346">
        <f>SUM(R5:R167)</f>
        <v>36007509.840000004</v>
      </c>
      <c r="S168" s="386">
        <f>SUM(S5:S167)</f>
        <v>41327390.159999982</v>
      </c>
      <c r="T168" s="337"/>
    </row>
    <row r="170" spans="1:20">
      <c r="K170" s="359"/>
    </row>
  </sheetData>
  <mergeCells count="3">
    <mergeCell ref="D1:T1"/>
    <mergeCell ref="D2:T2"/>
    <mergeCell ref="D3:T3"/>
  </mergeCells>
  <conditionalFormatting sqref="C97:C98">
    <cfRule type="duplicateValues" dxfId="21" priority="2"/>
  </conditionalFormatting>
  <conditionalFormatting sqref="C104:C107 C4:C90 C96:C98 C113:C119 C127:C140">
    <cfRule type="duplicateValues" dxfId="20" priority="1"/>
  </conditionalFormatting>
  <pageMargins left="0.2" right="0.2" top="0.25" bottom="0.25" header="0.3" footer="0.3"/>
  <pageSetup paperSize="9" scale="5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T186"/>
  <sheetViews>
    <sheetView topLeftCell="C1" zoomScale="90" zoomScaleNormal="90" workbookViewId="0">
      <selection activeCell="E10" sqref="E10"/>
    </sheetView>
  </sheetViews>
  <sheetFormatPr defaultRowHeight="15.75"/>
  <cols>
    <col min="1" max="1" width="13.140625" style="336" customWidth="1"/>
    <col min="2" max="2" width="14.5703125" style="336" bestFit="1" customWidth="1"/>
    <col min="3" max="3" width="18.7109375" style="336" customWidth="1"/>
    <col min="4" max="4" width="5.42578125" style="336" customWidth="1"/>
    <col min="5" max="5" width="13.5703125" style="336" customWidth="1"/>
    <col min="6" max="6" width="36.5703125" style="336" customWidth="1"/>
    <col min="7" max="7" width="16.85546875" style="342" customWidth="1"/>
    <col min="8" max="8" width="16" style="342" customWidth="1"/>
    <col min="9" max="9" width="17.42578125" style="342" customWidth="1"/>
    <col min="10" max="10" width="8.28515625" style="343" customWidth="1"/>
    <col min="11" max="11" width="16.5703125" style="342" customWidth="1"/>
    <col min="12" max="12" width="14.140625" style="355" customWidth="1"/>
    <col min="13" max="13" width="16.85546875" style="355" customWidth="1"/>
    <col min="14" max="14" width="16.5703125" style="355" customWidth="1"/>
    <col min="15" max="15" width="15.85546875" style="355" customWidth="1"/>
    <col min="16" max="16" width="10.140625" style="344" customWidth="1"/>
    <col min="17" max="17" width="12.140625" style="344" customWidth="1"/>
    <col min="18" max="18" width="17" style="342" customWidth="1"/>
    <col min="19" max="19" width="16.85546875" style="342" customWidth="1"/>
    <col min="20" max="20" width="9.5703125" style="336" customWidth="1"/>
    <col min="21" max="16384" width="9.140625" style="336"/>
  </cols>
  <sheetData>
    <row r="1" spans="1:20" ht="22.5">
      <c r="D1" s="425" t="s">
        <v>1421</v>
      </c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</row>
    <row r="2" spans="1:20" customFormat="1" ht="20.25">
      <c r="C2" s="360"/>
      <c r="D2" s="419" t="s">
        <v>245</v>
      </c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</row>
    <row r="3" spans="1:20" customFormat="1" ht="18">
      <c r="C3" s="360"/>
      <c r="D3" s="426" t="s">
        <v>1485</v>
      </c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</row>
    <row r="4" spans="1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70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1:20">
      <c r="A5" s="378"/>
      <c r="B5" s="378"/>
      <c r="C5" s="361" t="s">
        <v>1369</v>
      </c>
      <c r="D5" s="367">
        <v>1</v>
      </c>
      <c r="E5" s="337" t="s">
        <v>1437</v>
      </c>
      <c r="F5" s="338" t="s">
        <v>1282</v>
      </c>
      <c r="G5" s="339">
        <v>330000</v>
      </c>
      <c r="H5" s="339">
        <v>43989</v>
      </c>
      <c r="I5" s="340">
        <f t="shared" ref="I5:I36" si="0">SUM(G5:H5)</f>
        <v>373989</v>
      </c>
      <c r="J5" s="347">
        <v>50</v>
      </c>
      <c r="K5" s="379">
        <v>7479.78</v>
      </c>
      <c r="L5" s="356">
        <f t="shared" ref="L5:L37" si="1">H5/50</f>
        <v>879.78</v>
      </c>
      <c r="M5" s="356">
        <f t="shared" ref="M5:M36" si="2">G5/50</f>
        <v>6600</v>
      </c>
      <c r="N5" s="356">
        <f t="shared" ref="N5:N36" si="3">L5*P5</f>
        <v>11437.14</v>
      </c>
      <c r="O5" s="356">
        <f t="shared" ref="O5:O36" si="4">L5*Q5</f>
        <v>32551.86</v>
      </c>
      <c r="P5" s="352">
        <v>13</v>
      </c>
      <c r="Q5" s="354">
        <f t="shared" ref="Q5:Q36" si="5">J5-P5</f>
        <v>37</v>
      </c>
      <c r="R5" s="339">
        <f t="shared" ref="R5:R36" si="6">K5*P5</f>
        <v>97237.14</v>
      </c>
      <c r="S5" s="339">
        <f t="shared" ref="S5:S36" si="7">I5-R5</f>
        <v>276751.86</v>
      </c>
      <c r="T5" s="341"/>
    </row>
    <row r="6" spans="1:20">
      <c r="A6" s="378"/>
      <c r="B6" s="378"/>
      <c r="C6" s="361" t="s">
        <v>1396</v>
      </c>
      <c r="D6" s="367">
        <v>2</v>
      </c>
      <c r="E6" s="337" t="s">
        <v>1437</v>
      </c>
      <c r="F6" s="341" t="s">
        <v>1397</v>
      </c>
      <c r="G6" s="339">
        <v>150000</v>
      </c>
      <c r="H6" s="339">
        <v>19995</v>
      </c>
      <c r="I6" s="340">
        <f t="shared" si="0"/>
        <v>169995</v>
      </c>
      <c r="J6" s="347">
        <v>50</v>
      </c>
      <c r="K6" s="379">
        <v>3399.9</v>
      </c>
      <c r="L6" s="356">
        <f t="shared" si="1"/>
        <v>399.9</v>
      </c>
      <c r="M6" s="356">
        <f t="shared" si="2"/>
        <v>3000</v>
      </c>
      <c r="N6" s="356">
        <f t="shared" si="3"/>
        <v>5998.5</v>
      </c>
      <c r="O6" s="356">
        <f t="shared" si="4"/>
        <v>13996.5</v>
      </c>
      <c r="P6" s="352">
        <v>15</v>
      </c>
      <c r="Q6" s="354">
        <f t="shared" si="5"/>
        <v>35</v>
      </c>
      <c r="R6" s="339">
        <f t="shared" si="6"/>
        <v>50998.5</v>
      </c>
      <c r="S6" s="339">
        <f t="shared" si="7"/>
        <v>118996.5</v>
      </c>
      <c r="T6" s="341"/>
    </row>
    <row r="7" spans="1:20">
      <c r="A7" s="378"/>
      <c r="B7" s="378"/>
      <c r="C7" s="337" t="s">
        <v>1412</v>
      </c>
      <c r="D7" s="367">
        <v>3</v>
      </c>
      <c r="E7" s="337" t="s">
        <v>1437</v>
      </c>
      <c r="F7" s="337" t="s">
        <v>468</v>
      </c>
      <c r="G7" s="346">
        <v>500000</v>
      </c>
      <c r="H7" s="346">
        <v>66650</v>
      </c>
      <c r="I7" s="340">
        <f t="shared" si="0"/>
        <v>566650</v>
      </c>
      <c r="J7" s="348">
        <v>50</v>
      </c>
      <c r="K7" s="380">
        <v>11333</v>
      </c>
      <c r="L7" s="356">
        <f t="shared" si="1"/>
        <v>1333</v>
      </c>
      <c r="M7" s="356">
        <f t="shared" si="2"/>
        <v>10000</v>
      </c>
      <c r="N7" s="356">
        <f t="shared" si="3"/>
        <v>7998</v>
      </c>
      <c r="O7" s="356">
        <f t="shared" si="4"/>
        <v>58652</v>
      </c>
      <c r="P7" s="348">
        <v>6</v>
      </c>
      <c r="Q7" s="354">
        <f t="shared" si="5"/>
        <v>44</v>
      </c>
      <c r="R7" s="339">
        <f t="shared" si="6"/>
        <v>67998</v>
      </c>
      <c r="S7" s="339">
        <f t="shared" si="7"/>
        <v>498652</v>
      </c>
      <c r="T7" s="337"/>
    </row>
    <row r="8" spans="1:20">
      <c r="A8" s="378"/>
      <c r="B8" s="378"/>
      <c r="C8" s="362" t="s">
        <v>1047</v>
      </c>
      <c r="D8" s="367">
        <v>4</v>
      </c>
      <c r="E8" s="337" t="s">
        <v>1437</v>
      </c>
      <c r="F8" s="338" t="s">
        <v>873</v>
      </c>
      <c r="G8" s="339">
        <v>450000</v>
      </c>
      <c r="H8" s="339">
        <v>59985</v>
      </c>
      <c r="I8" s="340">
        <f t="shared" si="0"/>
        <v>509985</v>
      </c>
      <c r="J8" s="347">
        <v>50</v>
      </c>
      <c r="K8" s="379">
        <v>10199.700000000001</v>
      </c>
      <c r="L8" s="356">
        <f t="shared" si="1"/>
        <v>1199.7</v>
      </c>
      <c r="M8" s="356">
        <f t="shared" si="2"/>
        <v>9000</v>
      </c>
      <c r="N8" s="356">
        <f t="shared" si="3"/>
        <v>33591.599999999999</v>
      </c>
      <c r="O8" s="356">
        <f t="shared" si="4"/>
        <v>26393.4</v>
      </c>
      <c r="P8" s="352">
        <v>28</v>
      </c>
      <c r="Q8" s="354">
        <f t="shared" si="5"/>
        <v>22</v>
      </c>
      <c r="R8" s="339">
        <f t="shared" si="6"/>
        <v>285591.60000000003</v>
      </c>
      <c r="S8" s="339">
        <f t="shared" si="7"/>
        <v>224393.39999999997</v>
      </c>
      <c r="T8" s="341"/>
    </row>
    <row r="9" spans="1:20">
      <c r="A9" s="378"/>
      <c r="B9" s="378"/>
      <c r="C9" s="337" t="s">
        <v>1418</v>
      </c>
      <c r="D9" s="367">
        <v>5</v>
      </c>
      <c r="E9" s="337" t="s">
        <v>1437</v>
      </c>
      <c r="F9" s="337" t="s">
        <v>455</v>
      </c>
      <c r="G9" s="346">
        <v>150000</v>
      </c>
      <c r="H9" s="346">
        <v>19995</v>
      </c>
      <c r="I9" s="340">
        <f t="shared" si="0"/>
        <v>169995</v>
      </c>
      <c r="J9" s="358">
        <v>50</v>
      </c>
      <c r="K9" s="381">
        <v>3399.9</v>
      </c>
      <c r="L9" s="356">
        <f t="shared" si="1"/>
        <v>399.9</v>
      </c>
      <c r="M9" s="356">
        <f t="shared" si="2"/>
        <v>3000</v>
      </c>
      <c r="N9" s="356">
        <f t="shared" si="3"/>
        <v>2399.3999999999996</v>
      </c>
      <c r="O9" s="356">
        <f t="shared" si="4"/>
        <v>17595.599999999999</v>
      </c>
      <c r="P9" s="358">
        <v>6</v>
      </c>
      <c r="Q9" s="354">
        <f t="shared" si="5"/>
        <v>44</v>
      </c>
      <c r="R9" s="339">
        <f t="shared" si="6"/>
        <v>20399.400000000001</v>
      </c>
      <c r="S9" s="339">
        <f t="shared" si="7"/>
        <v>149595.6</v>
      </c>
      <c r="T9" s="337"/>
    </row>
    <row r="10" spans="1:20">
      <c r="A10" s="378"/>
      <c r="B10" s="378"/>
      <c r="C10" s="363" t="s">
        <v>1034</v>
      </c>
      <c r="D10" s="367">
        <v>6</v>
      </c>
      <c r="E10" s="337" t="s">
        <v>1437</v>
      </c>
      <c r="F10" s="341" t="s">
        <v>1035</v>
      </c>
      <c r="G10" s="339">
        <v>500000</v>
      </c>
      <c r="H10" s="339">
        <v>66650</v>
      </c>
      <c r="I10" s="340">
        <f t="shared" si="0"/>
        <v>566650</v>
      </c>
      <c r="J10" s="347">
        <v>50</v>
      </c>
      <c r="K10" s="379">
        <v>11333</v>
      </c>
      <c r="L10" s="356">
        <f t="shared" si="1"/>
        <v>1333</v>
      </c>
      <c r="M10" s="356">
        <f t="shared" si="2"/>
        <v>10000</v>
      </c>
      <c r="N10" s="356">
        <f t="shared" si="3"/>
        <v>37324</v>
      </c>
      <c r="O10" s="356">
        <f t="shared" si="4"/>
        <v>29326</v>
      </c>
      <c r="P10" s="347">
        <v>28</v>
      </c>
      <c r="Q10" s="354">
        <f t="shared" si="5"/>
        <v>22</v>
      </c>
      <c r="R10" s="339">
        <f t="shared" si="6"/>
        <v>317324</v>
      </c>
      <c r="S10" s="339">
        <f t="shared" si="7"/>
        <v>249326</v>
      </c>
      <c r="T10" s="341"/>
    </row>
    <row r="11" spans="1:20">
      <c r="A11" s="378"/>
      <c r="B11" s="378"/>
      <c r="C11" s="362" t="s">
        <v>1382</v>
      </c>
      <c r="D11" s="367">
        <v>7</v>
      </c>
      <c r="E11" s="337" t="s">
        <v>1437</v>
      </c>
      <c r="F11" s="341" t="s">
        <v>1130</v>
      </c>
      <c r="G11" s="339">
        <v>330000</v>
      </c>
      <c r="H11" s="339">
        <v>43989</v>
      </c>
      <c r="I11" s="340">
        <f t="shared" si="0"/>
        <v>373989</v>
      </c>
      <c r="J11" s="347">
        <v>50</v>
      </c>
      <c r="K11" s="379">
        <v>7479.78</v>
      </c>
      <c r="L11" s="356">
        <f t="shared" si="1"/>
        <v>879.78</v>
      </c>
      <c r="M11" s="356">
        <f t="shared" si="2"/>
        <v>6600</v>
      </c>
      <c r="N11" s="356">
        <f t="shared" si="3"/>
        <v>17595.599999999999</v>
      </c>
      <c r="O11" s="356">
        <f t="shared" si="4"/>
        <v>26393.399999999998</v>
      </c>
      <c r="P11" s="353">
        <v>20</v>
      </c>
      <c r="Q11" s="354">
        <f t="shared" si="5"/>
        <v>30</v>
      </c>
      <c r="R11" s="339">
        <f t="shared" si="6"/>
        <v>149595.6</v>
      </c>
      <c r="S11" s="339">
        <f t="shared" si="7"/>
        <v>224393.4</v>
      </c>
      <c r="T11" s="341"/>
    </row>
    <row r="12" spans="1:20">
      <c r="A12" s="378"/>
      <c r="B12" s="378"/>
      <c r="C12" s="362" t="s">
        <v>1350</v>
      </c>
      <c r="D12" s="367">
        <v>8</v>
      </c>
      <c r="E12" s="337" t="s">
        <v>1437</v>
      </c>
      <c r="F12" s="338" t="s">
        <v>1117</v>
      </c>
      <c r="G12" s="339">
        <v>500000</v>
      </c>
      <c r="H12" s="339">
        <v>66650</v>
      </c>
      <c r="I12" s="340">
        <f t="shared" si="0"/>
        <v>566650</v>
      </c>
      <c r="J12" s="347">
        <v>50</v>
      </c>
      <c r="K12" s="379">
        <v>11333</v>
      </c>
      <c r="L12" s="356">
        <f t="shared" si="1"/>
        <v>1333</v>
      </c>
      <c r="M12" s="356">
        <f t="shared" si="2"/>
        <v>10000</v>
      </c>
      <c r="N12" s="356">
        <f t="shared" si="3"/>
        <v>26660</v>
      </c>
      <c r="O12" s="356">
        <f t="shared" si="4"/>
        <v>39990</v>
      </c>
      <c r="P12" s="352">
        <v>20</v>
      </c>
      <c r="Q12" s="354">
        <f t="shared" si="5"/>
        <v>30</v>
      </c>
      <c r="R12" s="339">
        <f t="shared" si="6"/>
        <v>226660</v>
      </c>
      <c r="S12" s="339">
        <f t="shared" si="7"/>
        <v>339990</v>
      </c>
      <c r="T12" s="341"/>
    </row>
    <row r="13" spans="1:20">
      <c r="A13" s="378"/>
      <c r="B13" s="378"/>
      <c r="C13" s="361" t="s">
        <v>1338</v>
      </c>
      <c r="D13" s="367">
        <v>9</v>
      </c>
      <c r="E13" s="337" t="s">
        <v>1437</v>
      </c>
      <c r="F13" s="341" t="s">
        <v>438</v>
      </c>
      <c r="G13" s="339">
        <v>500000</v>
      </c>
      <c r="H13" s="339">
        <v>66650</v>
      </c>
      <c r="I13" s="340">
        <f t="shared" si="0"/>
        <v>566650</v>
      </c>
      <c r="J13" s="347">
        <v>50</v>
      </c>
      <c r="K13" s="379">
        <v>11333</v>
      </c>
      <c r="L13" s="356">
        <f t="shared" si="1"/>
        <v>1333</v>
      </c>
      <c r="M13" s="356">
        <f t="shared" si="2"/>
        <v>10000</v>
      </c>
      <c r="N13" s="356">
        <f t="shared" si="3"/>
        <v>10664</v>
      </c>
      <c r="O13" s="356">
        <f t="shared" si="4"/>
        <v>55986</v>
      </c>
      <c r="P13" s="352">
        <v>8</v>
      </c>
      <c r="Q13" s="354">
        <f t="shared" si="5"/>
        <v>42</v>
      </c>
      <c r="R13" s="339">
        <f t="shared" si="6"/>
        <v>90664</v>
      </c>
      <c r="S13" s="339">
        <f t="shared" si="7"/>
        <v>475986</v>
      </c>
      <c r="T13" s="341"/>
    </row>
    <row r="14" spans="1:20">
      <c r="A14" s="378"/>
      <c r="B14" s="378"/>
      <c r="C14" s="337" t="s">
        <v>1413</v>
      </c>
      <c r="D14" s="367">
        <v>10</v>
      </c>
      <c r="E14" s="337" t="s">
        <v>1437</v>
      </c>
      <c r="F14" s="337" t="s">
        <v>454</v>
      </c>
      <c r="G14" s="346">
        <v>500000</v>
      </c>
      <c r="H14" s="346">
        <v>66650</v>
      </c>
      <c r="I14" s="340">
        <f t="shared" si="0"/>
        <v>566650</v>
      </c>
      <c r="J14" s="348">
        <v>50</v>
      </c>
      <c r="K14" s="380">
        <v>11333</v>
      </c>
      <c r="L14" s="356">
        <f t="shared" si="1"/>
        <v>1333</v>
      </c>
      <c r="M14" s="356">
        <f t="shared" si="2"/>
        <v>10000</v>
      </c>
      <c r="N14" s="356">
        <f t="shared" si="3"/>
        <v>7998</v>
      </c>
      <c r="O14" s="356">
        <f t="shared" si="4"/>
        <v>58652</v>
      </c>
      <c r="P14" s="348">
        <v>6</v>
      </c>
      <c r="Q14" s="354">
        <f t="shared" si="5"/>
        <v>44</v>
      </c>
      <c r="R14" s="339">
        <f t="shared" si="6"/>
        <v>67998</v>
      </c>
      <c r="S14" s="339">
        <f t="shared" si="7"/>
        <v>498652</v>
      </c>
      <c r="T14" s="337"/>
    </row>
    <row r="15" spans="1:20">
      <c r="A15" s="378"/>
      <c r="B15" s="378"/>
      <c r="C15" s="363" t="s">
        <v>1363</v>
      </c>
      <c r="D15" s="367">
        <v>11</v>
      </c>
      <c r="E15" s="337" t="s">
        <v>1437</v>
      </c>
      <c r="F15" s="341" t="s">
        <v>1364</v>
      </c>
      <c r="G15" s="339">
        <v>450000</v>
      </c>
      <c r="H15" s="339">
        <v>59985</v>
      </c>
      <c r="I15" s="340">
        <f t="shared" si="0"/>
        <v>509985</v>
      </c>
      <c r="J15" s="347">
        <v>50</v>
      </c>
      <c r="K15" s="379">
        <v>10199.700000000001</v>
      </c>
      <c r="L15" s="356">
        <f t="shared" si="1"/>
        <v>1199.7</v>
      </c>
      <c r="M15" s="356">
        <f t="shared" si="2"/>
        <v>9000</v>
      </c>
      <c r="N15" s="356">
        <f t="shared" si="3"/>
        <v>13196.7</v>
      </c>
      <c r="O15" s="356">
        <f t="shared" si="4"/>
        <v>46788.3</v>
      </c>
      <c r="P15" s="353">
        <v>11</v>
      </c>
      <c r="Q15" s="354">
        <f t="shared" si="5"/>
        <v>39</v>
      </c>
      <c r="R15" s="339">
        <f t="shared" si="6"/>
        <v>112196.70000000001</v>
      </c>
      <c r="S15" s="339">
        <f t="shared" si="7"/>
        <v>397788.3</v>
      </c>
      <c r="T15" s="341"/>
    </row>
    <row r="16" spans="1:20">
      <c r="A16" s="378"/>
      <c r="B16" s="378"/>
      <c r="C16" s="361" t="s">
        <v>1343</v>
      </c>
      <c r="D16" s="367">
        <v>12</v>
      </c>
      <c r="E16" s="337" t="s">
        <v>1437</v>
      </c>
      <c r="F16" s="341" t="s">
        <v>451</v>
      </c>
      <c r="G16" s="339">
        <v>500000</v>
      </c>
      <c r="H16" s="339">
        <v>66650</v>
      </c>
      <c r="I16" s="340">
        <f t="shared" si="0"/>
        <v>566650</v>
      </c>
      <c r="J16" s="347">
        <v>50</v>
      </c>
      <c r="K16" s="379">
        <v>11333</v>
      </c>
      <c r="L16" s="356">
        <f t="shared" si="1"/>
        <v>1333</v>
      </c>
      <c r="M16" s="356">
        <f t="shared" si="2"/>
        <v>10000</v>
      </c>
      <c r="N16" s="356">
        <f t="shared" si="3"/>
        <v>25327</v>
      </c>
      <c r="O16" s="356">
        <f t="shared" si="4"/>
        <v>41323</v>
      </c>
      <c r="P16" s="353">
        <v>19</v>
      </c>
      <c r="Q16" s="354">
        <f t="shared" si="5"/>
        <v>31</v>
      </c>
      <c r="R16" s="339">
        <f t="shared" si="6"/>
        <v>215327</v>
      </c>
      <c r="S16" s="339">
        <f t="shared" si="7"/>
        <v>351323</v>
      </c>
      <c r="T16" s="341"/>
    </row>
    <row r="17" spans="1:20">
      <c r="A17" s="378"/>
      <c r="B17" s="378"/>
      <c r="C17" s="363" t="s">
        <v>1107</v>
      </c>
      <c r="D17" s="367">
        <v>13</v>
      </c>
      <c r="E17" s="337" t="s">
        <v>1437</v>
      </c>
      <c r="F17" s="341" t="s">
        <v>734</v>
      </c>
      <c r="G17" s="339">
        <v>500000</v>
      </c>
      <c r="H17" s="339">
        <v>66650</v>
      </c>
      <c r="I17" s="340">
        <f t="shared" si="0"/>
        <v>566650</v>
      </c>
      <c r="J17" s="347">
        <v>50</v>
      </c>
      <c r="K17" s="379">
        <v>11333</v>
      </c>
      <c r="L17" s="356">
        <f t="shared" si="1"/>
        <v>1333</v>
      </c>
      <c r="M17" s="356">
        <f t="shared" si="2"/>
        <v>10000</v>
      </c>
      <c r="N17" s="356">
        <f t="shared" si="3"/>
        <v>10664</v>
      </c>
      <c r="O17" s="356">
        <f t="shared" si="4"/>
        <v>55986</v>
      </c>
      <c r="P17" s="353">
        <v>8</v>
      </c>
      <c r="Q17" s="354">
        <f t="shared" si="5"/>
        <v>42</v>
      </c>
      <c r="R17" s="339">
        <f t="shared" si="6"/>
        <v>90664</v>
      </c>
      <c r="S17" s="339">
        <f t="shared" si="7"/>
        <v>475986</v>
      </c>
      <c r="T17" s="341"/>
    </row>
    <row r="18" spans="1:20">
      <c r="A18" s="378"/>
      <c r="B18" s="378"/>
      <c r="C18" s="337" t="s">
        <v>984</v>
      </c>
      <c r="D18" s="367">
        <v>14</v>
      </c>
      <c r="E18" s="337" t="s">
        <v>1437</v>
      </c>
      <c r="F18" s="337" t="s">
        <v>287</v>
      </c>
      <c r="G18" s="346">
        <v>450000</v>
      </c>
      <c r="H18" s="346">
        <v>59985</v>
      </c>
      <c r="I18" s="340">
        <f t="shared" si="0"/>
        <v>509985</v>
      </c>
      <c r="J18" s="358">
        <v>50</v>
      </c>
      <c r="K18" s="381">
        <v>10199.700000000001</v>
      </c>
      <c r="L18" s="356">
        <f t="shared" si="1"/>
        <v>1199.7</v>
      </c>
      <c r="M18" s="356">
        <f t="shared" si="2"/>
        <v>9000</v>
      </c>
      <c r="N18" s="356">
        <f t="shared" si="3"/>
        <v>7198.2000000000007</v>
      </c>
      <c r="O18" s="356">
        <f t="shared" si="4"/>
        <v>52786.8</v>
      </c>
      <c r="P18" s="358">
        <v>6</v>
      </c>
      <c r="Q18" s="354">
        <f t="shared" si="5"/>
        <v>44</v>
      </c>
      <c r="R18" s="339">
        <f t="shared" si="6"/>
        <v>61198.200000000004</v>
      </c>
      <c r="S18" s="339">
        <f t="shared" si="7"/>
        <v>448786.8</v>
      </c>
      <c r="T18" s="337"/>
    </row>
    <row r="19" spans="1:20">
      <c r="A19" s="378"/>
      <c r="B19" s="378"/>
      <c r="C19" s="363" t="s">
        <v>1344</v>
      </c>
      <c r="D19" s="367">
        <v>15</v>
      </c>
      <c r="E19" s="337" t="s">
        <v>1437</v>
      </c>
      <c r="F19" s="341" t="s">
        <v>1345</v>
      </c>
      <c r="G19" s="339">
        <v>500000</v>
      </c>
      <c r="H19" s="339">
        <v>66650</v>
      </c>
      <c r="I19" s="340">
        <f t="shared" si="0"/>
        <v>566650</v>
      </c>
      <c r="J19" s="347">
        <v>50</v>
      </c>
      <c r="K19" s="379">
        <v>11333</v>
      </c>
      <c r="L19" s="356">
        <f t="shared" si="1"/>
        <v>1333</v>
      </c>
      <c r="M19" s="356">
        <f t="shared" si="2"/>
        <v>10000</v>
      </c>
      <c r="N19" s="356">
        <f t="shared" si="3"/>
        <v>14663</v>
      </c>
      <c r="O19" s="356">
        <f t="shared" si="4"/>
        <v>51987</v>
      </c>
      <c r="P19" s="352">
        <v>11</v>
      </c>
      <c r="Q19" s="354">
        <f t="shared" si="5"/>
        <v>39</v>
      </c>
      <c r="R19" s="339">
        <f t="shared" si="6"/>
        <v>124663</v>
      </c>
      <c r="S19" s="339">
        <f t="shared" si="7"/>
        <v>441987</v>
      </c>
      <c r="T19" s="341"/>
    </row>
    <row r="20" spans="1:20">
      <c r="A20" s="378"/>
      <c r="B20" s="378"/>
      <c r="C20" s="364" t="s">
        <v>1100</v>
      </c>
      <c r="D20" s="367">
        <v>16</v>
      </c>
      <c r="E20" s="337" t="s">
        <v>1437</v>
      </c>
      <c r="F20" s="341" t="s">
        <v>351</v>
      </c>
      <c r="G20" s="340">
        <v>500000</v>
      </c>
      <c r="H20" s="339">
        <v>66650</v>
      </c>
      <c r="I20" s="340">
        <f t="shared" si="0"/>
        <v>566650</v>
      </c>
      <c r="J20" s="347">
        <v>50</v>
      </c>
      <c r="K20" s="379">
        <v>11333</v>
      </c>
      <c r="L20" s="356">
        <f t="shared" si="1"/>
        <v>1333</v>
      </c>
      <c r="M20" s="356">
        <f t="shared" si="2"/>
        <v>10000</v>
      </c>
      <c r="N20" s="356">
        <f t="shared" si="3"/>
        <v>77314</v>
      </c>
      <c r="O20" s="356">
        <f t="shared" si="4"/>
        <v>-10664</v>
      </c>
      <c r="P20" s="352">
        <v>58</v>
      </c>
      <c r="Q20" s="354">
        <f t="shared" si="5"/>
        <v>-8</v>
      </c>
      <c r="R20" s="339">
        <f t="shared" si="6"/>
        <v>657314</v>
      </c>
      <c r="S20" s="339">
        <f t="shared" si="7"/>
        <v>-90664</v>
      </c>
      <c r="T20" s="341"/>
    </row>
    <row r="21" spans="1:20">
      <c r="A21" s="378"/>
      <c r="B21" s="378"/>
      <c r="C21" s="362" t="s">
        <v>989</v>
      </c>
      <c r="D21" s="367">
        <v>17</v>
      </c>
      <c r="E21" s="337" t="s">
        <v>1437</v>
      </c>
      <c r="F21" s="338" t="s">
        <v>864</v>
      </c>
      <c r="G21" s="339">
        <v>500000</v>
      </c>
      <c r="H21" s="339">
        <v>66650</v>
      </c>
      <c r="I21" s="340">
        <f t="shared" si="0"/>
        <v>566650</v>
      </c>
      <c r="J21" s="347">
        <v>50</v>
      </c>
      <c r="K21" s="379">
        <v>11333</v>
      </c>
      <c r="L21" s="356">
        <f t="shared" si="1"/>
        <v>1333</v>
      </c>
      <c r="M21" s="356">
        <f t="shared" si="2"/>
        <v>10000</v>
      </c>
      <c r="N21" s="356">
        <f t="shared" si="3"/>
        <v>37324</v>
      </c>
      <c r="O21" s="356">
        <f t="shared" si="4"/>
        <v>29326</v>
      </c>
      <c r="P21" s="352">
        <v>28</v>
      </c>
      <c r="Q21" s="354">
        <f t="shared" si="5"/>
        <v>22</v>
      </c>
      <c r="R21" s="339">
        <f t="shared" si="6"/>
        <v>317324</v>
      </c>
      <c r="S21" s="339">
        <f t="shared" si="7"/>
        <v>249326</v>
      </c>
      <c r="T21" s="341"/>
    </row>
    <row r="22" spans="1:20">
      <c r="A22" s="378"/>
      <c r="B22" s="378"/>
      <c r="C22" s="337" t="s">
        <v>1038</v>
      </c>
      <c r="D22" s="367">
        <v>18</v>
      </c>
      <c r="E22" s="337" t="s">
        <v>1437</v>
      </c>
      <c r="F22" s="337" t="s">
        <v>375</v>
      </c>
      <c r="G22" s="346">
        <v>450000</v>
      </c>
      <c r="H22" s="346">
        <v>59985</v>
      </c>
      <c r="I22" s="340">
        <f t="shared" si="0"/>
        <v>509985</v>
      </c>
      <c r="J22" s="348">
        <v>50</v>
      </c>
      <c r="K22" s="381">
        <v>10199.700000000001</v>
      </c>
      <c r="L22" s="356">
        <f t="shared" si="1"/>
        <v>1199.7</v>
      </c>
      <c r="M22" s="356">
        <f t="shared" si="2"/>
        <v>9000</v>
      </c>
      <c r="N22" s="356">
        <f t="shared" si="3"/>
        <v>4798.8</v>
      </c>
      <c r="O22" s="356">
        <f t="shared" si="4"/>
        <v>55186.200000000004</v>
      </c>
      <c r="P22" s="358">
        <v>4</v>
      </c>
      <c r="Q22" s="354">
        <f t="shared" si="5"/>
        <v>46</v>
      </c>
      <c r="R22" s="339">
        <f t="shared" si="6"/>
        <v>40798.800000000003</v>
      </c>
      <c r="S22" s="339">
        <f t="shared" si="7"/>
        <v>469186.2</v>
      </c>
      <c r="T22" s="337"/>
    </row>
    <row r="23" spans="1:20">
      <c r="A23" s="378"/>
      <c r="B23" s="378"/>
      <c r="C23" s="363" t="s">
        <v>1352</v>
      </c>
      <c r="D23" s="367">
        <v>19</v>
      </c>
      <c r="E23" s="337" t="s">
        <v>1437</v>
      </c>
      <c r="F23" s="341" t="s">
        <v>1353</v>
      </c>
      <c r="G23" s="339">
        <v>500000</v>
      </c>
      <c r="H23" s="339">
        <v>66650</v>
      </c>
      <c r="I23" s="340">
        <f t="shared" si="0"/>
        <v>566650</v>
      </c>
      <c r="J23" s="347">
        <v>50</v>
      </c>
      <c r="K23" s="379">
        <v>11333</v>
      </c>
      <c r="L23" s="356">
        <f t="shared" si="1"/>
        <v>1333</v>
      </c>
      <c r="M23" s="356">
        <f t="shared" si="2"/>
        <v>10000</v>
      </c>
      <c r="N23" s="356">
        <f t="shared" si="3"/>
        <v>10664</v>
      </c>
      <c r="O23" s="356">
        <f t="shared" si="4"/>
        <v>55986</v>
      </c>
      <c r="P23" s="347">
        <v>8</v>
      </c>
      <c r="Q23" s="354">
        <f t="shared" si="5"/>
        <v>42</v>
      </c>
      <c r="R23" s="339">
        <f t="shared" si="6"/>
        <v>90664</v>
      </c>
      <c r="S23" s="339">
        <f t="shared" si="7"/>
        <v>475986</v>
      </c>
      <c r="T23" s="341"/>
    </row>
    <row r="24" spans="1:20">
      <c r="A24" s="378"/>
      <c r="B24" s="378"/>
      <c r="C24" s="362" t="s">
        <v>1141</v>
      </c>
      <c r="D24" s="367">
        <v>20</v>
      </c>
      <c r="E24" s="337" t="s">
        <v>1437</v>
      </c>
      <c r="F24" s="338" t="s">
        <v>1142</v>
      </c>
      <c r="G24" s="339">
        <v>330000</v>
      </c>
      <c r="H24" s="339">
        <v>43989</v>
      </c>
      <c r="I24" s="340">
        <f t="shared" si="0"/>
        <v>373989</v>
      </c>
      <c r="J24" s="347">
        <v>50</v>
      </c>
      <c r="K24" s="379">
        <v>7479.78</v>
      </c>
      <c r="L24" s="356">
        <f t="shared" si="1"/>
        <v>879.78</v>
      </c>
      <c r="M24" s="356">
        <f t="shared" si="2"/>
        <v>6600</v>
      </c>
      <c r="N24" s="356">
        <f t="shared" si="3"/>
        <v>18475.38</v>
      </c>
      <c r="O24" s="356">
        <f t="shared" si="4"/>
        <v>25513.62</v>
      </c>
      <c r="P24" s="352">
        <v>21</v>
      </c>
      <c r="Q24" s="354">
        <f t="shared" si="5"/>
        <v>29</v>
      </c>
      <c r="R24" s="339">
        <f t="shared" si="6"/>
        <v>157075.38</v>
      </c>
      <c r="S24" s="339">
        <f t="shared" si="7"/>
        <v>216913.62</v>
      </c>
      <c r="T24" s="341"/>
    </row>
    <row r="25" spans="1:20">
      <c r="A25" s="378"/>
      <c r="B25" s="378"/>
      <c r="C25" s="364" t="s">
        <v>966</v>
      </c>
      <c r="D25" s="367">
        <v>21</v>
      </c>
      <c r="E25" s="337" t="s">
        <v>1437</v>
      </c>
      <c r="F25" s="337" t="s">
        <v>29</v>
      </c>
      <c r="G25" s="346">
        <v>450000</v>
      </c>
      <c r="H25" s="346">
        <v>59985</v>
      </c>
      <c r="I25" s="340">
        <f t="shared" si="0"/>
        <v>509985</v>
      </c>
      <c r="J25" s="348">
        <v>50</v>
      </c>
      <c r="K25" s="380">
        <v>10199.700000000001</v>
      </c>
      <c r="L25" s="356">
        <f t="shared" si="1"/>
        <v>1199.7</v>
      </c>
      <c r="M25" s="356">
        <f t="shared" si="2"/>
        <v>9000</v>
      </c>
      <c r="N25" s="356">
        <f t="shared" si="3"/>
        <v>53986.5</v>
      </c>
      <c r="O25" s="356">
        <f t="shared" si="4"/>
        <v>5998.5</v>
      </c>
      <c r="P25" s="348">
        <v>45</v>
      </c>
      <c r="Q25" s="354">
        <f t="shared" si="5"/>
        <v>5</v>
      </c>
      <c r="R25" s="339">
        <f t="shared" si="6"/>
        <v>458986.50000000006</v>
      </c>
      <c r="S25" s="339">
        <f t="shared" si="7"/>
        <v>50998.499999999942</v>
      </c>
      <c r="T25" s="337"/>
    </row>
    <row r="26" spans="1:20">
      <c r="A26" s="378"/>
      <c r="B26" s="378"/>
      <c r="C26" s="362" t="s">
        <v>993</v>
      </c>
      <c r="D26" s="367">
        <v>22</v>
      </c>
      <c r="E26" s="337" t="s">
        <v>1437</v>
      </c>
      <c r="F26" s="337" t="s">
        <v>994</v>
      </c>
      <c r="G26" s="346">
        <v>150000</v>
      </c>
      <c r="H26" s="346">
        <v>19995</v>
      </c>
      <c r="I26" s="340">
        <f t="shared" si="0"/>
        <v>169995</v>
      </c>
      <c r="J26" s="348">
        <v>50</v>
      </c>
      <c r="K26" s="380">
        <v>3399.9</v>
      </c>
      <c r="L26" s="356">
        <f t="shared" si="1"/>
        <v>399.9</v>
      </c>
      <c r="M26" s="356">
        <f t="shared" si="2"/>
        <v>3000</v>
      </c>
      <c r="N26" s="356">
        <f t="shared" si="3"/>
        <v>11197.199999999999</v>
      </c>
      <c r="O26" s="356">
        <f t="shared" si="4"/>
        <v>8797.7999999999993</v>
      </c>
      <c r="P26" s="348">
        <v>28</v>
      </c>
      <c r="Q26" s="354">
        <f t="shared" si="5"/>
        <v>22</v>
      </c>
      <c r="R26" s="339">
        <f t="shared" si="6"/>
        <v>95197.2</v>
      </c>
      <c r="S26" s="339">
        <f t="shared" si="7"/>
        <v>74797.8</v>
      </c>
      <c r="T26" s="337"/>
    </row>
    <row r="27" spans="1:20">
      <c r="A27" s="378"/>
      <c r="B27" s="378"/>
      <c r="C27" s="364" t="s">
        <v>1099</v>
      </c>
      <c r="D27" s="367">
        <v>23</v>
      </c>
      <c r="E27" s="337" t="s">
        <v>1437</v>
      </c>
      <c r="F27" s="337" t="s">
        <v>487</v>
      </c>
      <c r="G27" s="346">
        <v>500000</v>
      </c>
      <c r="H27" s="346">
        <v>66650</v>
      </c>
      <c r="I27" s="340">
        <f t="shared" si="0"/>
        <v>566650</v>
      </c>
      <c r="J27" s="348">
        <v>50</v>
      </c>
      <c r="K27" s="380">
        <v>11333</v>
      </c>
      <c r="L27" s="356">
        <f t="shared" si="1"/>
        <v>1333</v>
      </c>
      <c r="M27" s="356">
        <f t="shared" si="2"/>
        <v>10000</v>
      </c>
      <c r="N27" s="356">
        <f t="shared" si="3"/>
        <v>43989</v>
      </c>
      <c r="O27" s="356">
        <f t="shared" si="4"/>
        <v>22661</v>
      </c>
      <c r="P27" s="348">
        <v>33</v>
      </c>
      <c r="Q27" s="354">
        <f t="shared" si="5"/>
        <v>17</v>
      </c>
      <c r="R27" s="339">
        <f t="shared" si="6"/>
        <v>373989</v>
      </c>
      <c r="S27" s="339">
        <f t="shared" si="7"/>
        <v>192661</v>
      </c>
      <c r="T27" s="337"/>
    </row>
    <row r="28" spans="1:20">
      <c r="A28" s="378"/>
      <c r="B28" s="378"/>
      <c r="C28" s="364" t="s">
        <v>1069</v>
      </c>
      <c r="D28" s="367">
        <v>24</v>
      </c>
      <c r="E28" s="337" t="s">
        <v>1437</v>
      </c>
      <c r="F28" s="337" t="s">
        <v>358</v>
      </c>
      <c r="G28" s="346">
        <v>500000</v>
      </c>
      <c r="H28" s="346">
        <v>66650</v>
      </c>
      <c r="I28" s="340">
        <f t="shared" si="0"/>
        <v>566650</v>
      </c>
      <c r="J28" s="348">
        <v>50</v>
      </c>
      <c r="K28" s="380">
        <v>11333</v>
      </c>
      <c r="L28" s="356">
        <f t="shared" si="1"/>
        <v>1333</v>
      </c>
      <c r="M28" s="356">
        <f t="shared" si="2"/>
        <v>10000</v>
      </c>
      <c r="N28" s="356">
        <f t="shared" si="3"/>
        <v>59985</v>
      </c>
      <c r="O28" s="356">
        <f t="shared" si="4"/>
        <v>6665</v>
      </c>
      <c r="P28" s="348">
        <v>45</v>
      </c>
      <c r="Q28" s="354">
        <f t="shared" si="5"/>
        <v>5</v>
      </c>
      <c r="R28" s="339">
        <f t="shared" si="6"/>
        <v>509985</v>
      </c>
      <c r="S28" s="339">
        <f t="shared" si="7"/>
        <v>56665</v>
      </c>
      <c r="T28" s="337"/>
    </row>
    <row r="29" spans="1:20">
      <c r="A29" s="378"/>
      <c r="B29" s="378"/>
      <c r="C29" s="337" t="s">
        <v>1445</v>
      </c>
      <c r="D29" s="367">
        <v>25</v>
      </c>
      <c r="E29" s="337" t="s">
        <v>1437</v>
      </c>
      <c r="F29" s="337" t="s">
        <v>1446</v>
      </c>
      <c r="G29" s="346">
        <v>500000</v>
      </c>
      <c r="H29" s="346">
        <v>66650</v>
      </c>
      <c r="I29" s="340">
        <f t="shared" si="0"/>
        <v>566650</v>
      </c>
      <c r="J29" s="348">
        <v>50</v>
      </c>
      <c r="K29" s="381">
        <v>11333</v>
      </c>
      <c r="L29" s="356">
        <f t="shared" si="1"/>
        <v>1333</v>
      </c>
      <c r="M29" s="356">
        <f t="shared" si="2"/>
        <v>10000</v>
      </c>
      <c r="N29" s="356">
        <f t="shared" si="3"/>
        <v>5332</v>
      </c>
      <c r="O29" s="356">
        <f t="shared" si="4"/>
        <v>61318</v>
      </c>
      <c r="P29" s="358">
        <v>4</v>
      </c>
      <c r="Q29" s="354">
        <f t="shared" si="5"/>
        <v>46</v>
      </c>
      <c r="R29" s="339">
        <f t="shared" si="6"/>
        <v>45332</v>
      </c>
      <c r="S29" s="339">
        <f t="shared" si="7"/>
        <v>521318</v>
      </c>
      <c r="T29" s="337"/>
    </row>
    <row r="30" spans="1:20">
      <c r="A30" s="378"/>
      <c r="B30" s="378"/>
      <c r="C30" s="364" t="s">
        <v>1106</v>
      </c>
      <c r="D30" s="367">
        <v>26</v>
      </c>
      <c r="E30" s="337" t="s">
        <v>1437</v>
      </c>
      <c r="F30" s="337" t="s">
        <v>314</v>
      </c>
      <c r="G30" s="346">
        <v>500000</v>
      </c>
      <c r="H30" s="346">
        <v>66650</v>
      </c>
      <c r="I30" s="340">
        <f t="shared" si="0"/>
        <v>566650</v>
      </c>
      <c r="J30" s="348">
        <v>50</v>
      </c>
      <c r="K30" s="380">
        <v>11333</v>
      </c>
      <c r="L30" s="356">
        <f t="shared" si="1"/>
        <v>1333</v>
      </c>
      <c r="M30" s="356">
        <f t="shared" si="2"/>
        <v>10000</v>
      </c>
      <c r="N30" s="356">
        <f t="shared" si="3"/>
        <v>59985</v>
      </c>
      <c r="O30" s="356">
        <f t="shared" si="4"/>
        <v>6665</v>
      </c>
      <c r="P30" s="348">
        <v>45</v>
      </c>
      <c r="Q30" s="354">
        <f t="shared" si="5"/>
        <v>5</v>
      </c>
      <c r="R30" s="339">
        <f t="shared" si="6"/>
        <v>509985</v>
      </c>
      <c r="S30" s="339">
        <f t="shared" si="7"/>
        <v>56665</v>
      </c>
      <c r="T30" s="337"/>
    </row>
    <row r="31" spans="1:20">
      <c r="A31" s="378"/>
      <c r="B31" s="378"/>
      <c r="C31" s="364" t="s">
        <v>1046</v>
      </c>
      <c r="D31" s="367">
        <v>27</v>
      </c>
      <c r="E31" s="337" t="s">
        <v>1437</v>
      </c>
      <c r="F31" s="337" t="s">
        <v>349</v>
      </c>
      <c r="G31" s="346">
        <v>500000</v>
      </c>
      <c r="H31" s="346">
        <v>66650</v>
      </c>
      <c r="I31" s="340">
        <f t="shared" si="0"/>
        <v>566650</v>
      </c>
      <c r="J31" s="348">
        <v>50</v>
      </c>
      <c r="K31" s="380">
        <v>11333</v>
      </c>
      <c r="L31" s="356">
        <f t="shared" si="1"/>
        <v>1333</v>
      </c>
      <c r="M31" s="356">
        <f t="shared" si="2"/>
        <v>10000</v>
      </c>
      <c r="N31" s="356">
        <f t="shared" si="3"/>
        <v>49321</v>
      </c>
      <c r="O31" s="356">
        <f t="shared" si="4"/>
        <v>17329</v>
      </c>
      <c r="P31" s="348">
        <v>37</v>
      </c>
      <c r="Q31" s="354">
        <f t="shared" si="5"/>
        <v>13</v>
      </c>
      <c r="R31" s="339">
        <f t="shared" si="6"/>
        <v>419321</v>
      </c>
      <c r="S31" s="339">
        <f t="shared" si="7"/>
        <v>147329</v>
      </c>
      <c r="T31" s="337"/>
    </row>
    <row r="32" spans="1:20" ht="22.5">
      <c r="A32" s="378"/>
      <c r="B32" s="378"/>
      <c r="C32" s="337" t="s">
        <v>1440</v>
      </c>
      <c r="D32" s="367">
        <v>28</v>
      </c>
      <c r="E32" s="337" t="s">
        <v>1437</v>
      </c>
      <c r="F32" s="337" t="s">
        <v>1441</v>
      </c>
      <c r="G32" s="346">
        <v>500000</v>
      </c>
      <c r="H32" s="346">
        <v>66650</v>
      </c>
      <c r="I32" s="340">
        <f t="shared" si="0"/>
        <v>566650</v>
      </c>
      <c r="J32" s="348">
        <v>50</v>
      </c>
      <c r="K32" s="381">
        <v>11333</v>
      </c>
      <c r="L32" s="356">
        <f t="shared" si="1"/>
        <v>1333</v>
      </c>
      <c r="M32" s="356">
        <f t="shared" si="2"/>
        <v>10000</v>
      </c>
      <c r="N32" s="356">
        <f t="shared" si="3"/>
        <v>59985</v>
      </c>
      <c r="O32" s="356">
        <f t="shared" si="4"/>
        <v>6665</v>
      </c>
      <c r="P32" s="358">
        <v>45</v>
      </c>
      <c r="Q32" s="354">
        <f t="shared" si="5"/>
        <v>5</v>
      </c>
      <c r="R32" s="339">
        <f t="shared" si="6"/>
        <v>509985</v>
      </c>
      <c r="S32" s="339">
        <f t="shared" si="7"/>
        <v>56665</v>
      </c>
      <c r="T32" s="389" t="s">
        <v>1444</v>
      </c>
    </row>
    <row r="33" spans="1:20">
      <c r="A33" s="378"/>
      <c r="B33" s="378"/>
      <c r="C33" s="364" t="s">
        <v>1009</v>
      </c>
      <c r="D33" s="367">
        <v>29</v>
      </c>
      <c r="E33" s="337" t="s">
        <v>1437</v>
      </c>
      <c r="F33" s="337" t="s">
        <v>332</v>
      </c>
      <c r="G33" s="346">
        <v>500000</v>
      </c>
      <c r="H33" s="346">
        <v>66650</v>
      </c>
      <c r="I33" s="340">
        <f t="shared" si="0"/>
        <v>566650</v>
      </c>
      <c r="J33" s="348">
        <v>50</v>
      </c>
      <c r="K33" s="380">
        <v>11333</v>
      </c>
      <c r="L33" s="356">
        <f t="shared" si="1"/>
        <v>1333</v>
      </c>
      <c r="M33" s="356">
        <f t="shared" si="2"/>
        <v>10000</v>
      </c>
      <c r="N33" s="356">
        <f t="shared" si="3"/>
        <v>59985</v>
      </c>
      <c r="O33" s="356">
        <f t="shared" si="4"/>
        <v>6665</v>
      </c>
      <c r="P33" s="348">
        <v>45</v>
      </c>
      <c r="Q33" s="354">
        <f t="shared" si="5"/>
        <v>5</v>
      </c>
      <c r="R33" s="339">
        <f t="shared" si="6"/>
        <v>509985</v>
      </c>
      <c r="S33" s="339">
        <f t="shared" si="7"/>
        <v>56665</v>
      </c>
      <c r="T33" s="337"/>
    </row>
    <row r="34" spans="1:20">
      <c r="A34" s="378"/>
      <c r="B34" s="378"/>
      <c r="C34" s="361" t="s">
        <v>1342</v>
      </c>
      <c r="D34" s="367">
        <v>30</v>
      </c>
      <c r="E34" s="337" t="s">
        <v>1437</v>
      </c>
      <c r="F34" s="337" t="s">
        <v>1290</v>
      </c>
      <c r="G34" s="346">
        <v>500000</v>
      </c>
      <c r="H34" s="346">
        <v>66650</v>
      </c>
      <c r="I34" s="340">
        <f t="shared" si="0"/>
        <v>566650</v>
      </c>
      <c r="J34" s="348">
        <v>50</v>
      </c>
      <c r="K34" s="380">
        <v>11333</v>
      </c>
      <c r="L34" s="356">
        <f t="shared" si="1"/>
        <v>1333</v>
      </c>
      <c r="M34" s="356">
        <f t="shared" si="2"/>
        <v>10000</v>
      </c>
      <c r="N34" s="356">
        <f t="shared" si="3"/>
        <v>23994</v>
      </c>
      <c r="O34" s="356">
        <f t="shared" si="4"/>
        <v>42656</v>
      </c>
      <c r="P34" s="348">
        <v>18</v>
      </c>
      <c r="Q34" s="354">
        <f t="shared" si="5"/>
        <v>32</v>
      </c>
      <c r="R34" s="339">
        <f t="shared" si="6"/>
        <v>203994</v>
      </c>
      <c r="S34" s="339">
        <f t="shared" si="7"/>
        <v>362656</v>
      </c>
      <c r="T34" s="337"/>
    </row>
    <row r="35" spans="1:20">
      <c r="A35" s="378"/>
      <c r="B35" s="378"/>
      <c r="C35" s="364" t="s">
        <v>995</v>
      </c>
      <c r="D35" s="367">
        <v>31</v>
      </c>
      <c r="E35" s="337" t="s">
        <v>1437</v>
      </c>
      <c r="F35" s="337" t="s">
        <v>339</v>
      </c>
      <c r="G35" s="346">
        <v>500000</v>
      </c>
      <c r="H35" s="346">
        <v>66650</v>
      </c>
      <c r="I35" s="340">
        <f t="shared" si="0"/>
        <v>566650</v>
      </c>
      <c r="J35" s="348">
        <v>50</v>
      </c>
      <c r="K35" s="380">
        <v>11333</v>
      </c>
      <c r="L35" s="356">
        <f t="shared" si="1"/>
        <v>1333</v>
      </c>
      <c r="M35" s="356">
        <f t="shared" si="2"/>
        <v>10000</v>
      </c>
      <c r="N35" s="356">
        <f t="shared" si="3"/>
        <v>59985</v>
      </c>
      <c r="O35" s="356">
        <f t="shared" si="4"/>
        <v>6665</v>
      </c>
      <c r="P35" s="348">
        <v>45</v>
      </c>
      <c r="Q35" s="354">
        <f t="shared" si="5"/>
        <v>5</v>
      </c>
      <c r="R35" s="339">
        <f t="shared" si="6"/>
        <v>509985</v>
      </c>
      <c r="S35" s="339">
        <f t="shared" si="7"/>
        <v>56665</v>
      </c>
      <c r="T35" s="337"/>
    </row>
    <row r="36" spans="1:20">
      <c r="A36" s="378"/>
      <c r="B36" s="378"/>
      <c r="C36" s="362" t="s">
        <v>1366</v>
      </c>
      <c r="D36" s="367">
        <v>32</v>
      </c>
      <c r="E36" s="337" t="s">
        <v>1437</v>
      </c>
      <c r="F36" s="337" t="s">
        <v>1138</v>
      </c>
      <c r="G36" s="346">
        <v>450000</v>
      </c>
      <c r="H36" s="346">
        <v>59985</v>
      </c>
      <c r="I36" s="340">
        <f t="shared" si="0"/>
        <v>509985</v>
      </c>
      <c r="J36" s="348">
        <v>50</v>
      </c>
      <c r="K36" s="380">
        <v>10199.700000000001</v>
      </c>
      <c r="L36" s="356">
        <f t="shared" si="1"/>
        <v>1199.7</v>
      </c>
      <c r="M36" s="356">
        <f t="shared" si="2"/>
        <v>9000</v>
      </c>
      <c r="N36" s="356">
        <f t="shared" si="3"/>
        <v>23994</v>
      </c>
      <c r="O36" s="356">
        <f t="shared" si="4"/>
        <v>35991</v>
      </c>
      <c r="P36" s="348">
        <v>20</v>
      </c>
      <c r="Q36" s="354">
        <f t="shared" si="5"/>
        <v>30</v>
      </c>
      <c r="R36" s="339">
        <f t="shared" si="6"/>
        <v>203994</v>
      </c>
      <c r="S36" s="339">
        <f t="shared" si="7"/>
        <v>305991</v>
      </c>
      <c r="T36" s="337"/>
    </row>
    <row r="37" spans="1:20">
      <c r="A37" s="378"/>
      <c r="B37" s="378"/>
      <c r="C37" s="364" t="s">
        <v>998</v>
      </c>
      <c r="D37" s="367">
        <v>33</v>
      </c>
      <c r="E37" s="337" t="s">
        <v>1437</v>
      </c>
      <c r="F37" s="337" t="s">
        <v>363</v>
      </c>
      <c r="G37" s="346">
        <v>450000</v>
      </c>
      <c r="H37" s="346">
        <v>59985</v>
      </c>
      <c r="I37" s="340">
        <f t="shared" ref="I37:I68" si="8">SUM(G37:H37)</f>
        <v>509985</v>
      </c>
      <c r="J37" s="348">
        <v>50</v>
      </c>
      <c r="K37" s="380">
        <v>10199.700000000001</v>
      </c>
      <c r="L37" s="356">
        <f t="shared" si="1"/>
        <v>1199.7</v>
      </c>
      <c r="M37" s="356">
        <f t="shared" ref="M37:M68" si="9">G37/50</f>
        <v>9000</v>
      </c>
      <c r="N37" s="356">
        <f t="shared" ref="N37:N68" si="10">L37*P37</f>
        <v>44388.9</v>
      </c>
      <c r="O37" s="356">
        <f t="shared" ref="O37:O68" si="11">L37*Q37</f>
        <v>15596.1</v>
      </c>
      <c r="P37" s="348">
        <v>37</v>
      </c>
      <c r="Q37" s="354">
        <f t="shared" ref="Q37:Q68" si="12">J37-P37</f>
        <v>13</v>
      </c>
      <c r="R37" s="339">
        <f t="shared" ref="R37:R68" si="13">K37*P37</f>
        <v>377388.9</v>
      </c>
      <c r="S37" s="339">
        <f t="shared" ref="S37:S68" si="14">I37-R37</f>
        <v>132596.09999999998</v>
      </c>
      <c r="T37" s="337"/>
    </row>
    <row r="38" spans="1:20">
      <c r="A38" s="378"/>
      <c r="B38" s="378"/>
      <c r="C38" s="337" t="s">
        <v>1079</v>
      </c>
      <c r="D38" s="367">
        <v>34</v>
      </c>
      <c r="E38" s="337" t="s">
        <v>1437</v>
      </c>
      <c r="F38" s="337" t="s">
        <v>302</v>
      </c>
      <c r="G38" s="346">
        <v>500000</v>
      </c>
      <c r="H38" s="346">
        <v>31992</v>
      </c>
      <c r="I38" s="340">
        <f t="shared" si="8"/>
        <v>531992</v>
      </c>
      <c r="J38" s="348">
        <v>24</v>
      </c>
      <c r="K38" s="380">
        <v>22166.34</v>
      </c>
      <c r="L38" s="356">
        <f>H38/24</f>
        <v>1333</v>
      </c>
      <c r="M38" s="356">
        <f t="shared" si="9"/>
        <v>10000</v>
      </c>
      <c r="N38" s="356">
        <f t="shared" si="10"/>
        <v>7998</v>
      </c>
      <c r="O38" s="356">
        <f t="shared" si="11"/>
        <v>23994</v>
      </c>
      <c r="P38" s="348">
        <v>6</v>
      </c>
      <c r="Q38" s="354">
        <f t="shared" si="12"/>
        <v>18</v>
      </c>
      <c r="R38" s="339">
        <f t="shared" si="13"/>
        <v>132998.04</v>
      </c>
      <c r="S38" s="339">
        <f t="shared" si="14"/>
        <v>398993.95999999996</v>
      </c>
      <c r="T38" s="337"/>
    </row>
    <row r="39" spans="1:20">
      <c r="A39" s="378"/>
      <c r="B39" s="378"/>
      <c r="C39" s="361" t="s">
        <v>1320</v>
      </c>
      <c r="D39" s="367">
        <v>35</v>
      </c>
      <c r="E39" s="337" t="s">
        <v>1437</v>
      </c>
      <c r="F39" s="337" t="s">
        <v>464</v>
      </c>
      <c r="G39" s="346">
        <v>500000</v>
      </c>
      <c r="H39" s="346">
        <v>66650</v>
      </c>
      <c r="I39" s="340">
        <f t="shared" si="8"/>
        <v>566650</v>
      </c>
      <c r="J39" s="348">
        <v>40</v>
      </c>
      <c r="K39" s="380">
        <v>13833</v>
      </c>
      <c r="L39" s="356">
        <f t="shared" ref="L39:L49" si="15">H39/50</f>
        <v>1333</v>
      </c>
      <c r="M39" s="356">
        <f t="shared" si="9"/>
        <v>10000</v>
      </c>
      <c r="N39" s="356">
        <f t="shared" si="10"/>
        <v>10664</v>
      </c>
      <c r="O39" s="356">
        <f t="shared" si="11"/>
        <v>42656</v>
      </c>
      <c r="P39" s="348">
        <v>8</v>
      </c>
      <c r="Q39" s="354">
        <f t="shared" si="12"/>
        <v>32</v>
      </c>
      <c r="R39" s="339">
        <f t="shared" si="13"/>
        <v>110664</v>
      </c>
      <c r="S39" s="339">
        <f t="shared" si="14"/>
        <v>455986</v>
      </c>
      <c r="T39" s="337"/>
    </row>
    <row r="40" spans="1:20">
      <c r="A40" s="378"/>
      <c r="B40" s="378"/>
      <c r="C40" s="363" t="s">
        <v>1348</v>
      </c>
      <c r="D40" s="367">
        <v>36</v>
      </c>
      <c r="E40" s="337" t="s">
        <v>1437</v>
      </c>
      <c r="F40" s="337" t="s">
        <v>1349</v>
      </c>
      <c r="G40" s="346">
        <v>500000</v>
      </c>
      <c r="H40" s="346">
        <v>66650</v>
      </c>
      <c r="I40" s="340">
        <f t="shared" si="8"/>
        <v>566650</v>
      </c>
      <c r="J40" s="348">
        <v>50</v>
      </c>
      <c r="K40" s="380">
        <v>11333</v>
      </c>
      <c r="L40" s="356">
        <f t="shared" si="15"/>
        <v>1333</v>
      </c>
      <c r="M40" s="356">
        <f t="shared" si="9"/>
        <v>10000</v>
      </c>
      <c r="N40" s="356">
        <f t="shared" si="10"/>
        <v>14663</v>
      </c>
      <c r="O40" s="356">
        <f t="shared" si="11"/>
        <v>51987</v>
      </c>
      <c r="P40" s="348">
        <v>11</v>
      </c>
      <c r="Q40" s="354">
        <f t="shared" si="12"/>
        <v>39</v>
      </c>
      <c r="R40" s="339">
        <f t="shared" si="13"/>
        <v>124663</v>
      </c>
      <c r="S40" s="339">
        <f t="shared" si="14"/>
        <v>441987</v>
      </c>
      <c r="T40" s="337"/>
    </row>
    <row r="41" spans="1:20">
      <c r="A41" s="378"/>
      <c r="B41" s="378"/>
      <c r="C41" s="362" t="s">
        <v>1012</v>
      </c>
      <c r="D41" s="367">
        <v>37</v>
      </c>
      <c r="E41" s="337" t="s">
        <v>1437</v>
      </c>
      <c r="F41" s="337" t="s">
        <v>852</v>
      </c>
      <c r="G41" s="346">
        <v>330000</v>
      </c>
      <c r="H41" s="346">
        <v>43989</v>
      </c>
      <c r="I41" s="340">
        <f t="shared" si="8"/>
        <v>373989</v>
      </c>
      <c r="J41" s="348">
        <v>50</v>
      </c>
      <c r="K41" s="380">
        <v>7479.78</v>
      </c>
      <c r="L41" s="356">
        <f t="shared" si="15"/>
        <v>879.78</v>
      </c>
      <c r="M41" s="356">
        <f t="shared" si="9"/>
        <v>6600</v>
      </c>
      <c r="N41" s="356">
        <f t="shared" si="10"/>
        <v>24633.84</v>
      </c>
      <c r="O41" s="356">
        <f t="shared" si="11"/>
        <v>19355.16</v>
      </c>
      <c r="P41" s="348">
        <v>28</v>
      </c>
      <c r="Q41" s="354">
        <f t="shared" si="12"/>
        <v>22</v>
      </c>
      <c r="R41" s="339">
        <f t="shared" si="13"/>
        <v>209433.84</v>
      </c>
      <c r="S41" s="339">
        <f t="shared" si="14"/>
        <v>164555.16</v>
      </c>
      <c r="T41" s="337"/>
    </row>
    <row r="42" spans="1:20">
      <c r="A42" s="378"/>
      <c r="B42" s="378"/>
      <c r="C42" s="363" t="s">
        <v>1065</v>
      </c>
      <c r="D42" s="367">
        <v>38</v>
      </c>
      <c r="E42" s="337" t="s">
        <v>1437</v>
      </c>
      <c r="F42" s="337" t="s">
        <v>1066</v>
      </c>
      <c r="G42" s="346">
        <v>330000</v>
      </c>
      <c r="H42" s="346">
        <v>43989</v>
      </c>
      <c r="I42" s="340">
        <f t="shared" si="8"/>
        <v>373989</v>
      </c>
      <c r="J42" s="348">
        <v>50</v>
      </c>
      <c r="K42" s="380">
        <v>7479.78</v>
      </c>
      <c r="L42" s="356">
        <f t="shared" si="15"/>
        <v>879.78</v>
      </c>
      <c r="M42" s="356">
        <f t="shared" si="9"/>
        <v>6600</v>
      </c>
      <c r="N42" s="356">
        <f t="shared" si="10"/>
        <v>21994.5</v>
      </c>
      <c r="O42" s="356">
        <f t="shared" si="11"/>
        <v>21994.5</v>
      </c>
      <c r="P42" s="348">
        <v>25</v>
      </c>
      <c r="Q42" s="354">
        <f t="shared" si="12"/>
        <v>25</v>
      </c>
      <c r="R42" s="339">
        <f t="shared" si="13"/>
        <v>186994.5</v>
      </c>
      <c r="S42" s="339">
        <f t="shared" si="14"/>
        <v>186994.5</v>
      </c>
      <c r="T42" s="337"/>
    </row>
    <row r="43" spans="1:20">
      <c r="A43" s="378"/>
      <c r="B43" s="378"/>
      <c r="C43" s="337" t="s">
        <v>1449</v>
      </c>
      <c r="D43" s="367">
        <v>39</v>
      </c>
      <c r="E43" s="337" t="s">
        <v>1437</v>
      </c>
      <c r="F43" s="337" t="s">
        <v>389</v>
      </c>
      <c r="G43" s="346">
        <v>500000</v>
      </c>
      <c r="H43" s="346">
        <v>66650</v>
      </c>
      <c r="I43" s="340">
        <f t="shared" si="8"/>
        <v>566650</v>
      </c>
      <c r="J43" s="348">
        <v>50</v>
      </c>
      <c r="K43" s="381">
        <v>11333</v>
      </c>
      <c r="L43" s="356">
        <f t="shared" si="15"/>
        <v>1333</v>
      </c>
      <c r="M43" s="356">
        <f t="shared" si="9"/>
        <v>10000</v>
      </c>
      <c r="N43" s="356">
        <f t="shared" si="10"/>
        <v>5332</v>
      </c>
      <c r="O43" s="356">
        <f t="shared" si="11"/>
        <v>61318</v>
      </c>
      <c r="P43" s="358">
        <v>4</v>
      </c>
      <c r="Q43" s="354">
        <f t="shared" si="12"/>
        <v>46</v>
      </c>
      <c r="R43" s="339">
        <f t="shared" si="13"/>
        <v>45332</v>
      </c>
      <c r="S43" s="339">
        <f t="shared" si="14"/>
        <v>521318</v>
      </c>
      <c r="T43" s="337"/>
    </row>
    <row r="44" spans="1:20">
      <c r="A44" s="378"/>
      <c r="B44" s="378"/>
      <c r="C44" s="364" t="s">
        <v>1029</v>
      </c>
      <c r="D44" s="367">
        <v>40</v>
      </c>
      <c r="E44" s="337" t="s">
        <v>1437</v>
      </c>
      <c r="F44" s="337" t="s">
        <v>1030</v>
      </c>
      <c r="G44" s="346">
        <v>450000</v>
      </c>
      <c r="H44" s="346">
        <v>59985</v>
      </c>
      <c r="I44" s="340">
        <f t="shared" si="8"/>
        <v>509985</v>
      </c>
      <c r="J44" s="348">
        <v>50</v>
      </c>
      <c r="K44" s="380">
        <v>10199.700000000001</v>
      </c>
      <c r="L44" s="356">
        <f t="shared" si="15"/>
        <v>1199.7</v>
      </c>
      <c r="M44" s="356">
        <f t="shared" si="9"/>
        <v>9000</v>
      </c>
      <c r="N44" s="356">
        <f t="shared" si="10"/>
        <v>29992.5</v>
      </c>
      <c r="O44" s="356">
        <f t="shared" si="11"/>
        <v>29992.5</v>
      </c>
      <c r="P44" s="348">
        <v>25</v>
      </c>
      <c r="Q44" s="354">
        <f t="shared" si="12"/>
        <v>25</v>
      </c>
      <c r="R44" s="339">
        <f t="shared" si="13"/>
        <v>254992.50000000003</v>
      </c>
      <c r="S44" s="339">
        <f t="shared" si="14"/>
        <v>254992.49999999997</v>
      </c>
      <c r="T44" s="337"/>
    </row>
    <row r="45" spans="1:20">
      <c r="A45" s="378"/>
      <c r="B45" s="378"/>
      <c r="C45" s="361" t="s">
        <v>1377</v>
      </c>
      <c r="D45" s="367">
        <v>41</v>
      </c>
      <c r="E45" s="337" t="s">
        <v>1437</v>
      </c>
      <c r="F45" s="337" t="s">
        <v>1378</v>
      </c>
      <c r="G45" s="346">
        <v>330000</v>
      </c>
      <c r="H45" s="346">
        <v>43989</v>
      </c>
      <c r="I45" s="340">
        <f t="shared" si="8"/>
        <v>373989</v>
      </c>
      <c r="J45" s="348">
        <v>50</v>
      </c>
      <c r="K45" s="380">
        <v>7479.78</v>
      </c>
      <c r="L45" s="356">
        <f t="shared" si="15"/>
        <v>879.78</v>
      </c>
      <c r="M45" s="356">
        <f t="shared" si="9"/>
        <v>6600</v>
      </c>
      <c r="N45" s="356">
        <f t="shared" si="10"/>
        <v>9677.58</v>
      </c>
      <c r="O45" s="356">
        <f t="shared" si="11"/>
        <v>34311.42</v>
      </c>
      <c r="P45" s="348">
        <v>11</v>
      </c>
      <c r="Q45" s="354">
        <f t="shared" si="12"/>
        <v>39</v>
      </c>
      <c r="R45" s="339">
        <f t="shared" si="13"/>
        <v>82277.58</v>
      </c>
      <c r="S45" s="339">
        <f t="shared" si="14"/>
        <v>291711.42</v>
      </c>
      <c r="T45" s="337"/>
    </row>
    <row r="46" spans="1:20">
      <c r="A46" s="378"/>
      <c r="B46" s="378"/>
      <c r="C46" s="361" t="s">
        <v>1339</v>
      </c>
      <c r="D46" s="367">
        <v>42</v>
      </c>
      <c r="E46" s="337" t="s">
        <v>1437</v>
      </c>
      <c r="F46" s="337" t="s">
        <v>408</v>
      </c>
      <c r="G46" s="346">
        <v>500000</v>
      </c>
      <c r="H46" s="346">
        <v>66650</v>
      </c>
      <c r="I46" s="340">
        <f t="shared" si="8"/>
        <v>566650</v>
      </c>
      <c r="J46" s="348">
        <v>50</v>
      </c>
      <c r="K46" s="380">
        <v>11333</v>
      </c>
      <c r="L46" s="356">
        <f t="shared" si="15"/>
        <v>1333</v>
      </c>
      <c r="M46" s="356">
        <f t="shared" si="9"/>
        <v>10000</v>
      </c>
      <c r="N46" s="356">
        <f t="shared" si="10"/>
        <v>10664</v>
      </c>
      <c r="O46" s="356">
        <f t="shared" si="11"/>
        <v>55986</v>
      </c>
      <c r="P46" s="348">
        <v>8</v>
      </c>
      <c r="Q46" s="354">
        <f t="shared" si="12"/>
        <v>42</v>
      </c>
      <c r="R46" s="339">
        <f t="shared" si="13"/>
        <v>90664</v>
      </c>
      <c r="S46" s="339">
        <f t="shared" si="14"/>
        <v>475986</v>
      </c>
      <c r="T46" s="337"/>
    </row>
    <row r="47" spans="1:20">
      <c r="A47" s="378"/>
      <c r="B47" s="378"/>
      <c r="C47" s="363" t="s">
        <v>1383</v>
      </c>
      <c r="D47" s="367">
        <v>43</v>
      </c>
      <c r="E47" s="337" t="s">
        <v>1437</v>
      </c>
      <c r="F47" s="337" t="s">
        <v>1384</v>
      </c>
      <c r="G47" s="346">
        <v>330000</v>
      </c>
      <c r="H47" s="346">
        <v>43989</v>
      </c>
      <c r="I47" s="340">
        <f t="shared" si="8"/>
        <v>373989</v>
      </c>
      <c r="J47" s="348">
        <v>50</v>
      </c>
      <c r="K47" s="380">
        <v>7479.78</v>
      </c>
      <c r="L47" s="356">
        <f t="shared" si="15"/>
        <v>879.78</v>
      </c>
      <c r="M47" s="356">
        <f t="shared" si="9"/>
        <v>6600</v>
      </c>
      <c r="N47" s="356">
        <f t="shared" si="10"/>
        <v>7038.24</v>
      </c>
      <c r="O47" s="356">
        <f t="shared" si="11"/>
        <v>36950.76</v>
      </c>
      <c r="P47" s="348">
        <v>8</v>
      </c>
      <c r="Q47" s="354">
        <f t="shared" si="12"/>
        <v>42</v>
      </c>
      <c r="R47" s="339">
        <f t="shared" si="13"/>
        <v>59838.239999999998</v>
      </c>
      <c r="S47" s="339">
        <f t="shared" si="14"/>
        <v>314150.76</v>
      </c>
      <c r="T47" s="337"/>
    </row>
    <row r="48" spans="1:20">
      <c r="A48" s="378"/>
      <c r="B48" s="378"/>
      <c r="C48" s="361" t="s">
        <v>1409</v>
      </c>
      <c r="D48" s="367">
        <v>44</v>
      </c>
      <c r="E48" s="337" t="s">
        <v>1437</v>
      </c>
      <c r="F48" s="337" t="s">
        <v>1407</v>
      </c>
      <c r="G48" s="346">
        <v>500000</v>
      </c>
      <c r="H48" s="346">
        <v>66650</v>
      </c>
      <c r="I48" s="340">
        <f t="shared" si="8"/>
        <v>566650</v>
      </c>
      <c r="J48" s="348">
        <v>50</v>
      </c>
      <c r="K48" s="380">
        <v>11333</v>
      </c>
      <c r="L48" s="356">
        <f t="shared" si="15"/>
        <v>1333</v>
      </c>
      <c r="M48" s="356">
        <f t="shared" si="9"/>
        <v>10000</v>
      </c>
      <c r="N48" s="356">
        <f t="shared" si="10"/>
        <v>37324</v>
      </c>
      <c r="O48" s="356">
        <f t="shared" si="11"/>
        <v>29326</v>
      </c>
      <c r="P48" s="348">
        <v>28</v>
      </c>
      <c r="Q48" s="354">
        <f t="shared" si="12"/>
        <v>22</v>
      </c>
      <c r="R48" s="339">
        <f t="shared" si="13"/>
        <v>317324</v>
      </c>
      <c r="S48" s="339">
        <f t="shared" si="14"/>
        <v>249326</v>
      </c>
      <c r="T48" s="337"/>
    </row>
    <row r="49" spans="1:20">
      <c r="A49" s="378"/>
      <c r="B49" s="378"/>
      <c r="C49" s="363" t="s">
        <v>1370</v>
      </c>
      <c r="D49" s="367">
        <v>45</v>
      </c>
      <c r="E49" s="337" t="s">
        <v>1437</v>
      </c>
      <c r="F49" s="337" t="s">
        <v>1371</v>
      </c>
      <c r="G49" s="346">
        <v>330000</v>
      </c>
      <c r="H49" s="346">
        <v>43989</v>
      </c>
      <c r="I49" s="340">
        <f t="shared" si="8"/>
        <v>373989</v>
      </c>
      <c r="J49" s="348">
        <v>50</v>
      </c>
      <c r="K49" s="380">
        <v>7479.78</v>
      </c>
      <c r="L49" s="356">
        <f t="shared" si="15"/>
        <v>879.78</v>
      </c>
      <c r="M49" s="356">
        <f t="shared" si="9"/>
        <v>6600</v>
      </c>
      <c r="N49" s="356">
        <f t="shared" si="10"/>
        <v>9677.58</v>
      </c>
      <c r="O49" s="356">
        <f t="shared" si="11"/>
        <v>34311.42</v>
      </c>
      <c r="P49" s="348">
        <v>11</v>
      </c>
      <c r="Q49" s="354">
        <f t="shared" si="12"/>
        <v>39</v>
      </c>
      <c r="R49" s="339">
        <f t="shared" si="13"/>
        <v>82277.58</v>
      </c>
      <c r="S49" s="339">
        <f t="shared" si="14"/>
        <v>291711.42</v>
      </c>
      <c r="T49" s="337"/>
    </row>
    <row r="50" spans="1:20">
      <c r="A50" s="378"/>
      <c r="B50" s="378"/>
      <c r="C50" s="361" t="s">
        <v>1313</v>
      </c>
      <c r="D50" s="367">
        <v>46</v>
      </c>
      <c r="E50" s="337" t="s">
        <v>1437</v>
      </c>
      <c r="F50" s="337" t="s">
        <v>1314</v>
      </c>
      <c r="G50" s="346">
        <v>450000</v>
      </c>
      <c r="H50" s="346">
        <v>28792.799999999999</v>
      </c>
      <c r="I50" s="340">
        <f t="shared" si="8"/>
        <v>478792.8</v>
      </c>
      <c r="J50" s="348">
        <v>24</v>
      </c>
      <c r="K50" s="380">
        <v>19949.7</v>
      </c>
      <c r="L50" s="356">
        <f>H50/24</f>
        <v>1199.7</v>
      </c>
      <c r="M50" s="356">
        <f t="shared" si="9"/>
        <v>9000</v>
      </c>
      <c r="N50" s="356">
        <f t="shared" si="10"/>
        <v>9597.6</v>
      </c>
      <c r="O50" s="356">
        <f t="shared" si="11"/>
        <v>19195.2</v>
      </c>
      <c r="P50" s="348">
        <v>8</v>
      </c>
      <c r="Q50" s="354">
        <f t="shared" si="12"/>
        <v>16</v>
      </c>
      <c r="R50" s="339">
        <f t="shared" si="13"/>
        <v>159597.6</v>
      </c>
      <c r="S50" s="339">
        <f t="shared" si="14"/>
        <v>319195.19999999995</v>
      </c>
      <c r="T50" s="337"/>
    </row>
    <row r="51" spans="1:20">
      <c r="A51" s="378"/>
      <c r="B51" s="378"/>
      <c r="C51" s="362" t="s">
        <v>1400</v>
      </c>
      <c r="D51" s="367">
        <v>47</v>
      </c>
      <c r="E51" s="337" t="s">
        <v>1437</v>
      </c>
      <c r="F51" s="337" t="s">
        <v>1401</v>
      </c>
      <c r="G51" s="346">
        <v>150000</v>
      </c>
      <c r="H51" s="346">
        <v>19995</v>
      </c>
      <c r="I51" s="340">
        <f t="shared" si="8"/>
        <v>169995</v>
      </c>
      <c r="J51" s="348">
        <v>50</v>
      </c>
      <c r="K51" s="380">
        <v>3399.9</v>
      </c>
      <c r="L51" s="356">
        <f t="shared" ref="L51:L91" si="16">H51/50</f>
        <v>399.9</v>
      </c>
      <c r="M51" s="356">
        <f t="shared" si="9"/>
        <v>3000</v>
      </c>
      <c r="N51" s="356">
        <f t="shared" si="10"/>
        <v>5198.7</v>
      </c>
      <c r="O51" s="356">
        <f t="shared" si="11"/>
        <v>14796.3</v>
      </c>
      <c r="P51" s="348">
        <v>13</v>
      </c>
      <c r="Q51" s="354">
        <f t="shared" si="12"/>
        <v>37</v>
      </c>
      <c r="R51" s="339">
        <f t="shared" si="13"/>
        <v>44198.700000000004</v>
      </c>
      <c r="S51" s="339">
        <f t="shared" si="14"/>
        <v>125796.29999999999</v>
      </c>
      <c r="T51" s="337"/>
    </row>
    <row r="52" spans="1:20">
      <c r="A52" s="378"/>
      <c r="B52" s="378"/>
      <c r="C52" s="362" t="s">
        <v>1386</v>
      </c>
      <c r="D52" s="367">
        <v>48</v>
      </c>
      <c r="E52" s="337" t="s">
        <v>1437</v>
      </c>
      <c r="F52" s="337" t="s">
        <v>1387</v>
      </c>
      <c r="G52" s="346">
        <v>330000</v>
      </c>
      <c r="H52" s="346">
        <v>43989</v>
      </c>
      <c r="I52" s="340">
        <f t="shared" si="8"/>
        <v>373989</v>
      </c>
      <c r="J52" s="348">
        <v>50</v>
      </c>
      <c r="K52" s="380">
        <v>7479.78</v>
      </c>
      <c r="L52" s="356">
        <f t="shared" si="16"/>
        <v>879.78</v>
      </c>
      <c r="M52" s="356">
        <f t="shared" si="9"/>
        <v>6600</v>
      </c>
      <c r="N52" s="356">
        <f t="shared" si="10"/>
        <v>17595.599999999999</v>
      </c>
      <c r="O52" s="356">
        <f t="shared" si="11"/>
        <v>26393.399999999998</v>
      </c>
      <c r="P52" s="348">
        <v>20</v>
      </c>
      <c r="Q52" s="354">
        <f t="shared" si="12"/>
        <v>30</v>
      </c>
      <c r="R52" s="339">
        <f t="shared" si="13"/>
        <v>149595.6</v>
      </c>
      <c r="S52" s="339">
        <f t="shared" si="14"/>
        <v>224393.4</v>
      </c>
      <c r="T52" s="337"/>
    </row>
    <row r="53" spans="1:20">
      <c r="A53" s="378"/>
      <c r="B53" s="378"/>
      <c r="C53" s="362" t="s">
        <v>975</v>
      </c>
      <c r="D53" s="367">
        <v>49</v>
      </c>
      <c r="E53" s="337" t="s">
        <v>1437</v>
      </c>
      <c r="F53" s="337" t="s">
        <v>875</v>
      </c>
      <c r="G53" s="346">
        <v>450000</v>
      </c>
      <c r="H53" s="346">
        <v>59985</v>
      </c>
      <c r="I53" s="340">
        <f t="shared" si="8"/>
        <v>509985</v>
      </c>
      <c r="J53" s="348">
        <v>50</v>
      </c>
      <c r="K53" s="380">
        <v>10199.700000000001</v>
      </c>
      <c r="L53" s="356">
        <f t="shared" si="16"/>
        <v>1199.7</v>
      </c>
      <c r="M53" s="356">
        <f t="shared" si="9"/>
        <v>9000</v>
      </c>
      <c r="N53" s="356">
        <f t="shared" si="10"/>
        <v>33591.599999999999</v>
      </c>
      <c r="O53" s="356">
        <f t="shared" si="11"/>
        <v>26393.4</v>
      </c>
      <c r="P53" s="348">
        <v>28</v>
      </c>
      <c r="Q53" s="354">
        <f t="shared" si="12"/>
        <v>22</v>
      </c>
      <c r="R53" s="339">
        <f t="shared" si="13"/>
        <v>285591.60000000003</v>
      </c>
      <c r="S53" s="339">
        <f t="shared" si="14"/>
        <v>224393.39999999997</v>
      </c>
      <c r="T53" s="337"/>
    </row>
    <row r="54" spans="1:20">
      <c r="A54" s="378"/>
      <c r="B54" s="378"/>
      <c r="C54" s="364" t="s">
        <v>1357</v>
      </c>
      <c r="D54" s="367">
        <v>50</v>
      </c>
      <c r="E54" s="337" t="s">
        <v>1437</v>
      </c>
      <c r="F54" s="337" t="s">
        <v>858</v>
      </c>
      <c r="G54" s="346">
        <v>450000</v>
      </c>
      <c r="H54" s="346">
        <v>59985</v>
      </c>
      <c r="I54" s="340">
        <f t="shared" si="8"/>
        <v>509985</v>
      </c>
      <c r="J54" s="348">
        <v>50</v>
      </c>
      <c r="K54" s="380">
        <v>10199.700000000001</v>
      </c>
      <c r="L54" s="356">
        <f t="shared" si="16"/>
        <v>1199.7</v>
      </c>
      <c r="M54" s="356">
        <f t="shared" si="9"/>
        <v>9000</v>
      </c>
      <c r="N54" s="356">
        <f t="shared" si="10"/>
        <v>23994</v>
      </c>
      <c r="O54" s="356">
        <f t="shared" si="11"/>
        <v>35991</v>
      </c>
      <c r="P54" s="348">
        <v>20</v>
      </c>
      <c r="Q54" s="354">
        <f t="shared" si="12"/>
        <v>30</v>
      </c>
      <c r="R54" s="339">
        <f t="shared" si="13"/>
        <v>203994</v>
      </c>
      <c r="S54" s="339">
        <f t="shared" si="14"/>
        <v>305991</v>
      </c>
      <c r="T54" s="337"/>
    </row>
    <row r="55" spans="1:20">
      <c r="A55" s="378"/>
      <c r="B55" s="378"/>
      <c r="C55" s="363" t="s">
        <v>1097</v>
      </c>
      <c r="D55" s="367">
        <v>51</v>
      </c>
      <c r="E55" s="337" t="s">
        <v>1437</v>
      </c>
      <c r="F55" s="337" t="s">
        <v>286</v>
      </c>
      <c r="G55" s="346">
        <v>450000</v>
      </c>
      <c r="H55" s="346">
        <v>59985</v>
      </c>
      <c r="I55" s="340">
        <f t="shared" si="8"/>
        <v>509985</v>
      </c>
      <c r="J55" s="348">
        <v>50</v>
      </c>
      <c r="K55" s="380">
        <v>10199.700000000001</v>
      </c>
      <c r="L55" s="356">
        <f t="shared" si="16"/>
        <v>1199.7</v>
      </c>
      <c r="M55" s="356">
        <f t="shared" si="9"/>
        <v>9000</v>
      </c>
      <c r="N55" s="356">
        <f t="shared" si="10"/>
        <v>56385.9</v>
      </c>
      <c r="O55" s="356">
        <f t="shared" si="11"/>
        <v>3599.1000000000004</v>
      </c>
      <c r="P55" s="348">
        <v>47</v>
      </c>
      <c r="Q55" s="354">
        <f t="shared" si="12"/>
        <v>3</v>
      </c>
      <c r="R55" s="339">
        <f t="shared" si="13"/>
        <v>479385.9</v>
      </c>
      <c r="S55" s="339">
        <f t="shared" si="14"/>
        <v>30599.099999999977</v>
      </c>
      <c r="T55" s="337"/>
    </row>
    <row r="56" spans="1:20">
      <c r="A56" s="378"/>
      <c r="B56" s="378"/>
      <c r="C56" s="361" t="s">
        <v>1346</v>
      </c>
      <c r="D56" s="367">
        <v>52</v>
      </c>
      <c r="E56" s="337" t="s">
        <v>1437</v>
      </c>
      <c r="F56" s="337" t="s">
        <v>1347</v>
      </c>
      <c r="G56" s="346">
        <v>500000</v>
      </c>
      <c r="H56" s="346">
        <v>66650</v>
      </c>
      <c r="I56" s="340">
        <f t="shared" si="8"/>
        <v>566650</v>
      </c>
      <c r="J56" s="348">
        <v>50</v>
      </c>
      <c r="K56" s="380">
        <v>11333</v>
      </c>
      <c r="L56" s="356">
        <f t="shared" si="16"/>
        <v>1333</v>
      </c>
      <c r="M56" s="356">
        <f t="shared" si="9"/>
        <v>10000</v>
      </c>
      <c r="N56" s="356">
        <f t="shared" si="10"/>
        <v>17329</v>
      </c>
      <c r="O56" s="356">
        <f t="shared" si="11"/>
        <v>49321</v>
      </c>
      <c r="P56" s="348">
        <v>13</v>
      </c>
      <c r="Q56" s="354">
        <f t="shared" si="12"/>
        <v>37</v>
      </c>
      <c r="R56" s="339">
        <f t="shared" si="13"/>
        <v>147329</v>
      </c>
      <c r="S56" s="339">
        <f t="shared" si="14"/>
        <v>419321</v>
      </c>
      <c r="T56" s="337"/>
    </row>
    <row r="57" spans="1:20">
      <c r="A57" s="378"/>
      <c r="B57" s="378"/>
      <c r="C57" s="364" t="s">
        <v>1356</v>
      </c>
      <c r="D57" s="367">
        <v>53</v>
      </c>
      <c r="E57" s="337" t="s">
        <v>1437</v>
      </c>
      <c r="F57" s="337" t="s">
        <v>1286</v>
      </c>
      <c r="G57" s="346">
        <v>450000</v>
      </c>
      <c r="H57" s="346">
        <v>59985</v>
      </c>
      <c r="I57" s="340">
        <f t="shared" si="8"/>
        <v>509985</v>
      </c>
      <c r="J57" s="348">
        <v>50</v>
      </c>
      <c r="K57" s="380">
        <v>10199.700000000001</v>
      </c>
      <c r="L57" s="356">
        <f t="shared" si="16"/>
        <v>1199.7</v>
      </c>
      <c r="M57" s="356">
        <f t="shared" si="9"/>
        <v>9000</v>
      </c>
      <c r="N57" s="356">
        <f t="shared" si="10"/>
        <v>15596.1</v>
      </c>
      <c r="O57" s="356">
        <f t="shared" si="11"/>
        <v>44388.9</v>
      </c>
      <c r="P57" s="348">
        <v>13</v>
      </c>
      <c r="Q57" s="354">
        <f t="shared" si="12"/>
        <v>37</v>
      </c>
      <c r="R57" s="339">
        <f t="shared" si="13"/>
        <v>132596.1</v>
      </c>
      <c r="S57" s="339">
        <f t="shared" si="14"/>
        <v>377388.9</v>
      </c>
      <c r="T57" s="337"/>
    </row>
    <row r="58" spans="1:20">
      <c r="A58" s="378"/>
      <c r="B58" s="378"/>
      <c r="C58" s="364" t="s">
        <v>964</v>
      </c>
      <c r="D58" s="367">
        <v>54</v>
      </c>
      <c r="E58" s="337" t="s">
        <v>1437</v>
      </c>
      <c r="F58" s="337" t="s">
        <v>341</v>
      </c>
      <c r="G58" s="346">
        <v>500000</v>
      </c>
      <c r="H58" s="346">
        <v>66650</v>
      </c>
      <c r="I58" s="340">
        <f t="shared" si="8"/>
        <v>566650</v>
      </c>
      <c r="J58" s="348">
        <v>50</v>
      </c>
      <c r="K58" s="380">
        <v>11333</v>
      </c>
      <c r="L58" s="356">
        <f t="shared" si="16"/>
        <v>1333</v>
      </c>
      <c r="M58" s="356">
        <f t="shared" si="9"/>
        <v>10000</v>
      </c>
      <c r="N58" s="356">
        <f t="shared" si="10"/>
        <v>59985</v>
      </c>
      <c r="O58" s="356">
        <f t="shared" si="11"/>
        <v>6665</v>
      </c>
      <c r="P58" s="348">
        <v>45</v>
      </c>
      <c r="Q58" s="354">
        <f t="shared" si="12"/>
        <v>5</v>
      </c>
      <c r="R58" s="339">
        <f t="shared" si="13"/>
        <v>509985</v>
      </c>
      <c r="S58" s="339">
        <f t="shared" si="14"/>
        <v>56665</v>
      </c>
      <c r="T58" s="337"/>
    </row>
    <row r="59" spans="1:20">
      <c r="A59" s="378"/>
      <c r="B59" s="378"/>
      <c r="C59" s="364" t="s">
        <v>1103</v>
      </c>
      <c r="D59" s="367">
        <v>55</v>
      </c>
      <c r="E59" s="337" t="s">
        <v>1437</v>
      </c>
      <c r="F59" s="337" t="s">
        <v>310</v>
      </c>
      <c r="G59" s="346">
        <v>500000</v>
      </c>
      <c r="H59" s="346">
        <v>66650</v>
      </c>
      <c r="I59" s="340">
        <f t="shared" si="8"/>
        <v>566650</v>
      </c>
      <c r="J59" s="348">
        <v>50</v>
      </c>
      <c r="K59" s="380">
        <v>11333</v>
      </c>
      <c r="L59" s="356">
        <f t="shared" si="16"/>
        <v>1333</v>
      </c>
      <c r="M59" s="356">
        <f t="shared" si="9"/>
        <v>10000</v>
      </c>
      <c r="N59" s="356">
        <f t="shared" si="10"/>
        <v>59985</v>
      </c>
      <c r="O59" s="356">
        <f t="shared" si="11"/>
        <v>6665</v>
      </c>
      <c r="P59" s="348">
        <v>45</v>
      </c>
      <c r="Q59" s="354">
        <f t="shared" si="12"/>
        <v>5</v>
      </c>
      <c r="R59" s="339">
        <f t="shared" si="13"/>
        <v>509985</v>
      </c>
      <c r="S59" s="339">
        <f t="shared" si="14"/>
        <v>56665</v>
      </c>
      <c r="T59" s="337"/>
    </row>
    <row r="60" spans="1:20">
      <c r="A60" s="378"/>
      <c r="B60" s="378"/>
      <c r="C60" s="364" t="s">
        <v>1043</v>
      </c>
      <c r="D60" s="367">
        <v>56</v>
      </c>
      <c r="E60" s="337" t="s">
        <v>1437</v>
      </c>
      <c r="F60" s="337" t="s">
        <v>444</v>
      </c>
      <c r="G60" s="346">
        <v>500000</v>
      </c>
      <c r="H60" s="346">
        <v>66650</v>
      </c>
      <c r="I60" s="340">
        <f t="shared" si="8"/>
        <v>566650</v>
      </c>
      <c r="J60" s="348">
        <v>50</v>
      </c>
      <c r="K60" s="380">
        <v>11333</v>
      </c>
      <c r="L60" s="356">
        <f t="shared" si="16"/>
        <v>1333</v>
      </c>
      <c r="M60" s="356">
        <f t="shared" si="9"/>
        <v>10000</v>
      </c>
      <c r="N60" s="356">
        <f t="shared" si="10"/>
        <v>43989</v>
      </c>
      <c r="O60" s="356">
        <f t="shared" si="11"/>
        <v>22661</v>
      </c>
      <c r="P60" s="348">
        <v>33</v>
      </c>
      <c r="Q60" s="354">
        <f t="shared" si="12"/>
        <v>17</v>
      </c>
      <c r="R60" s="339">
        <f t="shared" si="13"/>
        <v>373989</v>
      </c>
      <c r="S60" s="339">
        <f t="shared" si="14"/>
        <v>192661</v>
      </c>
      <c r="T60" s="337"/>
    </row>
    <row r="61" spans="1:20">
      <c r="A61" s="378"/>
      <c r="B61" s="378"/>
      <c r="C61" s="363" t="s">
        <v>1001</v>
      </c>
      <c r="D61" s="367">
        <v>57</v>
      </c>
      <c r="E61" s="337" t="s">
        <v>1437</v>
      </c>
      <c r="F61" s="337" t="s">
        <v>834</v>
      </c>
      <c r="G61" s="346">
        <v>330000</v>
      </c>
      <c r="H61" s="346">
        <v>43989</v>
      </c>
      <c r="I61" s="340">
        <f t="shared" si="8"/>
        <v>373989</v>
      </c>
      <c r="J61" s="348">
        <v>50</v>
      </c>
      <c r="K61" s="380">
        <v>7479.78</v>
      </c>
      <c r="L61" s="356">
        <f t="shared" si="16"/>
        <v>879.78</v>
      </c>
      <c r="M61" s="356">
        <f t="shared" si="9"/>
        <v>6600</v>
      </c>
      <c r="N61" s="356">
        <f t="shared" si="10"/>
        <v>29032.739999999998</v>
      </c>
      <c r="O61" s="356">
        <f t="shared" si="11"/>
        <v>14956.26</v>
      </c>
      <c r="P61" s="348">
        <v>33</v>
      </c>
      <c r="Q61" s="354">
        <f t="shared" si="12"/>
        <v>17</v>
      </c>
      <c r="R61" s="339">
        <f t="shared" si="13"/>
        <v>246832.74</v>
      </c>
      <c r="S61" s="339">
        <f t="shared" si="14"/>
        <v>127156.26000000001</v>
      </c>
      <c r="T61" s="337"/>
    </row>
    <row r="62" spans="1:20">
      <c r="A62" s="378"/>
      <c r="B62" s="378"/>
      <c r="C62" s="361" t="s">
        <v>996</v>
      </c>
      <c r="D62" s="367">
        <v>58</v>
      </c>
      <c r="E62" s="337" t="s">
        <v>1437</v>
      </c>
      <c r="F62" s="337" t="s">
        <v>338</v>
      </c>
      <c r="G62" s="346">
        <v>500000</v>
      </c>
      <c r="H62" s="346">
        <v>66650</v>
      </c>
      <c r="I62" s="340">
        <f t="shared" si="8"/>
        <v>566650</v>
      </c>
      <c r="J62" s="348">
        <v>40</v>
      </c>
      <c r="K62" s="380">
        <v>13833</v>
      </c>
      <c r="L62" s="356">
        <f t="shared" si="16"/>
        <v>1333</v>
      </c>
      <c r="M62" s="356">
        <f t="shared" si="9"/>
        <v>10000</v>
      </c>
      <c r="N62" s="356">
        <f t="shared" si="10"/>
        <v>10664</v>
      </c>
      <c r="O62" s="356">
        <f t="shared" si="11"/>
        <v>42656</v>
      </c>
      <c r="P62" s="348">
        <v>8</v>
      </c>
      <c r="Q62" s="354">
        <f t="shared" si="12"/>
        <v>32</v>
      </c>
      <c r="R62" s="339">
        <f t="shared" si="13"/>
        <v>110664</v>
      </c>
      <c r="S62" s="339">
        <f t="shared" si="14"/>
        <v>455986</v>
      </c>
      <c r="T62" s="337"/>
    </row>
    <row r="63" spans="1:20">
      <c r="A63" s="378"/>
      <c r="B63" s="378"/>
      <c r="C63" s="361" t="s">
        <v>1335</v>
      </c>
      <c r="D63" s="367">
        <v>59</v>
      </c>
      <c r="E63" s="337" t="s">
        <v>1437</v>
      </c>
      <c r="F63" s="337" t="s">
        <v>1336</v>
      </c>
      <c r="G63" s="346">
        <v>500000</v>
      </c>
      <c r="H63" s="346">
        <v>66650</v>
      </c>
      <c r="I63" s="340">
        <f t="shared" si="8"/>
        <v>566650</v>
      </c>
      <c r="J63" s="348">
        <v>50</v>
      </c>
      <c r="K63" s="380">
        <v>11333</v>
      </c>
      <c r="L63" s="356">
        <f t="shared" si="16"/>
        <v>1333</v>
      </c>
      <c r="M63" s="356">
        <f t="shared" si="9"/>
        <v>10000</v>
      </c>
      <c r="N63" s="356">
        <f t="shared" si="10"/>
        <v>19995</v>
      </c>
      <c r="O63" s="356">
        <f t="shared" si="11"/>
        <v>46655</v>
      </c>
      <c r="P63" s="348">
        <v>15</v>
      </c>
      <c r="Q63" s="354">
        <f t="shared" si="12"/>
        <v>35</v>
      </c>
      <c r="R63" s="339">
        <f t="shared" si="13"/>
        <v>169995</v>
      </c>
      <c r="S63" s="339">
        <f t="shared" si="14"/>
        <v>396655</v>
      </c>
      <c r="T63" s="337"/>
    </row>
    <row r="64" spans="1:20">
      <c r="A64" s="378"/>
      <c r="B64" s="378"/>
      <c r="C64" s="364" t="s">
        <v>1312</v>
      </c>
      <c r="D64" s="367">
        <v>60</v>
      </c>
      <c r="E64" s="337" t="s">
        <v>1437</v>
      </c>
      <c r="F64" s="337" t="s">
        <v>436</v>
      </c>
      <c r="G64" s="346">
        <v>500000</v>
      </c>
      <c r="H64" s="346">
        <v>66650</v>
      </c>
      <c r="I64" s="340">
        <f t="shared" si="8"/>
        <v>566650</v>
      </c>
      <c r="J64" s="348">
        <v>25</v>
      </c>
      <c r="K64" s="380">
        <v>21333</v>
      </c>
      <c r="L64" s="356">
        <f t="shared" si="16"/>
        <v>1333</v>
      </c>
      <c r="M64" s="356">
        <f t="shared" si="9"/>
        <v>10000</v>
      </c>
      <c r="N64" s="356">
        <f t="shared" si="10"/>
        <v>17329</v>
      </c>
      <c r="O64" s="356">
        <f t="shared" si="11"/>
        <v>15996</v>
      </c>
      <c r="P64" s="348">
        <v>13</v>
      </c>
      <c r="Q64" s="354">
        <f t="shared" si="12"/>
        <v>12</v>
      </c>
      <c r="R64" s="339">
        <f t="shared" si="13"/>
        <v>277329</v>
      </c>
      <c r="S64" s="339">
        <f t="shared" si="14"/>
        <v>289321</v>
      </c>
      <c r="T64" s="337"/>
    </row>
    <row r="65" spans="1:20">
      <c r="A65" s="378"/>
      <c r="B65" s="378"/>
      <c r="C65" s="361" t="s">
        <v>1044</v>
      </c>
      <c r="D65" s="367">
        <v>61</v>
      </c>
      <c r="E65" s="337" t="s">
        <v>1437</v>
      </c>
      <c r="F65" s="337" t="s">
        <v>844</v>
      </c>
      <c r="G65" s="346">
        <v>150000</v>
      </c>
      <c r="H65" s="346">
        <v>19995</v>
      </c>
      <c r="I65" s="340">
        <f t="shared" si="8"/>
        <v>169995</v>
      </c>
      <c r="J65" s="348">
        <v>50</v>
      </c>
      <c r="K65" s="380">
        <v>3399.9</v>
      </c>
      <c r="L65" s="356">
        <f t="shared" si="16"/>
        <v>399.9</v>
      </c>
      <c r="M65" s="356">
        <f t="shared" si="9"/>
        <v>3000</v>
      </c>
      <c r="N65" s="356">
        <f t="shared" si="10"/>
        <v>13196.699999999999</v>
      </c>
      <c r="O65" s="356">
        <f t="shared" si="11"/>
        <v>6798.2999999999993</v>
      </c>
      <c r="P65" s="348">
        <v>33</v>
      </c>
      <c r="Q65" s="354">
        <f t="shared" si="12"/>
        <v>17</v>
      </c>
      <c r="R65" s="339">
        <f t="shared" si="13"/>
        <v>112196.7</v>
      </c>
      <c r="S65" s="339">
        <f t="shared" si="14"/>
        <v>57798.3</v>
      </c>
      <c r="T65" s="337"/>
    </row>
    <row r="66" spans="1:20">
      <c r="A66" s="378"/>
      <c r="B66" s="378"/>
      <c r="C66" s="364" t="s">
        <v>1328</v>
      </c>
      <c r="D66" s="367">
        <v>62</v>
      </c>
      <c r="E66" s="337" t="s">
        <v>1437</v>
      </c>
      <c r="F66" s="337" t="s">
        <v>433</v>
      </c>
      <c r="G66" s="346">
        <v>500000</v>
      </c>
      <c r="H66" s="346">
        <v>66650</v>
      </c>
      <c r="I66" s="340">
        <f t="shared" si="8"/>
        <v>566650</v>
      </c>
      <c r="J66" s="348">
        <v>50</v>
      </c>
      <c r="K66" s="380">
        <v>11333</v>
      </c>
      <c r="L66" s="356">
        <f t="shared" si="16"/>
        <v>1333</v>
      </c>
      <c r="M66" s="356">
        <f t="shared" si="9"/>
        <v>10000</v>
      </c>
      <c r="N66" s="356">
        <f t="shared" si="10"/>
        <v>25327</v>
      </c>
      <c r="O66" s="356">
        <f t="shared" si="11"/>
        <v>41323</v>
      </c>
      <c r="P66" s="348">
        <v>19</v>
      </c>
      <c r="Q66" s="354">
        <f t="shared" si="12"/>
        <v>31</v>
      </c>
      <c r="R66" s="339">
        <f t="shared" si="13"/>
        <v>215327</v>
      </c>
      <c r="S66" s="339">
        <f t="shared" si="14"/>
        <v>351323</v>
      </c>
      <c r="T66" s="337"/>
    </row>
    <row r="67" spans="1:20">
      <c r="A67" s="378"/>
      <c r="B67" s="378"/>
      <c r="C67" s="362" t="s">
        <v>1058</v>
      </c>
      <c r="D67" s="367">
        <v>63</v>
      </c>
      <c r="E67" s="337" t="s">
        <v>1437</v>
      </c>
      <c r="F67" s="337" t="s">
        <v>346</v>
      </c>
      <c r="G67" s="346">
        <v>500000</v>
      </c>
      <c r="H67" s="346">
        <v>66650</v>
      </c>
      <c r="I67" s="340">
        <f t="shared" si="8"/>
        <v>566650</v>
      </c>
      <c r="J67" s="348">
        <v>50</v>
      </c>
      <c r="K67" s="380">
        <v>11333</v>
      </c>
      <c r="L67" s="356">
        <f t="shared" si="16"/>
        <v>1333</v>
      </c>
      <c r="M67" s="356">
        <f t="shared" si="9"/>
        <v>10000</v>
      </c>
      <c r="N67" s="356">
        <f t="shared" si="10"/>
        <v>58652</v>
      </c>
      <c r="O67" s="356">
        <f t="shared" si="11"/>
        <v>7998</v>
      </c>
      <c r="P67" s="348">
        <v>44</v>
      </c>
      <c r="Q67" s="354">
        <f t="shared" si="12"/>
        <v>6</v>
      </c>
      <c r="R67" s="339">
        <f t="shared" si="13"/>
        <v>498652</v>
      </c>
      <c r="S67" s="339">
        <f t="shared" si="14"/>
        <v>67998</v>
      </c>
      <c r="T67" s="337"/>
    </row>
    <row r="68" spans="1:20">
      <c r="A68" s="378"/>
      <c r="B68" s="378"/>
      <c r="C68" s="364" t="s">
        <v>1322</v>
      </c>
      <c r="D68" s="367">
        <v>64</v>
      </c>
      <c r="E68" s="337" t="s">
        <v>1437</v>
      </c>
      <c r="F68" s="337" t="s">
        <v>1122</v>
      </c>
      <c r="G68" s="346">
        <v>500000</v>
      </c>
      <c r="H68" s="346">
        <v>66650</v>
      </c>
      <c r="I68" s="340">
        <f t="shared" si="8"/>
        <v>566650</v>
      </c>
      <c r="J68" s="348">
        <v>50</v>
      </c>
      <c r="K68" s="380">
        <v>11333</v>
      </c>
      <c r="L68" s="356">
        <f t="shared" si="16"/>
        <v>1333</v>
      </c>
      <c r="M68" s="356">
        <f t="shared" si="9"/>
        <v>10000</v>
      </c>
      <c r="N68" s="356">
        <f t="shared" si="10"/>
        <v>26660</v>
      </c>
      <c r="O68" s="356">
        <f t="shared" si="11"/>
        <v>39990</v>
      </c>
      <c r="P68" s="348">
        <v>20</v>
      </c>
      <c r="Q68" s="354">
        <f t="shared" si="12"/>
        <v>30</v>
      </c>
      <c r="R68" s="339">
        <f t="shared" si="13"/>
        <v>226660</v>
      </c>
      <c r="S68" s="339">
        <f t="shared" si="14"/>
        <v>339990</v>
      </c>
      <c r="T68" s="337"/>
    </row>
    <row r="69" spans="1:20">
      <c r="A69" s="378"/>
      <c r="B69" s="378"/>
      <c r="C69" s="362" t="s">
        <v>1098</v>
      </c>
      <c r="D69" s="367">
        <v>65</v>
      </c>
      <c r="E69" s="337" t="s">
        <v>1437</v>
      </c>
      <c r="F69" s="337" t="s">
        <v>345</v>
      </c>
      <c r="G69" s="346">
        <v>500000</v>
      </c>
      <c r="H69" s="346">
        <v>66650</v>
      </c>
      <c r="I69" s="340">
        <f t="shared" ref="I69:I100" si="17">SUM(G69:H69)</f>
        <v>566650</v>
      </c>
      <c r="J69" s="348">
        <v>50</v>
      </c>
      <c r="K69" s="380">
        <v>11333</v>
      </c>
      <c r="L69" s="356">
        <f t="shared" si="16"/>
        <v>1333</v>
      </c>
      <c r="M69" s="356">
        <f t="shared" ref="M69:M100" si="18">G69/50</f>
        <v>10000</v>
      </c>
      <c r="N69" s="356">
        <f t="shared" ref="N69:N100" si="19">L69*P69</f>
        <v>59985</v>
      </c>
      <c r="O69" s="356">
        <f t="shared" ref="O69:O100" si="20">L69*Q69</f>
        <v>6665</v>
      </c>
      <c r="P69" s="348">
        <v>45</v>
      </c>
      <c r="Q69" s="354">
        <f t="shared" ref="Q69:Q100" si="21">J69-P69</f>
        <v>5</v>
      </c>
      <c r="R69" s="339">
        <f t="shared" ref="R69:R100" si="22">K69*P69</f>
        <v>509985</v>
      </c>
      <c r="S69" s="339">
        <f t="shared" ref="S69:S100" si="23">I69-R69</f>
        <v>56665</v>
      </c>
      <c r="T69" s="337"/>
    </row>
    <row r="70" spans="1:20">
      <c r="A70" s="378"/>
      <c r="B70" s="378"/>
      <c r="C70" s="362" t="s">
        <v>1125</v>
      </c>
      <c r="D70" s="367">
        <v>66</v>
      </c>
      <c r="E70" s="337" t="s">
        <v>1437</v>
      </c>
      <c r="F70" s="337" t="s">
        <v>452</v>
      </c>
      <c r="G70" s="346">
        <v>500000</v>
      </c>
      <c r="H70" s="346">
        <v>66650</v>
      </c>
      <c r="I70" s="340">
        <f t="shared" si="17"/>
        <v>566650</v>
      </c>
      <c r="J70" s="348">
        <v>50</v>
      </c>
      <c r="K70" s="380">
        <v>11333</v>
      </c>
      <c r="L70" s="356">
        <f t="shared" si="16"/>
        <v>1333</v>
      </c>
      <c r="M70" s="356">
        <f t="shared" si="18"/>
        <v>10000</v>
      </c>
      <c r="N70" s="356">
        <f t="shared" si="19"/>
        <v>27993</v>
      </c>
      <c r="O70" s="356">
        <f t="shared" si="20"/>
        <v>38657</v>
      </c>
      <c r="P70" s="348">
        <v>21</v>
      </c>
      <c r="Q70" s="354">
        <f t="shared" si="21"/>
        <v>29</v>
      </c>
      <c r="R70" s="339">
        <f t="shared" si="22"/>
        <v>237993</v>
      </c>
      <c r="S70" s="339">
        <f t="shared" si="23"/>
        <v>328657</v>
      </c>
      <c r="T70" s="337"/>
    </row>
    <row r="71" spans="1:20">
      <c r="A71" s="378"/>
      <c r="B71" s="378"/>
      <c r="C71" s="364" t="s">
        <v>1390</v>
      </c>
      <c r="D71" s="367">
        <v>67</v>
      </c>
      <c r="E71" s="337" t="s">
        <v>1437</v>
      </c>
      <c r="F71" s="337" t="s">
        <v>1391</v>
      </c>
      <c r="G71" s="346">
        <v>150000</v>
      </c>
      <c r="H71" s="346">
        <v>19995</v>
      </c>
      <c r="I71" s="340">
        <f t="shared" si="17"/>
        <v>169995</v>
      </c>
      <c r="J71" s="348">
        <v>40</v>
      </c>
      <c r="K71" s="380">
        <v>4149.8999999999996</v>
      </c>
      <c r="L71" s="356">
        <f t="shared" si="16"/>
        <v>399.9</v>
      </c>
      <c r="M71" s="356">
        <f t="shared" si="18"/>
        <v>3000</v>
      </c>
      <c r="N71" s="356">
        <f t="shared" si="19"/>
        <v>7998</v>
      </c>
      <c r="O71" s="356">
        <f t="shared" si="20"/>
        <v>7998</v>
      </c>
      <c r="P71" s="348">
        <v>20</v>
      </c>
      <c r="Q71" s="354">
        <f t="shared" si="21"/>
        <v>20</v>
      </c>
      <c r="R71" s="339">
        <f t="shared" si="22"/>
        <v>82998</v>
      </c>
      <c r="S71" s="339">
        <f t="shared" si="23"/>
        <v>86997</v>
      </c>
      <c r="T71" s="337"/>
    </row>
    <row r="72" spans="1:20">
      <c r="A72" s="378"/>
      <c r="B72" s="378"/>
      <c r="C72" s="362" t="s">
        <v>1067</v>
      </c>
      <c r="D72" s="367">
        <v>68</v>
      </c>
      <c r="E72" s="337" t="s">
        <v>1437</v>
      </c>
      <c r="F72" s="337" t="s">
        <v>368</v>
      </c>
      <c r="G72" s="346">
        <v>450000</v>
      </c>
      <c r="H72" s="346">
        <v>59985</v>
      </c>
      <c r="I72" s="340">
        <f t="shared" si="17"/>
        <v>509985</v>
      </c>
      <c r="J72" s="348">
        <v>50</v>
      </c>
      <c r="K72" s="380">
        <v>10199.700000000001</v>
      </c>
      <c r="L72" s="356">
        <f t="shared" si="16"/>
        <v>1199.7</v>
      </c>
      <c r="M72" s="356">
        <f t="shared" si="18"/>
        <v>9000</v>
      </c>
      <c r="N72" s="356">
        <f t="shared" si="19"/>
        <v>52786.8</v>
      </c>
      <c r="O72" s="356">
        <f t="shared" si="20"/>
        <v>7198.2000000000007</v>
      </c>
      <c r="P72" s="348">
        <v>44</v>
      </c>
      <c r="Q72" s="354">
        <f t="shared" si="21"/>
        <v>6</v>
      </c>
      <c r="R72" s="339">
        <f t="shared" si="22"/>
        <v>448786.80000000005</v>
      </c>
      <c r="S72" s="339">
        <f t="shared" si="23"/>
        <v>61198.199999999953</v>
      </c>
      <c r="T72" s="337"/>
    </row>
    <row r="73" spans="1:20">
      <c r="A73" s="378"/>
      <c r="B73" s="378"/>
      <c r="C73" s="362" t="s">
        <v>1078</v>
      </c>
      <c r="D73" s="367">
        <v>69</v>
      </c>
      <c r="E73" s="337" t="s">
        <v>1437</v>
      </c>
      <c r="F73" s="337" t="s">
        <v>446</v>
      </c>
      <c r="G73" s="346">
        <v>330000</v>
      </c>
      <c r="H73" s="346">
        <v>43989</v>
      </c>
      <c r="I73" s="340">
        <f t="shared" si="17"/>
        <v>373989</v>
      </c>
      <c r="J73" s="348">
        <v>50</v>
      </c>
      <c r="K73" s="380">
        <v>7479.78</v>
      </c>
      <c r="L73" s="356">
        <f t="shared" si="16"/>
        <v>879.78</v>
      </c>
      <c r="M73" s="356">
        <f t="shared" si="18"/>
        <v>6600</v>
      </c>
      <c r="N73" s="356">
        <f t="shared" si="19"/>
        <v>24633.84</v>
      </c>
      <c r="O73" s="356">
        <f t="shared" si="20"/>
        <v>19355.16</v>
      </c>
      <c r="P73" s="348">
        <v>28</v>
      </c>
      <c r="Q73" s="354">
        <f t="shared" si="21"/>
        <v>22</v>
      </c>
      <c r="R73" s="339">
        <f t="shared" si="22"/>
        <v>209433.84</v>
      </c>
      <c r="S73" s="339">
        <f t="shared" si="23"/>
        <v>164555.16</v>
      </c>
      <c r="T73" s="337"/>
    </row>
    <row r="74" spans="1:20">
      <c r="A74" s="378"/>
      <c r="B74" s="378"/>
      <c r="C74" s="337" t="s">
        <v>971</v>
      </c>
      <c r="D74" s="367">
        <v>70</v>
      </c>
      <c r="E74" s="337" t="s">
        <v>1437</v>
      </c>
      <c r="F74" s="337" t="s">
        <v>112</v>
      </c>
      <c r="G74" s="346">
        <v>330000</v>
      </c>
      <c r="H74" s="346">
        <v>43989</v>
      </c>
      <c r="I74" s="340">
        <f t="shared" si="17"/>
        <v>373989</v>
      </c>
      <c r="J74" s="348">
        <v>50</v>
      </c>
      <c r="K74" s="381">
        <v>7479.78</v>
      </c>
      <c r="L74" s="356">
        <f t="shared" si="16"/>
        <v>879.78</v>
      </c>
      <c r="M74" s="356">
        <f t="shared" si="18"/>
        <v>6600</v>
      </c>
      <c r="N74" s="356">
        <f t="shared" si="19"/>
        <v>3519.12</v>
      </c>
      <c r="O74" s="356">
        <f t="shared" si="20"/>
        <v>40469.879999999997</v>
      </c>
      <c r="P74" s="358">
        <v>4</v>
      </c>
      <c r="Q74" s="354">
        <f t="shared" si="21"/>
        <v>46</v>
      </c>
      <c r="R74" s="339">
        <f t="shared" si="22"/>
        <v>29919.119999999999</v>
      </c>
      <c r="S74" s="339">
        <f t="shared" si="23"/>
        <v>344069.88</v>
      </c>
      <c r="T74" s="337"/>
    </row>
    <row r="75" spans="1:20">
      <c r="A75" s="378"/>
      <c r="B75" s="378"/>
      <c r="C75" s="362" t="s">
        <v>1375</v>
      </c>
      <c r="D75" s="367">
        <v>71</v>
      </c>
      <c r="E75" s="337" t="s">
        <v>1437</v>
      </c>
      <c r="F75" s="337" t="s">
        <v>1376</v>
      </c>
      <c r="G75" s="346">
        <v>330000</v>
      </c>
      <c r="H75" s="346">
        <v>43989</v>
      </c>
      <c r="I75" s="340">
        <f t="shared" si="17"/>
        <v>373989</v>
      </c>
      <c r="J75" s="348">
        <v>50</v>
      </c>
      <c r="K75" s="380">
        <v>7479.78</v>
      </c>
      <c r="L75" s="356">
        <f t="shared" si="16"/>
        <v>879.78</v>
      </c>
      <c r="M75" s="356">
        <f t="shared" si="18"/>
        <v>6600</v>
      </c>
      <c r="N75" s="356">
        <f t="shared" si="19"/>
        <v>9677.58</v>
      </c>
      <c r="O75" s="356">
        <f t="shared" si="20"/>
        <v>34311.42</v>
      </c>
      <c r="P75" s="348">
        <v>11</v>
      </c>
      <c r="Q75" s="354">
        <f t="shared" si="21"/>
        <v>39</v>
      </c>
      <c r="R75" s="339">
        <f t="shared" si="22"/>
        <v>82277.58</v>
      </c>
      <c r="S75" s="339">
        <f t="shared" si="23"/>
        <v>291711.42</v>
      </c>
      <c r="T75" s="337"/>
    </row>
    <row r="76" spans="1:20">
      <c r="A76" s="378"/>
      <c r="B76" s="378"/>
      <c r="C76" s="364" t="s">
        <v>1392</v>
      </c>
      <c r="D76" s="367">
        <v>72</v>
      </c>
      <c r="E76" s="337" t="s">
        <v>1437</v>
      </c>
      <c r="F76" s="337" t="s">
        <v>1393</v>
      </c>
      <c r="G76" s="346">
        <v>150000</v>
      </c>
      <c r="H76" s="346">
        <v>19995</v>
      </c>
      <c r="I76" s="340">
        <f t="shared" si="17"/>
        <v>169995</v>
      </c>
      <c r="J76" s="348">
        <v>40</v>
      </c>
      <c r="K76" s="380">
        <v>4149.8999999999996</v>
      </c>
      <c r="L76" s="356">
        <f t="shared" si="16"/>
        <v>399.9</v>
      </c>
      <c r="M76" s="356">
        <f t="shared" si="18"/>
        <v>3000</v>
      </c>
      <c r="N76" s="356">
        <f t="shared" si="19"/>
        <v>7998</v>
      </c>
      <c r="O76" s="356">
        <f t="shared" si="20"/>
        <v>7998</v>
      </c>
      <c r="P76" s="348">
        <v>20</v>
      </c>
      <c r="Q76" s="354">
        <f t="shared" si="21"/>
        <v>20</v>
      </c>
      <c r="R76" s="339">
        <f t="shared" si="22"/>
        <v>82998</v>
      </c>
      <c r="S76" s="339">
        <f t="shared" si="23"/>
        <v>86997</v>
      </c>
      <c r="T76" s="337"/>
    </row>
    <row r="77" spans="1:20">
      <c r="A77" s="378"/>
      <c r="B77" s="378"/>
      <c r="C77" s="337" t="s">
        <v>1438</v>
      </c>
      <c r="D77" s="367">
        <v>73</v>
      </c>
      <c r="E77" s="337" t="s">
        <v>1437</v>
      </c>
      <c r="F77" s="337" t="s">
        <v>1439</v>
      </c>
      <c r="G77" s="346">
        <v>450000</v>
      </c>
      <c r="H77" s="346">
        <v>59985</v>
      </c>
      <c r="I77" s="340">
        <f t="shared" si="17"/>
        <v>509985</v>
      </c>
      <c r="J77" s="348">
        <v>50</v>
      </c>
      <c r="K77" s="381">
        <v>10199.700000000001</v>
      </c>
      <c r="L77" s="356">
        <f t="shared" si="16"/>
        <v>1199.7</v>
      </c>
      <c r="M77" s="356">
        <f t="shared" si="18"/>
        <v>9000</v>
      </c>
      <c r="N77" s="356">
        <f t="shared" si="19"/>
        <v>50387.4</v>
      </c>
      <c r="O77" s="356">
        <f t="shared" si="20"/>
        <v>9597.6</v>
      </c>
      <c r="P77" s="358">
        <v>42</v>
      </c>
      <c r="Q77" s="354">
        <f t="shared" si="21"/>
        <v>8</v>
      </c>
      <c r="R77" s="339">
        <f t="shared" si="22"/>
        <v>428387.4</v>
      </c>
      <c r="S77" s="339">
        <f t="shared" si="23"/>
        <v>81597.599999999977</v>
      </c>
      <c r="T77" s="390"/>
    </row>
    <row r="78" spans="1:20">
      <c r="A78" s="378"/>
      <c r="B78" s="378"/>
      <c r="C78" s="364" t="s">
        <v>982</v>
      </c>
      <c r="D78" s="367">
        <v>74</v>
      </c>
      <c r="E78" s="337" t="s">
        <v>1437</v>
      </c>
      <c r="F78" s="337" t="s">
        <v>350</v>
      </c>
      <c r="G78" s="346">
        <v>500000</v>
      </c>
      <c r="H78" s="346">
        <v>66650</v>
      </c>
      <c r="I78" s="340">
        <f t="shared" si="17"/>
        <v>566650</v>
      </c>
      <c r="J78" s="348">
        <v>50</v>
      </c>
      <c r="K78" s="380">
        <v>11333</v>
      </c>
      <c r="L78" s="356">
        <f t="shared" si="16"/>
        <v>1333</v>
      </c>
      <c r="M78" s="356">
        <f t="shared" si="18"/>
        <v>10000</v>
      </c>
      <c r="N78" s="356">
        <f t="shared" si="19"/>
        <v>49321</v>
      </c>
      <c r="O78" s="356">
        <f t="shared" si="20"/>
        <v>17329</v>
      </c>
      <c r="P78" s="348">
        <v>37</v>
      </c>
      <c r="Q78" s="354">
        <f t="shared" si="21"/>
        <v>13</v>
      </c>
      <c r="R78" s="339">
        <f t="shared" si="22"/>
        <v>419321</v>
      </c>
      <c r="S78" s="339">
        <f t="shared" si="23"/>
        <v>147329</v>
      </c>
      <c r="T78" s="337"/>
    </row>
    <row r="79" spans="1:20">
      <c r="A79" s="378"/>
      <c r="B79" s="378"/>
      <c r="C79" s="363" t="s">
        <v>965</v>
      </c>
      <c r="D79" s="367">
        <v>75</v>
      </c>
      <c r="E79" s="337" t="s">
        <v>1437</v>
      </c>
      <c r="F79" s="337" t="s">
        <v>334</v>
      </c>
      <c r="G79" s="346">
        <v>500000</v>
      </c>
      <c r="H79" s="346">
        <v>66650</v>
      </c>
      <c r="I79" s="340">
        <f t="shared" si="17"/>
        <v>566650</v>
      </c>
      <c r="J79" s="348">
        <v>50</v>
      </c>
      <c r="K79" s="380">
        <v>11333</v>
      </c>
      <c r="L79" s="356">
        <f t="shared" si="16"/>
        <v>1333</v>
      </c>
      <c r="M79" s="356">
        <f t="shared" si="18"/>
        <v>10000</v>
      </c>
      <c r="N79" s="356">
        <f t="shared" si="19"/>
        <v>59985</v>
      </c>
      <c r="O79" s="356">
        <f t="shared" si="20"/>
        <v>6665</v>
      </c>
      <c r="P79" s="348">
        <v>45</v>
      </c>
      <c r="Q79" s="354">
        <f t="shared" si="21"/>
        <v>5</v>
      </c>
      <c r="R79" s="339">
        <f t="shared" si="22"/>
        <v>509985</v>
      </c>
      <c r="S79" s="339">
        <f t="shared" si="23"/>
        <v>56665</v>
      </c>
      <c r="T79" s="337"/>
    </row>
    <row r="80" spans="1:20">
      <c r="A80" s="378"/>
      <c r="B80" s="378"/>
      <c r="C80" s="365" t="s">
        <v>1402</v>
      </c>
      <c r="D80" s="367">
        <v>76</v>
      </c>
      <c r="E80" s="337" t="s">
        <v>1437</v>
      </c>
      <c r="F80" s="337" t="s">
        <v>1403</v>
      </c>
      <c r="G80" s="346">
        <v>150000</v>
      </c>
      <c r="H80" s="346">
        <v>19995</v>
      </c>
      <c r="I80" s="340">
        <f t="shared" si="17"/>
        <v>169995</v>
      </c>
      <c r="J80" s="348">
        <v>50</v>
      </c>
      <c r="K80" s="380">
        <v>3399.9</v>
      </c>
      <c r="L80" s="356">
        <f t="shared" si="16"/>
        <v>399.9</v>
      </c>
      <c r="M80" s="356">
        <f t="shared" si="18"/>
        <v>3000</v>
      </c>
      <c r="N80" s="356">
        <f t="shared" si="19"/>
        <v>3199.2</v>
      </c>
      <c r="O80" s="356">
        <f t="shared" si="20"/>
        <v>16795.8</v>
      </c>
      <c r="P80" s="348">
        <v>8</v>
      </c>
      <c r="Q80" s="354">
        <f t="shared" si="21"/>
        <v>42</v>
      </c>
      <c r="R80" s="339">
        <f t="shared" si="22"/>
        <v>27199.200000000001</v>
      </c>
      <c r="S80" s="339">
        <f t="shared" si="23"/>
        <v>142795.79999999999</v>
      </c>
      <c r="T80" s="337"/>
    </row>
    <row r="81" spans="1:20">
      <c r="A81" s="378"/>
      <c r="B81" s="378"/>
      <c r="C81" s="361" t="s">
        <v>1355</v>
      </c>
      <c r="D81" s="367">
        <v>77</v>
      </c>
      <c r="E81" s="337" t="s">
        <v>1437</v>
      </c>
      <c r="F81" s="337" t="s">
        <v>1287</v>
      </c>
      <c r="G81" s="346">
        <v>450000</v>
      </c>
      <c r="H81" s="346">
        <v>59985</v>
      </c>
      <c r="I81" s="340">
        <f t="shared" si="17"/>
        <v>509985</v>
      </c>
      <c r="J81" s="348">
        <v>50</v>
      </c>
      <c r="K81" s="380">
        <v>10199.700000000001</v>
      </c>
      <c r="L81" s="356">
        <f t="shared" si="16"/>
        <v>1199.7</v>
      </c>
      <c r="M81" s="356">
        <f t="shared" si="18"/>
        <v>9000</v>
      </c>
      <c r="N81" s="356">
        <f t="shared" si="19"/>
        <v>15596.1</v>
      </c>
      <c r="O81" s="356">
        <f t="shared" si="20"/>
        <v>44388.9</v>
      </c>
      <c r="P81" s="348">
        <v>13</v>
      </c>
      <c r="Q81" s="354">
        <f t="shared" si="21"/>
        <v>37</v>
      </c>
      <c r="R81" s="339">
        <f t="shared" si="22"/>
        <v>132596.1</v>
      </c>
      <c r="S81" s="339">
        <f t="shared" si="23"/>
        <v>377388.9</v>
      </c>
      <c r="T81" s="337"/>
    </row>
    <row r="82" spans="1:20">
      <c r="A82" s="378"/>
      <c r="B82" s="378"/>
      <c r="C82" s="365" t="s">
        <v>1102</v>
      </c>
      <c r="D82" s="367">
        <v>78</v>
      </c>
      <c r="E82" s="337" t="s">
        <v>1437</v>
      </c>
      <c r="F82" s="337" t="s">
        <v>485</v>
      </c>
      <c r="G82" s="346">
        <v>500000</v>
      </c>
      <c r="H82" s="346">
        <v>66650</v>
      </c>
      <c r="I82" s="340">
        <f t="shared" si="17"/>
        <v>566650</v>
      </c>
      <c r="J82" s="348">
        <v>50</v>
      </c>
      <c r="K82" s="380">
        <v>11333</v>
      </c>
      <c r="L82" s="356">
        <f t="shared" si="16"/>
        <v>1333</v>
      </c>
      <c r="M82" s="356">
        <f t="shared" si="18"/>
        <v>10000</v>
      </c>
      <c r="N82" s="356">
        <f t="shared" si="19"/>
        <v>13330</v>
      </c>
      <c r="O82" s="356">
        <f t="shared" si="20"/>
        <v>53320</v>
      </c>
      <c r="P82" s="348">
        <v>10</v>
      </c>
      <c r="Q82" s="354">
        <f t="shared" si="21"/>
        <v>40</v>
      </c>
      <c r="R82" s="339">
        <f t="shared" si="22"/>
        <v>113330</v>
      </c>
      <c r="S82" s="339">
        <f t="shared" si="23"/>
        <v>453320</v>
      </c>
      <c r="T82" s="337"/>
    </row>
    <row r="83" spans="1:20">
      <c r="A83" s="378"/>
      <c r="B83" s="378"/>
      <c r="C83" s="364" t="s">
        <v>1351</v>
      </c>
      <c r="D83" s="367">
        <v>79</v>
      </c>
      <c r="E83" s="337" t="s">
        <v>1437</v>
      </c>
      <c r="F83" s="337" t="s">
        <v>1285</v>
      </c>
      <c r="G83" s="346">
        <v>500000</v>
      </c>
      <c r="H83" s="346">
        <v>66650</v>
      </c>
      <c r="I83" s="340">
        <f t="shared" si="17"/>
        <v>566650</v>
      </c>
      <c r="J83" s="348">
        <v>50</v>
      </c>
      <c r="K83" s="380">
        <v>11333</v>
      </c>
      <c r="L83" s="356">
        <f t="shared" si="16"/>
        <v>1333</v>
      </c>
      <c r="M83" s="356">
        <f t="shared" si="18"/>
        <v>10000</v>
      </c>
      <c r="N83" s="356">
        <f t="shared" si="19"/>
        <v>17329</v>
      </c>
      <c r="O83" s="356">
        <f t="shared" si="20"/>
        <v>49321</v>
      </c>
      <c r="P83" s="348">
        <v>13</v>
      </c>
      <c r="Q83" s="354">
        <f t="shared" si="21"/>
        <v>37</v>
      </c>
      <c r="R83" s="339">
        <f t="shared" si="22"/>
        <v>147329</v>
      </c>
      <c r="S83" s="339">
        <f t="shared" si="23"/>
        <v>419321</v>
      </c>
      <c r="T83" s="337"/>
    </row>
    <row r="84" spans="1:20">
      <c r="A84" s="378"/>
      <c r="B84" s="378"/>
      <c r="C84" s="364" t="s">
        <v>960</v>
      </c>
      <c r="D84" s="367">
        <v>80</v>
      </c>
      <c r="E84" s="337" t="s">
        <v>1437</v>
      </c>
      <c r="F84" s="337" t="s">
        <v>488</v>
      </c>
      <c r="G84" s="346">
        <v>500000</v>
      </c>
      <c r="H84" s="346">
        <v>66650</v>
      </c>
      <c r="I84" s="340">
        <f t="shared" si="17"/>
        <v>566650</v>
      </c>
      <c r="J84" s="348">
        <v>50</v>
      </c>
      <c r="K84" s="380">
        <v>11333</v>
      </c>
      <c r="L84" s="356">
        <f t="shared" si="16"/>
        <v>1333</v>
      </c>
      <c r="M84" s="356">
        <f t="shared" si="18"/>
        <v>10000</v>
      </c>
      <c r="N84" s="356">
        <f t="shared" si="19"/>
        <v>43989</v>
      </c>
      <c r="O84" s="356">
        <f t="shared" si="20"/>
        <v>22661</v>
      </c>
      <c r="P84" s="348">
        <v>33</v>
      </c>
      <c r="Q84" s="354">
        <f t="shared" si="21"/>
        <v>17</v>
      </c>
      <c r="R84" s="339">
        <f t="shared" si="22"/>
        <v>373989</v>
      </c>
      <c r="S84" s="339">
        <f t="shared" si="23"/>
        <v>192661</v>
      </c>
      <c r="T84" s="337"/>
    </row>
    <row r="85" spans="1:20">
      <c r="A85" s="378"/>
      <c r="B85" s="378"/>
      <c r="C85" s="362" t="s">
        <v>1024</v>
      </c>
      <c r="D85" s="367">
        <v>81</v>
      </c>
      <c r="E85" s="337" t="s">
        <v>1437</v>
      </c>
      <c r="F85" s="337" t="s">
        <v>810</v>
      </c>
      <c r="G85" s="346">
        <v>450000</v>
      </c>
      <c r="H85" s="346">
        <v>59985</v>
      </c>
      <c r="I85" s="340">
        <f t="shared" si="17"/>
        <v>509985</v>
      </c>
      <c r="J85" s="348">
        <v>50</v>
      </c>
      <c r="K85" s="380">
        <v>10199.700000000001</v>
      </c>
      <c r="L85" s="356">
        <f t="shared" si="16"/>
        <v>1199.7</v>
      </c>
      <c r="M85" s="356">
        <f t="shared" si="18"/>
        <v>9000</v>
      </c>
      <c r="N85" s="356">
        <f t="shared" si="19"/>
        <v>69582.600000000006</v>
      </c>
      <c r="O85" s="356">
        <f t="shared" si="20"/>
        <v>-9597.6</v>
      </c>
      <c r="P85" s="348">
        <v>58</v>
      </c>
      <c r="Q85" s="354">
        <f t="shared" si="21"/>
        <v>-8</v>
      </c>
      <c r="R85" s="339">
        <f t="shared" si="22"/>
        <v>591582.60000000009</v>
      </c>
      <c r="S85" s="339">
        <f t="shared" si="23"/>
        <v>-81597.600000000093</v>
      </c>
      <c r="T85" s="337"/>
    </row>
    <row r="86" spans="1:20">
      <c r="A86" s="378"/>
      <c r="B86" s="378"/>
      <c r="C86" s="363" t="s">
        <v>1011</v>
      </c>
      <c r="D86" s="367">
        <v>82</v>
      </c>
      <c r="E86" s="337" t="s">
        <v>1437</v>
      </c>
      <c r="F86" s="337" t="s">
        <v>863</v>
      </c>
      <c r="G86" s="346">
        <v>500000</v>
      </c>
      <c r="H86" s="346">
        <v>66650</v>
      </c>
      <c r="I86" s="340">
        <f t="shared" si="17"/>
        <v>566650</v>
      </c>
      <c r="J86" s="348">
        <v>50</v>
      </c>
      <c r="K86" s="380">
        <v>11333</v>
      </c>
      <c r="L86" s="356">
        <f t="shared" si="16"/>
        <v>1333</v>
      </c>
      <c r="M86" s="356">
        <f t="shared" si="18"/>
        <v>10000</v>
      </c>
      <c r="N86" s="356">
        <f t="shared" si="19"/>
        <v>37324</v>
      </c>
      <c r="O86" s="356">
        <f t="shared" si="20"/>
        <v>29326</v>
      </c>
      <c r="P86" s="348">
        <v>28</v>
      </c>
      <c r="Q86" s="354">
        <f t="shared" si="21"/>
        <v>22</v>
      </c>
      <c r="R86" s="339">
        <f t="shared" si="22"/>
        <v>317324</v>
      </c>
      <c r="S86" s="339">
        <f t="shared" si="23"/>
        <v>249326</v>
      </c>
      <c r="T86" s="337"/>
    </row>
    <row r="87" spans="1:20">
      <c r="A87" s="378"/>
      <c r="B87" s="378"/>
      <c r="C87" s="364" t="s">
        <v>1042</v>
      </c>
      <c r="D87" s="367">
        <v>83</v>
      </c>
      <c r="E87" s="337" t="s">
        <v>1437</v>
      </c>
      <c r="F87" s="337" t="s">
        <v>359</v>
      </c>
      <c r="G87" s="346">
        <v>500000</v>
      </c>
      <c r="H87" s="346">
        <v>66650</v>
      </c>
      <c r="I87" s="340">
        <f t="shared" si="17"/>
        <v>566650</v>
      </c>
      <c r="J87" s="348">
        <v>50</v>
      </c>
      <c r="K87" s="380">
        <v>11333</v>
      </c>
      <c r="L87" s="356">
        <f t="shared" si="16"/>
        <v>1333</v>
      </c>
      <c r="M87" s="356">
        <f t="shared" si="18"/>
        <v>10000</v>
      </c>
      <c r="N87" s="356">
        <f t="shared" si="19"/>
        <v>10664</v>
      </c>
      <c r="O87" s="356">
        <f t="shared" si="20"/>
        <v>55986</v>
      </c>
      <c r="P87" s="348">
        <v>8</v>
      </c>
      <c r="Q87" s="354">
        <f t="shared" si="21"/>
        <v>42</v>
      </c>
      <c r="R87" s="339">
        <f t="shared" si="22"/>
        <v>90664</v>
      </c>
      <c r="S87" s="339">
        <f t="shared" si="23"/>
        <v>475986</v>
      </c>
      <c r="T87" s="337"/>
    </row>
    <row r="88" spans="1:20">
      <c r="A88" s="378"/>
      <c r="B88" s="378"/>
      <c r="C88" s="361" t="s">
        <v>1045</v>
      </c>
      <c r="D88" s="367">
        <v>84</v>
      </c>
      <c r="E88" s="337" t="s">
        <v>1437</v>
      </c>
      <c r="F88" s="337" t="s">
        <v>867</v>
      </c>
      <c r="G88" s="346">
        <v>500000</v>
      </c>
      <c r="H88" s="346">
        <v>66650</v>
      </c>
      <c r="I88" s="340">
        <f t="shared" si="17"/>
        <v>566650</v>
      </c>
      <c r="J88" s="348">
        <v>50</v>
      </c>
      <c r="K88" s="380">
        <v>11333</v>
      </c>
      <c r="L88" s="356">
        <f t="shared" si="16"/>
        <v>1333</v>
      </c>
      <c r="M88" s="356">
        <f t="shared" si="18"/>
        <v>10000</v>
      </c>
      <c r="N88" s="356">
        <f t="shared" si="19"/>
        <v>89311</v>
      </c>
      <c r="O88" s="356">
        <f t="shared" si="20"/>
        <v>-22661</v>
      </c>
      <c r="P88" s="348">
        <v>67</v>
      </c>
      <c r="Q88" s="354">
        <f t="shared" si="21"/>
        <v>-17</v>
      </c>
      <c r="R88" s="339">
        <f t="shared" si="22"/>
        <v>759311</v>
      </c>
      <c r="S88" s="339">
        <f t="shared" si="23"/>
        <v>-192661</v>
      </c>
      <c r="T88" s="337"/>
    </row>
    <row r="89" spans="1:20">
      <c r="A89" s="378"/>
      <c r="B89" s="378"/>
      <c r="C89" s="364" t="s">
        <v>1323</v>
      </c>
      <c r="D89" s="367">
        <v>85</v>
      </c>
      <c r="E89" s="337" t="s">
        <v>1437</v>
      </c>
      <c r="F89" s="337" t="s">
        <v>448</v>
      </c>
      <c r="G89" s="346">
        <v>500000</v>
      </c>
      <c r="H89" s="346">
        <v>66650</v>
      </c>
      <c r="I89" s="340">
        <f t="shared" si="17"/>
        <v>566650</v>
      </c>
      <c r="J89" s="348">
        <v>50</v>
      </c>
      <c r="K89" s="380">
        <v>11333</v>
      </c>
      <c r="L89" s="356">
        <f t="shared" si="16"/>
        <v>1333</v>
      </c>
      <c r="M89" s="356">
        <f t="shared" si="18"/>
        <v>10000</v>
      </c>
      <c r="N89" s="356">
        <f t="shared" si="19"/>
        <v>25327</v>
      </c>
      <c r="O89" s="356">
        <f t="shared" si="20"/>
        <v>41323</v>
      </c>
      <c r="P89" s="348">
        <v>19</v>
      </c>
      <c r="Q89" s="354">
        <f t="shared" si="21"/>
        <v>31</v>
      </c>
      <c r="R89" s="339">
        <f t="shared" si="22"/>
        <v>215327</v>
      </c>
      <c r="S89" s="339">
        <f t="shared" si="23"/>
        <v>351323</v>
      </c>
      <c r="T89" s="337"/>
    </row>
    <row r="90" spans="1:20">
      <c r="A90" s="378"/>
      <c r="B90" s="378"/>
      <c r="C90" s="363" t="s">
        <v>1037</v>
      </c>
      <c r="D90" s="367">
        <v>86</v>
      </c>
      <c r="E90" s="337" t="s">
        <v>1437</v>
      </c>
      <c r="F90" s="337" t="s">
        <v>326</v>
      </c>
      <c r="G90" s="346">
        <v>500000</v>
      </c>
      <c r="H90" s="346">
        <v>66650</v>
      </c>
      <c r="I90" s="340">
        <f t="shared" si="17"/>
        <v>566650</v>
      </c>
      <c r="J90" s="348">
        <v>50</v>
      </c>
      <c r="K90" s="380">
        <v>11333</v>
      </c>
      <c r="L90" s="356">
        <f t="shared" si="16"/>
        <v>1333</v>
      </c>
      <c r="M90" s="356">
        <f t="shared" si="18"/>
        <v>10000</v>
      </c>
      <c r="N90" s="356">
        <f t="shared" si="19"/>
        <v>58652</v>
      </c>
      <c r="O90" s="356">
        <f t="shared" si="20"/>
        <v>7998</v>
      </c>
      <c r="P90" s="348">
        <v>44</v>
      </c>
      <c r="Q90" s="354">
        <f t="shared" si="21"/>
        <v>6</v>
      </c>
      <c r="R90" s="339">
        <f t="shared" si="22"/>
        <v>498652</v>
      </c>
      <c r="S90" s="339">
        <f t="shared" si="23"/>
        <v>67998</v>
      </c>
      <c r="T90" s="337"/>
    </row>
    <row r="91" spans="1:20">
      <c r="A91" s="378"/>
      <c r="B91" s="378"/>
      <c r="C91" s="363" t="s">
        <v>1002</v>
      </c>
      <c r="D91" s="367">
        <v>87</v>
      </c>
      <c r="E91" s="337" t="s">
        <v>1437</v>
      </c>
      <c r="F91" s="337" t="s">
        <v>1003</v>
      </c>
      <c r="G91" s="346">
        <v>150000</v>
      </c>
      <c r="H91" s="346">
        <v>19995</v>
      </c>
      <c r="I91" s="340">
        <f t="shared" si="17"/>
        <v>169995</v>
      </c>
      <c r="J91" s="348">
        <v>50</v>
      </c>
      <c r="K91" s="380">
        <v>3399.9</v>
      </c>
      <c r="L91" s="356">
        <f t="shared" si="16"/>
        <v>399.9</v>
      </c>
      <c r="M91" s="356">
        <f t="shared" si="18"/>
        <v>3000</v>
      </c>
      <c r="N91" s="356">
        <f t="shared" si="19"/>
        <v>9997.5</v>
      </c>
      <c r="O91" s="356">
        <f t="shared" si="20"/>
        <v>9997.5</v>
      </c>
      <c r="P91" s="348">
        <v>25</v>
      </c>
      <c r="Q91" s="354">
        <f t="shared" si="21"/>
        <v>25</v>
      </c>
      <c r="R91" s="339">
        <f t="shared" si="22"/>
        <v>84997.5</v>
      </c>
      <c r="S91" s="339">
        <f t="shared" si="23"/>
        <v>84997.5</v>
      </c>
      <c r="T91" s="337"/>
    </row>
    <row r="92" spans="1:20">
      <c r="A92" s="378"/>
      <c r="B92" s="378"/>
      <c r="C92" s="363" t="s">
        <v>1315</v>
      </c>
      <c r="D92" s="367">
        <v>88</v>
      </c>
      <c r="E92" s="337" t="s">
        <v>1437</v>
      </c>
      <c r="F92" s="337" t="s">
        <v>1316</v>
      </c>
      <c r="G92" s="346">
        <v>450000</v>
      </c>
      <c r="H92" s="346">
        <v>28792.799999999999</v>
      </c>
      <c r="I92" s="340">
        <f t="shared" si="17"/>
        <v>478792.8</v>
      </c>
      <c r="J92" s="348">
        <v>24</v>
      </c>
      <c r="K92" s="380">
        <v>19949.7</v>
      </c>
      <c r="L92" s="356">
        <f>H92/24</f>
        <v>1199.7</v>
      </c>
      <c r="M92" s="356">
        <f t="shared" si="18"/>
        <v>9000</v>
      </c>
      <c r="N92" s="356">
        <f t="shared" si="19"/>
        <v>9597.6</v>
      </c>
      <c r="O92" s="356">
        <f t="shared" si="20"/>
        <v>19195.2</v>
      </c>
      <c r="P92" s="348">
        <v>8</v>
      </c>
      <c r="Q92" s="354">
        <f t="shared" si="21"/>
        <v>16</v>
      </c>
      <c r="R92" s="339">
        <f t="shared" si="22"/>
        <v>159597.6</v>
      </c>
      <c r="S92" s="339">
        <f t="shared" si="23"/>
        <v>319195.19999999995</v>
      </c>
      <c r="T92" s="337"/>
    </row>
    <row r="93" spans="1:20">
      <c r="A93" s="378"/>
      <c r="B93" s="378"/>
      <c r="C93" s="362" t="s">
        <v>1404</v>
      </c>
      <c r="D93" s="367">
        <v>89</v>
      </c>
      <c r="E93" s="337" t="s">
        <v>1437</v>
      </c>
      <c r="F93" s="337" t="s">
        <v>1405</v>
      </c>
      <c r="G93" s="346">
        <v>150000</v>
      </c>
      <c r="H93" s="346">
        <v>19995</v>
      </c>
      <c r="I93" s="340">
        <f t="shared" si="17"/>
        <v>169995</v>
      </c>
      <c r="J93" s="348">
        <v>50</v>
      </c>
      <c r="K93" s="380">
        <v>3399.9</v>
      </c>
      <c r="L93" s="356">
        <f t="shared" ref="L93:L118" si="24">H93/50</f>
        <v>399.9</v>
      </c>
      <c r="M93" s="356">
        <f t="shared" si="18"/>
        <v>3000</v>
      </c>
      <c r="N93" s="356">
        <f t="shared" si="19"/>
        <v>3199.2</v>
      </c>
      <c r="O93" s="356">
        <f t="shared" si="20"/>
        <v>16795.8</v>
      </c>
      <c r="P93" s="348">
        <v>8</v>
      </c>
      <c r="Q93" s="354">
        <f t="shared" si="21"/>
        <v>42</v>
      </c>
      <c r="R93" s="339">
        <f t="shared" si="22"/>
        <v>27199.200000000001</v>
      </c>
      <c r="S93" s="339">
        <f t="shared" si="23"/>
        <v>142795.79999999999</v>
      </c>
      <c r="T93" s="337"/>
    </row>
    <row r="94" spans="1:20">
      <c r="A94" s="378"/>
      <c r="B94" s="378"/>
      <c r="C94" s="366" t="s">
        <v>1381</v>
      </c>
      <c r="D94" s="367">
        <v>90</v>
      </c>
      <c r="E94" s="337" t="s">
        <v>1437</v>
      </c>
      <c r="F94" s="337" t="s">
        <v>1129</v>
      </c>
      <c r="G94" s="346">
        <v>330000</v>
      </c>
      <c r="H94" s="346">
        <v>43989</v>
      </c>
      <c r="I94" s="340">
        <f t="shared" si="17"/>
        <v>373989</v>
      </c>
      <c r="J94" s="348">
        <v>50</v>
      </c>
      <c r="K94" s="380">
        <v>7479.78</v>
      </c>
      <c r="L94" s="356">
        <f t="shared" si="24"/>
        <v>879.78</v>
      </c>
      <c r="M94" s="356">
        <f t="shared" si="18"/>
        <v>6600</v>
      </c>
      <c r="N94" s="356">
        <f t="shared" si="19"/>
        <v>17595.599999999999</v>
      </c>
      <c r="O94" s="356">
        <f t="shared" si="20"/>
        <v>26393.399999999998</v>
      </c>
      <c r="P94" s="348">
        <v>20</v>
      </c>
      <c r="Q94" s="354">
        <f t="shared" si="21"/>
        <v>30</v>
      </c>
      <c r="R94" s="339">
        <f t="shared" si="22"/>
        <v>149595.6</v>
      </c>
      <c r="S94" s="339">
        <f t="shared" si="23"/>
        <v>224393.4</v>
      </c>
      <c r="T94" s="337"/>
    </row>
    <row r="95" spans="1:20">
      <c r="A95" s="378"/>
      <c r="B95" s="378"/>
      <c r="C95" s="337" t="s">
        <v>1417</v>
      </c>
      <c r="D95" s="367">
        <v>91</v>
      </c>
      <c r="E95" s="337" t="s">
        <v>1437</v>
      </c>
      <c r="F95" s="337" t="s">
        <v>477</v>
      </c>
      <c r="G95" s="346">
        <v>330000</v>
      </c>
      <c r="H95" s="346">
        <v>43989</v>
      </c>
      <c r="I95" s="340">
        <f t="shared" si="17"/>
        <v>373989</v>
      </c>
      <c r="J95" s="358">
        <v>50</v>
      </c>
      <c r="K95" s="381">
        <v>7479.78</v>
      </c>
      <c r="L95" s="356">
        <f t="shared" si="24"/>
        <v>879.78</v>
      </c>
      <c r="M95" s="356">
        <f t="shared" si="18"/>
        <v>6600</v>
      </c>
      <c r="N95" s="356">
        <f t="shared" si="19"/>
        <v>5278.68</v>
      </c>
      <c r="O95" s="356">
        <f t="shared" si="20"/>
        <v>38710.32</v>
      </c>
      <c r="P95" s="358">
        <v>6</v>
      </c>
      <c r="Q95" s="354">
        <f t="shared" si="21"/>
        <v>44</v>
      </c>
      <c r="R95" s="339">
        <f t="shared" si="22"/>
        <v>44878.68</v>
      </c>
      <c r="S95" s="339">
        <f t="shared" si="23"/>
        <v>329110.32</v>
      </c>
      <c r="T95" s="337"/>
    </row>
    <row r="96" spans="1:20">
      <c r="A96" s="378"/>
      <c r="B96" s="378"/>
      <c r="C96" s="363" t="s">
        <v>1061</v>
      </c>
      <c r="D96" s="367">
        <v>92</v>
      </c>
      <c r="E96" s="337" t="s">
        <v>1437</v>
      </c>
      <c r="F96" s="337" t="s">
        <v>854</v>
      </c>
      <c r="G96" s="346">
        <v>330000</v>
      </c>
      <c r="H96" s="346">
        <v>43989</v>
      </c>
      <c r="I96" s="340">
        <f t="shared" si="17"/>
        <v>373989</v>
      </c>
      <c r="J96" s="348">
        <v>50</v>
      </c>
      <c r="K96" s="380">
        <v>7479.78</v>
      </c>
      <c r="L96" s="356">
        <f t="shared" si="24"/>
        <v>879.78</v>
      </c>
      <c r="M96" s="356">
        <f t="shared" si="18"/>
        <v>6600</v>
      </c>
      <c r="N96" s="356">
        <f t="shared" si="19"/>
        <v>22874.28</v>
      </c>
      <c r="O96" s="356">
        <f t="shared" si="20"/>
        <v>21114.720000000001</v>
      </c>
      <c r="P96" s="348">
        <v>26</v>
      </c>
      <c r="Q96" s="354">
        <f t="shared" si="21"/>
        <v>24</v>
      </c>
      <c r="R96" s="339">
        <f t="shared" si="22"/>
        <v>194474.28</v>
      </c>
      <c r="S96" s="339">
        <f t="shared" si="23"/>
        <v>179514.72</v>
      </c>
      <c r="T96" s="337"/>
    </row>
    <row r="97" spans="1:20">
      <c r="A97" s="378"/>
      <c r="B97" s="378"/>
      <c r="C97" s="362" t="s">
        <v>969</v>
      </c>
      <c r="D97" s="367">
        <v>93</v>
      </c>
      <c r="E97" s="337" t="s">
        <v>1437</v>
      </c>
      <c r="F97" s="337" t="s">
        <v>851</v>
      </c>
      <c r="G97" s="346">
        <v>150000</v>
      </c>
      <c r="H97" s="346">
        <v>19995</v>
      </c>
      <c r="I97" s="340">
        <f t="shared" si="17"/>
        <v>169995</v>
      </c>
      <c r="J97" s="348">
        <v>50</v>
      </c>
      <c r="K97" s="380">
        <v>3399.9</v>
      </c>
      <c r="L97" s="356">
        <f t="shared" si="24"/>
        <v>399.9</v>
      </c>
      <c r="M97" s="356">
        <f t="shared" si="18"/>
        <v>3000</v>
      </c>
      <c r="N97" s="356">
        <f t="shared" si="19"/>
        <v>3199.2</v>
      </c>
      <c r="O97" s="356">
        <f t="shared" si="20"/>
        <v>16795.8</v>
      </c>
      <c r="P97" s="348">
        <v>8</v>
      </c>
      <c r="Q97" s="354">
        <f t="shared" si="21"/>
        <v>42</v>
      </c>
      <c r="R97" s="339">
        <f t="shared" si="22"/>
        <v>27199.200000000001</v>
      </c>
      <c r="S97" s="339">
        <f t="shared" si="23"/>
        <v>142795.79999999999</v>
      </c>
      <c r="T97" s="337"/>
    </row>
    <row r="98" spans="1:20" ht="31.5">
      <c r="A98" s="378"/>
      <c r="B98" s="378"/>
      <c r="C98" s="393" t="s">
        <v>1456</v>
      </c>
      <c r="D98" s="367">
        <v>94</v>
      </c>
      <c r="E98" s="393" t="s">
        <v>1437</v>
      </c>
      <c r="F98" s="393" t="s">
        <v>1457</v>
      </c>
      <c r="G98" s="351">
        <v>150000</v>
      </c>
      <c r="H98" s="351">
        <v>19995</v>
      </c>
      <c r="I98" s="349">
        <f t="shared" si="17"/>
        <v>169995</v>
      </c>
      <c r="J98" s="348">
        <v>50</v>
      </c>
      <c r="K98" s="380">
        <v>3399.9</v>
      </c>
      <c r="L98" s="394">
        <f t="shared" si="24"/>
        <v>399.9</v>
      </c>
      <c r="M98" s="394">
        <f t="shared" si="18"/>
        <v>3000</v>
      </c>
      <c r="N98" s="394">
        <f t="shared" si="19"/>
        <v>15996</v>
      </c>
      <c r="O98" s="394">
        <f t="shared" si="20"/>
        <v>3999</v>
      </c>
      <c r="P98" s="348">
        <v>40</v>
      </c>
      <c r="Q98" s="354">
        <f t="shared" si="21"/>
        <v>10</v>
      </c>
      <c r="R98" s="350">
        <f t="shared" si="22"/>
        <v>135996</v>
      </c>
      <c r="S98" s="350">
        <f t="shared" si="23"/>
        <v>33999</v>
      </c>
      <c r="T98" s="395" t="s">
        <v>1458</v>
      </c>
    </row>
    <row r="99" spans="1:20">
      <c r="A99" s="378"/>
      <c r="B99" s="378"/>
      <c r="C99" s="363" t="s">
        <v>1341</v>
      </c>
      <c r="D99" s="367">
        <v>95</v>
      </c>
      <c r="E99" s="337" t="s">
        <v>1437</v>
      </c>
      <c r="F99" s="337" t="s">
        <v>1139</v>
      </c>
      <c r="G99" s="346">
        <v>500000</v>
      </c>
      <c r="H99" s="346">
        <v>66650</v>
      </c>
      <c r="I99" s="340">
        <f t="shared" si="17"/>
        <v>566650</v>
      </c>
      <c r="J99" s="348">
        <v>50</v>
      </c>
      <c r="K99" s="380">
        <v>11333</v>
      </c>
      <c r="L99" s="356">
        <f t="shared" si="24"/>
        <v>1333</v>
      </c>
      <c r="M99" s="356">
        <f t="shared" si="18"/>
        <v>10000</v>
      </c>
      <c r="N99" s="356">
        <f t="shared" si="19"/>
        <v>26660</v>
      </c>
      <c r="O99" s="356">
        <f t="shared" si="20"/>
        <v>39990</v>
      </c>
      <c r="P99" s="348">
        <v>20</v>
      </c>
      <c r="Q99" s="354">
        <f t="shared" si="21"/>
        <v>30</v>
      </c>
      <c r="R99" s="339">
        <f t="shared" si="22"/>
        <v>226660</v>
      </c>
      <c r="S99" s="339">
        <f t="shared" si="23"/>
        <v>339990</v>
      </c>
      <c r="T99" s="337"/>
    </row>
    <row r="100" spans="1:20">
      <c r="A100" s="378"/>
      <c r="B100" s="378"/>
      <c r="C100" s="362" t="s">
        <v>1398</v>
      </c>
      <c r="D100" s="367">
        <v>96</v>
      </c>
      <c r="E100" s="337" t="s">
        <v>1437</v>
      </c>
      <c r="F100" s="337" t="s">
        <v>1399</v>
      </c>
      <c r="G100" s="346">
        <v>150000</v>
      </c>
      <c r="H100" s="346">
        <v>19995</v>
      </c>
      <c r="I100" s="340">
        <f t="shared" si="17"/>
        <v>169995</v>
      </c>
      <c r="J100" s="348">
        <v>50</v>
      </c>
      <c r="K100" s="380">
        <v>3399.9</v>
      </c>
      <c r="L100" s="356">
        <f t="shared" si="24"/>
        <v>399.9</v>
      </c>
      <c r="M100" s="356">
        <f t="shared" si="18"/>
        <v>3000</v>
      </c>
      <c r="N100" s="356">
        <f t="shared" si="19"/>
        <v>3199.2</v>
      </c>
      <c r="O100" s="356">
        <f t="shared" si="20"/>
        <v>16795.8</v>
      </c>
      <c r="P100" s="348">
        <v>8</v>
      </c>
      <c r="Q100" s="354">
        <f t="shared" si="21"/>
        <v>42</v>
      </c>
      <c r="R100" s="339">
        <f t="shared" si="22"/>
        <v>27199.200000000001</v>
      </c>
      <c r="S100" s="339">
        <f t="shared" si="23"/>
        <v>142795.79999999999</v>
      </c>
      <c r="T100" s="337"/>
    </row>
    <row r="101" spans="1:20">
      <c r="A101" s="378"/>
      <c r="B101" s="378"/>
      <c r="C101" s="362" t="s">
        <v>1118</v>
      </c>
      <c r="D101" s="367">
        <v>97</v>
      </c>
      <c r="E101" s="337" t="s">
        <v>1437</v>
      </c>
      <c r="F101" s="337" t="s">
        <v>1119</v>
      </c>
      <c r="G101" s="346">
        <v>500000</v>
      </c>
      <c r="H101" s="346">
        <v>66650</v>
      </c>
      <c r="I101" s="340">
        <f t="shared" ref="I101:I132" si="25">SUM(G101:H101)</f>
        <v>566650</v>
      </c>
      <c r="J101" s="348">
        <v>50</v>
      </c>
      <c r="K101" s="380">
        <v>11333</v>
      </c>
      <c r="L101" s="356">
        <f t="shared" si="24"/>
        <v>1333</v>
      </c>
      <c r="M101" s="356">
        <f t="shared" ref="M101:M132" si="26">G101/50</f>
        <v>10000</v>
      </c>
      <c r="N101" s="356">
        <f t="shared" ref="N101:N132" si="27">L101*P101</f>
        <v>27993</v>
      </c>
      <c r="O101" s="356">
        <f t="shared" ref="O101:O132" si="28">L101*Q101</f>
        <v>38657</v>
      </c>
      <c r="P101" s="348">
        <v>21</v>
      </c>
      <c r="Q101" s="354">
        <f t="shared" ref="Q101:Q132" si="29">J101-P101</f>
        <v>29</v>
      </c>
      <c r="R101" s="339">
        <f t="shared" ref="R101:R132" si="30">K101*P101</f>
        <v>237993</v>
      </c>
      <c r="S101" s="339">
        <f t="shared" ref="S101:S132" si="31">I101-R101</f>
        <v>328657</v>
      </c>
      <c r="T101" s="337"/>
    </row>
    <row r="102" spans="1:20">
      <c r="A102" s="378"/>
      <c r="B102" s="378"/>
      <c r="C102" s="363" t="s">
        <v>1123</v>
      </c>
      <c r="D102" s="367">
        <v>98</v>
      </c>
      <c r="E102" s="337" t="s">
        <v>1437</v>
      </c>
      <c r="F102" s="337" t="s">
        <v>439</v>
      </c>
      <c r="G102" s="346">
        <v>330000</v>
      </c>
      <c r="H102" s="346">
        <v>43989</v>
      </c>
      <c r="I102" s="340">
        <f t="shared" si="25"/>
        <v>373989</v>
      </c>
      <c r="J102" s="348">
        <v>50</v>
      </c>
      <c r="K102" s="380">
        <v>7479.78</v>
      </c>
      <c r="L102" s="356">
        <f t="shared" si="24"/>
        <v>879.78</v>
      </c>
      <c r="M102" s="356">
        <f t="shared" si="26"/>
        <v>6600</v>
      </c>
      <c r="N102" s="356">
        <f t="shared" si="27"/>
        <v>18475.38</v>
      </c>
      <c r="O102" s="356">
        <f t="shared" si="28"/>
        <v>25513.62</v>
      </c>
      <c r="P102" s="348">
        <v>21</v>
      </c>
      <c r="Q102" s="354">
        <f t="shared" si="29"/>
        <v>29</v>
      </c>
      <c r="R102" s="339">
        <f t="shared" si="30"/>
        <v>157075.38</v>
      </c>
      <c r="S102" s="339">
        <f t="shared" si="31"/>
        <v>216913.62</v>
      </c>
      <c r="T102" s="337"/>
    </row>
    <row r="103" spans="1:20">
      <c r="A103" s="378"/>
      <c r="B103" s="378"/>
      <c r="C103" s="361" t="s">
        <v>1365</v>
      </c>
      <c r="D103" s="367">
        <v>99</v>
      </c>
      <c r="E103" s="337" t="s">
        <v>1437</v>
      </c>
      <c r="F103" s="337" t="s">
        <v>449</v>
      </c>
      <c r="G103" s="346">
        <v>450000</v>
      </c>
      <c r="H103" s="346">
        <v>59985</v>
      </c>
      <c r="I103" s="340">
        <f t="shared" si="25"/>
        <v>509985</v>
      </c>
      <c r="J103" s="348">
        <v>50</v>
      </c>
      <c r="K103" s="380">
        <v>10199.700000000001</v>
      </c>
      <c r="L103" s="356">
        <f t="shared" si="24"/>
        <v>1199.7</v>
      </c>
      <c r="M103" s="356">
        <f t="shared" si="26"/>
        <v>9000</v>
      </c>
      <c r="N103" s="356">
        <f t="shared" si="27"/>
        <v>15596.1</v>
      </c>
      <c r="O103" s="356">
        <f t="shared" si="28"/>
        <v>44388.9</v>
      </c>
      <c r="P103" s="348">
        <v>13</v>
      </c>
      <c r="Q103" s="354">
        <f t="shared" si="29"/>
        <v>37</v>
      </c>
      <c r="R103" s="339">
        <f t="shared" si="30"/>
        <v>132596.1</v>
      </c>
      <c r="S103" s="339">
        <f t="shared" si="31"/>
        <v>377388.9</v>
      </c>
      <c r="T103" s="337"/>
    </row>
    <row r="104" spans="1:20">
      <c r="A104" s="378"/>
      <c r="B104" s="378"/>
      <c r="C104" s="363" t="s">
        <v>987</v>
      </c>
      <c r="D104" s="367">
        <v>100</v>
      </c>
      <c r="E104" s="337" t="s">
        <v>1437</v>
      </c>
      <c r="F104" s="337" t="s">
        <v>866</v>
      </c>
      <c r="G104" s="346">
        <v>500000</v>
      </c>
      <c r="H104" s="346">
        <v>66650</v>
      </c>
      <c r="I104" s="340">
        <f t="shared" si="25"/>
        <v>566650</v>
      </c>
      <c r="J104" s="348">
        <v>50</v>
      </c>
      <c r="K104" s="380">
        <v>11333</v>
      </c>
      <c r="L104" s="356">
        <f t="shared" si="24"/>
        <v>1333</v>
      </c>
      <c r="M104" s="356">
        <f t="shared" si="26"/>
        <v>10000</v>
      </c>
      <c r="N104" s="356">
        <f t="shared" si="27"/>
        <v>17329</v>
      </c>
      <c r="O104" s="356">
        <f t="shared" si="28"/>
        <v>49321</v>
      </c>
      <c r="P104" s="348">
        <v>13</v>
      </c>
      <c r="Q104" s="354">
        <f t="shared" si="29"/>
        <v>37</v>
      </c>
      <c r="R104" s="339">
        <f t="shared" si="30"/>
        <v>147329</v>
      </c>
      <c r="S104" s="339">
        <f t="shared" si="31"/>
        <v>419321</v>
      </c>
      <c r="T104" s="337"/>
    </row>
    <row r="105" spans="1:20">
      <c r="A105" s="378"/>
      <c r="B105" s="378"/>
      <c r="C105" s="364" t="s">
        <v>1321</v>
      </c>
      <c r="D105" s="367">
        <v>101</v>
      </c>
      <c r="E105" s="337" t="s">
        <v>1437</v>
      </c>
      <c r="F105" s="337" t="s">
        <v>403</v>
      </c>
      <c r="G105" s="346">
        <v>500000</v>
      </c>
      <c r="H105" s="346">
        <v>66650</v>
      </c>
      <c r="I105" s="340">
        <f t="shared" si="25"/>
        <v>566650</v>
      </c>
      <c r="J105" s="348">
        <v>50</v>
      </c>
      <c r="K105" s="380">
        <v>11333</v>
      </c>
      <c r="L105" s="356">
        <f t="shared" si="24"/>
        <v>1333</v>
      </c>
      <c r="M105" s="356">
        <f t="shared" si="26"/>
        <v>10000</v>
      </c>
      <c r="N105" s="356">
        <f t="shared" si="27"/>
        <v>14663</v>
      </c>
      <c r="O105" s="356">
        <f t="shared" si="28"/>
        <v>51987</v>
      </c>
      <c r="P105" s="348">
        <v>11</v>
      </c>
      <c r="Q105" s="354">
        <f t="shared" si="29"/>
        <v>39</v>
      </c>
      <c r="R105" s="339">
        <f t="shared" si="30"/>
        <v>124663</v>
      </c>
      <c r="S105" s="339">
        <f t="shared" si="31"/>
        <v>441987</v>
      </c>
      <c r="T105" s="337"/>
    </row>
    <row r="106" spans="1:20">
      <c r="A106" s="378"/>
      <c r="B106" s="378"/>
      <c r="C106" s="366" t="s">
        <v>1093</v>
      </c>
      <c r="D106" s="367">
        <v>102</v>
      </c>
      <c r="E106" s="337" t="s">
        <v>1437</v>
      </c>
      <c r="F106" s="337" t="s">
        <v>364</v>
      </c>
      <c r="G106" s="346">
        <v>450000</v>
      </c>
      <c r="H106" s="346">
        <v>59985</v>
      </c>
      <c r="I106" s="340">
        <f t="shared" si="25"/>
        <v>509985</v>
      </c>
      <c r="J106" s="348">
        <v>50</v>
      </c>
      <c r="K106" s="380">
        <v>10199.700000000001</v>
      </c>
      <c r="L106" s="356">
        <f t="shared" si="24"/>
        <v>1199.7</v>
      </c>
      <c r="M106" s="356">
        <f t="shared" si="26"/>
        <v>9000</v>
      </c>
      <c r="N106" s="356">
        <f t="shared" si="27"/>
        <v>52786.8</v>
      </c>
      <c r="O106" s="356">
        <f t="shared" si="28"/>
        <v>7198.2000000000007</v>
      </c>
      <c r="P106" s="348">
        <v>44</v>
      </c>
      <c r="Q106" s="354">
        <f t="shared" si="29"/>
        <v>6</v>
      </c>
      <c r="R106" s="339">
        <f t="shared" si="30"/>
        <v>448786.80000000005</v>
      </c>
      <c r="S106" s="339">
        <f t="shared" si="31"/>
        <v>61198.199999999953</v>
      </c>
      <c r="T106" s="337"/>
    </row>
    <row r="107" spans="1:20">
      <c r="A107" s="378"/>
      <c r="B107" s="378"/>
      <c r="C107" s="361" t="s">
        <v>1105</v>
      </c>
      <c r="D107" s="367">
        <v>103</v>
      </c>
      <c r="E107" s="337" t="s">
        <v>1437</v>
      </c>
      <c r="F107" s="337" t="s">
        <v>861</v>
      </c>
      <c r="G107" s="346">
        <v>500000</v>
      </c>
      <c r="H107" s="346">
        <v>66650</v>
      </c>
      <c r="I107" s="340">
        <f t="shared" si="25"/>
        <v>566650</v>
      </c>
      <c r="J107" s="348">
        <v>50</v>
      </c>
      <c r="K107" s="380">
        <v>11333</v>
      </c>
      <c r="L107" s="356">
        <f t="shared" si="24"/>
        <v>1333</v>
      </c>
      <c r="M107" s="356">
        <f t="shared" si="26"/>
        <v>10000</v>
      </c>
      <c r="N107" s="356">
        <f t="shared" si="27"/>
        <v>34658</v>
      </c>
      <c r="O107" s="356">
        <f t="shared" si="28"/>
        <v>31992</v>
      </c>
      <c r="P107" s="348">
        <v>26</v>
      </c>
      <c r="Q107" s="354">
        <f t="shared" si="29"/>
        <v>24</v>
      </c>
      <c r="R107" s="339">
        <f t="shared" si="30"/>
        <v>294658</v>
      </c>
      <c r="S107" s="339">
        <f t="shared" si="31"/>
        <v>271992</v>
      </c>
      <c r="T107" s="337"/>
    </row>
    <row r="108" spans="1:20">
      <c r="A108" s="378"/>
      <c r="B108" s="378"/>
      <c r="C108" s="364" t="s">
        <v>1361</v>
      </c>
      <c r="D108" s="367">
        <v>104</v>
      </c>
      <c r="E108" s="337" t="s">
        <v>1437</v>
      </c>
      <c r="F108" s="337" t="s">
        <v>1362</v>
      </c>
      <c r="G108" s="346">
        <v>450000</v>
      </c>
      <c r="H108" s="346">
        <v>59985</v>
      </c>
      <c r="I108" s="340">
        <f t="shared" si="25"/>
        <v>509985</v>
      </c>
      <c r="J108" s="348">
        <v>50</v>
      </c>
      <c r="K108" s="380">
        <v>10199.700000000001</v>
      </c>
      <c r="L108" s="356">
        <f t="shared" si="24"/>
        <v>1199.7</v>
      </c>
      <c r="M108" s="356">
        <f t="shared" si="26"/>
        <v>9000</v>
      </c>
      <c r="N108" s="356">
        <f t="shared" si="27"/>
        <v>13196.7</v>
      </c>
      <c r="O108" s="356">
        <f t="shared" si="28"/>
        <v>46788.3</v>
      </c>
      <c r="P108" s="348">
        <v>11</v>
      </c>
      <c r="Q108" s="354">
        <f t="shared" si="29"/>
        <v>39</v>
      </c>
      <c r="R108" s="339">
        <f t="shared" si="30"/>
        <v>112196.70000000001</v>
      </c>
      <c r="S108" s="339">
        <f t="shared" si="31"/>
        <v>397788.3</v>
      </c>
      <c r="T108" s="337"/>
    </row>
    <row r="109" spans="1:20">
      <c r="A109" s="378"/>
      <c r="B109" s="378"/>
      <c r="C109" s="364" t="s">
        <v>999</v>
      </c>
      <c r="D109" s="367">
        <v>105</v>
      </c>
      <c r="E109" s="337" t="s">
        <v>1437</v>
      </c>
      <c r="F109" s="337" t="s">
        <v>441</v>
      </c>
      <c r="G109" s="346">
        <v>500000</v>
      </c>
      <c r="H109" s="346">
        <v>66650</v>
      </c>
      <c r="I109" s="340">
        <f t="shared" si="25"/>
        <v>566650</v>
      </c>
      <c r="J109" s="348">
        <v>50</v>
      </c>
      <c r="K109" s="380">
        <v>11333</v>
      </c>
      <c r="L109" s="356">
        <f t="shared" si="24"/>
        <v>1333</v>
      </c>
      <c r="M109" s="356">
        <f t="shared" si="26"/>
        <v>10000</v>
      </c>
      <c r="N109" s="356">
        <f t="shared" si="27"/>
        <v>43989</v>
      </c>
      <c r="O109" s="356">
        <f t="shared" si="28"/>
        <v>22661</v>
      </c>
      <c r="P109" s="348">
        <v>33</v>
      </c>
      <c r="Q109" s="354">
        <f t="shared" si="29"/>
        <v>17</v>
      </c>
      <c r="R109" s="339">
        <f t="shared" si="30"/>
        <v>373989</v>
      </c>
      <c r="S109" s="339">
        <f t="shared" si="31"/>
        <v>192661</v>
      </c>
      <c r="T109" s="337"/>
    </row>
    <row r="110" spans="1:20">
      <c r="A110" s="378"/>
      <c r="B110" s="378"/>
      <c r="C110" s="362" t="s">
        <v>1053</v>
      </c>
      <c r="D110" s="367">
        <v>106</v>
      </c>
      <c r="E110" s="337" t="s">
        <v>1437</v>
      </c>
      <c r="F110" s="337" t="s">
        <v>845</v>
      </c>
      <c r="G110" s="346">
        <v>150000</v>
      </c>
      <c r="H110" s="346">
        <v>19995</v>
      </c>
      <c r="I110" s="340">
        <f t="shared" si="25"/>
        <v>169995</v>
      </c>
      <c r="J110" s="348">
        <v>50</v>
      </c>
      <c r="K110" s="380">
        <v>3399.9</v>
      </c>
      <c r="L110" s="356">
        <f t="shared" si="24"/>
        <v>399.9</v>
      </c>
      <c r="M110" s="356">
        <f t="shared" si="26"/>
        <v>3000</v>
      </c>
      <c r="N110" s="356">
        <f t="shared" si="27"/>
        <v>17995.5</v>
      </c>
      <c r="O110" s="356">
        <f t="shared" si="28"/>
        <v>1999.5</v>
      </c>
      <c r="P110" s="348">
        <v>45</v>
      </c>
      <c r="Q110" s="354">
        <f t="shared" si="29"/>
        <v>5</v>
      </c>
      <c r="R110" s="339">
        <f t="shared" si="30"/>
        <v>152995.5</v>
      </c>
      <c r="S110" s="339">
        <f t="shared" si="31"/>
        <v>16999.5</v>
      </c>
      <c r="T110" s="337"/>
    </row>
    <row r="111" spans="1:20">
      <c r="A111" s="378"/>
      <c r="B111" s="378"/>
      <c r="C111" s="364" t="s">
        <v>1332</v>
      </c>
      <c r="D111" s="367">
        <v>107</v>
      </c>
      <c r="E111" s="337" t="s">
        <v>1437</v>
      </c>
      <c r="F111" s="337" t="s">
        <v>1284</v>
      </c>
      <c r="G111" s="346">
        <v>500000</v>
      </c>
      <c r="H111" s="346">
        <v>66650</v>
      </c>
      <c r="I111" s="340">
        <f t="shared" si="25"/>
        <v>566650</v>
      </c>
      <c r="J111" s="348">
        <v>50</v>
      </c>
      <c r="K111" s="380">
        <v>11333</v>
      </c>
      <c r="L111" s="356">
        <f t="shared" si="24"/>
        <v>1333</v>
      </c>
      <c r="M111" s="356">
        <f t="shared" si="26"/>
        <v>10000</v>
      </c>
      <c r="N111" s="356">
        <f t="shared" si="27"/>
        <v>37324</v>
      </c>
      <c r="O111" s="356">
        <f t="shared" si="28"/>
        <v>29326</v>
      </c>
      <c r="P111" s="348">
        <v>28</v>
      </c>
      <c r="Q111" s="354">
        <f t="shared" si="29"/>
        <v>22</v>
      </c>
      <c r="R111" s="339">
        <f t="shared" si="30"/>
        <v>317324</v>
      </c>
      <c r="S111" s="339">
        <f t="shared" si="31"/>
        <v>249326</v>
      </c>
      <c r="T111" s="337"/>
    </row>
    <row r="112" spans="1:20">
      <c r="A112" s="378"/>
      <c r="B112" s="378"/>
      <c r="C112" s="363" t="s">
        <v>1062</v>
      </c>
      <c r="D112" s="367">
        <v>108</v>
      </c>
      <c r="E112" s="337" t="s">
        <v>1437</v>
      </c>
      <c r="F112" s="337" t="s">
        <v>335</v>
      </c>
      <c r="G112" s="346">
        <v>500000</v>
      </c>
      <c r="H112" s="346">
        <v>66650</v>
      </c>
      <c r="I112" s="340">
        <f t="shared" si="25"/>
        <v>566650</v>
      </c>
      <c r="J112" s="348">
        <v>50</v>
      </c>
      <c r="K112" s="380">
        <v>11333</v>
      </c>
      <c r="L112" s="356">
        <f t="shared" si="24"/>
        <v>1333</v>
      </c>
      <c r="M112" s="356">
        <f t="shared" si="26"/>
        <v>10000</v>
      </c>
      <c r="N112" s="356">
        <f t="shared" si="27"/>
        <v>77314</v>
      </c>
      <c r="O112" s="356">
        <f t="shared" si="28"/>
        <v>-10664</v>
      </c>
      <c r="P112" s="348">
        <v>58</v>
      </c>
      <c r="Q112" s="354">
        <f t="shared" si="29"/>
        <v>-8</v>
      </c>
      <c r="R112" s="339">
        <f t="shared" si="30"/>
        <v>657314</v>
      </c>
      <c r="S112" s="339">
        <f t="shared" si="31"/>
        <v>-90664</v>
      </c>
      <c r="T112" s="337"/>
    </row>
    <row r="113" spans="1:20">
      <c r="A113" s="378"/>
      <c r="B113" s="378"/>
      <c r="C113" s="337" t="s">
        <v>1411</v>
      </c>
      <c r="D113" s="367">
        <v>109</v>
      </c>
      <c r="E113" s="337" t="s">
        <v>1437</v>
      </c>
      <c r="F113" s="337" t="s">
        <v>473</v>
      </c>
      <c r="G113" s="346">
        <v>500000</v>
      </c>
      <c r="H113" s="346">
        <v>66650</v>
      </c>
      <c r="I113" s="340">
        <f t="shared" si="25"/>
        <v>566650</v>
      </c>
      <c r="J113" s="348">
        <v>40</v>
      </c>
      <c r="K113" s="380">
        <v>13833</v>
      </c>
      <c r="L113" s="356">
        <f t="shared" si="24"/>
        <v>1333</v>
      </c>
      <c r="M113" s="356">
        <f t="shared" si="26"/>
        <v>10000</v>
      </c>
      <c r="N113" s="356">
        <f t="shared" si="27"/>
        <v>7998</v>
      </c>
      <c r="O113" s="356">
        <f t="shared" si="28"/>
        <v>45322</v>
      </c>
      <c r="P113" s="348">
        <v>6</v>
      </c>
      <c r="Q113" s="354">
        <f t="shared" si="29"/>
        <v>34</v>
      </c>
      <c r="R113" s="339">
        <f t="shared" si="30"/>
        <v>82998</v>
      </c>
      <c r="S113" s="339">
        <f t="shared" si="31"/>
        <v>483652</v>
      </c>
      <c r="T113" s="337"/>
    </row>
    <row r="114" spans="1:20">
      <c r="A114" s="378"/>
      <c r="B114" s="378"/>
      <c r="C114" s="363" t="s">
        <v>1329</v>
      </c>
      <c r="D114" s="367">
        <v>110</v>
      </c>
      <c r="E114" s="337" t="s">
        <v>1437</v>
      </c>
      <c r="F114" s="337" t="s">
        <v>463</v>
      </c>
      <c r="G114" s="346">
        <v>500000</v>
      </c>
      <c r="H114" s="346">
        <v>66650</v>
      </c>
      <c r="I114" s="340">
        <f t="shared" si="25"/>
        <v>566650</v>
      </c>
      <c r="J114" s="348">
        <v>50</v>
      </c>
      <c r="K114" s="380">
        <v>11333</v>
      </c>
      <c r="L114" s="356">
        <f t="shared" si="24"/>
        <v>1333</v>
      </c>
      <c r="M114" s="356">
        <f t="shared" si="26"/>
        <v>10000</v>
      </c>
      <c r="N114" s="356">
        <f t="shared" si="27"/>
        <v>23994</v>
      </c>
      <c r="O114" s="356">
        <f t="shared" si="28"/>
        <v>42656</v>
      </c>
      <c r="P114" s="348">
        <v>18</v>
      </c>
      <c r="Q114" s="354">
        <f t="shared" si="29"/>
        <v>32</v>
      </c>
      <c r="R114" s="339">
        <f t="shared" si="30"/>
        <v>203994</v>
      </c>
      <c r="S114" s="339">
        <f t="shared" si="31"/>
        <v>362656</v>
      </c>
      <c r="T114" s="337"/>
    </row>
    <row r="115" spans="1:20">
      <c r="A115" s="378"/>
      <c r="B115" s="378"/>
      <c r="C115" s="365" t="s">
        <v>1358</v>
      </c>
      <c r="D115" s="367">
        <v>111</v>
      </c>
      <c r="E115" s="337" t="s">
        <v>1437</v>
      </c>
      <c r="F115" s="337" t="s">
        <v>1359</v>
      </c>
      <c r="G115" s="346">
        <v>450000</v>
      </c>
      <c r="H115" s="346">
        <v>59985</v>
      </c>
      <c r="I115" s="340">
        <f t="shared" si="25"/>
        <v>509985</v>
      </c>
      <c r="J115" s="348">
        <v>50</v>
      </c>
      <c r="K115" s="380">
        <v>10199.700000000001</v>
      </c>
      <c r="L115" s="356">
        <f t="shared" si="24"/>
        <v>1199.7</v>
      </c>
      <c r="M115" s="356">
        <f t="shared" si="26"/>
        <v>9000</v>
      </c>
      <c r="N115" s="356">
        <f t="shared" si="27"/>
        <v>9597.6</v>
      </c>
      <c r="O115" s="356">
        <f t="shared" si="28"/>
        <v>50387.4</v>
      </c>
      <c r="P115" s="348">
        <v>8</v>
      </c>
      <c r="Q115" s="354">
        <f t="shared" si="29"/>
        <v>42</v>
      </c>
      <c r="R115" s="339">
        <f t="shared" si="30"/>
        <v>81597.600000000006</v>
      </c>
      <c r="S115" s="339">
        <f t="shared" si="31"/>
        <v>428387.4</v>
      </c>
      <c r="T115" s="337"/>
    </row>
    <row r="116" spans="1:20">
      <c r="A116" s="378"/>
      <c r="B116" s="378"/>
      <c r="C116" s="361" t="s">
        <v>1334</v>
      </c>
      <c r="D116" s="367">
        <v>112</v>
      </c>
      <c r="E116" s="337" t="s">
        <v>1437</v>
      </c>
      <c r="F116" s="337" t="s">
        <v>1294</v>
      </c>
      <c r="G116" s="346">
        <v>500000</v>
      </c>
      <c r="H116" s="346">
        <v>66650</v>
      </c>
      <c r="I116" s="340">
        <f t="shared" si="25"/>
        <v>566650</v>
      </c>
      <c r="J116" s="348">
        <v>50</v>
      </c>
      <c r="K116" s="380">
        <v>11333</v>
      </c>
      <c r="L116" s="356">
        <f t="shared" si="24"/>
        <v>1333</v>
      </c>
      <c r="M116" s="356">
        <f t="shared" si="26"/>
        <v>10000</v>
      </c>
      <c r="N116" s="356">
        <f t="shared" si="27"/>
        <v>23994</v>
      </c>
      <c r="O116" s="356">
        <f t="shared" si="28"/>
        <v>42656</v>
      </c>
      <c r="P116" s="348">
        <v>18</v>
      </c>
      <c r="Q116" s="354">
        <f t="shared" si="29"/>
        <v>32</v>
      </c>
      <c r="R116" s="339">
        <f t="shared" si="30"/>
        <v>203994</v>
      </c>
      <c r="S116" s="339">
        <f t="shared" si="31"/>
        <v>362656</v>
      </c>
      <c r="T116" s="337"/>
    </row>
    <row r="117" spans="1:20">
      <c r="A117" s="378"/>
      <c r="B117" s="378"/>
      <c r="C117" s="361" t="s">
        <v>1319</v>
      </c>
      <c r="D117" s="367">
        <v>113</v>
      </c>
      <c r="E117" s="337" t="s">
        <v>1437</v>
      </c>
      <c r="F117" s="337" t="s">
        <v>305</v>
      </c>
      <c r="G117" s="346">
        <v>500000</v>
      </c>
      <c r="H117" s="346">
        <v>66650</v>
      </c>
      <c r="I117" s="340">
        <f t="shared" si="25"/>
        <v>566650</v>
      </c>
      <c r="J117" s="348">
        <v>40</v>
      </c>
      <c r="K117" s="380">
        <v>13833</v>
      </c>
      <c r="L117" s="356">
        <f t="shared" si="24"/>
        <v>1333</v>
      </c>
      <c r="M117" s="356">
        <f t="shared" si="26"/>
        <v>10000</v>
      </c>
      <c r="N117" s="356">
        <f t="shared" si="27"/>
        <v>10664</v>
      </c>
      <c r="O117" s="356">
        <f t="shared" si="28"/>
        <v>42656</v>
      </c>
      <c r="P117" s="348">
        <v>8</v>
      </c>
      <c r="Q117" s="354">
        <f t="shared" si="29"/>
        <v>32</v>
      </c>
      <c r="R117" s="339">
        <f t="shared" si="30"/>
        <v>110664</v>
      </c>
      <c r="S117" s="339">
        <f t="shared" si="31"/>
        <v>455986</v>
      </c>
      <c r="T117" s="337"/>
    </row>
    <row r="118" spans="1:20">
      <c r="A118" s="378"/>
      <c r="B118" s="378"/>
      <c r="C118" s="361" t="s">
        <v>1388</v>
      </c>
      <c r="D118" s="367">
        <v>114</v>
      </c>
      <c r="E118" s="337" t="s">
        <v>1437</v>
      </c>
      <c r="F118" s="337" t="s">
        <v>1389</v>
      </c>
      <c r="G118" s="346">
        <v>330000</v>
      </c>
      <c r="H118" s="346">
        <v>43989</v>
      </c>
      <c r="I118" s="340">
        <f t="shared" si="25"/>
        <v>373989</v>
      </c>
      <c r="J118" s="348">
        <v>50</v>
      </c>
      <c r="K118" s="380">
        <v>7479.78</v>
      </c>
      <c r="L118" s="356">
        <f t="shared" si="24"/>
        <v>879.78</v>
      </c>
      <c r="M118" s="356">
        <f t="shared" si="26"/>
        <v>6600</v>
      </c>
      <c r="N118" s="356">
        <f t="shared" si="27"/>
        <v>8797.7999999999993</v>
      </c>
      <c r="O118" s="356">
        <f t="shared" si="28"/>
        <v>35191.199999999997</v>
      </c>
      <c r="P118" s="348">
        <v>10</v>
      </c>
      <c r="Q118" s="354">
        <f t="shared" si="29"/>
        <v>40</v>
      </c>
      <c r="R118" s="339">
        <f t="shared" si="30"/>
        <v>74797.8</v>
      </c>
      <c r="S118" s="339">
        <f t="shared" si="31"/>
        <v>299191.2</v>
      </c>
      <c r="T118" s="337"/>
    </row>
    <row r="119" spans="1:20">
      <c r="A119" s="378"/>
      <c r="B119" s="378"/>
      <c r="C119" s="362" t="s">
        <v>1317</v>
      </c>
      <c r="D119" s="367">
        <v>115</v>
      </c>
      <c r="E119" s="337" t="s">
        <v>1437</v>
      </c>
      <c r="F119" s="337" t="s">
        <v>1318</v>
      </c>
      <c r="G119" s="346">
        <v>450000</v>
      </c>
      <c r="H119" s="346">
        <v>43189.2</v>
      </c>
      <c r="I119" s="340">
        <f t="shared" si="25"/>
        <v>493189.2</v>
      </c>
      <c r="J119" s="348">
        <v>36</v>
      </c>
      <c r="K119" s="380">
        <v>14153.05</v>
      </c>
      <c r="L119" s="356">
        <f>H119/36</f>
        <v>1199.6999999999998</v>
      </c>
      <c r="M119" s="356">
        <f t="shared" si="26"/>
        <v>9000</v>
      </c>
      <c r="N119" s="356">
        <f t="shared" si="27"/>
        <v>32391.899999999994</v>
      </c>
      <c r="O119" s="356">
        <f t="shared" si="28"/>
        <v>10797.3</v>
      </c>
      <c r="P119" s="348">
        <v>27</v>
      </c>
      <c r="Q119" s="354">
        <f t="shared" si="29"/>
        <v>9</v>
      </c>
      <c r="R119" s="339">
        <f t="shared" si="30"/>
        <v>382132.35</v>
      </c>
      <c r="S119" s="339">
        <f t="shared" si="31"/>
        <v>111056.85000000003</v>
      </c>
      <c r="T119" s="337"/>
    </row>
    <row r="120" spans="1:20">
      <c r="A120" s="378"/>
      <c r="B120" s="378"/>
      <c r="C120" s="363" t="s">
        <v>1360</v>
      </c>
      <c r="D120" s="367">
        <v>116</v>
      </c>
      <c r="E120" s="337" t="s">
        <v>1437</v>
      </c>
      <c r="F120" s="337" t="s">
        <v>293</v>
      </c>
      <c r="G120" s="346">
        <v>450000</v>
      </c>
      <c r="H120" s="346">
        <v>59985</v>
      </c>
      <c r="I120" s="340">
        <f t="shared" si="25"/>
        <v>509985</v>
      </c>
      <c r="J120" s="348">
        <v>50</v>
      </c>
      <c r="K120" s="380">
        <v>10199.700000000001</v>
      </c>
      <c r="L120" s="356">
        <f t="shared" ref="L120:L160" si="32">H120/50</f>
        <v>1199.7</v>
      </c>
      <c r="M120" s="356">
        <f t="shared" si="26"/>
        <v>9000</v>
      </c>
      <c r="N120" s="356">
        <f t="shared" si="27"/>
        <v>23994</v>
      </c>
      <c r="O120" s="356">
        <f t="shared" si="28"/>
        <v>35991</v>
      </c>
      <c r="P120" s="348">
        <v>20</v>
      </c>
      <c r="Q120" s="354">
        <f t="shared" si="29"/>
        <v>30</v>
      </c>
      <c r="R120" s="339">
        <f t="shared" si="30"/>
        <v>203994</v>
      </c>
      <c r="S120" s="339">
        <f t="shared" si="31"/>
        <v>305991</v>
      </c>
      <c r="T120" s="337"/>
    </row>
    <row r="121" spans="1:20">
      <c r="A121" s="378"/>
      <c r="B121" s="378"/>
      <c r="C121" s="337" t="s">
        <v>1450</v>
      </c>
      <c r="D121" s="367">
        <v>117</v>
      </c>
      <c r="E121" s="337" t="s">
        <v>1437</v>
      </c>
      <c r="F121" s="337" t="s">
        <v>1451</v>
      </c>
      <c r="G121" s="346">
        <v>450000</v>
      </c>
      <c r="H121" s="346">
        <v>59985</v>
      </c>
      <c r="I121" s="340">
        <f t="shared" si="25"/>
        <v>509985</v>
      </c>
      <c r="J121" s="348">
        <v>50</v>
      </c>
      <c r="K121" s="381">
        <v>10199.700000000001</v>
      </c>
      <c r="L121" s="356">
        <f t="shared" si="32"/>
        <v>1199.7</v>
      </c>
      <c r="M121" s="356">
        <f t="shared" si="26"/>
        <v>9000</v>
      </c>
      <c r="N121" s="356">
        <f t="shared" si="27"/>
        <v>4798.8</v>
      </c>
      <c r="O121" s="356">
        <f t="shared" si="28"/>
        <v>55186.200000000004</v>
      </c>
      <c r="P121" s="358">
        <v>4</v>
      </c>
      <c r="Q121" s="354">
        <f t="shared" si="29"/>
        <v>46</v>
      </c>
      <c r="R121" s="339">
        <f t="shared" si="30"/>
        <v>40798.800000000003</v>
      </c>
      <c r="S121" s="339">
        <f t="shared" si="31"/>
        <v>469186.2</v>
      </c>
      <c r="T121" s="337"/>
    </row>
    <row r="122" spans="1:20">
      <c r="A122" s="378"/>
      <c r="B122" s="378"/>
      <c r="C122" s="362" t="s">
        <v>1094</v>
      </c>
      <c r="D122" s="367">
        <v>118</v>
      </c>
      <c r="E122" s="337" t="s">
        <v>1437</v>
      </c>
      <c r="F122" s="337" t="s">
        <v>1095</v>
      </c>
      <c r="G122" s="346">
        <v>500000</v>
      </c>
      <c r="H122" s="346">
        <v>66650</v>
      </c>
      <c r="I122" s="340">
        <f t="shared" si="25"/>
        <v>566650</v>
      </c>
      <c r="J122" s="348">
        <v>50</v>
      </c>
      <c r="K122" s="380">
        <v>11333</v>
      </c>
      <c r="L122" s="356">
        <f t="shared" si="32"/>
        <v>1333</v>
      </c>
      <c r="M122" s="356">
        <f t="shared" si="26"/>
        <v>10000</v>
      </c>
      <c r="N122" s="356">
        <f t="shared" si="27"/>
        <v>33325</v>
      </c>
      <c r="O122" s="356">
        <f t="shared" si="28"/>
        <v>33325</v>
      </c>
      <c r="P122" s="348">
        <v>25</v>
      </c>
      <c r="Q122" s="354">
        <f t="shared" si="29"/>
        <v>25</v>
      </c>
      <c r="R122" s="339">
        <f t="shared" si="30"/>
        <v>283325</v>
      </c>
      <c r="S122" s="339">
        <f t="shared" si="31"/>
        <v>283325</v>
      </c>
      <c r="T122" s="337"/>
    </row>
    <row r="123" spans="1:20">
      <c r="A123" s="378"/>
      <c r="B123" s="378"/>
      <c r="C123" s="365" t="s">
        <v>1330</v>
      </c>
      <c r="D123" s="367">
        <v>119</v>
      </c>
      <c r="E123" s="337" t="s">
        <v>1437</v>
      </c>
      <c r="F123" s="337" t="s">
        <v>1331</v>
      </c>
      <c r="G123" s="346">
        <v>500000</v>
      </c>
      <c r="H123" s="346">
        <v>66650</v>
      </c>
      <c r="I123" s="340">
        <f t="shared" si="25"/>
        <v>566650</v>
      </c>
      <c r="J123" s="348">
        <v>50</v>
      </c>
      <c r="K123" s="380">
        <v>11333</v>
      </c>
      <c r="L123" s="356">
        <f t="shared" si="32"/>
        <v>1333</v>
      </c>
      <c r="M123" s="356">
        <f t="shared" si="26"/>
        <v>10000</v>
      </c>
      <c r="N123" s="356">
        <f t="shared" si="27"/>
        <v>26660</v>
      </c>
      <c r="O123" s="356">
        <f t="shared" si="28"/>
        <v>39990</v>
      </c>
      <c r="P123" s="348">
        <v>20</v>
      </c>
      <c r="Q123" s="354">
        <f t="shared" si="29"/>
        <v>30</v>
      </c>
      <c r="R123" s="339">
        <f t="shared" si="30"/>
        <v>226660</v>
      </c>
      <c r="S123" s="339">
        <f t="shared" si="31"/>
        <v>339990</v>
      </c>
      <c r="T123" s="337"/>
    </row>
    <row r="124" spans="1:20">
      <c r="A124" s="378"/>
      <c r="B124" s="378"/>
      <c r="C124" s="364" t="s">
        <v>1368</v>
      </c>
      <c r="D124" s="367">
        <v>120</v>
      </c>
      <c r="E124" s="337" t="s">
        <v>1437</v>
      </c>
      <c r="F124" s="337" t="s">
        <v>443</v>
      </c>
      <c r="G124" s="346">
        <v>330000</v>
      </c>
      <c r="H124" s="346">
        <v>43989</v>
      </c>
      <c r="I124" s="340">
        <f t="shared" si="25"/>
        <v>373989</v>
      </c>
      <c r="J124" s="348">
        <v>50</v>
      </c>
      <c r="K124" s="380">
        <v>7479.78</v>
      </c>
      <c r="L124" s="356">
        <f t="shared" si="32"/>
        <v>879.78</v>
      </c>
      <c r="M124" s="356">
        <f t="shared" si="26"/>
        <v>6600</v>
      </c>
      <c r="N124" s="356">
        <f t="shared" si="27"/>
        <v>11437.14</v>
      </c>
      <c r="O124" s="356">
        <f t="shared" si="28"/>
        <v>32551.86</v>
      </c>
      <c r="P124" s="348">
        <v>13</v>
      </c>
      <c r="Q124" s="354">
        <f t="shared" si="29"/>
        <v>37</v>
      </c>
      <c r="R124" s="339">
        <f t="shared" si="30"/>
        <v>97237.14</v>
      </c>
      <c r="S124" s="339">
        <f t="shared" si="31"/>
        <v>276751.86</v>
      </c>
      <c r="T124" s="337"/>
    </row>
    <row r="125" spans="1:20">
      <c r="A125" s="378"/>
      <c r="B125" s="378"/>
      <c r="C125" s="364" t="s">
        <v>1006</v>
      </c>
      <c r="D125" s="367">
        <v>121</v>
      </c>
      <c r="E125" s="337" t="s">
        <v>1437</v>
      </c>
      <c r="F125" s="337" t="s">
        <v>865</v>
      </c>
      <c r="G125" s="346">
        <v>500000</v>
      </c>
      <c r="H125" s="346">
        <v>66650</v>
      </c>
      <c r="I125" s="340">
        <f t="shared" si="25"/>
        <v>566650</v>
      </c>
      <c r="J125" s="348">
        <v>50</v>
      </c>
      <c r="K125" s="380">
        <v>11333</v>
      </c>
      <c r="L125" s="356">
        <f t="shared" si="32"/>
        <v>1333</v>
      </c>
      <c r="M125" s="356">
        <f t="shared" si="26"/>
        <v>10000</v>
      </c>
      <c r="N125" s="356">
        <f t="shared" si="27"/>
        <v>78647</v>
      </c>
      <c r="O125" s="356">
        <f t="shared" si="28"/>
        <v>-11997</v>
      </c>
      <c r="P125" s="348">
        <v>59</v>
      </c>
      <c r="Q125" s="354">
        <f t="shared" si="29"/>
        <v>-9</v>
      </c>
      <c r="R125" s="339">
        <f t="shared" si="30"/>
        <v>668647</v>
      </c>
      <c r="S125" s="339">
        <f t="shared" si="31"/>
        <v>-101997</v>
      </c>
      <c r="T125" s="337"/>
    </row>
    <row r="126" spans="1:20">
      <c r="A126" s="378"/>
      <c r="B126" s="378"/>
      <c r="C126" s="337" t="s">
        <v>1414</v>
      </c>
      <c r="D126" s="367">
        <v>122</v>
      </c>
      <c r="E126" s="337" t="s">
        <v>1437</v>
      </c>
      <c r="F126" s="337" t="s">
        <v>459</v>
      </c>
      <c r="G126" s="346">
        <v>500000</v>
      </c>
      <c r="H126" s="346">
        <v>66650</v>
      </c>
      <c r="I126" s="340">
        <f t="shared" si="25"/>
        <v>566650</v>
      </c>
      <c r="J126" s="348">
        <v>50</v>
      </c>
      <c r="K126" s="380">
        <v>11333</v>
      </c>
      <c r="L126" s="356">
        <f t="shared" si="32"/>
        <v>1333</v>
      </c>
      <c r="M126" s="356">
        <f t="shared" si="26"/>
        <v>10000</v>
      </c>
      <c r="N126" s="356">
        <f t="shared" si="27"/>
        <v>7998</v>
      </c>
      <c r="O126" s="356">
        <f t="shared" si="28"/>
        <v>58652</v>
      </c>
      <c r="P126" s="348">
        <v>6</v>
      </c>
      <c r="Q126" s="354">
        <f t="shared" si="29"/>
        <v>44</v>
      </c>
      <c r="R126" s="339">
        <f t="shared" si="30"/>
        <v>67998</v>
      </c>
      <c r="S126" s="339">
        <f t="shared" si="31"/>
        <v>498652</v>
      </c>
      <c r="T126" s="337"/>
    </row>
    <row r="127" spans="1:20">
      <c r="A127" s="378"/>
      <c r="B127" s="378"/>
      <c r="C127" s="364" t="s">
        <v>983</v>
      </c>
      <c r="D127" s="367">
        <v>123</v>
      </c>
      <c r="E127" s="337" t="s">
        <v>1437</v>
      </c>
      <c r="F127" s="337" t="s">
        <v>323</v>
      </c>
      <c r="G127" s="346">
        <v>500000</v>
      </c>
      <c r="H127" s="346">
        <v>66650</v>
      </c>
      <c r="I127" s="340">
        <f t="shared" si="25"/>
        <v>566650</v>
      </c>
      <c r="J127" s="348">
        <v>50</v>
      </c>
      <c r="K127" s="380">
        <v>11333</v>
      </c>
      <c r="L127" s="356">
        <f t="shared" si="32"/>
        <v>1333</v>
      </c>
      <c r="M127" s="356">
        <f t="shared" si="26"/>
        <v>10000</v>
      </c>
      <c r="N127" s="356">
        <f t="shared" si="27"/>
        <v>77314</v>
      </c>
      <c r="O127" s="356">
        <f t="shared" si="28"/>
        <v>-10664</v>
      </c>
      <c r="P127" s="348">
        <v>58</v>
      </c>
      <c r="Q127" s="354">
        <f t="shared" si="29"/>
        <v>-8</v>
      </c>
      <c r="R127" s="339">
        <f t="shared" si="30"/>
        <v>657314</v>
      </c>
      <c r="S127" s="339">
        <f t="shared" si="31"/>
        <v>-90664</v>
      </c>
      <c r="T127" s="337"/>
    </row>
    <row r="128" spans="1:20">
      <c r="A128" s="378"/>
      <c r="B128" s="378"/>
      <c r="C128" s="364" t="s">
        <v>1080</v>
      </c>
      <c r="D128" s="367">
        <v>124</v>
      </c>
      <c r="E128" s="337" t="s">
        <v>1437</v>
      </c>
      <c r="F128" s="337" t="s">
        <v>315</v>
      </c>
      <c r="G128" s="346">
        <v>500000</v>
      </c>
      <c r="H128" s="346">
        <v>66650</v>
      </c>
      <c r="I128" s="340">
        <f t="shared" si="25"/>
        <v>566650</v>
      </c>
      <c r="J128" s="348">
        <v>50</v>
      </c>
      <c r="K128" s="380">
        <v>11333</v>
      </c>
      <c r="L128" s="356">
        <f t="shared" si="32"/>
        <v>1333</v>
      </c>
      <c r="M128" s="356">
        <f t="shared" si="26"/>
        <v>10000</v>
      </c>
      <c r="N128" s="356">
        <f t="shared" si="27"/>
        <v>59985</v>
      </c>
      <c r="O128" s="356">
        <f t="shared" si="28"/>
        <v>6665</v>
      </c>
      <c r="P128" s="348">
        <v>45</v>
      </c>
      <c r="Q128" s="354">
        <f t="shared" si="29"/>
        <v>5</v>
      </c>
      <c r="R128" s="339">
        <f t="shared" si="30"/>
        <v>509985</v>
      </c>
      <c r="S128" s="339">
        <f t="shared" si="31"/>
        <v>56665</v>
      </c>
      <c r="T128" s="337"/>
    </row>
    <row r="129" spans="1:20">
      <c r="A129" s="378"/>
      <c r="B129" s="378"/>
      <c r="C129" s="364" t="s">
        <v>1084</v>
      </c>
      <c r="D129" s="367">
        <v>125</v>
      </c>
      <c r="E129" s="337" t="s">
        <v>1437</v>
      </c>
      <c r="F129" s="337" t="s">
        <v>353</v>
      </c>
      <c r="G129" s="346">
        <v>500000</v>
      </c>
      <c r="H129" s="346">
        <v>66650</v>
      </c>
      <c r="I129" s="340">
        <f t="shared" si="25"/>
        <v>566650</v>
      </c>
      <c r="J129" s="348">
        <v>50</v>
      </c>
      <c r="K129" s="380">
        <v>11333</v>
      </c>
      <c r="L129" s="356">
        <f t="shared" si="32"/>
        <v>1333</v>
      </c>
      <c r="M129" s="356">
        <f t="shared" si="26"/>
        <v>10000</v>
      </c>
      <c r="N129" s="356">
        <f t="shared" si="27"/>
        <v>59985</v>
      </c>
      <c r="O129" s="356">
        <f t="shared" si="28"/>
        <v>6665</v>
      </c>
      <c r="P129" s="348">
        <v>45</v>
      </c>
      <c r="Q129" s="354">
        <f t="shared" si="29"/>
        <v>5</v>
      </c>
      <c r="R129" s="339">
        <f t="shared" si="30"/>
        <v>509985</v>
      </c>
      <c r="S129" s="339">
        <f t="shared" si="31"/>
        <v>56665</v>
      </c>
      <c r="T129" s="337"/>
    </row>
    <row r="130" spans="1:20">
      <c r="A130" s="378"/>
      <c r="B130" s="378"/>
      <c r="C130" s="361" t="s">
        <v>1108</v>
      </c>
      <c r="D130" s="367">
        <v>126</v>
      </c>
      <c r="E130" s="337" t="s">
        <v>1437</v>
      </c>
      <c r="F130" s="337" t="s">
        <v>802</v>
      </c>
      <c r="G130" s="346">
        <v>500000</v>
      </c>
      <c r="H130" s="346">
        <v>66650</v>
      </c>
      <c r="I130" s="340">
        <f t="shared" si="25"/>
        <v>566650</v>
      </c>
      <c r="J130" s="348">
        <v>50</v>
      </c>
      <c r="K130" s="380">
        <v>11333</v>
      </c>
      <c r="L130" s="356">
        <f t="shared" si="32"/>
        <v>1333</v>
      </c>
      <c r="M130" s="356">
        <f t="shared" si="26"/>
        <v>10000</v>
      </c>
      <c r="N130" s="356">
        <f t="shared" si="27"/>
        <v>46655</v>
      </c>
      <c r="O130" s="356">
        <f t="shared" si="28"/>
        <v>19995</v>
      </c>
      <c r="P130" s="348">
        <v>35</v>
      </c>
      <c r="Q130" s="354">
        <f t="shared" si="29"/>
        <v>15</v>
      </c>
      <c r="R130" s="339">
        <f t="shared" si="30"/>
        <v>396655</v>
      </c>
      <c r="S130" s="339">
        <f t="shared" si="31"/>
        <v>169995</v>
      </c>
      <c r="T130" s="337"/>
    </row>
    <row r="131" spans="1:20">
      <c r="A131" s="378"/>
      <c r="B131" s="378"/>
      <c r="C131" s="362" t="s">
        <v>1333</v>
      </c>
      <c r="D131" s="367">
        <v>127</v>
      </c>
      <c r="E131" s="337" t="s">
        <v>1437</v>
      </c>
      <c r="F131" s="337" t="s">
        <v>1281</v>
      </c>
      <c r="G131" s="346">
        <v>500000</v>
      </c>
      <c r="H131" s="346">
        <v>66650</v>
      </c>
      <c r="I131" s="340">
        <f t="shared" si="25"/>
        <v>566650</v>
      </c>
      <c r="J131" s="348">
        <v>50</v>
      </c>
      <c r="K131" s="380">
        <v>11333</v>
      </c>
      <c r="L131" s="356">
        <f t="shared" si="32"/>
        <v>1333</v>
      </c>
      <c r="M131" s="356">
        <f t="shared" si="26"/>
        <v>10000</v>
      </c>
      <c r="N131" s="356">
        <f t="shared" si="27"/>
        <v>17329</v>
      </c>
      <c r="O131" s="356">
        <f t="shared" si="28"/>
        <v>49321</v>
      </c>
      <c r="P131" s="348">
        <v>13</v>
      </c>
      <c r="Q131" s="354">
        <f t="shared" si="29"/>
        <v>37</v>
      </c>
      <c r="R131" s="339">
        <f t="shared" si="30"/>
        <v>147329</v>
      </c>
      <c r="S131" s="339">
        <f t="shared" si="31"/>
        <v>419321</v>
      </c>
      <c r="T131" s="337"/>
    </row>
    <row r="132" spans="1:20">
      <c r="A132" s="378"/>
      <c r="B132" s="378"/>
      <c r="C132" s="364" t="s">
        <v>1057</v>
      </c>
      <c r="D132" s="367">
        <v>128</v>
      </c>
      <c r="E132" s="337" t="s">
        <v>1437</v>
      </c>
      <c r="F132" s="337" t="s">
        <v>412</v>
      </c>
      <c r="G132" s="346">
        <v>500000</v>
      </c>
      <c r="H132" s="346">
        <v>66650</v>
      </c>
      <c r="I132" s="340">
        <f t="shared" si="25"/>
        <v>566650</v>
      </c>
      <c r="J132" s="348">
        <v>50</v>
      </c>
      <c r="K132" s="380">
        <v>11333</v>
      </c>
      <c r="L132" s="356">
        <f t="shared" si="32"/>
        <v>1333</v>
      </c>
      <c r="M132" s="356">
        <f t="shared" si="26"/>
        <v>10000</v>
      </c>
      <c r="N132" s="356">
        <f t="shared" si="27"/>
        <v>37324</v>
      </c>
      <c r="O132" s="356">
        <f t="shared" si="28"/>
        <v>29326</v>
      </c>
      <c r="P132" s="348">
        <v>28</v>
      </c>
      <c r="Q132" s="354">
        <f t="shared" si="29"/>
        <v>22</v>
      </c>
      <c r="R132" s="339">
        <f t="shared" si="30"/>
        <v>317324</v>
      </c>
      <c r="S132" s="339">
        <f t="shared" si="31"/>
        <v>249326</v>
      </c>
      <c r="T132" s="337"/>
    </row>
    <row r="133" spans="1:20">
      <c r="A133" s="378"/>
      <c r="B133" s="378"/>
      <c r="C133" s="364" t="s">
        <v>1091</v>
      </c>
      <c r="D133" s="367">
        <v>129</v>
      </c>
      <c r="E133" s="337" t="s">
        <v>1437</v>
      </c>
      <c r="F133" s="337" t="s">
        <v>1092</v>
      </c>
      <c r="G133" s="346">
        <v>500000</v>
      </c>
      <c r="H133" s="346">
        <v>66650</v>
      </c>
      <c r="I133" s="340">
        <f t="shared" ref="I133:I160" si="33">SUM(G133:H133)</f>
        <v>566650</v>
      </c>
      <c r="J133" s="348">
        <v>50</v>
      </c>
      <c r="K133" s="380">
        <v>11333</v>
      </c>
      <c r="L133" s="356">
        <f t="shared" si="32"/>
        <v>1333</v>
      </c>
      <c r="M133" s="356">
        <f t="shared" ref="M133:M160" si="34">G133/50</f>
        <v>10000</v>
      </c>
      <c r="N133" s="356">
        <f t="shared" ref="N133:N160" si="35">L133*P133</f>
        <v>77314</v>
      </c>
      <c r="O133" s="356">
        <f t="shared" ref="O133:O164" si="36">L133*Q133</f>
        <v>-10664</v>
      </c>
      <c r="P133" s="348">
        <v>58</v>
      </c>
      <c r="Q133" s="354">
        <f t="shared" ref="Q133:Q160" si="37">J133-P133</f>
        <v>-8</v>
      </c>
      <c r="R133" s="339">
        <f t="shared" ref="R133:R160" si="38">K133*P133</f>
        <v>657314</v>
      </c>
      <c r="S133" s="339">
        <f t="shared" ref="S133:S164" si="39">I133-R133</f>
        <v>-90664</v>
      </c>
      <c r="T133" s="337"/>
    </row>
    <row r="134" spans="1:20">
      <c r="A134" s="378"/>
      <c r="B134" s="378"/>
      <c r="C134" s="363" t="s">
        <v>1087</v>
      </c>
      <c r="D134" s="367">
        <v>130</v>
      </c>
      <c r="E134" s="337" t="s">
        <v>1437</v>
      </c>
      <c r="F134" s="337" t="s">
        <v>1088</v>
      </c>
      <c r="G134" s="346">
        <v>500000</v>
      </c>
      <c r="H134" s="346">
        <v>66650</v>
      </c>
      <c r="I134" s="340">
        <f t="shared" si="33"/>
        <v>566650</v>
      </c>
      <c r="J134" s="348">
        <v>50</v>
      </c>
      <c r="K134" s="380">
        <v>11333</v>
      </c>
      <c r="L134" s="356">
        <f t="shared" si="32"/>
        <v>1333</v>
      </c>
      <c r="M134" s="356">
        <f t="shared" si="34"/>
        <v>10000</v>
      </c>
      <c r="N134" s="356">
        <f t="shared" si="35"/>
        <v>77314</v>
      </c>
      <c r="O134" s="356">
        <f t="shared" si="36"/>
        <v>-10664</v>
      </c>
      <c r="P134" s="348">
        <v>58</v>
      </c>
      <c r="Q134" s="354">
        <f t="shared" si="37"/>
        <v>-8</v>
      </c>
      <c r="R134" s="339">
        <f t="shared" si="38"/>
        <v>657314</v>
      </c>
      <c r="S134" s="339">
        <f t="shared" si="39"/>
        <v>-90664</v>
      </c>
      <c r="T134" s="337"/>
    </row>
    <row r="135" spans="1:20">
      <c r="A135" s="378"/>
      <c r="B135" s="378"/>
      <c r="C135" s="363" t="s">
        <v>1324</v>
      </c>
      <c r="D135" s="367">
        <v>131</v>
      </c>
      <c r="E135" s="337" t="s">
        <v>1437</v>
      </c>
      <c r="F135" s="337" t="s">
        <v>1325</v>
      </c>
      <c r="G135" s="346">
        <v>500000</v>
      </c>
      <c r="H135" s="346">
        <v>66650</v>
      </c>
      <c r="I135" s="340">
        <f t="shared" si="33"/>
        <v>566650</v>
      </c>
      <c r="J135" s="348">
        <v>50</v>
      </c>
      <c r="K135" s="380">
        <v>11333</v>
      </c>
      <c r="L135" s="356">
        <f t="shared" si="32"/>
        <v>1333</v>
      </c>
      <c r="M135" s="356">
        <f t="shared" si="34"/>
        <v>10000</v>
      </c>
      <c r="N135" s="356">
        <f t="shared" si="35"/>
        <v>14663</v>
      </c>
      <c r="O135" s="356">
        <f t="shared" si="36"/>
        <v>51987</v>
      </c>
      <c r="P135" s="348">
        <v>11</v>
      </c>
      <c r="Q135" s="354">
        <f t="shared" si="37"/>
        <v>39</v>
      </c>
      <c r="R135" s="339">
        <f t="shared" si="38"/>
        <v>124663</v>
      </c>
      <c r="S135" s="339">
        <f t="shared" si="39"/>
        <v>441987</v>
      </c>
      <c r="T135" s="337"/>
    </row>
    <row r="136" spans="1:20">
      <c r="A136" s="378"/>
      <c r="B136" s="378"/>
      <c r="C136" s="363" t="s">
        <v>1340</v>
      </c>
      <c r="D136" s="367">
        <v>132</v>
      </c>
      <c r="E136" s="337" t="s">
        <v>1437</v>
      </c>
      <c r="F136" s="337" t="s">
        <v>410</v>
      </c>
      <c r="G136" s="346">
        <v>500000</v>
      </c>
      <c r="H136" s="346">
        <v>66650</v>
      </c>
      <c r="I136" s="340">
        <f t="shared" si="33"/>
        <v>566650</v>
      </c>
      <c r="J136" s="348">
        <v>50</v>
      </c>
      <c r="K136" s="380">
        <v>11333</v>
      </c>
      <c r="L136" s="356">
        <f t="shared" si="32"/>
        <v>1333</v>
      </c>
      <c r="M136" s="356">
        <f t="shared" si="34"/>
        <v>10000</v>
      </c>
      <c r="N136" s="356">
        <f t="shared" si="35"/>
        <v>14663</v>
      </c>
      <c r="O136" s="356">
        <f t="shared" si="36"/>
        <v>51987</v>
      </c>
      <c r="P136" s="348">
        <v>11</v>
      </c>
      <c r="Q136" s="354">
        <f t="shared" si="37"/>
        <v>39</v>
      </c>
      <c r="R136" s="339">
        <f t="shared" si="38"/>
        <v>124663</v>
      </c>
      <c r="S136" s="339">
        <f t="shared" si="39"/>
        <v>441987</v>
      </c>
      <c r="T136" s="337"/>
    </row>
    <row r="137" spans="1:20">
      <c r="A137" s="378"/>
      <c r="B137" s="378"/>
      <c r="C137" s="363" t="s">
        <v>1021</v>
      </c>
      <c r="D137" s="367">
        <v>133</v>
      </c>
      <c r="E137" s="337" t="s">
        <v>1437</v>
      </c>
      <c r="F137" s="337" t="s">
        <v>1022</v>
      </c>
      <c r="G137" s="346">
        <v>330000</v>
      </c>
      <c r="H137" s="346">
        <v>43989</v>
      </c>
      <c r="I137" s="340">
        <f t="shared" si="33"/>
        <v>373989</v>
      </c>
      <c r="J137" s="348">
        <v>50</v>
      </c>
      <c r="K137" s="380">
        <v>7479.78</v>
      </c>
      <c r="L137" s="356">
        <f t="shared" si="32"/>
        <v>879.78</v>
      </c>
      <c r="M137" s="356">
        <f t="shared" si="34"/>
        <v>6600</v>
      </c>
      <c r="N137" s="356">
        <f t="shared" si="35"/>
        <v>21994.5</v>
      </c>
      <c r="O137" s="356">
        <f t="shared" si="36"/>
        <v>21994.5</v>
      </c>
      <c r="P137" s="348">
        <v>25</v>
      </c>
      <c r="Q137" s="354">
        <f t="shared" si="37"/>
        <v>25</v>
      </c>
      <c r="R137" s="339">
        <f t="shared" si="38"/>
        <v>186994.5</v>
      </c>
      <c r="S137" s="339">
        <f t="shared" si="39"/>
        <v>186994.5</v>
      </c>
      <c r="T137" s="337"/>
    </row>
    <row r="138" spans="1:20">
      <c r="A138" s="378"/>
      <c r="B138" s="378"/>
      <c r="C138" s="362" t="s">
        <v>1385</v>
      </c>
      <c r="D138" s="367">
        <v>134</v>
      </c>
      <c r="E138" s="337" t="s">
        <v>1437</v>
      </c>
      <c r="F138" s="337" t="s">
        <v>1295</v>
      </c>
      <c r="G138" s="346">
        <v>330000</v>
      </c>
      <c r="H138" s="346">
        <v>43989</v>
      </c>
      <c r="I138" s="340">
        <f t="shared" si="33"/>
        <v>373989</v>
      </c>
      <c r="J138" s="348">
        <v>50</v>
      </c>
      <c r="K138" s="380">
        <v>7479.78</v>
      </c>
      <c r="L138" s="356">
        <f t="shared" si="32"/>
        <v>879.78</v>
      </c>
      <c r="M138" s="356">
        <f t="shared" si="34"/>
        <v>6600</v>
      </c>
      <c r="N138" s="356">
        <f t="shared" si="35"/>
        <v>11437.14</v>
      </c>
      <c r="O138" s="356">
        <f t="shared" si="36"/>
        <v>32551.86</v>
      </c>
      <c r="P138" s="348">
        <v>13</v>
      </c>
      <c r="Q138" s="354">
        <f t="shared" si="37"/>
        <v>37</v>
      </c>
      <c r="R138" s="339">
        <f t="shared" si="38"/>
        <v>97237.14</v>
      </c>
      <c r="S138" s="339">
        <f t="shared" si="39"/>
        <v>276751.86</v>
      </c>
      <c r="T138" s="337"/>
    </row>
    <row r="139" spans="1:20">
      <c r="A139" s="378"/>
      <c r="B139" s="378"/>
      <c r="C139" s="337" t="s">
        <v>1128</v>
      </c>
      <c r="D139" s="367">
        <v>135</v>
      </c>
      <c r="E139" s="337" t="s">
        <v>1437</v>
      </c>
      <c r="F139" s="337" t="s">
        <v>462</v>
      </c>
      <c r="G139" s="346">
        <v>450000</v>
      </c>
      <c r="H139" s="346">
        <v>59985</v>
      </c>
      <c r="I139" s="340">
        <f t="shared" si="33"/>
        <v>509985</v>
      </c>
      <c r="J139" s="348">
        <v>50</v>
      </c>
      <c r="K139" s="381">
        <v>10199.700000000001</v>
      </c>
      <c r="L139" s="356">
        <f t="shared" si="32"/>
        <v>1199.7</v>
      </c>
      <c r="M139" s="356">
        <f t="shared" si="34"/>
        <v>9000</v>
      </c>
      <c r="N139" s="356">
        <f t="shared" si="35"/>
        <v>4798.8</v>
      </c>
      <c r="O139" s="356">
        <f t="shared" si="36"/>
        <v>55186.200000000004</v>
      </c>
      <c r="P139" s="358">
        <v>4</v>
      </c>
      <c r="Q139" s="354">
        <f t="shared" si="37"/>
        <v>46</v>
      </c>
      <c r="R139" s="339">
        <f t="shared" si="38"/>
        <v>40798.800000000003</v>
      </c>
      <c r="S139" s="339">
        <f t="shared" si="39"/>
        <v>469186.2</v>
      </c>
      <c r="T139" s="337"/>
    </row>
    <row r="140" spans="1:20">
      <c r="A140" s="378"/>
      <c r="B140" s="378"/>
      <c r="C140" s="362" t="s">
        <v>1004</v>
      </c>
      <c r="D140" s="367">
        <v>136</v>
      </c>
      <c r="E140" s="337" t="s">
        <v>1437</v>
      </c>
      <c r="F140" s="337" t="s">
        <v>107</v>
      </c>
      <c r="G140" s="346">
        <v>450000</v>
      </c>
      <c r="H140" s="346">
        <v>59985</v>
      </c>
      <c r="I140" s="340">
        <f t="shared" si="33"/>
        <v>509985</v>
      </c>
      <c r="J140" s="348">
        <v>50</v>
      </c>
      <c r="K140" s="380">
        <v>10199.700000000001</v>
      </c>
      <c r="L140" s="356">
        <f t="shared" si="32"/>
        <v>1199.7</v>
      </c>
      <c r="M140" s="356">
        <f t="shared" si="34"/>
        <v>9000</v>
      </c>
      <c r="N140" s="356">
        <f t="shared" si="35"/>
        <v>25193.7</v>
      </c>
      <c r="O140" s="356">
        <f t="shared" si="36"/>
        <v>34791.300000000003</v>
      </c>
      <c r="P140" s="348">
        <v>21</v>
      </c>
      <c r="Q140" s="354">
        <f t="shared" si="37"/>
        <v>29</v>
      </c>
      <c r="R140" s="339">
        <f t="shared" si="38"/>
        <v>214193.7</v>
      </c>
      <c r="S140" s="339">
        <f t="shared" si="39"/>
        <v>295791.3</v>
      </c>
      <c r="T140" s="337"/>
    </row>
    <row r="141" spans="1:20">
      <c r="A141" s="378"/>
      <c r="B141" s="378"/>
      <c r="C141" s="362" t="s">
        <v>1140</v>
      </c>
      <c r="D141" s="367">
        <v>137</v>
      </c>
      <c r="E141" s="337" t="s">
        <v>1437</v>
      </c>
      <c r="F141" s="337" t="s">
        <v>372</v>
      </c>
      <c r="G141" s="346">
        <v>330000</v>
      </c>
      <c r="H141" s="346">
        <v>43989</v>
      </c>
      <c r="I141" s="340">
        <f t="shared" si="33"/>
        <v>373989</v>
      </c>
      <c r="J141" s="348">
        <v>50</v>
      </c>
      <c r="K141" s="380">
        <v>7479.78</v>
      </c>
      <c r="L141" s="356">
        <f t="shared" si="32"/>
        <v>879.78</v>
      </c>
      <c r="M141" s="356">
        <f t="shared" si="34"/>
        <v>6600</v>
      </c>
      <c r="N141" s="356">
        <f t="shared" si="35"/>
        <v>18475.38</v>
      </c>
      <c r="O141" s="356">
        <f t="shared" si="36"/>
        <v>25513.62</v>
      </c>
      <c r="P141" s="348">
        <v>21</v>
      </c>
      <c r="Q141" s="354">
        <f t="shared" si="37"/>
        <v>29</v>
      </c>
      <c r="R141" s="339">
        <f t="shared" si="38"/>
        <v>157075.38</v>
      </c>
      <c r="S141" s="339">
        <f t="shared" si="39"/>
        <v>216913.62</v>
      </c>
      <c r="T141" s="337"/>
    </row>
    <row r="142" spans="1:20">
      <c r="A142" s="378"/>
      <c r="B142" s="378"/>
      <c r="C142" s="362" t="s">
        <v>1136</v>
      </c>
      <c r="D142" s="367">
        <v>138</v>
      </c>
      <c r="E142" s="337" t="s">
        <v>1437</v>
      </c>
      <c r="F142" s="337" t="s">
        <v>1137</v>
      </c>
      <c r="G142" s="346">
        <v>330000</v>
      </c>
      <c r="H142" s="346">
        <v>43989</v>
      </c>
      <c r="I142" s="340">
        <f t="shared" si="33"/>
        <v>373989</v>
      </c>
      <c r="J142" s="348">
        <v>50</v>
      </c>
      <c r="K142" s="380">
        <v>7479.78</v>
      </c>
      <c r="L142" s="356">
        <f t="shared" si="32"/>
        <v>879.78</v>
      </c>
      <c r="M142" s="356">
        <f t="shared" si="34"/>
        <v>6600</v>
      </c>
      <c r="N142" s="356">
        <f t="shared" si="35"/>
        <v>18475.38</v>
      </c>
      <c r="O142" s="356">
        <f t="shared" si="36"/>
        <v>25513.62</v>
      </c>
      <c r="P142" s="348">
        <v>21</v>
      </c>
      <c r="Q142" s="354">
        <f t="shared" si="37"/>
        <v>29</v>
      </c>
      <c r="R142" s="339">
        <f t="shared" si="38"/>
        <v>157075.38</v>
      </c>
      <c r="S142" s="339">
        <f t="shared" si="39"/>
        <v>216913.62</v>
      </c>
      <c r="T142" s="337"/>
    </row>
    <row r="143" spans="1:20">
      <c r="A143" s="378"/>
      <c r="B143" s="378"/>
      <c r="C143" s="337" t="s">
        <v>1452</v>
      </c>
      <c r="D143" s="367">
        <v>139</v>
      </c>
      <c r="E143" s="337" t="s">
        <v>1437</v>
      </c>
      <c r="F143" s="337" t="s">
        <v>1453</v>
      </c>
      <c r="G143" s="346">
        <v>500000</v>
      </c>
      <c r="H143" s="346">
        <v>66650</v>
      </c>
      <c r="I143" s="340">
        <f t="shared" si="33"/>
        <v>566650</v>
      </c>
      <c r="J143" s="348">
        <v>50</v>
      </c>
      <c r="K143" s="381">
        <v>11333</v>
      </c>
      <c r="L143" s="356">
        <f t="shared" si="32"/>
        <v>1333</v>
      </c>
      <c r="M143" s="356">
        <f t="shared" si="34"/>
        <v>10000</v>
      </c>
      <c r="N143" s="356">
        <f t="shared" si="35"/>
        <v>5332</v>
      </c>
      <c r="O143" s="356">
        <f t="shared" si="36"/>
        <v>61318</v>
      </c>
      <c r="P143" s="358">
        <v>4</v>
      </c>
      <c r="Q143" s="354">
        <f t="shared" si="37"/>
        <v>46</v>
      </c>
      <c r="R143" s="339">
        <f t="shared" si="38"/>
        <v>45332</v>
      </c>
      <c r="S143" s="339">
        <f t="shared" si="39"/>
        <v>521318</v>
      </c>
      <c r="T143" s="337"/>
    </row>
    <row r="144" spans="1:20">
      <c r="A144" s="378"/>
      <c r="B144" s="378"/>
      <c r="C144" s="362" t="s">
        <v>1115</v>
      </c>
      <c r="D144" s="367">
        <v>140</v>
      </c>
      <c r="E144" s="337" t="s">
        <v>1437</v>
      </c>
      <c r="F144" s="337" t="s">
        <v>1116</v>
      </c>
      <c r="G144" s="346">
        <v>200000</v>
      </c>
      <c r="H144" s="346">
        <v>26660</v>
      </c>
      <c r="I144" s="340">
        <f t="shared" si="33"/>
        <v>226660</v>
      </c>
      <c r="J144" s="348">
        <v>50</v>
      </c>
      <c r="K144" s="380">
        <v>5099.8500000000004</v>
      </c>
      <c r="L144" s="356">
        <f t="shared" si="32"/>
        <v>533.20000000000005</v>
      </c>
      <c r="M144" s="356">
        <f t="shared" si="34"/>
        <v>4000</v>
      </c>
      <c r="N144" s="356">
        <f t="shared" si="35"/>
        <v>11197.2</v>
      </c>
      <c r="O144" s="356">
        <f t="shared" si="36"/>
        <v>15462.800000000001</v>
      </c>
      <c r="P144" s="348">
        <v>21</v>
      </c>
      <c r="Q144" s="354">
        <f t="shared" si="37"/>
        <v>29</v>
      </c>
      <c r="R144" s="339">
        <f t="shared" si="38"/>
        <v>107096.85</v>
      </c>
      <c r="S144" s="339">
        <f t="shared" si="39"/>
        <v>119563.15</v>
      </c>
      <c r="T144" s="337"/>
    </row>
    <row r="145" spans="1:20">
      <c r="A145" s="378"/>
      <c r="B145" s="378"/>
      <c r="C145" s="366" t="s">
        <v>1408</v>
      </c>
      <c r="D145" s="367">
        <v>141</v>
      </c>
      <c r="E145" s="337" t="s">
        <v>1437</v>
      </c>
      <c r="F145" s="337" t="s">
        <v>406</v>
      </c>
      <c r="G145" s="346">
        <v>500000</v>
      </c>
      <c r="H145" s="346">
        <v>66650</v>
      </c>
      <c r="I145" s="340">
        <f t="shared" si="33"/>
        <v>566650</v>
      </c>
      <c r="J145" s="348">
        <v>40</v>
      </c>
      <c r="K145" s="380">
        <v>13833</v>
      </c>
      <c r="L145" s="356">
        <f t="shared" si="32"/>
        <v>1333</v>
      </c>
      <c r="M145" s="356">
        <f t="shared" si="34"/>
        <v>10000</v>
      </c>
      <c r="N145" s="356">
        <f t="shared" si="35"/>
        <v>9331</v>
      </c>
      <c r="O145" s="356">
        <f t="shared" si="36"/>
        <v>43989</v>
      </c>
      <c r="P145" s="348">
        <v>7</v>
      </c>
      <c r="Q145" s="354">
        <f t="shared" si="37"/>
        <v>33</v>
      </c>
      <c r="R145" s="339">
        <f t="shared" si="38"/>
        <v>96831</v>
      </c>
      <c r="S145" s="339">
        <f t="shared" si="39"/>
        <v>469819</v>
      </c>
      <c r="T145" s="337"/>
    </row>
    <row r="146" spans="1:20">
      <c r="A146" s="378"/>
      <c r="B146" s="378"/>
      <c r="C146" s="364" t="s">
        <v>1134</v>
      </c>
      <c r="D146" s="367">
        <v>142</v>
      </c>
      <c r="E146" s="337" t="s">
        <v>1437</v>
      </c>
      <c r="F146" s="337" t="s">
        <v>1135</v>
      </c>
      <c r="G146" s="346">
        <v>500000</v>
      </c>
      <c r="H146" s="346">
        <v>66650</v>
      </c>
      <c r="I146" s="340">
        <f t="shared" si="33"/>
        <v>566650</v>
      </c>
      <c r="J146" s="348">
        <v>50</v>
      </c>
      <c r="K146" s="380">
        <v>11333</v>
      </c>
      <c r="L146" s="356">
        <f t="shared" si="32"/>
        <v>1333</v>
      </c>
      <c r="M146" s="356">
        <f t="shared" si="34"/>
        <v>10000</v>
      </c>
      <c r="N146" s="356">
        <f t="shared" si="35"/>
        <v>27993</v>
      </c>
      <c r="O146" s="356">
        <f t="shared" si="36"/>
        <v>38657</v>
      </c>
      <c r="P146" s="348">
        <v>21</v>
      </c>
      <c r="Q146" s="354">
        <f t="shared" si="37"/>
        <v>29</v>
      </c>
      <c r="R146" s="339">
        <f t="shared" si="38"/>
        <v>237993</v>
      </c>
      <c r="S146" s="339">
        <f t="shared" si="39"/>
        <v>328657</v>
      </c>
      <c r="T146" s="337"/>
    </row>
    <row r="147" spans="1:20">
      <c r="A147" s="378"/>
      <c r="B147" s="378"/>
      <c r="C147" s="365" t="s">
        <v>1048</v>
      </c>
      <c r="D147" s="367">
        <v>143</v>
      </c>
      <c r="E147" s="337" t="s">
        <v>1437</v>
      </c>
      <c r="F147" s="337" t="s">
        <v>1049</v>
      </c>
      <c r="G147" s="346">
        <v>450000</v>
      </c>
      <c r="H147" s="346">
        <v>59985</v>
      </c>
      <c r="I147" s="340">
        <f t="shared" si="33"/>
        <v>509985</v>
      </c>
      <c r="J147" s="348">
        <v>50</v>
      </c>
      <c r="K147" s="380">
        <v>10199.700000000001</v>
      </c>
      <c r="L147" s="356">
        <f t="shared" si="32"/>
        <v>1199.7</v>
      </c>
      <c r="M147" s="356">
        <f t="shared" si="34"/>
        <v>9000</v>
      </c>
      <c r="N147" s="356">
        <f t="shared" si="35"/>
        <v>52786.8</v>
      </c>
      <c r="O147" s="356">
        <f t="shared" si="36"/>
        <v>7198.2000000000007</v>
      </c>
      <c r="P147" s="348">
        <v>44</v>
      </c>
      <c r="Q147" s="354">
        <f t="shared" si="37"/>
        <v>6</v>
      </c>
      <c r="R147" s="339">
        <f t="shared" si="38"/>
        <v>448786.80000000005</v>
      </c>
      <c r="S147" s="339">
        <f t="shared" si="39"/>
        <v>61198.199999999953</v>
      </c>
      <c r="T147" s="337"/>
    </row>
    <row r="148" spans="1:20">
      <c r="A148" s="378"/>
      <c r="B148" s="378"/>
      <c r="C148" s="364" t="s">
        <v>1090</v>
      </c>
      <c r="D148" s="367">
        <v>144</v>
      </c>
      <c r="E148" s="337" t="s">
        <v>1437</v>
      </c>
      <c r="F148" s="337" t="s">
        <v>295</v>
      </c>
      <c r="G148" s="346">
        <v>500000</v>
      </c>
      <c r="H148" s="346">
        <v>66650</v>
      </c>
      <c r="I148" s="340">
        <f t="shared" si="33"/>
        <v>566650</v>
      </c>
      <c r="J148" s="348">
        <v>50</v>
      </c>
      <c r="K148" s="380">
        <v>11333</v>
      </c>
      <c r="L148" s="356">
        <f t="shared" si="32"/>
        <v>1333</v>
      </c>
      <c r="M148" s="356">
        <f t="shared" si="34"/>
        <v>10000</v>
      </c>
      <c r="N148" s="356">
        <f t="shared" si="35"/>
        <v>37324</v>
      </c>
      <c r="O148" s="356">
        <f t="shared" si="36"/>
        <v>29326</v>
      </c>
      <c r="P148" s="348">
        <v>28</v>
      </c>
      <c r="Q148" s="354">
        <f t="shared" si="37"/>
        <v>22</v>
      </c>
      <c r="R148" s="339">
        <f t="shared" si="38"/>
        <v>317324</v>
      </c>
      <c r="S148" s="339">
        <f t="shared" si="39"/>
        <v>249326</v>
      </c>
      <c r="T148" s="337"/>
    </row>
    <row r="149" spans="1:20">
      <c r="A149" s="378"/>
      <c r="B149" s="378"/>
      <c r="C149" s="362" t="s">
        <v>1337</v>
      </c>
      <c r="D149" s="367">
        <v>145</v>
      </c>
      <c r="E149" s="337" t="s">
        <v>1437</v>
      </c>
      <c r="F149" s="337" t="s">
        <v>1280</v>
      </c>
      <c r="G149" s="346">
        <v>500000</v>
      </c>
      <c r="H149" s="346">
        <v>66650</v>
      </c>
      <c r="I149" s="340">
        <f t="shared" si="33"/>
        <v>566650</v>
      </c>
      <c r="J149" s="348">
        <v>50</v>
      </c>
      <c r="K149" s="380">
        <v>11333</v>
      </c>
      <c r="L149" s="356">
        <f t="shared" si="32"/>
        <v>1333</v>
      </c>
      <c r="M149" s="356">
        <f t="shared" si="34"/>
        <v>10000</v>
      </c>
      <c r="N149" s="356">
        <f t="shared" si="35"/>
        <v>17329</v>
      </c>
      <c r="O149" s="356">
        <f t="shared" si="36"/>
        <v>49321</v>
      </c>
      <c r="P149" s="348">
        <v>13</v>
      </c>
      <c r="Q149" s="354">
        <f t="shared" si="37"/>
        <v>37</v>
      </c>
      <c r="R149" s="339">
        <f t="shared" si="38"/>
        <v>147329</v>
      </c>
      <c r="S149" s="339">
        <f t="shared" si="39"/>
        <v>419321</v>
      </c>
      <c r="T149" s="337"/>
    </row>
    <row r="150" spans="1:20">
      <c r="A150" s="378"/>
      <c r="B150" s="378"/>
      <c r="C150" s="337" t="s">
        <v>1415</v>
      </c>
      <c r="D150" s="367">
        <v>146</v>
      </c>
      <c r="E150" s="337" t="s">
        <v>1437</v>
      </c>
      <c r="F150" s="337" t="s">
        <v>1416</v>
      </c>
      <c r="G150" s="346">
        <v>500000</v>
      </c>
      <c r="H150" s="346">
        <v>66650</v>
      </c>
      <c r="I150" s="340">
        <f t="shared" si="33"/>
        <v>566650</v>
      </c>
      <c r="J150" s="358">
        <v>50</v>
      </c>
      <c r="K150" s="381">
        <v>11333</v>
      </c>
      <c r="L150" s="356">
        <f t="shared" si="32"/>
        <v>1333</v>
      </c>
      <c r="M150" s="356">
        <f t="shared" si="34"/>
        <v>10000</v>
      </c>
      <c r="N150" s="356">
        <f t="shared" si="35"/>
        <v>7998</v>
      </c>
      <c r="O150" s="356">
        <f t="shared" si="36"/>
        <v>58652</v>
      </c>
      <c r="P150" s="358">
        <v>6</v>
      </c>
      <c r="Q150" s="354">
        <f t="shared" si="37"/>
        <v>44</v>
      </c>
      <c r="R150" s="339">
        <f t="shared" si="38"/>
        <v>67998</v>
      </c>
      <c r="S150" s="339">
        <f t="shared" si="39"/>
        <v>498652</v>
      </c>
      <c r="T150" s="337"/>
    </row>
    <row r="151" spans="1:20">
      <c r="A151" s="378"/>
      <c r="B151" s="378"/>
      <c r="C151" s="363" t="s">
        <v>1023</v>
      </c>
      <c r="D151" s="367">
        <v>147</v>
      </c>
      <c r="E151" s="337" t="s">
        <v>1437</v>
      </c>
      <c r="F151" s="337" t="s">
        <v>321</v>
      </c>
      <c r="G151" s="346">
        <v>500000</v>
      </c>
      <c r="H151" s="346">
        <v>66650</v>
      </c>
      <c r="I151" s="340">
        <f t="shared" si="33"/>
        <v>566650</v>
      </c>
      <c r="J151" s="348">
        <v>50</v>
      </c>
      <c r="K151" s="380">
        <v>11333</v>
      </c>
      <c r="L151" s="356">
        <f t="shared" si="32"/>
        <v>1333</v>
      </c>
      <c r="M151" s="356">
        <f t="shared" si="34"/>
        <v>10000</v>
      </c>
      <c r="N151" s="356">
        <f t="shared" si="35"/>
        <v>77314</v>
      </c>
      <c r="O151" s="356">
        <f t="shared" si="36"/>
        <v>-10664</v>
      </c>
      <c r="P151" s="348">
        <v>58</v>
      </c>
      <c r="Q151" s="354">
        <f t="shared" si="37"/>
        <v>-8</v>
      </c>
      <c r="R151" s="339">
        <f t="shared" si="38"/>
        <v>657314</v>
      </c>
      <c r="S151" s="339">
        <f t="shared" si="39"/>
        <v>-90664</v>
      </c>
      <c r="T151" s="337"/>
    </row>
    <row r="152" spans="1:20">
      <c r="A152" s="378"/>
      <c r="B152" s="378"/>
      <c r="C152" s="364" t="s">
        <v>1354</v>
      </c>
      <c r="D152" s="367">
        <v>148</v>
      </c>
      <c r="E152" s="337" t="s">
        <v>1437</v>
      </c>
      <c r="F152" s="337" t="s">
        <v>450</v>
      </c>
      <c r="G152" s="346">
        <v>450000</v>
      </c>
      <c r="H152" s="346">
        <v>59985</v>
      </c>
      <c r="I152" s="340">
        <f t="shared" si="33"/>
        <v>509985</v>
      </c>
      <c r="J152" s="348">
        <v>50</v>
      </c>
      <c r="K152" s="380">
        <v>10199.700000000001</v>
      </c>
      <c r="L152" s="356">
        <f t="shared" si="32"/>
        <v>1199.7</v>
      </c>
      <c r="M152" s="356">
        <f t="shared" si="34"/>
        <v>9000</v>
      </c>
      <c r="N152" s="356">
        <f t="shared" si="35"/>
        <v>23994</v>
      </c>
      <c r="O152" s="356">
        <f t="shared" si="36"/>
        <v>35991</v>
      </c>
      <c r="P152" s="348">
        <v>20</v>
      </c>
      <c r="Q152" s="354">
        <f t="shared" si="37"/>
        <v>30</v>
      </c>
      <c r="R152" s="339">
        <f t="shared" si="38"/>
        <v>203994</v>
      </c>
      <c r="S152" s="339">
        <f t="shared" si="39"/>
        <v>305991</v>
      </c>
      <c r="T152" s="337"/>
    </row>
    <row r="153" spans="1:20">
      <c r="A153" s="378"/>
      <c r="B153" s="378"/>
      <c r="C153" s="364" t="s">
        <v>1394</v>
      </c>
      <c r="D153" s="367">
        <v>149</v>
      </c>
      <c r="E153" s="337" t="s">
        <v>1437</v>
      </c>
      <c r="F153" s="337" t="s">
        <v>1395</v>
      </c>
      <c r="G153" s="346">
        <v>150000</v>
      </c>
      <c r="H153" s="346">
        <v>19995</v>
      </c>
      <c r="I153" s="340">
        <f t="shared" si="33"/>
        <v>169995</v>
      </c>
      <c r="J153" s="348">
        <v>40</v>
      </c>
      <c r="K153" s="380">
        <v>4149.8999999999996</v>
      </c>
      <c r="L153" s="356">
        <f t="shared" si="32"/>
        <v>399.9</v>
      </c>
      <c r="M153" s="356">
        <f t="shared" si="34"/>
        <v>3000</v>
      </c>
      <c r="N153" s="356">
        <f t="shared" si="35"/>
        <v>3199.2</v>
      </c>
      <c r="O153" s="356">
        <f t="shared" si="36"/>
        <v>12796.8</v>
      </c>
      <c r="P153" s="348">
        <v>8</v>
      </c>
      <c r="Q153" s="354">
        <f t="shared" si="37"/>
        <v>32</v>
      </c>
      <c r="R153" s="339">
        <f t="shared" si="38"/>
        <v>33199.199999999997</v>
      </c>
      <c r="S153" s="339">
        <f t="shared" si="39"/>
        <v>136795.79999999999</v>
      </c>
      <c r="T153" s="337"/>
    </row>
    <row r="154" spans="1:20">
      <c r="A154" s="378"/>
      <c r="B154" s="378"/>
      <c r="C154" s="363" t="s">
        <v>968</v>
      </c>
      <c r="D154" s="367">
        <v>150</v>
      </c>
      <c r="E154" s="337" t="s">
        <v>1437</v>
      </c>
      <c r="F154" s="337" t="s">
        <v>490</v>
      </c>
      <c r="G154" s="346">
        <v>330000</v>
      </c>
      <c r="H154" s="346">
        <v>43989</v>
      </c>
      <c r="I154" s="340">
        <f t="shared" si="33"/>
        <v>373989</v>
      </c>
      <c r="J154" s="348">
        <v>50</v>
      </c>
      <c r="K154" s="380">
        <v>7479.78</v>
      </c>
      <c r="L154" s="356">
        <f t="shared" si="32"/>
        <v>879.78</v>
      </c>
      <c r="M154" s="356">
        <f t="shared" si="34"/>
        <v>6600</v>
      </c>
      <c r="N154" s="356">
        <f t="shared" si="35"/>
        <v>29032.739999999998</v>
      </c>
      <c r="O154" s="356">
        <f t="shared" si="36"/>
        <v>14956.26</v>
      </c>
      <c r="P154" s="348">
        <v>33</v>
      </c>
      <c r="Q154" s="354">
        <f t="shared" si="37"/>
        <v>17</v>
      </c>
      <c r="R154" s="339">
        <f t="shared" si="38"/>
        <v>246832.74</v>
      </c>
      <c r="S154" s="339">
        <f t="shared" si="39"/>
        <v>127156.26000000001</v>
      </c>
      <c r="T154" s="337"/>
    </row>
    <row r="155" spans="1:20">
      <c r="A155" s="378"/>
      <c r="B155" s="378"/>
      <c r="C155" s="365" t="s">
        <v>1036</v>
      </c>
      <c r="D155" s="367">
        <v>151</v>
      </c>
      <c r="E155" s="337" t="s">
        <v>1437</v>
      </c>
      <c r="F155" s="337" t="s">
        <v>216</v>
      </c>
      <c r="G155" s="346">
        <v>60000</v>
      </c>
      <c r="H155" s="346">
        <v>7998</v>
      </c>
      <c r="I155" s="340">
        <f t="shared" si="33"/>
        <v>67998</v>
      </c>
      <c r="J155" s="348">
        <v>40</v>
      </c>
      <c r="K155" s="380">
        <v>1699.95</v>
      </c>
      <c r="L155" s="356">
        <f t="shared" si="32"/>
        <v>159.96</v>
      </c>
      <c r="M155" s="356">
        <f t="shared" si="34"/>
        <v>1200</v>
      </c>
      <c r="N155" s="356">
        <f t="shared" si="35"/>
        <v>5438.64</v>
      </c>
      <c r="O155" s="356">
        <f t="shared" si="36"/>
        <v>959.76</v>
      </c>
      <c r="P155" s="348">
        <v>34</v>
      </c>
      <c r="Q155" s="354">
        <f t="shared" si="37"/>
        <v>6</v>
      </c>
      <c r="R155" s="339">
        <f t="shared" si="38"/>
        <v>57798.3</v>
      </c>
      <c r="S155" s="339">
        <f t="shared" si="39"/>
        <v>10199.699999999997</v>
      </c>
      <c r="T155" s="337"/>
    </row>
    <row r="156" spans="1:20">
      <c r="A156" s="378"/>
      <c r="B156" s="378"/>
      <c r="C156" s="363" t="s">
        <v>1379</v>
      </c>
      <c r="D156" s="367">
        <v>152</v>
      </c>
      <c r="E156" s="337" t="s">
        <v>1437</v>
      </c>
      <c r="F156" s="337" t="s">
        <v>1380</v>
      </c>
      <c r="G156" s="346">
        <v>330000</v>
      </c>
      <c r="H156" s="346">
        <v>43989</v>
      </c>
      <c r="I156" s="340">
        <f t="shared" si="33"/>
        <v>373989</v>
      </c>
      <c r="J156" s="348">
        <v>50</v>
      </c>
      <c r="K156" s="380">
        <v>7479.78</v>
      </c>
      <c r="L156" s="356">
        <f t="shared" si="32"/>
        <v>879.78</v>
      </c>
      <c r="M156" s="356">
        <f t="shared" si="34"/>
        <v>6600</v>
      </c>
      <c r="N156" s="356">
        <f t="shared" si="35"/>
        <v>7038.24</v>
      </c>
      <c r="O156" s="356">
        <f t="shared" si="36"/>
        <v>36950.76</v>
      </c>
      <c r="P156" s="348">
        <v>8</v>
      </c>
      <c r="Q156" s="354">
        <f t="shared" si="37"/>
        <v>42</v>
      </c>
      <c r="R156" s="339">
        <f t="shared" si="38"/>
        <v>59838.239999999998</v>
      </c>
      <c r="S156" s="339">
        <f t="shared" si="39"/>
        <v>314150.76</v>
      </c>
      <c r="T156" s="337"/>
    </row>
    <row r="157" spans="1:20">
      <c r="A157" s="378"/>
      <c r="B157" s="378"/>
      <c r="C157" s="362" t="s">
        <v>1372</v>
      </c>
      <c r="D157" s="367">
        <v>153</v>
      </c>
      <c r="E157" s="337" t="s">
        <v>1437</v>
      </c>
      <c r="F157" s="337" t="s">
        <v>1297</v>
      </c>
      <c r="G157" s="346">
        <v>330000</v>
      </c>
      <c r="H157" s="346">
        <v>43989</v>
      </c>
      <c r="I157" s="340">
        <f t="shared" si="33"/>
        <v>373989</v>
      </c>
      <c r="J157" s="348">
        <v>50</v>
      </c>
      <c r="K157" s="380">
        <v>7479.78</v>
      </c>
      <c r="L157" s="356">
        <f t="shared" si="32"/>
        <v>879.78</v>
      </c>
      <c r="M157" s="356">
        <f t="shared" si="34"/>
        <v>6600</v>
      </c>
      <c r="N157" s="356">
        <f t="shared" si="35"/>
        <v>16715.82</v>
      </c>
      <c r="O157" s="356">
        <f t="shared" si="36"/>
        <v>27273.18</v>
      </c>
      <c r="P157" s="348">
        <v>19</v>
      </c>
      <c r="Q157" s="354">
        <f t="shared" si="37"/>
        <v>31</v>
      </c>
      <c r="R157" s="339">
        <f t="shared" si="38"/>
        <v>142115.82</v>
      </c>
      <c r="S157" s="339">
        <f t="shared" si="39"/>
        <v>231873.18</v>
      </c>
      <c r="T157" s="337"/>
    </row>
    <row r="158" spans="1:20">
      <c r="A158" s="378"/>
      <c r="B158" s="378"/>
      <c r="C158" s="337" t="s">
        <v>1447</v>
      </c>
      <c r="D158" s="367">
        <v>154</v>
      </c>
      <c r="E158" s="337" t="s">
        <v>1437</v>
      </c>
      <c r="F158" s="337" t="s">
        <v>1448</v>
      </c>
      <c r="G158" s="346">
        <v>450000</v>
      </c>
      <c r="H158" s="346">
        <v>59985</v>
      </c>
      <c r="I158" s="340">
        <f t="shared" si="33"/>
        <v>509985</v>
      </c>
      <c r="J158" s="348">
        <v>50</v>
      </c>
      <c r="K158" s="381">
        <v>10199.700000000001</v>
      </c>
      <c r="L158" s="356">
        <f t="shared" si="32"/>
        <v>1199.7</v>
      </c>
      <c r="M158" s="356">
        <f t="shared" si="34"/>
        <v>9000</v>
      </c>
      <c r="N158" s="356">
        <f t="shared" si="35"/>
        <v>4798.8</v>
      </c>
      <c r="O158" s="356">
        <f t="shared" si="36"/>
        <v>55186.200000000004</v>
      </c>
      <c r="P158" s="358">
        <v>4</v>
      </c>
      <c r="Q158" s="354">
        <f t="shared" si="37"/>
        <v>46</v>
      </c>
      <c r="R158" s="339">
        <f t="shared" si="38"/>
        <v>40798.800000000003</v>
      </c>
      <c r="S158" s="339">
        <f t="shared" si="39"/>
        <v>469186.2</v>
      </c>
      <c r="T158" s="337"/>
    </row>
    <row r="159" spans="1:20">
      <c r="A159" s="378"/>
      <c r="B159" s="378"/>
      <c r="C159" s="365" t="s">
        <v>1373</v>
      </c>
      <c r="D159" s="367">
        <v>155</v>
      </c>
      <c r="E159" s="337" t="s">
        <v>1437</v>
      </c>
      <c r="F159" s="337" t="s">
        <v>1374</v>
      </c>
      <c r="G159" s="346">
        <v>330000</v>
      </c>
      <c r="H159" s="346">
        <v>43989</v>
      </c>
      <c r="I159" s="340">
        <f t="shared" si="33"/>
        <v>373989</v>
      </c>
      <c r="J159" s="348">
        <v>50</v>
      </c>
      <c r="K159" s="380">
        <v>7479.78</v>
      </c>
      <c r="L159" s="356">
        <f t="shared" si="32"/>
        <v>879.78</v>
      </c>
      <c r="M159" s="356">
        <f t="shared" si="34"/>
        <v>6600</v>
      </c>
      <c r="N159" s="356">
        <f t="shared" si="35"/>
        <v>7038.24</v>
      </c>
      <c r="O159" s="356">
        <f t="shared" si="36"/>
        <v>36950.76</v>
      </c>
      <c r="P159" s="348">
        <v>8</v>
      </c>
      <c r="Q159" s="354">
        <f t="shared" si="37"/>
        <v>42</v>
      </c>
      <c r="R159" s="339">
        <f t="shared" si="38"/>
        <v>59838.239999999998</v>
      </c>
      <c r="S159" s="339">
        <f t="shared" si="39"/>
        <v>314150.76</v>
      </c>
      <c r="T159" s="337"/>
    </row>
    <row r="160" spans="1:20">
      <c r="A160" s="378"/>
      <c r="B160" s="378"/>
      <c r="C160" s="365" t="s">
        <v>1367</v>
      </c>
      <c r="D160" s="367">
        <v>156</v>
      </c>
      <c r="E160" s="337" t="s">
        <v>1437</v>
      </c>
      <c r="F160" s="337" t="s">
        <v>465</v>
      </c>
      <c r="G160" s="346">
        <v>450000</v>
      </c>
      <c r="H160" s="346">
        <v>59985</v>
      </c>
      <c r="I160" s="340">
        <f t="shared" si="33"/>
        <v>509985</v>
      </c>
      <c r="J160" s="348">
        <v>50</v>
      </c>
      <c r="K160" s="380">
        <v>10199.700000000001</v>
      </c>
      <c r="L160" s="356">
        <f t="shared" si="32"/>
        <v>1199.7</v>
      </c>
      <c r="M160" s="356">
        <f t="shared" si="34"/>
        <v>9000</v>
      </c>
      <c r="N160" s="356">
        <f t="shared" si="35"/>
        <v>33591.599999999999</v>
      </c>
      <c r="O160" s="356">
        <f t="shared" si="36"/>
        <v>26393.4</v>
      </c>
      <c r="P160" s="348">
        <v>28</v>
      </c>
      <c r="Q160" s="354">
        <f t="shared" si="37"/>
        <v>22</v>
      </c>
      <c r="R160" s="339">
        <f t="shared" si="38"/>
        <v>285591.60000000003</v>
      </c>
      <c r="S160" s="339">
        <f t="shared" si="39"/>
        <v>224393.39999999997</v>
      </c>
      <c r="T160" s="337"/>
    </row>
    <row r="161" spans="1:20">
      <c r="A161" s="378"/>
      <c r="B161" s="378"/>
      <c r="C161" s="337" t="s">
        <v>1462</v>
      </c>
      <c r="D161" s="367">
        <v>157</v>
      </c>
      <c r="E161" s="337" t="s">
        <v>1437</v>
      </c>
      <c r="F161" s="337" t="s">
        <v>458</v>
      </c>
      <c r="G161" s="346">
        <v>500000</v>
      </c>
      <c r="H161" s="346">
        <v>66650</v>
      </c>
      <c r="I161" s="340">
        <f t="shared" ref="I161:I178" si="40">SUM(G161:H161)</f>
        <v>566650</v>
      </c>
      <c r="J161" s="348">
        <v>50</v>
      </c>
      <c r="K161" s="381">
        <v>11333</v>
      </c>
      <c r="L161" s="356">
        <f t="shared" ref="L161:L178" si="41">H161/50</f>
        <v>1333</v>
      </c>
      <c r="M161" s="356">
        <f t="shared" ref="M161:M178" si="42">G161/50</f>
        <v>10000</v>
      </c>
      <c r="N161" s="356">
        <f t="shared" ref="N161:N178" si="43">L161*P161</f>
        <v>1333</v>
      </c>
      <c r="O161" s="356">
        <f t="shared" si="36"/>
        <v>65317</v>
      </c>
      <c r="P161" s="358">
        <v>1</v>
      </c>
      <c r="Q161" s="354">
        <f t="shared" ref="Q161:Q178" si="44">J161-P161</f>
        <v>49</v>
      </c>
      <c r="R161" s="339">
        <f t="shared" ref="R161:R178" si="45">K161*P161</f>
        <v>11333</v>
      </c>
      <c r="S161" s="339">
        <f t="shared" si="39"/>
        <v>555317</v>
      </c>
      <c r="T161" s="337"/>
    </row>
    <row r="162" spans="1:20" s="392" customFormat="1">
      <c r="A162" s="378"/>
      <c r="C162" s="337" t="s">
        <v>1101</v>
      </c>
      <c r="D162" s="367">
        <v>158</v>
      </c>
      <c r="E162" s="337" t="s">
        <v>1437</v>
      </c>
      <c r="F162" s="337" t="s">
        <v>290</v>
      </c>
      <c r="G162" s="346">
        <v>330000</v>
      </c>
      <c r="H162" s="346">
        <v>43989</v>
      </c>
      <c r="I162" s="340">
        <f t="shared" si="40"/>
        <v>373989</v>
      </c>
      <c r="J162" s="348">
        <v>50</v>
      </c>
      <c r="K162" s="381">
        <v>7479.78</v>
      </c>
      <c r="L162" s="356">
        <f t="shared" si="41"/>
        <v>879.78</v>
      </c>
      <c r="M162" s="356">
        <f t="shared" si="42"/>
        <v>6600</v>
      </c>
      <c r="N162" s="356">
        <f t="shared" si="43"/>
        <v>879.78</v>
      </c>
      <c r="O162" s="356">
        <f t="shared" si="36"/>
        <v>43109.22</v>
      </c>
      <c r="P162" s="358">
        <v>1</v>
      </c>
      <c r="Q162" s="354">
        <f t="shared" si="44"/>
        <v>49</v>
      </c>
      <c r="R162" s="339">
        <f t="shared" si="45"/>
        <v>7479.78</v>
      </c>
      <c r="S162" s="339">
        <f t="shared" si="39"/>
        <v>366509.22</v>
      </c>
      <c r="T162" s="337"/>
    </row>
    <row r="163" spans="1:20">
      <c r="A163" s="378"/>
      <c r="C163" s="337" t="s">
        <v>1463</v>
      </c>
      <c r="D163" s="367">
        <v>159</v>
      </c>
      <c r="E163" s="337" t="s">
        <v>1437</v>
      </c>
      <c r="F163" s="337" t="s">
        <v>472</v>
      </c>
      <c r="G163" s="346">
        <v>500000</v>
      </c>
      <c r="H163" s="346">
        <v>66650</v>
      </c>
      <c r="I163" s="340">
        <f t="shared" si="40"/>
        <v>566650</v>
      </c>
      <c r="J163" s="348">
        <v>50</v>
      </c>
      <c r="K163" s="381">
        <v>11333</v>
      </c>
      <c r="L163" s="356">
        <f t="shared" si="41"/>
        <v>1333</v>
      </c>
      <c r="M163" s="356">
        <f t="shared" si="42"/>
        <v>10000</v>
      </c>
      <c r="N163" s="356">
        <f t="shared" si="43"/>
        <v>1333</v>
      </c>
      <c r="O163" s="356">
        <f t="shared" si="36"/>
        <v>65317</v>
      </c>
      <c r="P163" s="358">
        <v>1</v>
      </c>
      <c r="Q163" s="354">
        <f t="shared" si="44"/>
        <v>49</v>
      </c>
      <c r="R163" s="339">
        <f t="shared" si="45"/>
        <v>11333</v>
      </c>
      <c r="S163" s="339">
        <f t="shared" si="39"/>
        <v>555317</v>
      </c>
      <c r="T163" s="337"/>
    </row>
    <row r="164" spans="1:20">
      <c r="A164" s="378"/>
      <c r="C164" s="337" t="s">
        <v>991</v>
      </c>
      <c r="D164" s="367">
        <v>160</v>
      </c>
      <c r="E164" s="337" t="s">
        <v>1437</v>
      </c>
      <c r="F164" s="337" t="s">
        <v>992</v>
      </c>
      <c r="G164" s="346">
        <v>330000</v>
      </c>
      <c r="H164" s="346">
        <v>26393.4</v>
      </c>
      <c r="I164" s="340">
        <f t="shared" si="40"/>
        <v>356393.4</v>
      </c>
      <c r="J164" s="358">
        <v>30</v>
      </c>
      <c r="K164" s="381">
        <v>11879.78</v>
      </c>
      <c r="L164" s="356">
        <f>H164/30</f>
        <v>879.78000000000009</v>
      </c>
      <c r="M164" s="356">
        <f t="shared" si="42"/>
        <v>6600</v>
      </c>
      <c r="N164" s="356">
        <f t="shared" si="43"/>
        <v>879.78000000000009</v>
      </c>
      <c r="O164" s="356">
        <f t="shared" si="36"/>
        <v>25513.620000000003</v>
      </c>
      <c r="P164" s="358">
        <v>1</v>
      </c>
      <c r="Q164" s="354">
        <f t="shared" si="44"/>
        <v>29</v>
      </c>
      <c r="R164" s="339">
        <f t="shared" si="45"/>
        <v>11879.78</v>
      </c>
      <c r="S164" s="339">
        <f t="shared" si="39"/>
        <v>344513.62</v>
      </c>
      <c r="T164" s="337"/>
    </row>
    <row r="165" spans="1:20">
      <c r="A165" s="378"/>
      <c r="C165" s="337" t="s">
        <v>1473</v>
      </c>
      <c r="D165" s="367">
        <v>161</v>
      </c>
      <c r="E165" s="337" t="s">
        <v>1437</v>
      </c>
      <c r="F165" s="337" t="s">
        <v>1474</v>
      </c>
      <c r="G165" s="346">
        <v>330000</v>
      </c>
      <c r="H165" s="346">
        <v>43989</v>
      </c>
      <c r="I165" s="340">
        <f t="shared" si="40"/>
        <v>373989</v>
      </c>
      <c r="J165" s="348">
        <v>50</v>
      </c>
      <c r="K165" s="381">
        <v>7479.78</v>
      </c>
      <c r="L165" s="356">
        <f t="shared" si="41"/>
        <v>879.78</v>
      </c>
      <c r="M165" s="356">
        <f t="shared" si="42"/>
        <v>6600</v>
      </c>
      <c r="N165" s="356">
        <f t="shared" si="43"/>
        <v>879.78</v>
      </c>
      <c r="O165" s="356">
        <f t="shared" ref="O165:O183" si="46">L165*Q165</f>
        <v>43109.22</v>
      </c>
      <c r="P165" s="358">
        <v>1</v>
      </c>
      <c r="Q165" s="354">
        <f t="shared" si="44"/>
        <v>49</v>
      </c>
      <c r="R165" s="339">
        <f t="shared" si="45"/>
        <v>7479.78</v>
      </c>
      <c r="S165" s="339">
        <f t="shared" ref="S165:S183" si="47">I165-R165</f>
        <v>366509.22</v>
      </c>
      <c r="T165" s="337"/>
    </row>
    <row r="166" spans="1:20">
      <c r="A166" s="378"/>
      <c r="C166" s="337" t="s">
        <v>1475</v>
      </c>
      <c r="D166" s="367">
        <v>162</v>
      </c>
      <c r="E166" s="337" t="s">
        <v>1437</v>
      </c>
      <c r="F166" s="337" t="s">
        <v>1476</v>
      </c>
      <c r="G166" s="346">
        <v>330000</v>
      </c>
      <c r="H166" s="346">
        <v>43989</v>
      </c>
      <c r="I166" s="340">
        <f t="shared" si="40"/>
        <v>373989</v>
      </c>
      <c r="J166" s="348">
        <v>50</v>
      </c>
      <c r="K166" s="381">
        <v>7479.78</v>
      </c>
      <c r="L166" s="356">
        <f t="shared" si="41"/>
        <v>879.78</v>
      </c>
      <c r="M166" s="356">
        <f t="shared" si="42"/>
        <v>6600</v>
      </c>
      <c r="N166" s="356">
        <f t="shared" si="43"/>
        <v>879.78</v>
      </c>
      <c r="O166" s="356">
        <f t="shared" si="46"/>
        <v>43109.22</v>
      </c>
      <c r="P166" s="358">
        <v>1</v>
      </c>
      <c r="Q166" s="354">
        <f t="shared" si="44"/>
        <v>49</v>
      </c>
      <c r="R166" s="339">
        <f t="shared" si="45"/>
        <v>7479.78</v>
      </c>
      <c r="S166" s="339">
        <f t="shared" si="47"/>
        <v>366509.22</v>
      </c>
      <c r="T166" s="337"/>
    </row>
    <row r="167" spans="1:20">
      <c r="A167" s="378"/>
      <c r="C167" s="337" t="s">
        <v>1464</v>
      </c>
      <c r="D167" s="367">
        <v>163</v>
      </c>
      <c r="E167" s="337" t="s">
        <v>1437</v>
      </c>
      <c r="F167" s="337" t="s">
        <v>445</v>
      </c>
      <c r="G167" s="346">
        <v>500000</v>
      </c>
      <c r="H167" s="346">
        <v>66650</v>
      </c>
      <c r="I167" s="340">
        <f t="shared" si="40"/>
        <v>566650</v>
      </c>
      <c r="J167" s="348">
        <v>50</v>
      </c>
      <c r="K167" s="381">
        <v>11333</v>
      </c>
      <c r="L167" s="356">
        <f t="shared" si="41"/>
        <v>1333</v>
      </c>
      <c r="M167" s="356">
        <f t="shared" si="42"/>
        <v>10000</v>
      </c>
      <c r="N167" s="356">
        <f t="shared" si="43"/>
        <v>1333</v>
      </c>
      <c r="O167" s="356">
        <f t="shared" si="46"/>
        <v>65317</v>
      </c>
      <c r="P167" s="358">
        <v>1</v>
      </c>
      <c r="Q167" s="354">
        <f t="shared" si="44"/>
        <v>49</v>
      </c>
      <c r="R167" s="339">
        <f t="shared" si="45"/>
        <v>11333</v>
      </c>
      <c r="S167" s="339">
        <f t="shared" si="47"/>
        <v>555317</v>
      </c>
      <c r="T167" s="337"/>
    </row>
    <row r="168" spans="1:20">
      <c r="A168" s="378"/>
      <c r="C168" s="337" t="s">
        <v>1477</v>
      </c>
      <c r="D168" s="367">
        <v>164</v>
      </c>
      <c r="E168" s="337" t="s">
        <v>1437</v>
      </c>
      <c r="F168" s="337" t="s">
        <v>1478</v>
      </c>
      <c r="G168" s="346">
        <v>330000</v>
      </c>
      <c r="H168" s="346">
        <v>43989</v>
      </c>
      <c r="I168" s="340">
        <f t="shared" si="40"/>
        <v>373989</v>
      </c>
      <c r="J168" s="348">
        <v>50</v>
      </c>
      <c r="K168" s="381">
        <v>7479.78</v>
      </c>
      <c r="L168" s="356">
        <f t="shared" si="41"/>
        <v>879.78</v>
      </c>
      <c r="M168" s="356">
        <f t="shared" si="42"/>
        <v>6600</v>
      </c>
      <c r="N168" s="356">
        <f t="shared" si="43"/>
        <v>879.78</v>
      </c>
      <c r="O168" s="356">
        <f t="shared" si="46"/>
        <v>43109.22</v>
      </c>
      <c r="P168" s="358">
        <v>1</v>
      </c>
      <c r="Q168" s="354">
        <f t="shared" si="44"/>
        <v>49</v>
      </c>
      <c r="R168" s="339">
        <f t="shared" si="45"/>
        <v>7479.78</v>
      </c>
      <c r="S168" s="339">
        <f t="shared" si="47"/>
        <v>366509.22</v>
      </c>
      <c r="T168" s="337"/>
    </row>
    <row r="169" spans="1:20">
      <c r="A169" s="378"/>
      <c r="C169" s="337" t="s">
        <v>1025</v>
      </c>
      <c r="D169" s="367">
        <v>165</v>
      </c>
      <c r="E169" s="337" t="s">
        <v>1437</v>
      </c>
      <c r="F169" s="337" t="s">
        <v>333</v>
      </c>
      <c r="G169" s="346">
        <v>500000</v>
      </c>
      <c r="H169" s="346">
        <v>66650</v>
      </c>
      <c r="I169" s="340">
        <f t="shared" si="40"/>
        <v>566650</v>
      </c>
      <c r="J169" s="348">
        <v>50</v>
      </c>
      <c r="K169" s="381">
        <v>11333</v>
      </c>
      <c r="L169" s="356">
        <f t="shared" si="41"/>
        <v>1333</v>
      </c>
      <c r="M169" s="356">
        <f t="shared" si="42"/>
        <v>10000</v>
      </c>
      <c r="N169" s="356">
        <f t="shared" si="43"/>
        <v>1333</v>
      </c>
      <c r="O169" s="356">
        <f t="shared" si="46"/>
        <v>65317</v>
      </c>
      <c r="P169" s="358">
        <v>1</v>
      </c>
      <c r="Q169" s="354">
        <f t="shared" si="44"/>
        <v>49</v>
      </c>
      <c r="R169" s="339">
        <f t="shared" si="45"/>
        <v>11333</v>
      </c>
      <c r="S169" s="339">
        <f t="shared" si="47"/>
        <v>555317</v>
      </c>
      <c r="T169" s="337"/>
    </row>
    <row r="170" spans="1:20">
      <c r="A170" s="378"/>
      <c r="C170" s="337" t="s">
        <v>1465</v>
      </c>
      <c r="D170" s="367">
        <v>166</v>
      </c>
      <c r="E170" s="337" t="s">
        <v>1437</v>
      </c>
      <c r="F170" s="337" t="s">
        <v>1466</v>
      </c>
      <c r="G170" s="346">
        <v>500000</v>
      </c>
      <c r="H170" s="346">
        <v>66650</v>
      </c>
      <c r="I170" s="340">
        <f t="shared" si="40"/>
        <v>566650</v>
      </c>
      <c r="J170" s="348">
        <v>50</v>
      </c>
      <c r="K170" s="381">
        <v>11333</v>
      </c>
      <c r="L170" s="356">
        <f t="shared" si="41"/>
        <v>1333</v>
      </c>
      <c r="M170" s="356">
        <f t="shared" si="42"/>
        <v>10000</v>
      </c>
      <c r="N170" s="356">
        <f t="shared" si="43"/>
        <v>1333</v>
      </c>
      <c r="O170" s="356">
        <f t="shared" si="46"/>
        <v>65317</v>
      </c>
      <c r="P170" s="358">
        <v>1</v>
      </c>
      <c r="Q170" s="354">
        <f t="shared" si="44"/>
        <v>49</v>
      </c>
      <c r="R170" s="339">
        <f t="shared" si="45"/>
        <v>11333</v>
      </c>
      <c r="S170" s="339">
        <f t="shared" si="47"/>
        <v>555317</v>
      </c>
      <c r="T170" s="337"/>
    </row>
    <row r="171" spans="1:20">
      <c r="A171" s="378"/>
      <c r="C171" s="337" t="s">
        <v>1467</v>
      </c>
      <c r="D171" s="367">
        <v>167</v>
      </c>
      <c r="E171" s="337" t="s">
        <v>1437</v>
      </c>
      <c r="F171" s="337" t="s">
        <v>1468</v>
      </c>
      <c r="G171" s="346">
        <v>500000</v>
      </c>
      <c r="H171" s="346">
        <v>66650</v>
      </c>
      <c r="I171" s="340">
        <f t="shared" si="40"/>
        <v>566650</v>
      </c>
      <c r="J171" s="348">
        <v>50</v>
      </c>
      <c r="K171" s="381">
        <v>11333</v>
      </c>
      <c r="L171" s="356">
        <f t="shared" si="41"/>
        <v>1333</v>
      </c>
      <c r="M171" s="356">
        <f t="shared" si="42"/>
        <v>10000</v>
      </c>
      <c r="N171" s="356">
        <f t="shared" si="43"/>
        <v>1333</v>
      </c>
      <c r="O171" s="356">
        <f t="shared" si="46"/>
        <v>65317</v>
      </c>
      <c r="P171" s="358">
        <v>1</v>
      </c>
      <c r="Q171" s="354">
        <f t="shared" si="44"/>
        <v>49</v>
      </c>
      <c r="R171" s="339">
        <f t="shared" si="45"/>
        <v>11333</v>
      </c>
      <c r="S171" s="339">
        <f t="shared" si="47"/>
        <v>555317</v>
      </c>
      <c r="T171" s="337"/>
    </row>
    <row r="172" spans="1:20">
      <c r="A172" s="378"/>
      <c r="C172" s="337" t="s">
        <v>1469</v>
      </c>
      <c r="D172" s="367">
        <v>168</v>
      </c>
      <c r="E172" s="337" t="s">
        <v>1437</v>
      </c>
      <c r="F172" s="337" t="s">
        <v>1470</v>
      </c>
      <c r="G172" s="346">
        <v>500000</v>
      </c>
      <c r="H172" s="346">
        <v>66650</v>
      </c>
      <c r="I172" s="340">
        <f t="shared" si="40"/>
        <v>566650</v>
      </c>
      <c r="J172" s="348">
        <v>50</v>
      </c>
      <c r="K172" s="381">
        <v>11333</v>
      </c>
      <c r="L172" s="356">
        <f t="shared" si="41"/>
        <v>1333</v>
      </c>
      <c r="M172" s="356">
        <f t="shared" si="42"/>
        <v>10000</v>
      </c>
      <c r="N172" s="356">
        <f t="shared" si="43"/>
        <v>1333</v>
      </c>
      <c r="O172" s="356">
        <f t="shared" si="46"/>
        <v>65317</v>
      </c>
      <c r="P172" s="358">
        <v>1</v>
      </c>
      <c r="Q172" s="354">
        <f t="shared" si="44"/>
        <v>49</v>
      </c>
      <c r="R172" s="339">
        <f t="shared" si="45"/>
        <v>11333</v>
      </c>
      <c r="S172" s="339">
        <f t="shared" si="47"/>
        <v>555317</v>
      </c>
      <c r="T172" s="337"/>
    </row>
    <row r="173" spans="1:20">
      <c r="A173" s="378"/>
      <c r="C173" s="337" t="s">
        <v>1481</v>
      </c>
      <c r="D173" s="367">
        <v>169</v>
      </c>
      <c r="E173" s="337" t="s">
        <v>1437</v>
      </c>
      <c r="F173" s="337" t="s">
        <v>1482</v>
      </c>
      <c r="G173" s="346">
        <v>330000</v>
      </c>
      <c r="H173" s="346">
        <v>43989</v>
      </c>
      <c r="I173" s="340">
        <f t="shared" si="40"/>
        <v>373989</v>
      </c>
      <c r="J173" s="348">
        <v>50</v>
      </c>
      <c r="K173" s="381">
        <v>7479.78</v>
      </c>
      <c r="L173" s="356">
        <f t="shared" si="41"/>
        <v>879.78</v>
      </c>
      <c r="M173" s="356">
        <f t="shared" si="42"/>
        <v>6600</v>
      </c>
      <c r="N173" s="356">
        <f t="shared" si="43"/>
        <v>879.78</v>
      </c>
      <c r="O173" s="356">
        <f t="shared" si="46"/>
        <v>43109.22</v>
      </c>
      <c r="P173" s="358">
        <v>1</v>
      </c>
      <c r="Q173" s="354">
        <f t="shared" si="44"/>
        <v>49</v>
      </c>
      <c r="R173" s="339">
        <f t="shared" si="45"/>
        <v>7479.78</v>
      </c>
      <c r="S173" s="339">
        <f t="shared" si="47"/>
        <v>366509.22</v>
      </c>
      <c r="T173" s="337"/>
    </row>
    <row r="174" spans="1:20">
      <c r="A174" s="378"/>
      <c r="C174" s="337" t="s">
        <v>1471</v>
      </c>
      <c r="D174" s="367">
        <v>170</v>
      </c>
      <c r="E174" s="337" t="s">
        <v>1437</v>
      </c>
      <c r="F174" s="337" t="s">
        <v>1472</v>
      </c>
      <c r="G174" s="346">
        <v>500000</v>
      </c>
      <c r="H174" s="346">
        <v>66650</v>
      </c>
      <c r="I174" s="340">
        <f t="shared" si="40"/>
        <v>566650</v>
      </c>
      <c r="J174" s="348">
        <v>50</v>
      </c>
      <c r="K174" s="381">
        <v>11333</v>
      </c>
      <c r="L174" s="356">
        <f t="shared" si="41"/>
        <v>1333</v>
      </c>
      <c r="M174" s="356">
        <f t="shared" si="42"/>
        <v>10000</v>
      </c>
      <c r="N174" s="356">
        <f t="shared" si="43"/>
        <v>1333</v>
      </c>
      <c r="O174" s="356">
        <f t="shared" si="46"/>
        <v>65317</v>
      </c>
      <c r="P174" s="358">
        <v>1</v>
      </c>
      <c r="Q174" s="354">
        <f t="shared" si="44"/>
        <v>49</v>
      </c>
      <c r="R174" s="339">
        <f t="shared" si="45"/>
        <v>11333</v>
      </c>
      <c r="S174" s="339">
        <f t="shared" si="47"/>
        <v>555317</v>
      </c>
      <c r="T174" s="337"/>
    </row>
    <row r="175" spans="1:20">
      <c r="A175" s="378"/>
      <c r="C175" s="337" t="s">
        <v>1479</v>
      </c>
      <c r="D175" s="367">
        <v>171</v>
      </c>
      <c r="E175" s="337" t="s">
        <v>1437</v>
      </c>
      <c r="F175" s="337" t="s">
        <v>1480</v>
      </c>
      <c r="G175" s="346">
        <v>330000</v>
      </c>
      <c r="H175" s="346">
        <v>43989</v>
      </c>
      <c r="I175" s="340">
        <f t="shared" si="40"/>
        <v>373989</v>
      </c>
      <c r="J175" s="348">
        <v>50</v>
      </c>
      <c r="K175" s="381">
        <v>7479.78</v>
      </c>
      <c r="L175" s="356">
        <f t="shared" si="41"/>
        <v>879.78</v>
      </c>
      <c r="M175" s="356">
        <f t="shared" si="42"/>
        <v>6600</v>
      </c>
      <c r="N175" s="356">
        <f t="shared" si="43"/>
        <v>879.78</v>
      </c>
      <c r="O175" s="356">
        <f t="shared" si="46"/>
        <v>43109.22</v>
      </c>
      <c r="P175" s="358">
        <v>1</v>
      </c>
      <c r="Q175" s="354">
        <f t="shared" si="44"/>
        <v>49</v>
      </c>
      <c r="R175" s="339">
        <f t="shared" si="45"/>
        <v>7479.78</v>
      </c>
      <c r="S175" s="339">
        <f t="shared" si="47"/>
        <v>366509.22</v>
      </c>
      <c r="T175" s="337"/>
    </row>
    <row r="176" spans="1:20" ht="22.5">
      <c r="A176" s="378"/>
      <c r="C176" s="337" t="s">
        <v>1460</v>
      </c>
      <c r="D176" s="367">
        <v>172</v>
      </c>
      <c r="E176" s="337" t="s">
        <v>1437</v>
      </c>
      <c r="F176" s="337" t="s">
        <v>1461</v>
      </c>
      <c r="G176" s="346">
        <v>500000</v>
      </c>
      <c r="H176" s="346">
        <v>66650</v>
      </c>
      <c r="I176" s="340">
        <f t="shared" si="40"/>
        <v>566650</v>
      </c>
      <c r="J176" s="348">
        <v>50</v>
      </c>
      <c r="K176" s="381">
        <v>11333</v>
      </c>
      <c r="L176" s="356">
        <f t="shared" si="41"/>
        <v>1333</v>
      </c>
      <c r="M176" s="356">
        <f t="shared" si="42"/>
        <v>10000</v>
      </c>
      <c r="N176" s="356">
        <f t="shared" si="43"/>
        <v>1333</v>
      </c>
      <c r="O176" s="356">
        <f t="shared" si="46"/>
        <v>65317</v>
      </c>
      <c r="P176" s="358">
        <v>1</v>
      </c>
      <c r="Q176" s="354">
        <f t="shared" si="44"/>
        <v>49</v>
      </c>
      <c r="R176" s="339">
        <f t="shared" si="45"/>
        <v>11333</v>
      </c>
      <c r="S176" s="339">
        <f t="shared" si="47"/>
        <v>555317</v>
      </c>
      <c r="T176" s="389" t="s">
        <v>1458</v>
      </c>
    </row>
    <row r="177" spans="1:20" ht="22.5">
      <c r="A177" s="378"/>
      <c r="C177" s="337" t="s">
        <v>1483</v>
      </c>
      <c r="D177" s="367">
        <v>173</v>
      </c>
      <c r="E177" s="337" t="s">
        <v>1437</v>
      </c>
      <c r="F177" s="337" t="s">
        <v>1484</v>
      </c>
      <c r="G177" s="346">
        <v>150000</v>
      </c>
      <c r="H177" s="346">
        <v>19995</v>
      </c>
      <c r="I177" s="340">
        <f t="shared" si="40"/>
        <v>169995</v>
      </c>
      <c r="J177" s="348">
        <v>50</v>
      </c>
      <c r="K177" s="381">
        <v>3399.5</v>
      </c>
      <c r="L177" s="356">
        <f t="shared" si="41"/>
        <v>399.9</v>
      </c>
      <c r="M177" s="356">
        <f t="shared" si="42"/>
        <v>3000</v>
      </c>
      <c r="N177" s="356">
        <f t="shared" si="43"/>
        <v>399.9</v>
      </c>
      <c r="O177" s="356">
        <f t="shared" si="46"/>
        <v>19595.099999999999</v>
      </c>
      <c r="P177" s="358">
        <v>1</v>
      </c>
      <c r="Q177" s="354">
        <f t="shared" si="44"/>
        <v>49</v>
      </c>
      <c r="R177" s="339">
        <f t="shared" si="45"/>
        <v>3399.5</v>
      </c>
      <c r="S177" s="339">
        <f t="shared" si="47"/>
        <v>166595.5</v>
      </c>
      <c r="T177" s="389" t="s">
        <v>1444</v>
      </c>
    </row>
    <row r="178" spans="1:20">
      <c r="A178" s="378"/>
      <c r="C178" s="337" t="s">
        <v>988</v>
      </c>
      <c r="D178" s="367">
        <v>174</v>
      </c>
      <c r="E178" s="337" t="s">
        <v>1437</v>
      </c>
      <c r="F178" s="337" t="s">
        <v>296</v>
      </c>
      <c r="G178" s="346">
        <v>450000</v>
      </c>
      <c r="H178" s="346">
        <v>59985</v>
      </c>
      <c r="I178" s="340">
        <f t="shared" si="40"/>
        <v>509985</v>
      </c>
      <c r="J178" s="348">
        <v>50</v>
      </c>
      <c r="K178" s="381">
        <v>10199.700000000001</v>
      </c>
      <c r="L178" s="356">
        <f t="shared" si="41"/>
        <v>1199.7</v>
      </c>
      <c r="M178" s="356">
        <f t="shared" si="42"/>
        <v>9000</v>
      </c>
      <c r="N178" s="356">
        <f t="shared" si="43"/>
        <v>1199.7</v>
      </c>
      <c r="O178" s="356">
        <f t="shared" si="46"/>
        <v>58785.3</v>
      </c>
      <c r="P178" s="358">
        <v>1</v>
      </c>
      <c r="Q178" s="354">
        <f t="shared" si="44"/>
        <v>49</v>
      </c>
      <c r="R178" s="339">
        <f t="shared" si="45"/>
        <v>10199.700000000001</v>
      </c>
      <c r="S178" s="339">
        <f t="shared" si="47"/>
        <v>499785.3</v>
      </c>
      <c r="T178" s="337"/>
    </row>
    <row r="179" spans="1:20">
      <c r="A179" s="378"/>
      <c r="C179" s="337"/>
      <c r="D179" s="367">
        <v>175</v>
      </c>
      <c r="E179" s="337" t="s">
        <v>1437</v>
      </c>
      <c r="F179" s="337" t="s">
        <v>1270</v>
      </c>
      <c r="G179" s="346">
        <v>150000</v>
      </c>
      <c r="H179" s="346">
        <v>19995</v>
      </c>
      <c r="I179" s="340">
        <f>SUM(G179:H179)</f>
        <v>169995</v>
      </c>
      <c r="J179" s="358">
        <v>50</v>
      </c>
      <c r="K179" s="381">
        <v>3399.9</v>
      </c>
      <c r="L179" s="356">
        <f>H179/50</f>
        <v>399.9</v>
      </c>
      <c r="M179" s="356">
        <f>G179/50</f>
        <v>3000</v>
      </c>
      <c r="N179" s="356">
        <f>L179*P179</f>
        <v>17595.599999999999</v>
      </c>
      <c r="O179" s="356">
        <f t="shared" si="46"/>
        <v>2399.3999999999996</v>
      </c>
      <c r="P179" s="358">
        <v>44</v>
      </c>
      <c r="Q179" s="354">
        <f>J179-P179</f>
        <v>6</v>
      </c>
      <c r="R179" s="339">
        <f>K179*P179</f>
        <v>149595.6</v>
      </c>
      <c r="S179" s="339">
        <f t="shared" si="47"/>
        <v>20399.399999999994</v>
      </c>
      <c r="T179" s="337"/>
    </row>
    <row r="180" spans="1:20">
      <c r="A180" s="378"/>
      <c r="C180" s="337"/>
      <c r="D180" s="367">
        <v>176</v>
      </c>
      <c r="E180" s="337" t="s">
        <v>1437</v>
      </c>
      <c r="F180" s="337" t="s">
        <v>1272</v>
      </c>
      <c r="G180" s="346">
        <v>450000</v>
      </c>
      <c r="H180" s="346">
        <v>59985</v>
      </c>
      <c r="I180" s="340">
        <f>SUM(G180:H180)</f>
        <v>509985</v>
      </c>
      <c r="J180" s="358">
        <v>50</v>
      </c>
      <c r="K180" s="381">
        <v>10199.700000000001</v>
      </c>
      <c r="L180" s="356">
        <f>H180/50</f>
        <v>1199.7</v>
      </c>
      <c r="M180" s="356">
        <f>G180/50</f>
        <v>9000</v>
      </c>
      <c r="N180" s="356">
        <f>L180*P180</f>
        <v>22794.3</v>
      </c>
      <c r="O180" s="356">
        <f t="shared" si="46"/>
        <v>37190.700000000004</v>
      </c>
      <c r="P180" s="358">
        <v>19</v>
      </c>
      <c r="Q180" s="354">
        <f>J180-P180</f>
        <v>31</v>
      </c>
      <c r="R180" s="339">
        <f>K180*P180</f>
        <v>193794.30000000002</v>
      </c>
      <c r="S180" s="339">
        <f t="shared" si="47"/>
        <v>316190.69999999995</v>
      </c>
      <c r="T180" s="337"/>
    </row>
    <row r="181" spans="1:20">
      <c r="A181" s="378"/>
      <c r="C181" s="337"/>
      <c r="D181" s="367">
        <v>177</v>
      </c>
      <c r="E181" s="337" t="s">
        <v>1437</v>
      </c>
      <c r="F181" s="337" t="s">
        <v>1268</v>
      </c>
      <c r="G181" s="346">
        <v>500000</v>
      </c>
      <c r="H181" s="346">
        <v>66650</v>
      </c>
      <c r="I181" s="340">
        <f>SUM(G181:H181)</f>
        <v>566650</v>
      </c>
      <c r="J181" s="358">
        <v>50</v>
      </c>
      <c r="K181" s="381">
        <v>11749.67</v>
      </c>
      <c r="L181" s="356">
        <f>H181/50</f>
        <v>1333</v>
      </c>
      <c r="M181" s="356">
        <f>G181/50</f>
        <v>10000</v>
      </c>
      <c r="N181" s="356">
        <f>L181*P181</f>
        <v>43989</v>
      </c>
      <c r="O181" s="356">
        <f t="shared" si="46"/>
        <v>22661</v>
      </c>
      <c r="P181" s="358">
        <v>33</v>
      </c>
      <c r="Q181" s="354">
        <f>J181-P181</f>
        <v>17</v>
      </c>
      <c r="R181" s="339">
        <f>K181*P181</f>
        <v>387739.11</v>
      </c>
      <c r="S181" s="339">
        <f t="shared" si="47"/>
        <v>178910.89</v>
      </c>
      <c r="T181" s="337"/>
    </row>
    <row r="182" spans="1:20">
      <c r="A182" s="378"/>
      <c r="C182" s="337"/>
      <c r="D182" s="367">
        <v>178</v>
      </c>
      <c r="E182" s="337" t="s">
        <v>1437</v>
      </c>
      <c r="F182" s="337" t="s">
        <v>1420</v>
      </c>
      <c r="G182" s="346">
        <v>450000</v>
      </c>
      <c r="H182" s="346">
        <v>59985</v>
      </c>
      <c r="I182" s="340">
        <f>SUM(G182:H182)</f>
        <v>509985</v>
      </c>
      <c r="J182" s="358">
        <v>50</v>
      </c>
      <c r="K182" s="381">
        <v>10199.700000000001</v>
      </c>
      <c r="L182" s="356">
        <f>H182/50</f>
        <v>1199.7</v>
      </c>
      <c r="M182" s="356">
        <f>G182/50</f>
        <v>9000</v>
      </c>
      <c r="N182" s="356">
        <f>L182*P182</f>
        <v>9597.6</v>
      </c>
      <c r="O182" s="356">
        <f t="shared" si="46"/>
        <v>50387.4</v>
      </c>
      <c r="P182" s="358">
        <v>8</v>
      </c>
      <c r="Q182" s="354">
        <f>J182-P182</f>
        <v>42</v>
      </c>
      <c r="R182" s="339">
        <f>K182*P182</f>
        <v>81597.600000000006</v>
      </c>
      <c r="S182" s="339">
        <f t="shared" si="47"/>
        <v>428387.4</v>
      </c>
      <c r="T182" s="337"/>
    </row>
    <row r="183" spans="1:20">
      <c r="A183" s="378"/>
      <c r="C183" s="337"/>
      <c r="D183" s="367">
        <v>179</v>
      </c>
      <c r="E183" s="337" t="s">
        <v>1437</v>
      </c>
      <c r="F183" s="337" t="s">
        <v>1269</v>
      </c>
      <c r="G183" s="346">
        <v>450000</v>
      </c>
      <c r="H183" s="346">
        <v>59985</v>
      </c>
      <c r="I183" s="340">
        <f>SUM(G183:H183)</f>
        <v>509985</v>
      </c>
      <c r="J183" s="358">
        <v>50</v>
      </c>
      <c r="K183" s="381">
        <v>10199.700000000001</v>
      </c>
      <c r="L183" s="356">
        <f>H183/50</f>
        <v>1199.7</v>
      </c>
      <c r="M183" s="356">
        <f>G183/50</f>
        <v>9000</v>
      </c>
      <c r="N183" s="356">
        <f>L183*P183</f>
        <v>47988</v>
      </c>
      <c r="O183" s="356">
        <f t="shared" si="46"/>
        <v>11997</v>
      </c>
      <c r="P183" s="358">
        <v>40</v>
      </c>
      <c r="Q183" s="354">
        <f>J183-P183</f>
        <v>10</v>
      </c>
      <c r="R183" s="339">
        <f>K183*P183</f>
        <v>407988</v>
      </c>
      <c r="S183" s="339">
        <f t="shared" si="47"/>
        <v>101997</v>
      </c>
      <c r="T183" s="337"/>
    </row>
    <row r="184" spans="1:20">
      <c r="C184" s="337"/>
      <c r="D184" s="337"/>
      <c r="E184" s="337"/>
      <c r="F184" s="337"/>
      <c r="G184" s="386">
        <f>SUM(G5:G183)</f>
        <v>75280000</v>
      </c>
      <c r="H184" s="346">
        <f>SUM(H5:H183)</f>
        <v>9903390.2000000011</v>
      </c>
      <c r="I184" s="346">
        <f t="shared" ref="I184:O184" si="48">SUM(I5:I183)</f>
        <v>85183390.200000003</v>
      </c>
      <c r="J184" s="346"/>
      <c r="K184" s="346">
        <f t="shared" si="48"/>
        <v>1771056.08</v>
      </c>
      <c r="L184" s="346">
        <f t="shared" si="48"/>
        <v>200696.47999999995</v>
      </c>
      <c r="M184" s="346">
        <f t="shared" si="48"/>
        <v>1505600</v>
      </c>
      <c r="N184" s="346">
        <f t="shared" si="48"/>
        <v>4325078.46</v>
      </c>
      <c r="O184" s="346">
        <f t="shared" si="48"/>
        <v>5464740.1399999969</v>
      </c>
      <c r="P184" s="358"/>
      <c r="Q184" s="358"/>
      <c r="R184" s="346">
        <f>SUM(R5:R183)</f>
        <v>37399127.970000021</v>
      </c>
      <c r="S184" s="386">
        <f>SUM(S5:S183)</f>
        <v>47784262.229999974</v>
      </c>
      <c r="T184" s="337"/>
    </row>
    <row r="186" spans="1:20">
      <c r="K186" s="359"/>
    </row>
  </sheetData>
  <mergeCells count="3">
    <mergeCell ref="D1:T1"/>
    <mergeCell ref="D2:T2"/>
    <mergeCell ref="D3:T3"/>
  </mergeCells>
  <conditionalFormatting sqref="C95:C96">
    <cfRule type="duplicateValues" dxfId="19" priority="3"/>
  </conditionalFormatting>
  <conditionalFormatting sqref="C102:C105 C4:C88 C94:C96 C111:C117 C125:C138">
    <cfRule type="duplicateValues" dxfId="18" priority="5"/>
  </conditionalFormatting>
  <pageMargins left="0.2" right="0.2" top="0.25" bottom="0.25" header="0.3" footer="0.3"/>
  <pageSetup paperSize="9" scale="5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178"/>
  <sheetViews>
    <sheetView topLeftCell="H163" zoomScale="90" zoomScaleNormal="90" workbookViewId="0">
      <selection activeCell="L171" sqref="L171"/>
    </sheetView>
  </sheetViews>
  <sheetFormatPr defaultRowHeight="15.75"/>
  <cols>
    <col min="1" max="1" width="14.5703125" style="336" customWidth="1"/>
    <col min="2" max="2" width="18.7109375" style="336" customWidth="1"/>
    <col min="3" max="3" width="5.42578125" style="336" customWidth="1"/>
    <col min="4" max="4" width="13.5703125" style="336" customWidth="1"/>
    <col min="5" max="5" width="36.5703125" style="336" customWidth="1"/>
    <col min="6" max="6" width="16.85546875" style="342" customWidth="1"/>
    <col min="7" max="7" width="16" style="342" customWidth="1"/>
    <col min="8" max="8" width="17.42578125" style="342" customWidth="1"/>
    <col min="9" max="9" width="8.28515625" style="343" customWidth="1"/>
    <col min="10" max="10" width="16.5703125" style="342" customWidth="1"/>
    <col min="11" max="11" width="14.140625" style="355" customWidth="1"/>
    <col min="12" max="12" width="16.85546875" style="355" customWidth="1"/>
    <col min="13" max="13" width="16.5703125" style="355" customWidth="1"/>
    <col min="14" max="14" width="15.85546875" style="355" customWidth="1"/>
    <col min="15" max="15" width="10.140625" style="344" customWidth="1"/>
    <col min="16" max="16" width="12.140625" style="344" customWidth="1"/>
    <col min="17" max="17" width="17" style="342" customWidth="1"/>
    <col min="18" max="18" width="16.85546875" style="342" customWidth="1"/>
    <col min="19" max="19" width="9.5703125" style="336" customWidth="1"/>
    <col min="20" max="16384" width="9.140625" style="336"/>
  </cols>
  <sheetData>
    <row r="1" spans="1:19" ht="22.5">
      <c r="C1" s="425" t="s">
        <v>1421</v>
      </c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</row>
    <row r="2" spans="1:19" customFormat="1" ht="20.25">
      <c r="B2" s="360"/>
      <c r="C2" s="419" t="s">
        <v>245</v>
      </c>
      <c r="D2" s="419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</row>
    <row r="3" spans="1:19" customFormat="1" ht="18">
      <c r="B3" s="360"/>
      <c r="C3" s="426" t="s">
        <v>1488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</row>
    <row r="4" spans="1:19" s="372" customFormat="1" ht="68.25" customHeight="1">
      <c r="B4" s="117" t="s">
        <v>869</v>
      </c>
      <c r="C4" s="369" t="s">
        <v>0</v>
      </c>
      <c r="D4" s="370" t="s">
        <v>1422</v>
      </c>
      <c r="E4" s="370" t="s">
        <v>292</v>
      </c>
      <c r="F4" s="370" t="s">
        <v>1423</v>
      </c>
      <c r="G4" s="370" t="s">
        <v>1424</v>
      </c>
      <c r="H4" s="370" t="s">
        <v>1425</v>
      </c>
      <c r="I4" s="370" t="s">
        <v>1426</v>
      </c>
      <c r="J4" s="370" t="s">
        <v>1427</v>
      </c>
      <c r="K4" s="371" t="s">
        <v>1428</v>
      </c>
      <c r="L4" s="371" t="s">
        <v>1429</v>
      </c>
      <c r="M4" s="371" t="s">
        <v>1430</v>
      </c>
      <c r="N4" s="371" t="s">
        <v>1431</v>
      </c>
      <c r="O4" s="368" t="s">
        <v>1432</v>
      </c>
      <c r="P4" s="373" t="s">
        <v>1433</v>
      </c>
      <c r="Q4" s="370" t="s">
        <v>1434</v>
      </c>
      <c r="R4" s="370" t="s">
        <v>1435</v>
      </c>
      <c r="S4" s="383" t="s">
        <v>1436</v>
      </c>
    </row>
    <row r="5" spans="1:19">
      <c r="A5" s="378"/>
      <c r="B5" s="361" t="s">
        <v>1369</v>
      </c>
      <c r="C5" s="367">
        <v>1</v>
      </c>
      <c r="D5" s="337" t="s">
        <v>1437</v>
      </c>
      <c r="E5" s="338" t="s">
        <v>1282</v>
      </c>
      <c r="F5" s="339">
        <v>330000</v>
      </c>
      <c r="G5" s="339">
        <v>43989</v>
      </c>
      <c r="H5" s="340">
        <f t="shared" ref="H5:H36" si="0">SUM(F5:G5)</f>
        <v>373989</v>
      </c>
      <c r="I5" s="347">
        <v>50</v>
      </c>
      <c r="J5" s="379">
        <v>7479.78</v>
      </c>
      <c r="K5" s="356">
        <f t="shared" ref="K5:K23" si="1">G5/50</f>
        <v>879.78</v>
      </c>
      <c r="L5" s="356">
        <f t="shared" ref="L5:L36" si="2">F5/50</f>
        <v>6600</v>
      </c>
      <c r="M5" s="356">
        <f t="shared" ref="M5:M36" si="3">K5*O5</f>
        <v>12316.92</v>
      </c>
      <c r="N5" s="356">
        <f t="shared" ref="N5:N36" si="4">K5*P5</f>
        <v>31672.079999999998</v>
      </c>
      <c r="O5" s="352">
        <v>14</v>
      </c>
      <c r="P5" s="354">
        <f t="shared" ref="P5:P36" si="5">I5-O5</f>
        <v>36</v>
      </c>
      <c r="Q5" s="339">
        <f t="shared" ref="Q5:Q36" si="6">J5*O5</f>
        <v>104716.92</v>
      </c>
      <c r="R5" s="339">
        <f t="shared" ref="R5:R36" si="7">H5-Q5</f>
        <v>269272.08</v>
      </c>
      <c r="S5" s="341"/>
    </row>
    <row r="6" spans="1:19">
      <c r="A6" s="378"/>
      <c r="B6" s="361" t="s">
        <v>1396</v>
      </c>
      <c r="C6" s="367">
        <v>2</v>
      </c>
      <c r="D6" s="337" t="s">
        <v>1437</v>
      </c>
      <c r="E6" s="341" t="s">
        <v>1397</v>
      </c>
      <c r="F6" s="339">
        <v>150000</v>
      </c>
      <c r="G6" s="339">
        <v>19995</v>
      </c>
      <c r="H6" s="340">
        <f t="shared" si="0"/>
        <v>169995</v>
      </c>
      <c r="I6" s="347">
        <v>50</v>
      </c>
      <c r="J6" s="379">
        <v>3399.9</v>
      </c>
      <c r="K6" s="356">
        <f t="shared" si="1"/>
        <v>399.9</v>
      </c>
      <c r="L6" s="356">
        <f t="shared" si="2"/>
        <v>3000</v>
      </c>
      <c r="M6" s="356">
        <f t="shared" si="3"/>
        <v>6398.4</v>
      </c>
      <c r="N6" s="356">
        <f t="shared" si="4"/>
        <v>13596.599999999999</v>
      </c>
      <c r="O6" s="352">
        <v>16</v>
      </c>
      <c r="P6" s="354">
        <f t="shared" si="5"/>
        <v>34</v>
      </c>
      <c r="Q6" s="339">
        <f t="shared" si="6"/>
        <v>54398.400000000001</v>
      </c>
      <c r="R6" s="339">
        <f t="shared" si="7"/>
        <v>115596.6</v>
      </c>
      <c r="S6" s="341"/>
    </row>
    <row r="7" spans="1:19">
      <c r="A7" s="378"/>
      <c r="B7" s="337" t="s">
        <v>1412</v>
      </c>
      <c r="C7" s="367">
        <v>3</v>
      </c>
      <c r="D7" s="337" t="s">
        <v>1437</v>
      </c>
      <c r="E7" s="337" t="s">
        <v>468</v>
      </c>
      <c r="F7" s="346">
        <v>500000</v>
      </c>
      <c r="G7" s="346">
        <v>66650</v>
      </c>
      <c r="H7" s="340">
        <f t="shared" si="0"/>
        <v>566650</v>
      </c>
      <c r="I7" s="348">
        <v>50</v>
      </c>
      <c r="J7" s="380">
        <v>11333</v>
      </c>
      <c r="K7" s="356">
        <f t="shared" si="1"/>
        <v>1333</v>
      </c>
      <c r="L7" s="356">
        <f t="shared" si="2"/>
        <v>10000</v>
      </c>
      <c r="M7" s="356">
        <f t="shared" si="3"/>
        <v>9331</v>
      </c>
      <c r="N7" s="356">
        <f t="shared" si="4"/>
        <v>57319</v>
      </c>
      <c r="O7" s="348">
        <v>7</v>
      </c>
      <c r="P7" s="354">
        <f t="shared" si="5"/>
        <v>43</v>
      </c>
      <c r="Q7" s="339">
        <f t="shared" si="6"/>
        <v>79331</v>
      </c>
      <c r="R7" s="339">
        <f t="shared" si="7"/>
        <v>487319</v>
      </c>
      <c r="S7" s="337"/>
    </row>
    <row r="8" spans="1:19" ht="22.5">
      <c r="A8" s="378"/>
      <c r="B8" s="337" t="s">
        <v>1460</v>
      </c>
      <c r="C8" s="367">
        <v>4</v>
      </c>
      <c r="D8" s="337" t="s">
        <v>1437</v>
      </c>
      <c r="E8" s="337" t="s">
        <v>1461</v>
      </c>
      <c r="F8" s="346">
        <v>500000</v>
      </c>
      <c r="G8" s="346">
        <v>66650</v>
      </c>
      <c r="H8" s="340">
        <f t="shared" si="0"/>
        <v>566650</v>
      </c>
      <c r="I8" s="348">
        <v>50</v>
      </c>
      <c r="J8" s="381">
        <v>11333</v>
      </c>
      <c r="K8" s="356">
        <f t="shared" si="1"/>
        <v>1333</v>
      </c>
      <c r="L8" s="356">
        <f t="shared" si="2"/>
        <v>10000</v>
      </c>
      <c r="M8" s="356">
        <f t="shared" si="3"/>
        <v>2666</v>
      </c>
      <c r="N8" s="356">
        <f t="shared" si="4"/>
        <v>63984</v>
      </c>
      <c r="O8" s="358">
        <v>2</v>
      </c>
      <c r="P8" s="354">
        <f t="shared" si="5"/>
        <v>48</v>
      </c>
      <c r="Q8" s="339">
        <f t="shared" si="6"/>
        <v>22666</v>
      </c>
      <c r="R8" s="339">
        <f t="shared" si="7"/>
        <v>543984</v>
      </c>
      <c r="S8" s="389" t="s">
        <v>1458</v>
      </c>
    </row>
    <row r="9" spans="1:19">
      <c r="A9" s="378"/>
      <c r="B9" s="362" t="s">
        <v>1047</v>
      </c>
      <c r="C9" s="367">
        <v>5</v>
      </c>
      <c r="D9" s="337" t="s">
        <v>1437</v>
      </c>
      <c r="E9" s="338" t="s">
        <v>873</v>
      </c>
      <c r="F9" s="339">
        <v>450000</v>
      </c>
      <c r="G9" s="339">
        <v>59985</v>
      </c>
      <c r="H9" s="340">
        <f t="shared" si="0"/>
        <v>509985</v>
      </c>
      <c r="I9" s="347">
        <v>50</v>
      </c>
      <c r="J9" s="379">
        <v>10199.700000000001</v>
      </c>
      <c r="K9" s="356">
        <f t="shared" si="1"/>
        <v>1199.7</v>
      </c>
      <c r="L9" s="356">
        <f t="shared" si="2"/>
        <v>9000</v>
      </c>
      <c r="M9" s="356">
        <f t="shared" si="3"/>
        <v>34791.300000000003</v>
      </c>
      <c r="N9" s="356">
        <f t="shared" si="4"/>
        <v>25193.7</v>
      </c>
      <c r="O9" s="352">
        <v>29</v>
      </c>
      <c r="P9" s="354">
        <f t="shared" si="5"/>
        <v>21</v>
      </c>
      <c r="Q9" s="339">
        <f t="shared" si="6"/>
        <v>295791.30000000005</v>
      </c>
      <c r="R9" s="339">
        <f t="shared" si="7"/>
        <v>214193.69999999995</v>
      </c>
      <c r="S9" s="341"/>
    </row>
    <row r="10" spans="1:19">
      <c r="A10" s="378"/>
      <c r="B10" s="337" t="s">
        <v>1418</v>
      </c>
      <c r="C10" s="367">
        <v>6</v>
      </c>
      <c r="D10" s="337" t="s">
        <v>1437</v>
      </c>
      <c r="E10" s="337" t="s">
        <v>455</v>
      </c>
      <c r="F10" s="346">
        <v>150000</v>
      </c>
      <c r="G10" s="346">
        <v>19995</v>
      </c>
      <c r="H10" s="340">
        <f t="shared" si="0"/>
        <v>169995</v>
      </c>
      <c r="I10" s="358">
        <v>50</v>
      </c>
      <c r="J10" s="381">
        <v>3399.9</v>
      </c>
      <c r="K10" s="356">
        <f t="shared" si="1"/>
        <v>399.9</v>
      </c>
      <c r="L10" s="356">
        <f t="shared" si="2"/>
        <v>3000</v>
      </c>
      <c r="M10" s="356">
        <f t="shared" si="3"/>
        <v>2799.2999999999997</v>
      </c>
      <c r="N10" s="356">
        <f t="shared" si="4"/>
        <v>17195.7</v>
      </c>
      <c r="O10" s="358">
        <v>7</v>
      </c>
      <c r="P10" s="354">
        <f t="shared" si="5"/>
        <v>43</v>
      </c>
      <c r="Q10" s="339">
        <f t="shared" si="6"/>
        <v>23799.3</v>
      </c>
      <c r="R10" s="339">
        <f t="shared" si="7"/>
        <v>146195.70000000001</v>
      </c>
      <c r="S10" s="337"/>
    </row>
    <row r="11" spans="1:19">
      <c r="A11" s="378"/>
      <c r="B11" s="363" t="s">
        <v>1034</v>
      </c>
      <c r="C11" s="367">
        <v>7</v>
      </c>
      <c r="D11" s="337" t="s">
        <v>1437</v>
      </c>
      <c r="E11" s="341" t="s">
        <v>1035</v>
      </c>
      <c r="F11" s="339">
        <v>500000</v>
      </c>
      <c r="G11" s="339">
        <v>66650</v>
      </c>
      <c r="H11" s="340">
        <f t="shared" si="0"/>
        <v>566650</v>
      </c>
      <c r="I11" s="347">
        <v>50</v>
      </c>
      <c r="J11" s="379">
        <v>11333</v>
      </c>
      <c r="K11" s="356">
        <f t="shared" si="1"/>
        <v>1333</v>
      </c>
      <c r="L11" s="356">
        <f t="shared" si="2"/>
        <v>10000</v>
      </c>
      <c r="M11" s="356">
        <f t="shared" si="3"/>
        <v>38657</v>
      </c>
      <c r="N11" s="356">
        <f t="shared" si="4"/>
        <v>27993</v>
      </c>
      <c r="O11" s="347">
        <v>29</v>
      </c>
      <c r="P11" s="354">
        <f t="shared" si="5"/>
        <v>21</v>
      </c>
      <c r="Q11" s="339">
        <f t="shared" si="6"/>
        <v>328657</v>
      </c>
      <c r="R11" s="339">
        <f t="shared" si="7"/>
        <v>237993</v>
      </c>
      <c r="S11" s="341"/>
    </row>
    <row r="12" spans="1:19">
      <c r="A12" s="378"/>
      <c r="B12" s="337" t="s">
        <v>1462</v>
      </c>
      <c r="C12" s="367">
        <v>8</v>
      </c>
      <c r="D12" s="337" t="s">
        <v>1437</v>
      </c>
      <c r="E12" s="337" t="s">
        <v>458</v>
      </c>
      <c r="F12" s="346">
        <v>500000</v>
      </c>
      <c r="G12" s="346">
        <v>66650</v>
      </c>
      <c r="H12" s="340">
        <f t="shared" si="0"/>
        <v>566650</v>
      </c>
      <c r="I12" s="348">
        <v>50</v>
      </c>
      <c r="J12" s="381">
        <v>11333</v>
      </c>
      <c r="K12" s="356">
        <f t="shared" si="1"/>
        <v>1333</v>
      </c>
      <c r="L12" s="356">
        <f t="shared" si="2"/>
        <v>10000</v>
      </c>
      <c r="M12" s="356">
        <f t="shared" si="3"/>
        <v>2666</v>
      </c>
      <c r="N12" s="356">
        <f t="shared" si="4"/>
        <v>63984</v>
      </c>
      <c r="O12" s="358">
        <v>2</v>
      </c>
      <c r="P12" s="354">
        <f t="shared" si="5"/>
        <v>48</v>
      </c>
      <c r="Q12" s="339">
        <f t="shared" si="6"/>
        <v>22666</v>
      </c>
      <c r="R12" s="339">
        <f t="shared" si="7"/>
        <v>543984</v>
      </c>
      <c r="S12" s="337"/>
    </row>
    <row r="13" spans="1:19">
      <c r="A13" s="378"/>
      <c r="B13" s="337" t="s">
        <v>1101</v>
      </c>
      <c r="C13" s="367">
        <v>9</v>
      </c>
      <c r="D13" s="337" t="s">
        <v>1437</v>
      </c>
      <c r="E13" s="337" t="s">
        <v>290</v>
      </c>
      <c r="F13" s="346">
        <v>330000</v>
      </c>
      <c r="G13" s="346">
        <v>43989</v>
      </c>
      <c r="H13" s="340">
        <f t="shared" si="0"/>
        <v>373989</v>
      </c>
      <c r="I13" s="348">
        <v>50</v>
      </c>
      <c r="J13" s="381">
        <v>7479.78</v>
      </c>
      <c r="K13" s="356">
        <f t="shared" si="1"/>
        <v>879.78</v>
      </c>
      <c r="L13" s="356">
        <f t="shared" si="2"/>
        <v>6600</v>
      </c>
      <c r="M13" s="356">
        <f t="shared" si="3"/>
        <v>1759.56</v>
      </c>
      <c r="N13" s="356">
        <f t="shared" si="4"/>
        <v>42229.440000000002</v>
      </c>
      <c r="O13" s="358">
        <v>2</v>
      </c>
      <c r="P13" s="354">
        <f t="shared" si="5"/>
        <v>48</v>
      </c>
      <c r="Q13" s="339">
        <f t="shared" si="6"/>
        <v>14959.56</v>
      </c>
      <c r="R13" s="339">
        <f t="shared" si="7"/>
        <v>359029.44</v>
      </c>
      <c r="S13" s="337"/>
    </row>
    <row r="14" spans="1:19">
      <c r="A14" s="378"/>
      <c r="B14" s="362" t="s">
        <v>1382</v>
      </c>
      <c r="C14" s="367">
        <v>10</v>
      </c>
      <c r="D14" s="337" t="s">
        <v>1437</v>
      </c>
      <c r="E14" s="341" t="s">
        <v>1130</v>
      </c>
      <c r="F14" s="339">
        <v>330000</v>
      </c>
      <c r="G14" s="339">
        <v>43989</v>
      </c>
      <c r="H14" s="340">
        <f t="shared" si="0"/>
        <v>373989</v>
      </c>
      <c r="I14" s="347">
        <v>50</v>
      </c>
      <c r="J14" s="379">
        <v>7479.78</v>
      </c>
      <c r="K14" s="356">
        <f t="shared" si="1"/>
        <v>879.78</v>
      </c>
      <c r="L14" s="356">
        <f t="shared" si="2"/>
        <v>6600</v>
      </c>
      <c r="M14" s="356">
        <f t="shared" si="3"/>
        <v>18475.38</v>
      </c>
      <c r="N14" s="356">
        <f t="shared" si="4"/>
        <v>25513.62</v>
      </c>
      <c r="O14" s="353">
        <v>21</v>
      </c>
      <c r="P14" s="354">
        <f t="shared" si="5"/>
        <v>29</v>
      </c>
      <c r="Q14" s="339">
        <f t="shared" si="6"/>
        <v>157075.38</v>
      </c>
      <c r="R14" s="339">
        <f t="shared" si="7"/>
        <v>216913.62</v>
      </c>
      <c r="S14" s="341"/>
    </row>
    <row r="15" spans="1:19">
      <c r="A15" s="378"/>
      <c r="B15" s="362" t="s">
        <v>1350</v>
      </c>
      <c r="C15" s="367">
        <v>11</v>
      </c>
      <c r="D15" s="337" t="s">
        <v>1437</v>
      </c>
      <c r="E15" s="338" t="s">
        <v>1117</v>
      </c>
      <c r="F15" s="339">
        <v>500000</v>
      </c>
      <c r="G15" s="339">
        <v>66650</v>
      </c>
      <c r="H15" s="340">
        <f t="shared" si="0"/>
        <v>566650</v>
      </c>
      <c r="I15" s="347">
        <v>50</v>
      </c>
      <c r="J15" s="379">
        <v>11333</v>
      </c>
      <c r="K15" s="356">
        <f t="shared" si="1"/>
        <v>1333</v>
      </c>
      <c r="L15" s="356">
        <f t="shared" si="2"/>
        <v>10000</v>
      </c>
      <c r="M15" s="356">
        <f t="shared" si="3"/>
        <v>27993</v>
      </c>
      <c r="N15" s="356">
        <f t="shared" si="4"/>
        <v>38657</v>
      </c>
      <c r="O15" s="352">
        <v>21</v>
      </c>
      <c r="P15" s="354">
        <f t="shared" si="5"/>
        <v>29</v>
      </c>
      <c r="Q15" s="339">
        <f t="shared" si="6"/>
        <v>237993</v>
      </c>
      <c r="R15" s="339">
        <f t="shared" si="7"/>
        <v>328657</v>
      </c>
      <c r="S15" s="341"/>
    </row>
    <row r="16" spans="1:19">
      <c r="A16" s="378"/>
      <c r="B16" s="361" t="s">
        <v>1338</v>
      </c>
      <c r="C16" s="367">
        <v>12</v>
      </c>
      <c r="D16" s="337" t="s">
        <v>1437</v>
      </c>
      <c r="E16" s="341" t="s">
        <v>438</v>
      </c>
      <c r="F16" s="339">
        <v>500000</v>
      </c>
      <c r="G16" s="339">
        <v>66650</v>
      </c>
      <c r="H16" s="340">
        <f t="shared" si="0"/>
        <v>566650</v>
      </c>
      <c r="I16" s="347">
        <v>50</v>
      </c>
      <c r="J16" s="379">
        <v>11333</v>
      </c>
      <c r="K16" s="356">
        <f t="shared" si="1"/>
        <v>1333</v>
      </c>
      <c r="L16" s="356">
        <f t="shared" si="2"/>
        <v>10000</v>
      </c>
      <c r="M16" s="356">
        <f t="shared" si="3"/>
        <v>11997</v>
      </c>
      <c r="N16" s="356">
        <f t="shared" si="4"/>
        <v>54653</v>
      </c>
      <c r="O16" s="352">
        <v>9</v>
      </c>
      <c r="P16" s="354">
        <f t="shared" si="5"/>
        <v>41</v>
      </c>
      <c r="Q16" s="339">
        <f t="shared" si="6"/>
        <v>101997</v>
      </c>
      <c r="R16" s="339">
        <f t="shared" si="7"/>
        <v>464653</v>
      </c>
      <c r="S16" s="341"/>
    </row>
    <row r="17" spans="1:19">
      <c r="A17" s="378"/>
      <c r="B17" s="337" t="s">
        <v>1413</v>
      </c>
      <c r="C17" s="367">
        <v>13</v>
      </c>
      <c r="D17" s="337" t="s">
        <v>1437</v>
      </c>
      <c r="E17" s="337" t="s">
        <v>454</v>
      </c>
      <c r="F17" s="346">
        <v>500000</v>
      </c>
      <c r="G17" s="346">
        <v>66650</v>
      </c>
      <c r="H17" s="340">
        <f t="shared" si="0"/>
        <v>566650</v>
      </c>
      <c r="I17" s="348">
        <v>50</v>
      </c>
      <c r="J17" s="380">
        <v>11333</v>
      </c>
      <c r="K17" s="356">
        <f t="shared" si="1"/>
        <v>1333</v>
      </c>
      <c r="L17" s="356">
        <f t="shared" si="2"/>
        <v>10000</v>
      </c>
      <c r="M17" s="356">
        <f t="shared" si="3"/>
        <v>9331</v>
      </c>
      <c r="N17" s="356">
        <f t="shared" si="4"/>
        <v>57319</v>
      </c>
      <c r="O17" s="348">
        <v>7</v>
      </c>
      <c r="P17" s="354">
        <f t="shared" si="5"/>
        <v>43</v>
      </c>
      <c r="Q17" s="339">
        <f t="shared" si="6"/>
        <v>79331</v>
      </c>
      <c r="R17" s="339">
        <f t="shared" si="7"/>
        <v>487319</v>
      </c>
      <c r="S17" s="337"/>
    </row>
    <row r="18" spans="1:19">
      <c r="A18" s="378"/>
      <c r="B18" s="361" t="s">
        <v>1343</v>
      </c>
      <c r="C18" s="367">
        <v>14</v>
      </c>
      <c r="D18" s="337" t="s">
        <v>1437</v>
      </c>
      <c r="E18" s="341" t="s">
        <v>451</v>
      </c>
      <c r="F18" s="339">
        <v>500000</v>
      </c>
      <c r="G18" s="339">
        <v>66650</v>
      </c>
      <c r="H18" s="340">
        <f t="shared" si="0"/>
        <v>566650</v>
      </c>
      <c r="I18" s="347">
        <v>50</v>
      </c>
      <c r="J18" s="379">
        <v>11333</v>
      </c>
      <c r="K18" s="356">
        <f t="shared" si="1"/>
        <v>1333</v>
      </c>
      <c r="L18" s="356">
        <f t="shared" si="2"/>
        <v>10000</v>
      </c>
      <c r="M18" s="356">
        <f t="shared" si="3"/>
        <v>26660</v>
      </c>
      <c r="N18" s="356">
        <f t="shared" si="4"/>
        <v>39990</v>
      </c>
      <c r="O18" s="353">
        <v>20</v>
      </c>
      <c r="P18" s="354">
        <f t="shared" si="5"/>
        <v>30</v>
      </c>
      <c r="Q18" s="339">
        <f t="shared" si="6"/>
        <v>226660</v>
      </c>
      <c r="R18" s="339">
        <f t="shared" si="7"/>
        <v>339990</v>
      </c>
      <c r="S18" s="341"/>
    </row>
    <row r="19" spans="1:19">
      <c r="A19" s="378"/>
      <c r="B19" s="337" t="s">
        <v>1463</v>
      </c>
      <c r="C19" s="367">
        <v>15</v>
      </c>
      <c r="D19" s="337" t="s">
        <v>1437</v>
      </c>
      <c r="E19" s="337" t="s">
        <v>472</v>
      </c>
      <c r="F19" s="346">
        <v>500000</v>
      </c>
      <c r="G19" s="346">
        <v>66650</v>
      </c>
      <c r="H19" s="340">
        <f t="shared" si="0"/>
        <v>566650</v>
      </c>
      <c r="I19" s="348">
        <v>50</v>
      </c>
      <c r="J19" s="381">
        <v>11333</v>
      </c>
      <c r="K19" s="356">
        <f t="shared" si="1"/>
        <v>1333</v>
      </c>
      <c r="L19" s="356">
        <f t="shared" si="2"/>
        <v>10000</v>
      </c>
      <c r="M19" s="356">
        <f t="shared" si="3"/>
        <v>2666</v>
      </c>
      <c r="N19" s="356">
        <f t="shared" si="4"/>
        <v>63984</v>
      </c>
      <c r="O19" s="358">
        <v>2</v>
      </c>
      <c r="P19" s="354">
        <f t="shared" si="5"/>
        <v>48</v>
      </c>
      <c r="Q19" s="339">
        <f t="shared" si="6"/>
        <v>22666</v>
      </c>
      <c r="R19" s="339">
        <f t="shared" si="7"/>
        <v>543984</v>
      </c>
      <c r="S19" s="337"/>
    </row>
    <row r="20" spans="1:19">
      <c r="A20" s="378"/>
      <c r="B20" s="363" t="s">
        <v>1107</v>
      </c>
      <c r="C20" s="367">
        <v>16</v>
      </c>
      <c r="D20" s="337" t="s">
        <v>1437</v>
      </c>
      <c r="E20" s="341" t="s">
        <v>734</v>
      </c>
      <c r="F20" s="339">
        <v>500000</v>
      </c>
      <c r="G20" s="339">
        <v>66650</v>
      </c>
      <c r="H20" s="340">
        <f t="shared" si="0"/>
        <v>566650</v>
      </c>
      <c r="I20" s="347">
        <v>50</v>
      </c>
      <c r="J20" s="379">
        <v>11333</v>
      </c>
      <c r="K20" s="356">
        <f t="shared" si="1"/>
        <v>1333</v>
      </c>
      <c r="L20" s="356">
        <f t="shared" si="2"/>
        <v>10000</v>
      </c>
      <c r="M20" s="356">
        <f t="shared" si="3"/>
        <v>11997</v>
      </c>
      <c r="N20" s="356">
        <f t="shared" si="4"/>
        <v>54653</v>
      </c>
      <c r="O20" s="353">
        <v>9</v>
      </c>
      <c r="P20" s="354">
        <f t="shared" si="5"/>
        <v>41</v>
      </c>
      <c r="Q20" s="339">
        <f t="shared" si="6"/>
        <v>101997</v>
      </c>
      <c r="R20" s="339">
        <f t="shared" si="7"/>
        <v>464653</v>
      </c>
      <c r="S20" s="341"/>
    </row>
    <row r="21" spans="1:19">
      <c r="A21" s="378"/>
      <c r="B21" s="363" t="s">
        <v>1344</v>
      </c>
      <c r="C21" s="367">
        <v>17</v>
      </c>
      <c r="D21" s="337" t="s">
        <v>1437</v>
      </c>
      <c r="E21" s="341" t="s">
        <v>1345</v>
      </c>
      <c r="F21" s="339">
        <v>500000</v>
      </c>
      <c r="G21" s="339">
        <v>66650</v>
      </c>
      <c r="H21" s="340">
        <f t="shared" si="0"/>
        <v>566650</v>
      </c>
      <c r="I21" s="347">
        <v>50</v>
      </c>
      <c r="J21" s="379">
        <v>11333</v>
      </c>
      <c r="K21" s="356">
        <f t="shared" si="1"/>
        <v>1333</v>
      </c>
      <c r="L21" s="356">
        <f t="shared" si="2"/>
        <v>10000</v>
      </c>
      <c r="M21" s="356">
        <f t="shared" si="3"/>
        <v>15996</v>
      </c>
      <c r="N21" s="356">
        <f t="shared" si="4"/>
        <v>50654</v>
      </c>
      <c r="O21" s="352">
        <v>12</v>
      </c>
      <c r="P21" s="354">
        <f t="shared" si="5"/>
        <v>38</v>
      </c>
      <c r="Q21" s="339">
        <f t="shared" si="6"/>
        <v>135996</v>
      </c>
      <c r="R21" s="339">
        <f t="shared" si="7"/>
        <v>430654</v>
      </c>
      <c r="S21" s="341"/>
    </row>
    <row r="22" spans="1:19">
      <c r="A22" s="378"/>
      <c r="B22" s="364" t="s">
        <v>1100</v>
      </c>
      <c r="C22" s="367">
        <v>18</v>
      </c>
      <c r="D22" s="337" t="s">
        <v>1437</v>
      </c>
      <c r="E22" s="341" t="s">
        <v>351</v>
      </c>
      <c r="F22" s="340">
        <v>500000</v>
      </c>
      <c r="G22" s="339">
        <v>66650</v>
      </c>
      <c r="H22" s="340">
        <f t="shared" si="0"/>
        <v>566650</v>
      </c>
      <c r="I22" s="347">
        <v>50</v>
      </c>
      <c r="J22" s="379">
        <v>11333</v>
      </c>
      <c r="K22" s="356">
        <f t="shared" si="1"/>
        <v>1333</v>
      </c>
      <c r="L22" s="356">
        <f t="shared" si="2"/>
        <v>10000</v>
      </c>
      <c r="M22" s="356">
        <f t="shared" si="3"/>
        <v>78647</v>
      </c>
      <c r="N22" s="356">
        <f t="shared" si="4"/>
        <v>-11997</v>
      </c>
      <c r="O22" s="352">
        <v>59</v>
      </c>
      <c r="P22" s="354">
        <f t="shared" si="5"/>
        <v>-9</v>
      </c>
      <c r="Q22" s="339">
        <f t="shared" si="6"/>
        <v>668647</v>
      </c>
      <c r="R22" s="339">
        <f t="shared" si="7"/>
        <v>-101997</v>
      </c>
      <c r="S22" s="341"/>
    </row>
    <row r="23" spans="1:19">
      <c r="A23" s="378"/>
      <c r="B23" s="362" t="s">
        <v>989</v>
      </c>
      <c r="C23" s="367">
        <v>19</v>
      </c>
      <c r="D23" s="337" t="s">
        <v>1437</v>
      </c>
      <c r="E23" s="338" t="s">
        <v>864</v>
      </c>
      <c r="F23" s="339">
        <v>500000</v>
      </c>
      <c r="G23" s="339">
        <v>66650</v>
      </c>
      <c r="H23" s="340">
        <f t="shared" si="0"/>
        <v>566650</v>
      </c>
      <c r="I23" s="347">
        <v>50</v>
      </c>
      <c r="J23" s="379">
        <v>11333</v>
      </c>
      <c r="K23" s="356">
        <f t="shared" si="1"/>
        <v>1333</v>
      </c>
      <c r="L23" s="356">
        <f t="shared" si="2"/>
        <v>10000</v>
      </c>
      <c r="M23" s="356">
        <f t="shared" si="3"/>
        <v>38657</v>
      </c>
      <c r="N23" s="356">
        <f t="shared" si="4"/>
        <v>27993</v>
      </c>
      <c r="O23" s="352">
        <v>29</v>
      </c>
      <c r="P23" s="354">
        <f t="shared" si="5"/>
        <v>21</v>
      </c>
      <c r="Q23" s="339">
        <f t="shared" si="6"/>
        <v>328657</v>
      </c>
      <c r="R23" s="339">
        <f t="shared" si="7"/>
        <v>237993</v>
      </c>
      <c r="S23" s="341"/>
    </row>
    <row r="24" spans="1:19">
      <c r="A24" s="378"/>
      <c r="B24" s="337" t="s">
        <v>991</v>
      </c>
      <c r="C24" s="367">
        <v>20</v>
      </c>
      <c r="D24" s="337" t="s">
        <v>1437</v>
      </c>
      <c r="E24" s="337" t="s">
        <v>992</v>
      </c>
      <c r="F24" s="346">
        <v>330000</v>
      </c>
      <c r="G24" s="346">
        <v>26393.4</v>
      </c>
      <c r="H24" s="340">
        <f t="shared" si="0"/>
        <v>356393.4</v>
      </c>
      <c r="I24" s="358">
        <v>30</v>
      </c>
      <c r="J24" s="381">
        <v>11879.78</v>
      </c>
      <c r="K24" s="356">
        <f>G24/30</f>
        <v>879.78000000000009</v>
      </c>
      <c r="L24" s="356">
        <f t="shared" si="2"/>
        <v>6600</v>
      </c>
      <c r="M24" s="356">
        <f t="shared" si="3"/>
        <v>1759.5600000000002</v>
      </c>
      <c r="N24" s="356">
        <f t="shared" si="4"/>
        <v>24633.840000000004</v>
      </c>
      <c r="O24" s="358">
        <v>2</v>
      </c>
      <c r="P24" s="354">
        <f t="shared" si="5"/>
        <v>28</v>
      </c>
      <c r="Q24" s="339">
        <f t="shared" si="6"/>
        <v>23759.56</v>
      </c>
      <c r="R24" s="339">
        <f t="shared" si="7"/>
        <v>332633.84000000003</v>
      </c>
      <c r="S24" s="337"/>
    </row>
    <row r="25" spans="1:19">
      <c r="A25" s="378"/>
      <c r="B25" s="337" t="s">
        <v>1038</v>
      </c>
      <c r="C25" s="367">
        <v>21</v>
      </c>
      <c r="D25" s="337" t="s">
        <v>1437</v>
      </c>
      <c r="E25" s="337" t="s">
        <v>375</v>
      </c>
      <c r="F25" s="346">
        <v>450000</v>
      </c>
      <c r="G25" s="346">
        <v>59985</v>
      </c>
      <c r="H25" s="340">
        <f t="shared" si="0"/>
        <v>509985</v>
      </c>
      <c r="I25" s="348">
        <v>50</v>
      </c>
      <c r="J25" s="381">
        <v>10199.700000000001</v>
      </c>
      <c r="K25" s="356">
        <f t="shared" ref="K25:K40" si="8">G25/50</f>
        <v>1199.7</v>
      </c>
      <c r="L25" s="356">
        <f t="shared" si="2"/>
        <v>9000</v>
      </c>
      <c r="M25" s="356">
        <f t="shared" si="3"/>
        <v>5998.5</v>
      </c>
      <c r="N25" s="356">
        <f t="shared" si="4"/>
        <v>53986.5</v>
      </c>
      <c r="O25" s="358">
        <v>5</v>
      </c>
      <c r="P25" s="354">
        <f t="shared" si="5"/>
        <v>45</v>
      </c>
      <c r="Q25" s="339">
        <f t="shared" si="6"/>
        <v>50998.5</v>
      </c>
      <c r="R25" s="339">
        <f t="shared" si="7"/>
        <v>458986.5</v>
      </c>
      <c r="S25" s="337"/>
    </row>
    <row r="26" spans="1:19">
      <c r="A26" s="378"/>
      <c r="B26" s="363" t="s">
        <v>1352</v>
      </c>
      <c r="C26" s="367">
        <v>22</v>
      </c>
      <c r="D26" s="337" t="s">
        <v>1437</v>
      </c>
      <c r="E26" s="341" t="s">
        <v>1353</v>
      </c>
      <c r="F26" s="339">
        <v>500000</v>
      </c>
      <c r="G26" s="339">
        <v>66650</v>
      </c>
      <c r="H26" s="340">
        <f t="shared" si="0"/>
        <v>566650</v>
      </c>
      <c r="I26" s="347">
        <v>50</v>
      </c>
      <c r="J26" s="379">
        <v>11333</v>
      </c>
      <c r="K26" s="356">
        <f t="shared" si="8"/>
        <v>1333</v>
      </c>
      <c r="L26" s="356">
        <f t="shared" si="2"/>
        <v>10000</v>
      </c>
      <c r="M26" s="356">
        <f t="shared" si="3"/>
        <v>11997</v>
      </c>
      <c r="N26" s="356">
        <f t="shared" si="4"/>
        <v>54653</v>
      </c>
      <c r="O26" s="347">
        <v>9</v>
      </c>
      <c r="P26" s="354">
        <f t="shared" si="5"/>
        <v>41</v>
      </c>
      <c r="Q26" s="339">
        <f t="shared" si="6"/>
        <v>101997</v>
      </c>
      <c r="R26" s="339">
        <f t="shared" si="7"/>
        <v>464653</v>
      </c>
      <c r="S26" s="341"/>
    </row>
    <row r="27" spans="1:19">
      <c r="A27" s="378"/>
      <c r="B27" s="362" t="s">
        <v>1141</v>
      </c>
      <c r="C27" s="367">
        <v>23</v>
      </c>
      <c r="D27" s="337" t="s">
        <v>1437</v>
      </c>
      <c r="E27" s="338" t="s">
        <v>1142</v>
      </c>
      <c r="F27" s="339">
        <v>330000</v>
      </c>
      <c r="G27" s="339">
        <v>43989</v>
      </c>
      <c r="H27" s="340">
        <f t="shared" si="0"/>
        <v>373989</v>
      </c>
      <c r="I27" s="347">
        <v>50</v>
      </c>
      <c r="J27" s="379">
        <v>7479.78</v>
      </c>
      <c r="K27" s="356">
        <f t="shared" si="8"/>
        <v>879.78</v>
      </c>
      <c r="L27" s="356">
        <f t="shared" si="2"/>
        <v>6600</v>
      </c>
      <c r="M27" s="356">
        <f t="shared" si="3"/>
        <v>19355.16</v>
      </c>
      <c r="N27" s="356">
        <f t="shared" si="4"/>
        <v>24633.84</v>
      </c>
      <c r="O27" s="352">
        <v>22</v>
      </c>
      <c r="P27" s="354">
        <f t="shared" si="5"/>
        <v>28</v>
      </c>
      <c r="Q27" s="339">
        <f t="shared" si="6"/>
        <v>164555.16</v>
      </c>
      <c r="R27" s="339">
        <f t="shared" si="7"/>
        <v>209433.84</v>
      </c>
      <c r="S27" s="341"/>
    </row>
    <row r="28" spans="1:19">
      <c r="A28" s="378"/>
      <c r="B28" s="364" t="s">
        <v>966</v>
      </c>
      <c r="C28" s="367">
        <v>24</v>
      </c>
      <c r="D28" s="337" t="s">
        <v>1437</v>
      </c>
      <c r="E28" s="337" t="s">
        <v>29</v>
      </c>
      <c r="F28" s="346">
        <v>450000</v>
      </c>
      <c r="G28" s="346">
        <v>59985</v>
      </c>
      <c r="H28" s="340">
        <f t="shared" si="0"/>
        <v>509985</v>
      </c>
      <c r="I28" s="348">
        <v>50</v>
      </c>
      <c r="J28" s="380">
        <v>10199.700000000001</v>
      </c>
      <c r="K28" s="356">
        <f t="shared" si="8"/>
        <v>1199.7</v>
      </c>
      <c r="L28" s="356">
        <f t="shared" si="2"/>
        <v>9000</v>
      </c>
      <c r="M28" s="356">
        <f t="shared" si="3"/>
        <v>55186.200000000004</v>
      </c>
      <c r="N28" s="356">
        <f t="shared" si="4"/>
        <v>4798.8</v>
      </c>
      <c r="O28" s="348">
        <v>46</v>
      </c>
      <c r="P28" s="354">
        <f t="shared" si="5"/>
        <v>4</v>
      </c>
      <c r="Q28" s="339">
        <f t="shared" si="6"/>
        <v>469186.2</v>
      </c>
      <c r="R28" s="339">
        <f t="shared" si="7"/>
        <v>40798.799999999988</v>
      </c>
      <c r="S28" s="337"/>
    </row>
    <row r="29" spans="1:19">
      <c r="A29" s="378"/>
      <c r="B29" s="362" t="s">
        <v>993</v>
      </c>
      <c r="C29" s="367">
        <v>25</v>
      </c>
      <c r="D29" s="337" t="s">
        <v>1437</v>
      </c>
      <c r="E29" s="337" t="s">
        <v>994</v>
      </c>
      <c r="F29" s="346">
        <v>150000</v>
      </c>
      <c r="G29" s="346">
        <v>19995</v>
      </c>
      <c r="H29" s="340">
        <f t="shared" si="0"/>
        <v>169995</v>
      </c>
      <c r="I29" s="348">
        <v>50</v>
      </c>
      <c r="J29" s="380">
        <v>3399.9</v>
      </c>
      <c r="K29" s="356">
        <f t="shared" si="8"/>
        <v>399.9</v>
      </c>
      <c r="L29" s="356">
        <f t="shared" si="2"/>
        <v>3000</v>
      </c>
      <c r="M29" s="356">
        <f t="shared" si="3"/>
        <v>11597.099999999999</v>
      </c>
      <c r="N29" s="356">
        <f t="shared" si="4"/>
        <v>8397.9</v>
      </c>
      <c r="O29" s="348">
        <v>29</v>
      </c>
      <c r="P29" s="354">
        <f t="shared" si="5"/>
        <v>21</v>
      </c>
      <c r="Q29" s="339">
        <f t="shared" si="6"/>
        <v>98597.1</v>
      </c>
      <c r="R29" s="339">
        <f t="shared" si="7"/>
        <v>71397.899999999994</v>
      </c>
      <c r="S29" s="337"/>
    </row>
    <row r="30" spans="1:19">
      <c r="A30" s="378"/>
      <c r="B30" s="364" t="s">
        <v>1099</v>
      </c>
      <c r="C30" s="367">
        <v>26</v>
      </c>
      <c r="D30" s="337" t="s">
        <v>1437</v>
      </c>
      <c r="E30" s="337" t="s">
        <v>487</v>
      </c>
      <c r="F30" s="346">
        <v>500000</v>
      </c>
      <c r="G30" s="346">
        <v>66650</v>
      </c>
      <c r="H30" s="340">
        <f t="shared" si="0"/>
        <v>566650</v>
      </c>
      <c r="I30" s="348">
        <v>50</v>
      </c>
      <c r="J30" s="380">
        <v>11333</v>
      </c>
      <c r="K30" s="356">
        <f t="shared" si="8"/>
        <v>1333</v>
      </c>
      <c r="L30" s="356">
        <f t="shared" si="2"/>
        <v>10000</v>
      </c>
      <c r="M30" s="356">
        <f t="shared" si="3"/>
        <v>45322</v>
      </c>
      <c r="N30" s="356">
        <f t="shared" si="4"/>
        <v>21328</v>
      </c>
      <c r="O30" s="348">
        <v>34</v>
      </c>
      <c r="P30" s="354">
        <f t="shared" si="5"/>
        <v>16</v>
      </c>
      <c r="Q30" s="339">
        <f t="shared" si="6"/>
        <v>385322</v>
      </c>
      <c r="R30" s="339">
        <f t="shared" si="7"/>
        <v>181328</v>
      </c>
      <c r="S30" s="337"/>
    </row>
    <row r="31" spans="1:19">
      <c r="A31" s="378"/>
      <c r="B31" s="364" t="s">
        <v>1069</v>
      </c>
      <c r="C31" s="367">
        <v>27</v>
      </c>
      <c r="D31" s="337" t="s">
        <v>1437</v>
      </c>
      <c r="E31" s="337" t="s">
        <v>358</v>
      </c>
      <c r="F31" s="346">
        <v>500000</v>
      </c>
      <c r="G31" s="346">
        <v>66650</v>
      </c>
      <c r="H31" s="340">
        <f t="shared" si="0"/>
        <v>566650</v>
      </c>
      <c r="I31" s="348">
        <v>50</v>
      </c>
      <c r="J31" s="380">
        <v>11333</v>
      </c>
      <c r="K31" s="356">
        <f t="shared" si="8"/>
        <v>1333</v>
      </c>
      <c r="L31" s="356">
        <f t="shared" si="2"/>
        <v>10000</v>
      </c>
      <c r="M31" s="356">
        <f t="shared" si="3"/>
        <v>61318</v>
      </c>
      <c r="N31" s="356">
        <f t="shared" si="4"/>
        <v>5332</v>
      </c>
      <c r="O31" s="348">
        <v>46</v>
      </c>
      <c r="P31" s="354">
        <f t="shared" si="5"/>
        <v>4</v>
      </c>
      <c r="Q31" s="339">
        <f t="shared" si="6"/>
        <v>521318</v>
      </c>
      <c r="R31" s="339">
        <f t="shared" si="7"/>
        <v>45332</v>
      </c>
      <c r="S31" s="337"/>
    </row>
    <row r="32" spans="1:19">
      <c r="A32" s="378"/>
      <c r="B32" s="337" t="s">
        <v>1445</v>
      </c>
      <c r="C32" s="367">
        <v>28</v>
      </c>
      <c r="D32" s="337" t="s">
        <v>1437</v>
      </c>
      <c r="E32" s="337" t="s">
        <v>1446</v>
      </c>
      <c r="F32" s="346">
        <v>500000</v>
      </c>
      <c r="G32" s="346">
        <v>66650</v>
      </c>
      <c r="H32" s="340">
        <f t="shared" si="0"/>
        <v>566650</v>
      </c>
      <c r="I32" s="348">
        <v>50</v>
      </c>
      <c r="J32" s="381">
        <v>11333</v>
      </c>
      <c r="K32" s="356">
        <f t="shared" si="8"/>
        <v>1333</v>
      </c>
      <c r="L32" s="356">
        <f t="shared" si="2"/>
        <v>10000</v>
      </c>
      <c r="M32" s="356">
        <f t="shared" si="3"/>
        <v>6665</v>
      </c>
      <c r="N32" s="356">
        <f t="shared" si="4"/>
        <v>59985</v>
      </c>
      <c r="O32" s="358">
        <v>5</v>
      </c>
      <c r="P32" s="354">
        <f t="shared" si="5"/>
        <v>45</v>
      </c>
      <c r="Q32" s="339">
        <f t="shared" si="6"/>
        <v>56665</v>
      </c>
      <c r="R32" s="339">
        <f t="shared" si="7"/>
        <v>509985</v>
      </c>
      <c r="S32" s="337"/>
    </row>
    <row r="33" spans="1:19">
      <c r="A33" s="378"/>
      <c r="B33" s="364" t="s">
        <v>1106</v>
      </c>
      <c r="C33" s="367">
        <v>29</v>
      </c>
      <c r="D33" s="337" t="s">
        <v>1437</v>
      </c>
      <c r="E33" s="337" t="s">
        <v>314</v>
      </c>
      <c r="F33" s="346">
        <v>500000</v>
      </c>
      <c r="G33" s="346">
        <v>66650</v>
      </c>
      <c r="H33" s="340">
        <f t="shared" si="0"/>
        <v>566650</v>
      </c>
      <c r="I33" s="348">
        <v>50</v>
      </c>
      <c r="J33" s="380">
        <v>11333</v>
      </c>
      <c r="K33" s="356">
        <f t="shared" si="8"/>
        <v>1333</v>
      </c>
      <c r="L33" s="356">
        <f t="shared" si="2"/>
        <v>10000</v>
      </c>
      <c r="M33" s="356">
        <f t="shared" si="3"/>
        <v>61318</v>
      </c>
      <c r="N33" s="356">
        <f t="shared" si="4"/>
        <v>5332</v>
      </c>
      <c r="O33" s="348">
        <v>46</v>
      </c>
      <c r="P33" s="354">
        <f t="shared" si="5"/>
        <v>4</v>
      </c>
      <c r="Q33" s="339">
        <f t="shared" si="6"/>
        <v>521318</v>
      </c>
      <c r="R33" s="339">
        <f t="shared" si="7"/>
        <v>45332</v>
      </c>
      <c r="S33" s="337"/>
    </row>
    <row r="34" spans="1:19">
      <c r="A34" s="378"/>
      <c r="B34" s="364" t="s">
        <v>1046</v>
      </c>
      <c r="C34" s="367">
        <v>30</v>
      </c>
      <c r="D34" s="337" t="s">
        <v>1437</v>
      </c>
      <c r="E34" s="337" t="s">
        <v>349</v>
      </c>
      <c r="F34" s="346">
        <v>500000</v>
      </c>
      <c r="G34" s="346">
        <v>66650</v>
      </c>
      <c r="H34" s="340">
        <f t="shared" si="0"/>
        <v>566650</v>
      </c>
      <c r="I34" s="348">
        <v>50</v>
      </c>
      <c r="J34" s="380">
        <v>11333</v>
      </c>
      <c r="K34" s="356">
        <f t="shared" si="8"/>
        <v>1333</v>
      </c>
      <c r="L34" s="356">
        <f t="shared" si="2"/>
        <v>10000</v>
      </c>
      <c r="M34" s="356">
        <f t="shared" si="3"/>
        <v>50654</v>
      </c>
      <c r="N34" s="356">
        <f t="shared" si="4"/>
        <v>15996</v>
      </c>
      <c r="O34" s="348">
        <v>38</v>
      </c>
      <c r="P34" s="354">
        <f t="shared" si="5"/>
        <v>12</v>
      </c>
      <c r="Q34" s="339">
        <f t="shared" si="6"/>
        <v>430654</v>
      </c>
      <c r="R34" s="339">
        <f t="shared" si="7"/>
        <v>135996</v>
      </c>
      <c r="S34" s="337"/>
    </row>
    <row r="35" spans="1:19" ht="22.5">
      <c r="A35" s="378"/>
      <c r="B35" s="337" t="s">
        <v>1440</v>
      </c>
      <c r="C35" s="367">
        <v>31</v>
      </c>
      <c r="D35" s="337" t="s">
        <v>1437</v>
      </c>
      <c r="E35" s="337" t="s">
        <v>1441</v>
      </c>
      <c r="F35" s="346">
        <v>500000</v>
      </c>
      <c r="G35" s="346">
        <v>66650</v>
      </c>
      <c r="H35" s="340">
        <f t="shared" si="0"/>
        <v>566650</v>
      </c>
      <c r="I35" s="348">
        <v>50</v>
      </c>
      <c r="J35" s="381">
        <v>11333</v>
      </c>
      <c r="K35" s="356">
        <f t="shared" si="8"/>
        <v>1333</v>
      </c>
      <c r="L35" s="356">
        <f t="shared" si="2"/>
        <v>10000</v>
      </c>
      <c r="M35" s="356">
        <f t="shared" si="3"/>
        <v>61318</v>
      </c>
      <c r="N35" s="356">
        <f t="shared" si="4"/>
        <v>5332</v>
      </c>
      <c r="O35" s="358">
        <v>46</v>
      </c>
      <c r="P35" s="354">
        <f t="shared" si="5"/>
        <v>4</v>
      </c>
      <c r="Q35" s="339">
        <f t="shared" si="6"/>
        <v>521318</v>
      </c>
      <c r="R35" s="339">
        <f t="shared" si="7"/>
        <v>45332</v>
      </c>
      <c r="S35" s="389" t="s">
        <v>1444</v>
      </c>
    </row>
    <row r="36" spans="1:19">
      <c r="A36" s="378"/>
      <c r="B36" s="364" t="s">
        <v>1009</v>
      </c>
      <c r="C36" s="367">
        <v>32</v>
      </c>
      <c r="D36" s="337" t="s">
        <v>1437</v>
      </c>
      <c r="E36" s="337" t="s">
        <v>332</v>
      </c>
      <c r="F36" s="346">
        <v>500000</v>
      </c>
      <c r="G36" s="346">
        <v>66650</v>
      </c>
      <c r="H36" s="340">
        <f t="shared" si="0"/>
        <v>566650</v>
      </c>
      <c r="I36" s="348">
        <v>50</v>
      </c>
      <c r="J36" s="380">
        <v>11333</v>
      </c>
      <c r="K36" s="356">
        <f t="shared" si="8"/>
        <v>1333</v>
      </c>
      <c r="L36" s="356">
        <f t="shared" si="2"/>
        <v>10000</v>
      </c>
      <c r="M36" s="356">
        <f t="shared" si="3"/>
        <v>61318</v>
      </c>
      <c r="N36" s="356">
        <f t="shared" si="4"/>
        <v>5332</v>
      </c>
      <c r="O36" s="348">
        <v>46</v>
      </c>
      <c r="P36" s="354">
        <f t="shared" si="5"/>
        <v>4</v>
      </c>
      <c r="Q36" s="339">
        <f t="shared" si="6"/>
        <v>521318</v>
      </c>
      <c r="R36" s="339">
        <f t="shared" si="7"/>
        <v>45332</v>
      </c>
      <c r="S36" s="337"/>
    </row>
    <row r="37" spans="1:19">
      <c r="A37" s="378"/>
      <c r="B37" s="361" t="s">
        <v>1342</v>
      </c>
      <c r="C37" s="367">
        <v>33</v>
      </c>
      <c r="D37" s="337" t="s">
        <v>1437</v>
      </c>
      <c r="E37" s="337" t="s">
        <v>1290</v>
      </c>
      <c r="F37" s="346">
        <v>500000</v>
      </c>
      <c r="G37" s="346">
        <v>66650</v>
      </c>
      <c r="H37" s="340">
        <f t="shared" ref="H37:H68" si="9">SUM(F37:G37)</f>
        <v>566650</v>
      </c>
      <c r="I37" s="348">
        <v>50</v>
      </c>
      <c r="J37" s="380">
        <v>11333</v>
      </c>
      <c r="K37" s="356">
        <f t="shared" si="8"/>
        <v>1333</v>
      </c>
      <c r="L37" s="356">
        <f t="shared" ref="L37:L68" si="10">F37/50</f>
        <v>10000</v>
      </c>
      <c r="M37" s="356">
        <f t="shared" ref="M37:M68" si="11">K37*O37</f>
        <v>25327</v>
      </c>
      <c r="N37" s="356">
        <f t="shared" ref="N37:N68" si="12">K37*P37</f>
        <v>41323</v>
      </c>
      <c r="O37" s="348">
        <v>19</v>
      </c>
      <c r="P37" s="354">
        <f t="shared" ref="P37:P68" si="13">I37-O37</f>
        <v>31</v>
      </c>
      <c r="Q37" s="339">
        <f t="shared" ref="Q37:Q68" si="14">J37*O37</f>
        <v>215327</v>
      </c>
      <c r="R37" s="339">
        <f t="shared" ref="R37:R68" si="15">H37-Q37</f>
        <v>351323</v>
      </c>
      <c r="S37" s="337"/>
    </row>
    <row r="38" spans="1:19">
      <c r="A38" s="378"/>
      <c r="B38" s="364" t="s">
        <v>995</v>
      </c>
      <c r="C38" s="367">
        <v>34</v>
      </c>
      <c r="D38" s="337" t="s">
        <v>1437</v>
      </c>
      <c r="E38" s="337" t="s">
        <v>339</v>
      </c>
      <c r="F38" s="346">
        <v>500000</v>
      </c>
      <c r="G38" s="346">
        <v>66650</v>
      </c>
      <c r="H38" s="340">
        <f t="shared" si="9"/>
        <v>566650</v>
      </c>
      <c r="I38" s="348">
        <v>50</v>
      </c>
      <c r="J38" s="380">
        <v>11333</v>
      </c>
      <c r="K38" s="356">
        <f t="shared" si="8"/>
        <v>1333</v>
      </c>
      <c r="L38" s="356">
        <f t="shared" si="10"/>
        <v>10000</v>
      </c>
      <c r="M38" s="356">
        <f t="shared" si="11"/>
        <v>61318</v>
      </c>
      <c r="N38" s="356">
        <f t="shared" si="12"/>
        <v>5332</v>
      </c>
      <c r="O38" s="348">
        <v>46</v>
      </c>
      <c r="P38" s="354">
        <f t="shared" si="13"/>
        <v>4</v>
      </c>
      <c r="Q38" s="339">
        <f t="shared" si="14"/>
        <v>521318</v>
      </c>
      <c r="R38" s="339">
        <f t="shared" si="15"/>
        <v>45332</v>
      </c>
      <c r="S38" s="337"/>
    </row>
    <row r="39" spans="1:19">
      <c r="A39" s="378"/>
      <c r="B39" s="362" t="s">
        <v>1366</v>
      </c>
      <c r="C39" s="367">
        <v>35</v>
      </c>
      <c r="D39" s="337" t="s">
        <v>1437</v>
      </c>
      <c r="E39" s="337" t="s">
        <v>1138</v>
      </c>
      <c r="F39" s="346">
        <v>450000</v>
      </c>
      <c r="G39" s="346">
        <v>59985</v>
      </c>
      <c r="H39" s="340">
        <f t="shared" si="9"/>
        <v>509985</v>
      </c>
      <c r="I39" s="348">
        <v>50</v>
      </c>
      <c r="J39" s="380">
        <v>10199.700000000001</v>
      </c>
      <c r="K39" s="356">
        <f t="shared" si="8"/>
        <v>1199.7</v>
      </c>
      <c r="L39" s="356">
        <f t="shared" si="10"/>
        <v>9000</v>
      </c>
      <c r="M39" s="356">
        <f t="shared" si="11"/>
        <v>25193.7</v>
      </c>
      <c r="N39" s="356">
        <f t="shared" si="12"/>
        <v>34791.300000000003</v>
      </c>
      <c r="O39" s="348">
        <v>21</v>
      </c>
      <c r="P39" s="354">
        <f t="shared" si="13"/>
        <v>29</v>
      </c>
      <c r="Q39" s="339">
        <f t="shared" si="14"/>
        <v>214193.7</v>
      </c>
      <c r="R39" s="339">
        <f t="shared" si="15"/>
        <v>295791.3</v>
      </c>
      <c r="S39" s="337"/>
    </row>
    <row r="40" spans="1:19">
      <c r="A40" s="378"/>
      <c r="B40" s="364" t="s">
        <v>998</v>
      </c>
      <c r="C40" s="367">
        <v>36</v>
      </c>
      <c r="D40" s="337" t="s">
        <v>1437</v>
      </c>
      <c r="E40" s="337" t="s">
        <v>363</v>
      </c>
      <c r="F40" s="346">
        <v>450000</v>
      </c>
      <c r="G40" s="346">
        <v>59985</v>
      </c>
      <c r="H40" s="340">
        <f t="shared" si="9"/>
        <v>509985</v>
      </c>
      <c r="I40" s="348">
        <v>50</v>
      </c>
      <c r="J40" s="380">
        <v>10199.700000000001</v>
      </c>
      <c r="K40" s="356">
        <f t="shared" si="8"/>
        <v>1199.7</v>
      </c>
      <c r="L40" s="356">
        <f t="shared" si="10"/>
        <v>9000</v>
      </c>
      <c r="M40" s="356">
        <f t="shared" si="11"/>
        <v>45588.6</v>
      </c>
      <c r="N40" s="356">
        <f t="shared" si="12"/>
        <v>14396.400000000001</v>
      </c>
      <c r="O40" s="348">
        <v>38</v>
      </c>
      <c r="P40" s="354">
        <f t="shared" si="13"/>
        <v>12</v>
      </c>
      <c r="Q40" s="339">
        <f t="shared" si="14"/>
        <v>387588.60000000003</v>
      </c>
      <c r="R40" s="339">
        <f t="shared" si="15"/>
        <v>122396.39999999997</v>
      </c>
      <c r="S40" s="337"/>
    </row>
    <row r="41" spans="1:19">
      <c r="A41" s="378"/>
      <c r="B41" s="337" t="s">
        <v>1079</v>
      </c>
      <c r="C41" s="367">
        <v>37</v>
      </c>
      <c r="D41" s="337" t="s">
        <v>1437</v>
      </c>
      <c r="E41" s="337" t="s">
        <v>302</v>
      </c>
      <c r="F41" s="346">
        <v>500000</v>
      </c>
      <c r="G41" s="346">
        <v>31992</v>
      </c>
      <c r="H41" s="340">
        <f t="shared" si="9"/>
        <v>531992</v>
      </c>
      <c r="I41" s="348">
        <v>24</v>
      </c>
      <c r="J41" s="380">
        <v>22166.34</v>
      </c>
      <c r="K41" s="356">
        <f>G41/24</f>
        <v>1333</v>
      </c>
      <c r="L41" s="356">
        <f t="shared" si="10"/>
        <v>10000</v>
      </c>
      <c r="M41" s="356">
        <f t="shared" si="11"/>
        <v>9331</v>
      </c>
      <c r="N41" s="356">
        <f t="shared" si="12"/>
        <v>22661</v>
      </c>
      <c r="O41" s="348">
        <v>7</v>
      </c>
      <c r="P41" s="354">
        <f t="shared" si="13"/>
        <v>17</v>
      </c>
      <c r="Q41" s="339">
        <f t="shared" si="14"/>
        <v>155164.38</v>
      </c>
      <c r="R41" s="339">
        <f t="shared" si="15"/>
        <v>376827.62</v>
      </c>
      <c r="S41" s="337"/>
    </row>
    <row r="42" spans="1:19">
      <c r="A42" s="378"/>
      <c r="B42" s="361" t="s">
        <v>1320</v>
      </c>
      <c r="C42" s="367">
        <v>38</v>
      </c>
      <c r="D42" s="337" t="s">
        <v>1437</v>
      </c>
      <c r="E42" s="337" t="s">
        <v>464</v>
      </c>
      <c r="F42" s="346">
        <v>500000</v>
      </c>
      <c r="G42" s="346">
        <v>66650</v>
      </c>
      <c r="H42" s="340">
        <f t="shared" si="9"/>
        <v>566650</v>
      </c>
      <c r="I42" s="348">
        <v>40</v>
      </c>
      <c r="J42" s="380">
        <v>13833</v>
      </c>
      <c r="K42" s="356">
        <f t="shared" ref="K42:K54" si="16">G42/50</f>
        <v>1333</v>
      </c>
      <c r="L42" s="356">
        <f t="shared" si="10"/>
        <v>10000</v>
      </c>
      <c r="M42" s="356">
        <f t="shared" si="11"/>
        <v>11997</v>
      </c>
      <c r="N42" s="356">
        <f t="shared" si="12"/>
        <v>41323</v>
      </c>
      <c r="O42" s="348">
        <v>9</v>
      </c>
      <c r="P42" s="354">
        <f t="shared" si="13"/>
        <v>31</v>
      </c>
      <c r="Q42" s="339">
        <f t="shared" si="14"/>
        <v>124497</v>
      </c>
      <c r="R42" s="339">
        <f t="shared" si="15"/>
        <v>442153</v>
      </c>
      <c r="S42" s="337"/>
    </row>
    <row r="43" spans="1:19">
      <c r="A43" s="378"/>
      <c r="B43" s="363" t="s">
        <v>1348</v>
      </c>
      <c r="C43" s="367">
        <v>39</v>
      </c>
      <c r="D43" s="337" t="s">
        <v>1437</v>
      </c>
      <c r="E43" s="337" t="s">
        <v>1349</v>
      </c>
      <c r="F43" s="346">
        <v>500000</v>
      </c>
      <c r="G43" s="346">
        <v>66650</v>
      </c>
      <c r="H43" s="340">
        <f t="shared" si="9"/>
        <v>566650</v>
      </c>
      <c r="I43" s="348">
        <v>50</v>
      </c>
      <c r="J43" s="380">
        <v>11333</v>
      </c>
      <c r="K43" s="356">
        <f t="shared" si="16"/>
        <v>1333</v>
      </c>
      <c r="L43" s="356">
        <f t="shared" si="10"/>
        <v>10000</v>
      </c>
      <c r="M43" s="356">
        <f t="shared" si="11"/>
        <v>15996</v>
      </c>
      <c r="N43" s="356">
        <f t="shared" si="12"/>
        <v>50654</v>
      </c>
      <c r="O43" s="348">
        <v>12</v>
      </c>
      <c r="P43" s="354">
        <f t="shared" si="13"/>
        <v>38</v>
      </c>
      <c r="Q43" s="339">
        <f t="shared" si="14"/>
        <v>135996</v>
      </c>
      <c r="R43" s="339">
        <f t="shared" si="15"/>
        <v>430654</v>
      </c>
      <c r="S43" s="337"/>
    </row>
    <row r="44" spans="1:19">
      <c r="A44" s="378"/>
      <c r="B44" s="362" t="s">
        <v>1012</v>
      </c>
      <c r="C44" s="367">
        <v>40</v>
      </c>
      <c r="D44" s="337" t="s">
        <v>1437</v>
      </c>
      <c r="E44" s="337" t="s">
        <v>852</v>
      </c>
      <c r="F44" s="346">
        <v>330000</v>
      </c>
      <c r="G44" s="346">
        <v>43989</v>
      </c>
      <c r="H44" s="340">
        <f t="shared" si="9"/>
        <v>373989</v>
      </c>
      <c r="I44" s="348">
        <v>50</v>
      </c>
      <c r="J44" s="380">
        <v>7479.78</v>
      </c>
      <c r="K44" s="356">
        <f t="shared" si="16"/>
        <v>879.78</v>
      </c>
      <c r="L44" s="356">
        <f t="shared" si="10"/>
        <v>6600</v>
      </c>
      <c r="M44" s="356">
        <f t="shared" si="11"/>
        <v>25513.62</v>
      </c>
      <c r="N44" s="356">
        <f t="shared" si="12"/>
        <v>18475.38</v>
      </c>
      <c r="O44" s="348">
        <v>29</v>
      </c>
      <c r="P44" s="354">
        <f t="shared" si="13"/>
        <v>21</v>
      </c>
      <c r="Q44" s="339">
        <f t="shared" si="14"/>
        <v>216913.62</v>
      </c>
      <c r="R44" s="339">
        <f t="shared" si="15"/>
        <v>157075.38</v>
      </c>
      <c r="S44" s="337"/>
    </row>
    <row r="45" spans="1:19">
      <c r="A45" s="378"/>
      <c r="B45" s="363" t="s">
        <v>1065</v>
      </c>
      <c r="C45" s="367">
        <v>41</v>
      </c>
      <c r="D45" s="337" t="s">
        <v>1437</v>
      </c>
      <c r="E45" s="337" t="s">
        <v>1066</v>
      </c>
      <c r="F45" s="346">
        <v>330000</v>
      </c>
      <c r="G45" s="346">
        <v>43989</v>
      </c>
      <c r="H45" s="340">
        <f t="shared" si="9"/>
        <v>373989</v>
      </c>
      <c r="I45" s="348">
        <v>50</v>
      </c>
      <c r="J45" s="380">
        <v>7479.78</v>
      </c>
      <c r="K45" s="356">
        <f t="shared" si="16"/>
        <v>879.78</v>
      </c>
      <c r="L45" s="356">
        <f t="shared" si="10"/>
        <v>6600</v>
      </c>
      <c r="M45" s="356">
        <f t="shared" si="11"/>
        <v>22874.28</v>
      </c>
      <c r="N45" s="356">
        <f t="shared" si="12"/>
        <v>21114.720000000001</v>
      </c>
      <c r="O45" s="348">
        <v>26</v>
      </c>
      <c r="P45" s="354">
        <f t="shared" si="13"/>
        <v>24</v>
      </c>
      <c r="Q45" s="339">
        <f t="shared" si="14"/>
        <v>194474.28</v>
      </c>
      <c r="R45" s="339">
        <f t="shared" si="15"/>
        <v>179514.72</v>
      </c>
      <c r="S45" s="337"/>
    </row>
    <row r="46" spans="1:19">
      <c r="A46" s="378"/>
      <c r="B46" s="337" t="s">
        <v>1449</v>
      </c>
      <c r="C46" s="367">
        <v>42</v>
      </c>
      <c r="D46" s="337" t="s">
        <v>1437</v>
      </c>
      <c r="E46" s="337" t="s">
        <v>389</v>
      </c>
      <c r="F46" s="346">
        <v>500000</v>
      </c>
      <c r="G46" s="346">
        <v>66650</v>
      </c>
      <c r="H46" s="340">
        <f t="shared" si="9"/>
        <v>566650</v>
      </c>
      <c r="I46" s="348">
        <v>50</v>
      </c>
      <c r="J46" s="381">
        <v>11333</v>
      </c>
      <c r="K46" s="356">
        <f t="shared" si="16"/>
        <v>1333</v>
      </c>
      <c r="L46" s="356">
        <f t="shared" si="10"/>
        <v>10000</v>
      </c>
      <c r="M46" s="356">
        <f t="shared" si="11"/>
        <v>6665</v>
      </c>
      <c r="N46" s="356">
        <f t="shared" si="12"/>
        <v>59985</v>
      </c>
      <c r="O46" s="358">
        <v>5</v>
      </c>
      <c r="P46" s="354">
        <f t="shared" si="13"/>
        <v>45</v>
      </c>
      <c r="Q46" s="339">
        <f t="shared" si="14"/>
        <v>56665</v>
      </c>
      <c r="R46" s="339">
        <f t="shared" si="15"/>
        <v>509985</v>
      </c>
      <c r="S46" s="337"/>
    </row>
    <row r="47" spans="1:19">
      <c r="A47" s="378"/>
      <c r="B47" s="364" t="s">
        <v>1029</v>
      </c>
      <c r="C47" s="367">
        <v>43</v>
      </c>
      <c r="D47" s="337" t="s">
        <v>1437</v>
      </c>
      <c r="E47" s="337" t="s">
        <v>1030</v>
      </c>
      <c r="F47" s="346">
        <v>450000</v>
      </c>
      <c r="G47" s="346">
        <v>59985</v>
      </c>
      <c r="H47" s="340">
        <f t="shared" si="9"/>
        <v>509985</v>
      </c>
      <c r="I47" s="348">
        <v>50</v>
      </c>
      <c r="J47" s="380">
        <v>10199.700000000001</v>
      </c>
      <c r="K47" s="356">
        <f t="shared" si="16"/>
        <v>1199.7</v>
      </c>
      <c r="L47" s="356">
        <f t="shared" si="10"/>
        <v>9000</v>
      </c>
      <c r="M47" s="356">
        <f t="shared" si="11"/>
        <v>31192.2</v>
      </c>
      <c r="N47" s="356">
        <f t="shared" si="12"/>
        <v>28792.800000000003</v>
      </c>
      <c r="O47" s="348">
        <v>26</v>
      </c>
      <c r="P47" s="354">
        <f t="shared" si="13"/>
        <v>24</v>
      </c>
      <c r="Q47" s="339">
        <f t="shared" si="14"/>
        <v>265192.2</v>
      </c>
      <c r="R47" s="339">
        <f t="shared" si="15"/>
        <v>244792.8</v>
      </c>
      <c r="S47" s="337"/>
    </row>
    <row r="48" spans="1:19">
      <c r="A48" s="378"/>
      <c r="B48" s="361" t="s">
        <v>1377</v>
      </c>
      <c r="C48" s="367">
        <v>44</v>
      </c>
      <c r="D48" s="337" t="s">
        <v>1437</v>
      </c>
      <c r="E48" s="337" t="s">
        <v>1378</v>
      </c>
      <c r="F48" s="346">
        <v>330000</v>
      </c>
      <c r="G48" s="346">
        <v>43989</v>
      </c>
      <c r="H48" s="340">
        <f t="shared" si="9"/>
        <v>373989</v>
      </c>
      <c r="I48" s="348">
        <v>50</v>
      </c>
      <c r="J48" s="380">
        <v>7479.78</v>
      </c>
      <c r="K48" s="356">
        <f t="shared" si="16"/>
        <v>879.78</v>
      </c>
      <c r="L48" s="356">
        <f t="shared" si="10"/>
        <v>6600</v>
      </c>
      <c r="M48" s="356">
        <f t="shared" si="11"/>
        <v>10557.36</v>
      </c>
      <c r="N48" s="356">
        <f t="shared" si="12"/>
        <v>33431.64</v>
      </c>
      <c r="O48" s="348">
        <v>12</v>
      </c>
      <c r="P48" s="354">
        <f t="shared" si="13"/>
        <v>38</v>
      </c>
      <c r="Q48" s="339">
        <f t="shared" si="14"/>
        <v>89757.36</v>
      </c>
      <c r="R48" s="339">
        <f t="shared" si="15"/>
        <v>284231.64</v>
      </c>
      <c r="S48" s="337"/>
    </row>
    <row r="49" spans="1:19">
      <c r="A49" s="378"/>
      <c r="B49" s="361" t="s">
        <v>1339</v>
      </c>
      <c r="C49" s="367">
        <v>45</v>
      </c>
      <c r="D49" s="337" t="s">
        <v>1437</v>
      </c>
      <c r="E49" s="337" t="s">
        <v>408</v>
      </c>
      <c r="F49" s="346">
        <v>500000</v>
      </c>
      <c r="G49" s="346">
        <v>66650</v>
      </c>
      <c r="H49" s="340">
        <f t="shared" si="9"/>
        <v>566650</v>
      </c>
      <c r="I49" s="348">
        <v>50</v>
      </c>
      <c r="J49" s="380">
        <v>11333</v>
      </c>
      <c r="K49" s="356">
        <f t="shared" si="16"/>
        <v>1333</v>
      </c>
      <c r="L49" s="356">
        <f t="shared" si="10"/>
        <v>10000</v>
      </c>
      <c r="M49" s="356">
        <f t="shared" si="11"/>
        <v>11997</v>
      </c>
      <c r="N49" s="356">
        <f t="shared" si="12"/>
        <v>54653</v>
      </c>
      <c r="O49" s="348">
        <v>9</v>
      </c>
      <c r="P49" s="354">
        <f t="shared" si="13"/>
        <v>41</v>
      </c>
      <c r="Q49" s="339">
        <f t="shared" si="14"/>
        <v>101997</v>
      </c>
      <c r="R49" s="339">
        <f t="shared" si="15"/>
        <v>464653</v>
      </c>
      <c r="S49" s="337"/>
    </row>
    <row r="50" spans="1:19">
      <c r="A50" s="378"/>
      <c r="B50" s="337" t="s">
        <v>1473</v>
      </c>
      <c r="C50" s="367">
        <v>46</v>
      </c>
      <c r="D50" s="337" t="s">
        <v>1437</v>
      </c>
      <c r="E50" s="337" t="s">
        <v>1474</v>
      </c>
      <c r="F50" s="346">
        <v>330000</v>
      </c>
      <c r="G50" s="346">
        <v>43989</v>
      </c>
      <c r="H50" s="340">
        <f t="shared" si="9"/>
        <v>373989</v>
      </c>
      <c r="I50" s="348">
        <v>50</v>
      </c>
      <c r="J50" s="381">
        <v>7479.78</v>
      </c>
      <c r="K50" s="356">
        <f t="shared" si="16"/>
        <v>879.78</v>
      </c>
      <c r="L50" s="356">
        <f t="shared" si="10"/>
        <v>6600</v>
      </c>
      <c r="M50" s="356">
        <f t="shared" si="11"/>
        <v>1759.56</v>
      </c>
      <c r="N50" s="356">
        <f t="shared" si="12"/>
        <v>42229.440000000002</v>
      </c>
      <c r="O50" s="358">
        <v>2</v>
      </c>
      <c r="P50" s="354">
        <f t="shared" si="13"/>
        <v>48</v>
      </c>
      <c r="Q50" s="339">
        <f t="shared" si="14"/>
        <v>14959.56</v>
      </c>
      <c r="R50" s="339">
        <f t="shared" si="15"/>
        <v>359029.44</v>
      </c>
      <c r="S50" s="337"/>
    </row>
    <row r="51" spans="1:19">
      <c r="A51" s="378"/>
      <c r="B51" s="337" t="s">
        <v>1475</v>
      </c>
      <c r="C51" s="367">
        <v>47</v>
      </c>
      <c r="D51" s="337" t="s">
        <v>1437</v>
      </c>
      <c r="E51" s="337" t="s">
        <v>1476</v>
      </c>
      <c r="F51" s="346">
        <v>330000</v>
      </c>
      <c r="G51" s="346">
        <v>43989</v>
      </c>
      <c r="H51" s="340">
        <f t="shared" si="9"/>
        <v>373989</v>
      </c>
      <c r="I51" s="348">
        <v>50</v>
      </c>
      <c r="J51" s="381">
        <v>7479.78</v>
      </c>
      <c r="K51" s="356">
        <f t="shared" si="16"/>
        <v>879.78</v>
      </c>
      <c r="L51" s="356">
        <f t="shared" si="10"/>
        <v>6600</v>
      </c>
      <c r="M51" s="356">
        <f t="shared" si="11"/>
        <v>1759.56</v>
      </c>
      <c r="N51" s="356">
        <f t="shared" si="12"/>
        <v>42229.440000000002</v>
      </c>
      <c r="O51" s="358">
        <v>2</v>
      </c>
      <c r="P51" s="354">
        <f t="shared" si="13"/>
        <v>48</v>
      </c>
      <c r="Q51" s="339">
        <f t="shared" si="14"/>
        <v>14959.56</v>
      </c>
      <c r="R51" s="339">
        <f t="shared" si="15"/>
        <v>359029.44</v>
      </c>
      <c r="S51" s="337"/>
    </row>
    <row r="52" spans="1:19">
      <c r="A52" s="378"/>
      <c r="B52" s="363" t="s">
        <v>1383</v>
      </c>
      <c r="C52" s="367">
        <v>48</v>
      </c>
      <c r="D52" s="337" t="s">
        <v>1437</v>
      </c>
      <c r="E52" s="337" t="s">
        <v>1384</v>
      </c>
      <c r="F52" s="346">
        <v>330000</v>
      </c>
      <c r="G52" s="346">
        <v>43989</v>
      </c>
      <c r="H52" s="340">
        <f t="shared" si="9"/>
        <v>373989</v>
      </c>
      <c r="I52" s="348">
        <v>50</v>
      </c>
      <c r="J52" s="380">
        <v>7479.78</v>
      </c>
      <c r="K52" s="356">
        <f t="shared" si="16"/>
        <v>879.78</v>
      </c>
      <c r="L52" s="356">
        <f t="shared" si="10"/>
        <v>6600</v>
      </c>
      <c r="M52" s="356">
        <f t="shared" si="11"/>
        <v>7918.0199999999995</v>
      </c>
      <c r="N52" s="356">
        <f t="shared" si="12"/>
        <v>36070.979999999996</v>
      </c>
      <c r="O52" s="348">
        <v>9</v>
      </c>
      <c r="P52" s="354">
        <f t="shared" si="13"/>
        <v>41</v>
      </c>
      <c r="Q52" s="339">
        <f t="shared" si="14"/>
        <v>67318.02</v>
      </c>
      <c r="R52" s="339">
        <f t="shared" si="15"/>
        <v>306670.98</v>
      </c>
      <c r="S52" s="337"/>
    </row>
    <row r="53" spans="1:19">
      <c r="A53" s="378"/>
      <c r="B53" s="361" t="s">
        <v>1409</v>
      </c>
      <c r="C53" s="367">
        <v>49</v>
      </c>
      <c r="D53" s="337" t="s">
        <v>1437</v>
      </c>
      <c r="E53" s="337" t="s">
        <v>1407</v>
      </c>
      <c r="F53" s="346">
        <v>500000</v>
      </c>
      <c r="G53" s="346">
        <v>66650</v>
      </c>
      <c r="H53" s="340">
        <f t="shared" si="9"/>
        <v>566650</v>
      </c>
      <c r="I53" s="348">
        <v>50</v>
      </c>
      <c r="J53" s="380">
        <v>11333</v>
      </c>
      <c r="K53" s="356">
        <f t="shared" si="16"/>
        <v>1333</v>
      </c>
      <c r="L53" s="356">
        <f t="shared" si="10"/>
        <v>10000</v>
      </c>
      <c r="M53" s="356">
        <f t="shared" si="11"/>
        <v>38657</v>
      </c>
      <c r="N53" s="356">
        <f t="shared" si="12"/>
        <v>27993</v>
      </c>
      <c r="O53" s="348">
        <v>29</v>
      </c>
      <c r="P53" s="354">
        <f t="shared" si="13"/>
        <v>21</v>
      </c>
      <c r="Q53" s="339">
        <f t="shared" si="14"/>
        <v>328657</v>
      </c>
      <c r="R53" s="339">
        <f t="shared" si="15"/>
        <v>237993</v>
      </c>
      <c r="S53" s="337"/>
    </row>
    <row r="54" spans="1:19">
      <c r="A54" s="378"/>
      <c r="B54" s="363" t="s">
        <v>1370</v>
      </c>
      <c r="C54" s="367">
        <v>50</v>
      </c>
      <c r="D54" s="337" t="s">
        <v>1437</v>
      </c>
      <c r="E54" s="337" t="s">
        <v>1371</v>
      </c>
      <c r="F54" s="346">
        <v>330000</v>
      </c>
      <c r="G54" s="346">
        <v>43989</v>
      </c>
      <c r="H54" s="340">
        <f t="shared" si="9"/>
        <v>373989</v>
      </c>
      <c r="I54" s="348">
        <v>50</v>
      </c>
      <c r="J54" s="380">
        <v>7479.78</v>
      </c>
      <c r="K54" s="356">
        <f t="shared" si="16"/>
        <v>879.78</v>
      </c>
      <c r="L54" s="356">
        <f t="shared" si="10"/>
        <v>6600</v>
      </c>
      <c r="M54" s="356">
        <f t="shared" si="11"/>
        <v>10557.36</v>
      </c>
      <c r="N54" s="356">
        <f t="shared" si="12"/>
        <v>33431.64</v>
      </c>
      <c r="O54" s="348">
        <v>12</v>
      </c>
      <c r="P54" s="354">
        <f t="shared" si="13"/>
        <v>38</v>
      </c>
      <c r="Q54" s="339">
        <f t="shared" si="14"/>
        <v>89757.36</v>
      </c>
      <c r="R54" s="339">
        <f t="shared" si="15"/>
        <v>284231.64</v>
      </c>
      <c r="S54" s="337"/>
    </row>
    <row r="55" spans="1:19">
      <c r="A55" s="378"/>
      <c r="B55" s="361" t="s">
        <v>1313</v>
      </c>
      <c r="C55" s="367">
        <v>51</v>
      </c>
      <c r="D55" s="337" t="s">
        <v>1437</v>
      </c>
      <c r="E55" s="337" t="s">
        <v>1314</v>
      </c>
      <c r="F55" s="346">
        <v>450000</v>
      </c>
      <c r="G55" s="346">
        <v>28792.799999999999</v>
      </c>
      <c r="H55" s="340">
        <f t="shared" si="9"/>
        <v>478792.8</v>
      </c>
      <c r="I55" s="348">
        <v>24</v>
      </c>
      <c r="J55" s="380">
        <v>19949.7</v>
      </c>
      <c r="K55" s="356">
        <f>G55/24</f>
        <v>1199.7</v>
      </c>
      <c r="L55" s="356">
        <f t="shared" si="10"/>
        <v>9000</v>
      </c>
      <c r="M55" s="356">
        <f t="shared" si="11"/>
        <v>10797.300000000001</v>
      </c>
      <c r="N55" s="356">
        <f t="shared" si="12"/>
        <v>17995.5</v>
      </c>
      <c r="O55" s="348">
        <v>9</v>
      </c>
      <c r="P55" s="354">
        <f t="shared" si="13"/>
        <v>15</v>
      </c>
      <c r="Q55" s="339">
        <f t="shared" si="14"/>
        <v>179547.30000000002</v>
      </c>
      <c r="R55" s="339">
        <f t="shared" si="15"/>
        <v>299245.5</v>
      </c>
      <c r="S55" s="337"/>
    </row>
    <row r="56" spans="1:19">
      <c r="A56" s="378"/>
      <c r="B56" s="362" t="s">
        <v>1386</v>
      </c>
      <c r="C56" s="367">
        <v>52</v>
      </c>
      <c r="D56" s="337" t="s">
        <v>1437</v>
      </c>
      <c r="E56" s="337" t="s">
        <v>1387</v>
      </c>
      <c r="F56" s="346">
        <v>330000</v>
      </c>
      <c r="G56" s="346">
        <v>43989</v>
      </c>
      <c r="H56" s="340">
        <f t="shared" si="9"/>
        <v>373989</v>
      </c>
      <c r="I56" s="348">
        <v>50</v>
      </c>
      <c r="J56" s="380">
        <v>7479.78</v>
      </c>
      <c r="K56" s="356">
        <f t="shared" ref="K56:K100" si="17">G56/50</f>
        <v>879.78</v>
      </c>
      <c r="L56" s="356">
        <f t="shared" si="10"/>
        <v>6600</v>
      </c>
      <c r="M56" s="356">
        <f t="shared" si="11"/>
        <v>18475.38</v>
      </c>
      <c r="N56" s="356">
        <f t="shared" si="12"/>
        <v>25513.62</v>
      </c>
      <c r="O56" s="348">
        <v>21</v>
      </c>
      <c r="P56" s="354">
        <f t="shared" si="13"/>
        <v>29</v>
      </c>
      <c r="Q56" s="339">
        <f t="shared" si="14"/>
        <v>157075.38</v>
      </c>
      <c r="R56" s="339">
        <f t="shared" si="15"/>
        <v>216913.62</v>
      </c>
      <c r="S56" s="337"/>
    </row>
    <row r="57" spans="1:19">
      <c r="A57" s="378"/>
      <c r="B57" s="362" t="s">
        <v>975</v>
      </c>
      <c r="C57" s="367">
        <v>53</v>
      </c>
      <c r="D57" s="337" t="s">
        <v>1437</v>
      </c>
      <c r="E57" s="337" t="s">
        <v>875</v>
      </c>
      <c r="F57" s="346">
        <v>450000</v>
      </c>
      <c r="G57" s="346">
        <v>59985</v>
      </c>
      <c r="H57" s="340">
        <f t="shared" si="9"/>
        <v>509985</v>
      </c>
      <c r="I57" s="348">
        <v>50</v>
      </c>
      <c r="J57" s="380">
        <v>10199.700000000001</v>
      </c>
      <c r="K57" s="356">
        <f t="shared" si="17"/>
        <v>1199.7</v>
      </c>
      <c r="L57" s="356">
        <f t="shared" si="10"/>
        <v>9000</v>
      </c>
      <c r="M57" s="356">
        <f t="shared" si="11"/>
        <v>34791.300000000003</v>
      </c>
      <c r="N57" s="356">
        <f t="shared" si="12"/>
        <v>25193.7</v>
      </c>
      <c r="O57" s="348">
        <v>29</v>
      </c>
      <c r="P57" s="354">
        <f t="shared" si="13"/>
        <v>21</v>
      </c>
      <c r="Q57" s="339">
        <f t="shared" si="14"/>
        <v>295791.30000000005</v>
      </c>
      <c r="R57" s="339">
        <f t="shared" si="15"/>
        <v>214193.69999999995</v>
      </c>
      <c r="S57" s="337"/>
    </row>
    <row r="58" spans="1:19">
      <c r="A58" s="378"/>
      <c r="B58" s="364" t="s">
        <v>1357</v>
      </c>
      <c r="C58" s="367">
        <v>54</v>
      </c>
      <c r="D58" s="337" t="s">
        <v>1437</v>
      </c>
      <c r="E58" s="337" t="s">
        <v>858</v>
      </c>
      <c r="F58" s="346">
        <v>450000</v>
      </c>
      <c r="G58" s="346">
        <v>59985</v>
      </c>
      <c r="H58" s="340">
        <f t="shared" si="9"/>
        <v>509985</v>
      </c>
      <c r="I58" s="348">
        <v>50</v>
      </c>
      <c r="J58" s="380">
        <v>10199.700000000001</v>
      </c>
      <c r="K58" s="356">
        <f t="shared" si="17"/>
        <v>1199.7</v>
      </c>
      <c r="L58" s="356">
        <f t="shared" si="10"/>
        <v>9000</v>
      </c>
      <c r="M58" s="356">
        <f t="shared" si="11"/>
        <v>25193.7</v>
      </c>
      <c r="N58" s="356">
        <f t="shared" si="12"/>
        <v>34791.300000000003</v>
      </c>
      <c r="O58" s="348">
        <v>21</v>
      </c>
      <c r="P58" s="354">
        <f t="shared" si="13"/>
        <v>29</v>
      </c>
      <c r="Q58" s="339">
        <f t="shared" si="14"/>
        <v>214193.7</v>
      </c>
      <c r="R58" s="339">
        <f t="shared" si="15"/>
        <v>295791.3</v>
      </c>
      <c r="S58" s="337"/>
    </row>
    <row r="59" spans="1:19">
      <c r="A59" s="378"/>
      <c r="B59" s="363" t="s">
        <v>1097</v>
      </c>
      <c r="C59" s="367">
        <v>55</v>
      </c>
      <c r="D59" s="337" t="s">
        <v>1437</v>
      </c>
      <c r="E59" s="337" t="s">
        <v>286</v>
      </c>
      <c r="F59" s="346">
        <v>450000</v>
      </c>
      <c r="G59" s="346">
        <v>59985</v>
      </c>
      <c r="H59" s="340">
        <f t="shared" si="9"/>
        <v>509985</v>
      </c>
      <c r="I59" s="348">
        <v>50</v>
      </c>
      <c r="J59" s="380">
        <v>10199.700000000001</v>
      </c>
      <c r="K59" s="356">
        <f t="shared" si="17"/>
        <v>1199.7</v>
      </c>
      <c r="L59" s="356">
        <f t="shared" si="10"/>
        <v>9000</v>
      </c>
      <c r="M59" s="356">
        <f t="shared" si="11"/>
        <v>57585.600000000006</v>
      </c>
      <c r="N59" s="356">
        <f t="shared" si="12"/>
        <v>2399.4</v>
      </c>
      <c r="O59" s="348">
        <v>48</v>
      </c>
      <c r="P59" s="354">
        <f t="shared" si="13"/>
        <v>2</v>
      </c>
      <c r="Q59" s="339">
        <f t="shared" si="14"/>
        <v>489585.60000000003</v>
      </c>
      <c r="R59" s="339">
        <f t="shared" si="15"/>
        <v>20399.399999999965</v>
      </c>
      <c r="S59" s="337"/>
    </row>
    <row r="60" spans="1:19">
      <c r="A60" s="378"/>
      <c r="B60" s="361" t="s">
        <v>1346</v>
      </c>
      <c r="C60" s="367">
        <v>56</v>
      </c>
      <c r="D60" s="337" t="s">
        <v>1437</v>
      </c>
      <c r="E60" s="337" t="s">
        <v>1347</v>
      </c>
      <c r="F60" s="346">
        <v>500000</v>
      </c>
      <c r="G60" s="346">
        <v>66650</v>
      </c>
      <c r="H60" s="340">
        <f t="shared" si="9"/>
        <v>566650</v>
      </c>
      <c r="I60" s="348">
        <v>50</v>
      </c>
      <c r="J60" s="380">
        <v>11333</v>
      </c>
      <c r="K60" s="356">
        <f t="shared" si="17"/>
        <v>1333</v>
      </c>
      <c r="L60" s="356">
        <f t="shared" si="10"/>
        <v>10000</v>
      </c>
      <c r="M60" s="356">
        <f t="shared" si="11"/>
        <v>18662</v>
      </c>
      <c r="N60" s="356">
        <f t="shared" si="12"/>
        <v>47988</v>
      </c>
      <c r="O60" s="348">
        <v>14</v>
      </c>
      <c r="P60" s="354">
        <f t="shared" si="13"/>
        <v>36</v>
      </c>
      <c r="Q60" s="339">
        <f t="shared" si="14"/>
        <v>158662</v>
      </c>
      <c r="R60" s="339">
        <f t="shared" si="15"/>
        <v>407988</v>
      </c>
      <c r="S60" s="337"/>
    </row>
    <row r="61" spans="1:19">
      <c r="A61" s="378"/>
      <c r="B61" s="364" t="s">
        <v>1356</v>
      </c>
      <c r="C61" s="367">
        <v>57</v>
      </c>
      <c r="D61" s="337" t="s">
        <v>1437</v>
      </c>
      <c r="E61" s="337" t="s">
        <v>1286</v>
      </c>
      <c r="F61" s="346">
        <v>450000</v>
      </c>
      <c r="G61" s="346">
        <v>59985</v>
      </c>
      <c r="H61" s="340">
        <f t="shared" si="9"/>
        <v>509985</v>
      </c>
      <c r="I61" s="348">
        <v>50</v>
      </c>
      <c r="J61" s="380">
        <v>10199.700000000001</v>
      </c>
      <c r="K61" s="356">
        <f t="shared" si="17"/>
        <v>1199.7</v>
      </c>
      <c r="L61" s="356">
        <f t="shared" si="10"/>
        <v>9000</v>
      </c>
      <c r="M61" s="356">
        <f t="shared" si="11"/>
        <v>16795.8</v>
      </c>
      <c r="N61" s="356">
        <f t="shared" si="12"/>
        <v>43189.200000000004</v>
      </c>
      <c r="O61" s="348">
        <v>14</v>
      </c>
      <c r="P61" s="354">
        <f t="shared" si="13"/>
        <v>36</v>
      </c>
      <c r="Q61" s="339">
        <f t="shared" si="14"/>
        <v>142795.80000000002</v>
      </c>
      <c r="R61" s="339">
        <f t="shared" si="15"/>
        <v>367189.19999999995</v>
      </c>
      <c r="S61" s="337"/>
    </row>
    <row r="62" spans="1:19">
      <c r="A62" s="378"/>
      <c r="B62" s="364" t="s">
        <v>964</v>
      </c>
      <c r="C62" s="367">
        <v>58</v>
      </c>
      <c r="D62" s="337" t="s">
        <v>1437</v>
      </c>
      <c r="E62" s="337" t="s">
        <v>341</v>
      </c>
      <c r="F62" s="346">
        <v>500000</v>
      </c>
      <c r="G62" s="346">
        <v>66650</v>
      </c>
      <c r="H62" s="340">
        <f t="shared" si="9"/>
        <v>566650</v>
      </c>
      <c r="I62" s="348">
        <v>50</v>
      </c>
      <c r="J62" s="380">
        <v>11333</v>
      </c>
      <c r="K62" s="356">
        <f t="shared" si="17"/>
        <v>1333</v>
      </c>
      <c r="L62" s="356">
        <f t="shared" si="10"/>
        <v>10000</v>
      </c>
      <c r="M62" s="356">
        <f t="shared" si="11"/>
        <v>61318</v>
      </c>
      <c r="N62" s="356">
        <f t="shared" si="12"/>
        <v>5332</v>
      </c>
      <c r="O62" s="348">
        <v>46</v>
      </c>
      <c r="P62" s="354">
        <f t="shared" si="13"/>
        <v>4</v>
      </c>
      <c r="Q62" s="339">
        <f t="shared" si="14"/>
        <v>521318</v>
      </c>
      <c r="R62" s="339">
        <f t="shared" si="15"/>
        <v>45332</v>
      </c>
      <c r="S62" s="337"/>
    </row>
    <row r="63" spans="1:19">
      <c r="A63" s="378"/>
      <c r="B63" s="364" t="s">
        <v>1103</v>
      </c>
      <c r="C63" s="367">
        <v>59</v>
      </c>
      <c r="D63" s="337" t="s">
        <v>1437</v>
      </c>
      <c r="E63" s="337" t="s">
        <v>310</v>
      </c>
      <c r="F63" s="346">
        <v>500000</v>
      </c>
      <c r="G63" s="346">
        <v>66650</v>
      </c>
      <c r="H63" s="340">
        <f t="shared" si="9"/>
        <v>566650</v>
      </c>
      <c r="I63" s="348">
        <v>50</v>
      </c>
      <c r="J63" s="380">
        <v>11333</v>
      </c>
      <c r="K63" s="356">
        <f t="shared" si="17"/>
        <v>1333</v>
      </c>
      <c r="L63" s="356">
        <f t="shared" si="10"/>
        <v>10000</v>
      </c>
      <c r="M63" s="356">
        <f t="shared" si="11"/>
        <v>61318</v>
      </c>
      <c r="N63" s="356">
        <f t="shared" si="12"/>
        <v>5332</v>
      </c>
      <c r="O63" s="348">
        <v>46</v>
      </c>
      <c r="P63" s="354">
        <f t="shared" si="13"/>
        <v>4</v>
      </c>
      <c r="Q63" s="339">
        <f t="shared" si="14"/>
        <v>521318</v>
      </c>
      <c r="R63" s="339">
        <f t="shared" si="15"/>
        <v>45332</v>
      </c>
      <c r="S63" s="337"/>
    </row>
    <row r="64" spans="1:19">
      <c r="A64" s="378"/>
      <c r="B64" s="364" t="s">
        <v>1043</v>
      </c>
      <c r="C64" s="367">
        <v>60</v>
      </c>
      <c r="D64" s="337" t="s">
        <v>1437</v>
      </c>
      <c r="E64" s="337" t="s">
        <v>444</v>
      </c>
      <c r="F64" s="346">
        <v>500000</v>
      </c>
      <c r="G64" s="346">
        <v>66650</v>
      </c>
      <c r="H64" s="340">
        <f t="shared" si="9"/>
        <v>566650</v>
      </c>
      <c r="I64" s="348">
        <v>50</v>
      </c>
      <c r="J64" s="380">
        <v>11333</v>
      </c>
      <c r="K64" s="356">
        <f t="shared" si="17"/>
        <v>1333</v>
      </c>
      <c r="L64" s="356">
        <f t="shared" si="10"/>
        <v>10000</v>
      </c>
      <c r="M64" s="356">
        <f t="shared" si="11"/>
        <v>45322</v>
      </c>
      <c r="N64" s="356">
        <f t="shared" si="12"/>
        <v>21328</v>
      </c>
      <c r="O64" s="348">
        <v>34</v>
      </c>
      <c r="P64" s="354">
        <f t="shared" si="13"/>
        <v>16</v>
      </c>
      <c r="Q64" s="339">
        <f t="shared" si="14"/>
        <v>385322</v>
      </c>
      <c r="R64" s="339">
        <f t="shared" si="15"/>
        <v>181328</v>
      </c>
      <c r="S64" s="337"/>
    </row>
    <row r="65" spans="1:19">
      <c r="A65" s="378"/>
      <c r="B65" s="363" t="s">
        <v>1001</v>
      </c>
      <c r="C65" s="367">
        <v>61</v>
      </c>
      <c r="D65" s="337" t="s">
        <v>1437</v>
      </c>
      <c r="E65" s="337" t="s">
        <v>834</v>
      </c>
      <c r="F65" s="346">
        <v>330000</v>
      </c>
      <c r="G65" s="346">
        <v>43989</v>
      </c>
      <c r="H65" s="340">
        <f t="shared" si="9"/>
        <v>373989</v>
      </c>
      <c r="I65" s="348">
        <v>50</v>
      </c>
      <c r="J65" s="380">
        <v>7479.78</v>
      </c>
      <c r="K65" s="356">
        <f t="shared" si="17"/>
        <v>879.78</v>
      </c>
      <c r="L65" s="356">
        <f t="shared" si="10"/>
        <v>6600</v>
      </c>
      <c r="M65" s="356">
        <f t="shared" si="11"/>
        <v>29912.52</v>
      </c>
      <c r="N65" s="356">
        <f t="shared" si="12"/>
        <v>14076.48</v>
      </c>
      <c r="O65" s="348">
        <v>34</v>
      </c>
      <c r="P65" s="354">
        <f t="shared" si="13"/>
        <v>16</v>
      </c>
      <c r="Q65" s="339">
        <f t="shared" si="14"/>
        <v>254312.52</v>
      </c>
      <c r="R65" s="339">
        <f t="shared" si="15"/>
        <v>119676.48000000001</v>
      </c>
      <c r="S65" s="337"/>
    </row>
    <row r="66" spans="1:19">
      <c r="A66" s="378"/>
      <c r="B66" s="361" t="s">
        <v>996</v>
      </c>
      <c r="C66" s="367">
        <v>62</v>
      </c>
      <c r="D66" s="337" t="s">
        <v>1437</v>
      </c>
      <c r="E66" s="337" t="s">
        <v>338</v>
      </c>
      <c r="F66" s="346">
        <v>500000</v>
      </c>
      <c r="G66" s="346">
        <v>66650</v>
      </c>
      <c r="H66" s="340">
        <f t="shared" si="9"/>
        <v>566650</v>
      </c>
      <c r="I66" s="348">
        <v>40</v>
      </c>
      <c r="J66" s="380">
        <v>13833</v>
      </c>
      <c r="K66" s="356">
        <f t="shared" si="17"/>
        <v>1333</v>
      </c>
      <c r="L66" s="356">
        <f t="shared" si="10"/>
        <v>10000</v>
      </c>
      <c r="M66" s="356">
        <f t="shared" si="11"/>
        <v>11997</v>
      </c>
      <c r="N66" s="356">
        <f t="shared" si="12"/>
        <v>41323</v>
      </c>
      <c r="O66" s="348">
        <v>9</v>
      </c>
      <c r="P66" s="354">
        <f t="shared" si="13"/>
        <v>31</v>
      </c>
      <c r="Q66" s="339">
        <f t="shared" si="14"/>
        <v>124497</v>
      </c>
      <c r="R66" s="339">
        <f t="shared" si="15"/>
        <v>442153</v>
      </c>
      <c r="S66" s="337"/>
    </row>
    <row r="67" spans="1:19">
      <c r="A67" s="378"/>
      <c r="B67" s="361" t="s">
        <v>1335</v>
      </c>
      <c r="C67" s="367">
        <v>63</v>
      </c>
      <c r="D67" s="337" t="s">
        <v>1437</v>
      </c>
      <c r="E67" s="337" t="s">
        <v>1336</v>
      </c>
      <c r="F67" s="346">
        <v>500000</v>
      </c>
      <c r="G67" s="346">
        <v>66650</v>
      </c>
      <c r="H67" s="340">
        <f t="shared" si="9"/>
        <v>566650</v>
      </c>
      <c r="I67" s="348">
        <v>50</v>
      </c>
      <c r="J67" s="380">
        <v>11333</v>
      </c>
      <c r="K67" s="356">
        <f t="shared" si="17"/>
        <v>1333</v>
      </c>
      <c r="L67" s="356">
        <f t="shared" si="10"/>
        <v>10000</v>
      </c>
      <c r="M67" s="356">
        <f t="shared" si="11"/>
        <v>21328</v>
      </c>
      <c r="N67" s="356">
        <f t="shared" si="12"/>
        <v>45322</v>
      </c>
      <c r="O67" s="348">
        <v>16</v>
      </c>
      <c r="P67" s="354">
        <f t="shared" si="13"/>
        <v>34</v>
      </c>
      <c r="Q67" s="339">
        <f t="shared" si="14"/>
        <v>181328</v>
      </c>
      <c r="R67" s="339">
        <f t="shared" si="15"/>
        <v>385322</v>
      </c>
      <c r="S67" s="337"/>
    </row>
    <row r="68" spans="1:19">
      <c r="A68" s="378"/>
      <c r="B68" s="364" t="s">
        <v>1312</v>
      </c>
      <c r="C68" s="367">
        <v>64</v>
      </c>
      <c r="D68" s="337" t="s">
        <v>1437</v>
      </c>
      <c r="E68" s="337" t="s">
        <v>436</v>
      </c>
      <c r="F68" s="346">
        <v>500000</v>
      </c>
      <c r="G68" s="346">
        <v>66650</v>
      </c>
      <c r="H68" s="340">
        <f t="shared" si="9"/>
        <v>566650</v>
      </c>
      <c r="I68" s="348">
        <v>25</v>
      </c>
      <c r="J68" s="380">
        <v>21333</v>
      </c>
      <c r="K68" s="356">
        <f t="shared" si="17"/>
        <v>1333</v>
      </c>
      <c r="L68" s="356">
        <f t="shared" si="10"/>
        <v>10000</v>
      </c>
      <c r="M68" s="356">
        <f t="shared" si="11"/>
        <v>18662</v>
      </c>
      <c r="N68" s="356">
        <f t="shared" si="12"/>
        <v>14663</v>
      </c>
      <c r="O68" s="348">
        <v>14</v>
      </c>
      <c r="P68" s="354">
        <f t="shared" si="13"/>
        <v>11</v>
      </c>
      <c r="Q68" s="339">
        <f t="shared" si="14"/>
        <v>298662</v>
      </c>
      <c r="R68" s="339">
        <f t="shared" si="15"/>
        <v>267988</v>
      </c>
      <c r="S68" s="337"/>
    </row>
    <row r="69" spans="1:19">
      <c r="A69" s="378"/>
      <c r="B69" s="361" t="s">
        <v>1044</v>
      </c>
      <c r="C69" s="367">
        <v>65</v>
      </c>
      <c r="D69" s="337" t="s">
        <v>1437</v>
      </c>
      <c r="E69" s="337" t="s">
        <v>844</v>
      </c>
      <c r="F69" s="346">
        <v>150000</v>
      </c>
      <c r="G69" s="346">
        <v>19995</v>
      </c>
      <c r="H69" s="340">
        <f t="shared" ref="H69:H100" si="18">SUM(F69:G69)</f>
        <v>169995</v>
      </c>
      <c r="I69" s="348">
        <v>50</v>
      </c>
      <c r="J69" s="380">
        <v>3399.9</v>
      </c>
      <c r="K69" s="356">
        <f t="shared" si="17"/>
        <v>399.9</v>
      </c>
      <c r="L69" s="356">
        <f t="shared" ref="L69:L100" si="19">F69/50</f>
        <v>3000</v>
      </c>
      <c r="M69" s="356">
        <f t="shared" ref="M69:M100" si="20">K69*O69</f>
        <v>13596.599999999999</v>
      </c>
      <c r="N69" s="356">
        <f t="shared" ref="N69:N100" si="21">K69*P69</f>
        <v>6398.4</v>
      </c>
      <c r="O69" s="348">
        <v>34</v>
      </c>
      <c r="P69" s="354">
        <f t="shared" ref="P69:P100" si="22">I69-O69</f>
        <v>16</v>
      </c>
      <c r="Q69" s="339">
        <f t="shared" ref="Q69:Q100" si="23">J69*O69</f>
        <v>115596.6</v>
      </c>
      <c r="R69" s="339">
        <f t="shared" ref="R69:R100" si="24">H69-Q69</f>
        <v>54398.399999999994</v>
      </c>
      <c r="S69" s="337"/>
    </row>
    <row r="70" spans="1:19">
      <c r="A70" s="378"/>
      <c r="B70" s="364" t="s">
        <v>1328</v>
      </c>
      <c r="C70" s="367">
        <v>66</v>
      </c>
      <c r="D70" s="337" t="s">
        <v>1437</v>
      </c>
      <c r="E70" s="337" t="s">
        <v>433</v>
      </c>
      <c r="F70" s="346">
        <v>500000</v>
      </c>
      <c r="G70" s="346">
        <v>66650</v>
      </c>
      <c r="H70" s="340">
        <f t="shared" si="18"/>
        <v>566650</v>
      </c>
      <c r="I70" s="348">
        <v>50</v>
      </c>
      <c r="J70" s="380">
        <v>11333</v>
      </c>
      <c r="K70" s="356">
        <f t="shared" si="17"/>
        <v>1333</v>
      </c>
      <c r="L70" s="356">
        <f t="shared" si="19"/>
        <v>10000</v>
      </c>
      <c r="M70" s="356">
        <f t="shared" si="20"/>
        <v>26660</v>
      </c>
      <c r="N70" s="356">
        <f t="shared" si="21"/>
        <v>39990</v>
      </c>
      <c r="O70" s="348">
        <v>20</v>
      </c>
      <c r="P70" s="354">
        <f t="shared" si="22"/>
        <v>30</v>
      </c>
      <c r="Q70" s="339">
        <f t="shared" si="23"/>
        <v>226660</v>
      </c>
      <c r="R70" s="339">
        <f t="shared" si="24"/>
        <v>339990</v>
      </c>
      <c r="S70" s="337"/>
    </row>
    <row r="71" spans="1:19">
      <c r="A71" s="378"/>
      <c r="B71" s="362" t="s">
        <v>1058</v>
      </c>
      <c r="C71" s="367">
        <v>67</v>
      </c>
      <c r="D71" s="337" t="s">
        <v>1437</v>
      </c>
      <c r="E71" s="337" t="s">
        <v>346</v>
      </c>
      <c r="F71" s="346">
        <v>500000</v>
      </c>
      <c r="G71" s="346">
        <v>66650</v>
      </c>
      <c r="H71" s="340">
        <f t="shared" si="18"/>
        <v>566650</v>
      </c>
      <c r="I71" s="348">
        <v>50</v>
      </c>
      <c r="J71" s="380">
        <v>11333</v>
      </c>
      <c r="K71" s="356">
        <f t="shared" si="17"/>
        <v>1333</v>
      </c>
      <c r="L71" s="356">
        <f t="shared" si="19"/>
        <v>10000</v>
      </c>
      <c r="M71" s="356">
        <f t="shared" si="20"/>
        <v>59985</v>
      </c>
      <c r="N71" s="356">
        <f t="shared" si="21"/>
        <v>6665</v>
      </c>
      <c r="O71" s="348">
        <v>45</v>
      </c>
      <c r="P71" s="354">
        <f t="shared" si="22"/>
        <v>5</v>
      </c>
      <c r="Q71" s="339">
        <f t="shared" si="23"/>
        <v>509985</v>
      </c>
      <c r="R71" s="339">
        <f t="shared" si="24"/>
        <v>56665</v>
      </c>
      <c r="S71" s="337"/>
    </row>
    <row r="72" spans="1:19">
      <c r="A72" s="378"/>
      <c r="B72" s="364" t="s">
        <v>1322</v>
      </c>
      <c r="C72" s="367">
        <v>68</v>
      </c>
      <c r="D72" s="337" t="s">
        <v>1437</v>
      </c>
      <c r="E72" s="337" t="s">
        <v>1122</v>
      </c>
      <c r="F72" s="346">
        <v>500000</v>
      </c>
      <c r="G72" s="346">
        <v>66650</v>
      </c>
      <c r="H72" s="340">
        <f t="shared" si="18"/>
        <v>566650</v>
      </c>
      <c r="I72" s="348">
        <v>50</v>
      </c>
      <c r="J72" s="380">
        <v>11333</v>
      </c>
      <c r="K72" s="356">
        <f t="shared" si="17"/>
        <v>1333</v>
      </c>
      <c r="L72" s="356">
        <f t="shared" si="19"/>
        <v>10000</v>
      </c>
      <c r="M72" s="356">
        <f t="shared" si="20"/>
        <v>27993</v>
      </c>
      <c r="N72" s="356">
        <f t="shared" si="21"/>
        <v>38657</v>
      </c>
      <c r="O72" s="348">
        <v>21</v>
      </c>
      <c r="P72" s="354">
        <f t="shared" si="22"/>
        <v>29</v>
      </c>
      <c r="Q72" s="339">
        <f t="shared" si="23"/>
        <v>237993</v>
      </c>
      <c r="R72" s="339">
        <f t="shared" si="24"/>
        <v>328657</v>
      </c>
      <c r="S72" s="337"/>
    </row>
    <row r="73" spans="1:19">
      <c r="A73" s="378"/>
      <c r="B73" s="362" t="s">
        <v>1098</v>
      </c>
      <c r="C73" s="367">
        <v>69</v>
      </c>
      <c r="D73" s="337" t="s">
        <v>1437</v>
      </c>
      <c r="E73" s="337" t="s">
        <v>345</v>
      </c>
      <c r="F73" s="346">
        <v>500000</v>
      </c>
      <c r="G73" s="346">
        <v>66650</v>
      </c>
      <c r="H73" s="340">
        <f t="shared" si="18"/>
        <v>566650</v>
      </c>
      <c r="I73" s="348">
        <v>50</v>
      </c>
      <c r="J73" s="380">
        <v>11333</v>
      </c>
      <c r="K73" s="356">
        <f t="shared" si="17"/>
        <v>1333</v>
      </c>
      <c r="L73" s="356">
        <f t="shared" si="19"/>
        <v>10000</v>
      </c>
      <c r="M73" s="356">
        <f t="shared" si="20"/>
        <v>61318</v>
      </c>
      <c r="N73" s="356">
        <f t="shared" si="21"/>
        <v>5332</v>
      </c>
      <c r="O73" s="348">
        <v>46</v>
      </c>
      <c r="P73" s="354">
        <f t="shared" si="22"/>
        <v>4</v>
      </c>
      <c r="Q73" s="339">
        <f t="shared" si="23"/>
        <v>521318</v>
      </c>
      <c r="R73" s="339">
        <f t="shared" si="24"/>
        <v>45332</v>
      </c>
      <c r="S73" s="337"/>
    </row>
    <row r="74" spans="1:19">
      <c r="A74" s="378"/>
      <c r="B74" s="337" t="s">
        <v>1464</v>
      </c>
      <c r="C74" s="367">
        <v>70</v>
      </c>
      <c r="D74" s="337" t="s">
        <v>1437</v>
      </c>
      <c r="E74" s="337" t="s">
        <v>445</v>
      </c>
      <c r="F74" s="346">
        <v>500000</v>
      </c>
      <c r="G74" s="346">
        <v>66650</v>
      </c>
      <c r="H74" s="340">
        <f t="shared" si="18"/>
        <v>566650</v>
      </c>
      <c r="I74" s="348">
        <v>50</v>
      </c>
      <c r="J74" s="381">
        <v>11333</v>
      </c>
      <c r="K74" s="356">
        <f t="shared" si="17"/>
        <v>1333</v>
      </c>
      <c r="L74" s="356">
        <f t="shared" si="19"/>
        <v>10000</v>
      </c>
      <c r="M74" s="356">
        <f t="shared" si="20"/>
        <v>2666</v>
      </c>
      <c r="N74" s="356">
        <f t="shared" si="21"/>
        <v>63984</v>
      </c>
      <c r="O74" s="358">
        <v>2</v>
      </c>
      <c r="P74" s="354">
        <f t="shared" si="22"/>
        <v>48</v>
      </c>
      <c r="Q74" s="339">
        <f t="shared" si="23"/>
        <v>22666</v>
      </c>
      <c r="R74" s="339">
        <f t="shared" si="24"/>
        <v>543984</v>
      </c>
      <c r="S74" s="337"/>
    </row>
    <row r="75" spans="1:19">
      <c r="A75" s="378"/>
      <c r="B75" s="362" t="s">
        <v>1125</v>
      </c>
      <c r="C75" s="367">
        <v>71</v>
      </c>
      <c r="D75" s="337" t="s">
        <v>1437</v>
      </c>
      <c r="E75" s="337" t="s">
        <v>452</v>
      </c>
      <c r="F75" s="346">
        <v>500000</v>
      </c>
      <c r="G75" s="346">
        <v>66650</v>
      </c>
      <c r="H75" s="340">
        <f t="shared" si="18"/>
        <v>566650</v>
      </c>
      <c r="I75" s="348">
        <v>50</v>
      </c>
      <c r="J75" s="380">
        <v>11333</v>
      </c>
      <c r="K75" s="356">
        <f t="shared" si="17"/>
        <v>1333</v>
      </c>
      <c r="L75" s="356">
        <f t="shared" si="19"/>
        <v>10000</v>
      </c>
      <c r="M75" s="356">
        <f t="shared" si="20"/>
        <v>29326</v>
      </c>
      <c r="N75" s="356">
        <f t="shared" si="21"/>
        <v>37324</v>
      </c>
      <c r="O75" s="348">
        <v>22</v>
      </c>
      <c r="P75" s="354">
        <f t="shared" si="22"/>
        <v>28</v>
      </c>
      <c r="Q75" s="339">
        <f t="shared" si="23"/>
        <v>249326</v>
      </c>
      <c r="R75" s="339">
        <f t="shared" si="24"/>
        <v>317324</v>
      </c>
      <c r="S75" s="337"/>
    </row>
    <row r="76" spans="1:19">
      <c r="A76" s="378"/>
      <c r="B76" s="364" t="s">
        <v>1390</v>
      </c>
      <c r="C76" s="367">
        <v>72</v>
      </c>
      <c r="D76" s="337" t="s">
        <v>1437</v>
      </c>
      <c r="E76" s="337" t="s">
        <v>1391</v>
      </c>
      <c r="F76" s="346">
        <v>150000</v>
      </c>
      <c r="G76" s="346">
        <v>19995</v>
      </c>
      <c r="H76" s="340">
        <f t="shared" si="18"/>
        <v>169995</v>
      </c>
      <c r="I76" s="348">
        <v>40</v>
      </c>
      <c r="J76" s="380">
        <v>4149.8999999999996</v>
      </c>
      <c r="K76" s="356">
        <f t="shared" si="17"/>
        <v>399.9</v>
      </c>
      <c r="L76" s="356">
        <f t="shared" si="19"/>
        <v>3000</v>
      </c>
      <c r="M76" s="356">
        <f t="shared" si="20"/>
        <v>8397.9</v>
      </c>
      <c r="N76" s="356">
        <f t="shared" si="21"/>
        <v>7598.0999999999995</v>
      </c>
      <c r="O76" s="348">
        <v>21</v>
      </c>
      <c r="P76" s="354">
        <f t="shared" si="22"/>
        <v>19</v>
      </c>
      <c r="Q76" s="339">
        <f t="shared" si="23"/>
        <v>87147.9</v>
      </c>
      <c r="R76" s="339">
        <f t="shared" si="24"/>
        <v>82847.100000000006</v>
      </c>
      <c r="S76" s="337"/>
    </row>
    <row r="77" spans="1:19">
      <c r="A77" s="378"/>
      <c r="B77" s="337" t="s">
        <v>1477</v>
      </c>
      <c r="C77" s="367">
        <v>73</v>
      </c>
      <c r="D77" s="337" t="s">
        <v>1437</v>
      </c>
      <c r="E77" s="337" t="s">
        <v>1478</v>
      </c>
      <c r="F77" s="346">
        <v>330000</v>
      </c>
      <c r="G77" s="346">
        <v>43989</v>
      </c>
      <c r="H77" s="340">
        <f t="shared" si="18"/>
        <v>373989</v>
      </c>
      <c r="I77" s="348">
        <v>50</v>
      </c>
      <c r="J77" s="381">
        <v>7479.78</v>
      </c>
      <c r="K77" s="356">
        <f t="shared" si="17"/>
        <v>879.78</v>
      </c>
      <c r="L77" s="356">
        <f t="shared" si="19"/>
        <v>6600</v>
      </c>
      <c r="M77" s="356">
        <f t="shared" si="20"/>
        <v>1759.56</v>
      </c>
      <c r="N77" s="356">
        <f t="shared" si="21"/>
        <v>42229.440000000002</v>
      </c>
      <c r="O77" s="358">
        <v>2</v>
      </c>
      <c r="P77" s="354">
        <f t="shared" si="22"/>
        <v>48</v>
      </c>
      <c r="Q77" s="339">
        <f t="shared" si="23"/>
        <v>14959.56</v>
      </c>
      <c r="R77" s="339">
        <f t="shared" si="24"/>
        <v>359029.44</v>
      </c>
      <c r="S77" s="337"/>
    </row>
    <row r="78" spans="1:19">
      <c r="A78" s="378"/>
      <c r="B78" s="362" t="s">
        <v>1067</v>
      </c>
      <c r="C78" s="367">
        <v>74</v>
      </c>
      <c r="D78" s="337" t="s">
        <v>1437</v>
      </c>
      <c r="E78" s="337" t="s">
        <v>368</v>
      </c>
      <c r="F78" s="346">
        <v>450000</v>
      </c>
      <c r="G78" s="346">
        <v>59985</v>
      </c>
      <c r="H78" s="340">
        <f t="shared" si="18"/>
        <v>509985</v>
      </c>
      <c r="I78" s="348">
        <v>50</v>
      </c>
      <c r="J78" s="380">
        <v>10199.700000000001</v>
      </c>
      <c r="K78" s="356">
        <f t="shared" si="17"/>
        <v>1199.7</v>
      </c>
      <c r="L78" s="356">
        <f t="shared" si="19"/>
        <v>9000</v>
      </c>
      <c r="M78" s="356">
        <f t="shared" si="20"/>
        <v>53986.5</v>
      </c>
      <c r="N78" s="356">
        <f t="shared" si="21"/>
        <v>5998.5</v>
      </c>
      <c r="O78" s="348">
        <v>45</v>
      </c>
      <c r="P78" s="354">
        <f t="shared" si="22"/>
        <v>5</v>
      </c>
      <c r="Q78" s="339">
        <f t="shared" si="23"/>
        <v>458986.50000000006</v>
      </c>
      <c r="R78" s="339">
        <f t="shared" si="24"/>
        <v>50998.499999999942</v>
      </c>
      <c r="S78" s="337"/>
    </row>
    <row r="79" spans="1:19">
      <c r="A79" s="378"/>
      <c r="B79" s="362" t="s">
        <v>1078</v>
      </c>
      <c r="C79" s="367">
        <v>75</v>
      </c>
      <c r="D79" s="337" t="s">
        <v>1437</v>
      </c>
      <c r="E79" s="337" t="s">
        <v>446</v>
      </c>
      <c r="F79" s="346">
        <v>330000</v>
      </c>
      <c r="G79" s="346">
        <v>43989</v>
      </c>
      <c r="H79" s="340">
        <f t="shared" si="18"/>
        <v>373989</v>
      </c>
      <c r="I79" s="348">
        <v>50</v>
      </c>
      <c r="J79" s="380">
        <v>7479.78</v>
      </c>
      <c r="K79" s="356">
        <f t="shared" si="17"/>
        <v>879.78</v>
      </c>
      <c r="L79" s="356">
        <f t="shared" si="19"/>
        <v>6600</v>
      </c>
      <c r="M79" s="356">
        <f t="shared" si="20"/>
        <v>25513.62</v>
      </c>
      <c r="N79" s="356">
        <f t="shared" si="21"/>
        <v>18475.38</v>
      </c>
      <c r="O79" s="348">
        <v>29</v>
      </c>
      <c r="P79" s="354">
        <f t="shared" si="22"/>
        <v>21</v>
      </c>
      <c r="Q79" s="339">
        <f t="shared" si="23"/>
        <v>216913.62</v>
      </c>
      <c r="R79" s="339">
        <f t="shared" si="24"/>
        <v>157075.38</v>
      </c>
      <c r="S79" s="337"/>
    </row>
    <row r="80" spans="1:19">
      <c r="A80" s="378"/>
      <c r="B80" s="337" t="s">
        <v>971</v>
      </c>
      <c r="C80" s="367">
        <v>76</v>
      </c>
      <c r="D80" s="337" t="s">
        <v>1437</v>
      </c>
      <c r="E80" s="337" t="s">
        <v>112</v>
      </c>
      <c r="F80" s="346">
        <v>330000</v>
      </c>
      <c r="G80" s="346">
        <v>43989</v>
      </c>
      <c r="H80" s="340">
        <f t="shared" si="18"/>
        <v>373989</v>
      </c>
      <c r="I80" s="348">
        <v>50</v>
      </c>
      <c r="J80" s="381">
        <v>7479.78</v>
      </c>
      <c r="K80" s="356">
        <f t="shared" si="17"/>
        <v>879.78</v>
      </c>
      <c r="L80" s="356">
        <f t="shared" si="19"/>
        <v>6600</v>
      </c>
      <c r="M80" s="356">
        <f t="shared" si="20"/>
        <v>4398.8999999999996</v>
      </c>
      <c r="N80" s="356">
        <f t="shared" si="21"/>
        <v>39590.1</v>
      </c>
      <c r="O80" s="358">
        <v>5</v>
      </c>
      <c r="P80" s="354">
        <f t="shared" si="22"/>
        <v>45</v>
      </c>
      <c r="Q80" s="339">
        <f t="shared" si="23"/>
        <v>37398.9</v>
      </c>
      <c r="R80" s="339">
        <f t="shared" si="24"/>
        <v>336590.1</v>
      </c>
      <c r="S80" s="337"/>
    </row>
    <row r="81" spans="1:19">
      <c r="A81" s="378"/>
      <c r="B81" s="362" t="s">
        <v>1375</v>
      </c>
      <c r="C81" s="367">
        <v>77</v>
      </c>
      <c r="D81" s="337" t="s">
        <v>1437</v>
      </c>
      <c r="E81" s="337" t="s">
        <v>1376</v>
      </c>
      <c r="F81" s="346">
        <v>330000</v>
      </c>
      <c r="G81" s="346">
        <v>43989</v>
      </c>
      <c r="H81" s="340">
        <f t="shared" si="18"/>
        <v>373989</v>
      </c>
      <c r="I81" s="348">
        <v>50</v>
      </c>
      <c r="J81" s="380">
        <v>7479.78</v>
      </c>
      <c r="K81" s="356">
        <f t="shared" si="17"/>
        <v>879.78</v>
      </c>
      <c r="L81" s="356">
        <f t="shared" si="19"/>
        <v>6600</v>
      </c>
      <c r="M81" s="356">
        <f t="shared" si="20"/>
        <v>10557.36</v>
      </c>
      <c r="N81" s="356">
        <f t="shared" si="21"/>
        <v>33431.64</v>
      </c>
      <c r="O81" s="348">
        <v>12</v>
      </c>
      <c r="P81" s="354">
        <f t="shared" si="22"/>
        <v>38</v>
      </c>
      <c r="Q81" s="339">
        <f t="shared" si="23"/>
        <v>89757.36</v>
      </c>
      <c r="R81" s="339">
        <f t="shared" si="24"/>
        <v>284231.64</v>
      </c>
      <c r="S81" s="337"/>
    </row>
    <row r="82" spans="1:19">
      <c r="A82" s="378"/>
      <c r="B82" s="364" t="s">
        <v>1392</v>
      </c>
      <c r="C82" s="367">
        <v>78</v>
      </c>
      <c r="D82" s="337" t="s">
        <v>1437</v>
      </c>
      <c r="E82" s="337" t="s">
        <v>1393</v>
      </c>
      <c r="F82" s="346">
        <v>150000</v>
      </c>
      <c r="G82" s="346">
        <v>19995</v>
      </c>
      <c r="H82" s="340">
        <f t="shared" si="18"/>
        <v>169995</v>
      </c>
      <c r="I82" s="348">
        <v>40</v>
      </c>
      <c r="J82" s="380">
        <v>4149.8999999999996</v>
      </c>
      <c r="K82" s="356">
        <f t="shared" si="17"/>
        <v>399.9</v>
      </c>
      <c r="L82" s="356">
        <f t="shared" si="19"/>
        <v>3000</v>
      </c>
      <c r="M82" s="356">
        <f t="shared" si="20"/>
        <v>8397.9</v>
      </c>
      <c r="N82" s="356">
        <f t="shared" si="21"/>
        <v>7598.0999999999995</v>
      </c>
      <c r="O82" s="348">
        <v>21</v>
      </c>
      <c r="P82" s="354">
        <f t="shared" si="22"/>
        <v>19</v>
      </c>
      <c r="Q82" s="339">
        <f t="shared" si="23"/>
        <v>87147.9</v>
      </c>
      <c r="R82" s="339">
        <f t="shared" si="24"/>
        <v>82847.100000000006</v>
      </c>
      <c r="S82" s="337"/>
    </row>
    <row r="83" spans="1:19">
      <c r="A83" s="378"/>
      <c r="B83" s="337" t="s">
        <v>1438</v>
      </c>
      <c r="C83" s="367">
        <v>79</v>
      </c>
      <c r="D83" s="337" t="s">
        <v>1437</v>
      </c>
      <c r="E83" s="337" t="s">
        <v>1439</v>
      </c>
      <c r="F83" s="346">
        <v>450000</v>
      </c>
      <c r="G83" s="346">
        <v>59985</v>
      </c>
      <c r="H83" s="340">
        <f t="shared" si="18"/>
        <v>509985</v>
      </c>
      <c r="I83" s="348">
        <v>50</v>
      </c>
      <c r="J83" s="381">
        <v>10199.700000000001</v>
      </c>
      <c r="K83" s="356">
        <f t="shared" si="17"/>
        <v>1199.7</v>
      </c>
      <c r="L83" s="356">
        <f t="shared" si="19"/>
        <v>9000</v>
      </c>
      <c r="M83" s="356">
        <f t="shared" si="20"/>
        <v>51587.1</v>
      </c>
      <c r="N83" s="356">
        <f t="shared" si="21"/>
        <v>8397.9</v>
      </c>
      <c r="O83" s="358">
        <v>43</v>
      </c>
      <c r="P83" s="354">
        <f t="shared" si="22"/>
        <v>7</v>
      </c>
      <c r="Q83" s="339">
        <f t="shared" si="23"/>
        <v>438587.10000000003</v>
      </c>
      <c r="R83" s="339">
        <f t="shared" si="24"/>
        <v>71397.899999999965</v>
      </c>
      <c r="S83" s="390"/>
    </row>
    <row r="84" spans="1:19">
      <c r="A84" s="378"/>
      <c r="B84" s="364" t="s">
        <v>982</v>
      </c>
      <c r="C84" s="367">
        <v>80</v>
      </c>
      <c r="D84" s="337" t="s">
        <v>1437</v>
      </c>
      <c r="E84" s="337" t="s">
        <v>350</v>
      </c>
      <c r="F84" s="346">
        <v>500000</v>
      </c>
      <c r="G84" s="346">
        <v>66650</v>
      </c>
      <c r="H84" s="340">
        <f t="shared" si="18"/>
        <v>566650</v>
      </c>
      <c r="I84" s="348">
        <v>50</v>
      </c>
      <c r="J84" s="380">
        <v>11333</v>
      </c>
      <c r="K84" s="356">
        <f t="shared" si="17"/>
        <v>1333</v>
      </c>
      <c r="L84" s="356">
        <f t="shared" si="19"/>
        <v>10000</v>
      </c>
      <c r="M84" s="356">
        <f t="shared" si="20"/>
        <v>50654</v>
      </c>
      <c r="N84" s="356">
        <f t="shared" si="21"/>
        <v>15996</v>
      </c>
      <c r="O84" s="348">
        <v>38</v>
      </c>
      <c r="P84" s="354">
        <f t="shared" si="22"/>
        <v>12</v>
      </c>
      <c r="Q84" s="339">
        <f t="shared" si="23"/>
        <v>430654</v>
      </c>
      <c r="R84" s="339">
        <f t="shared" si="24"/>
        <v>135996</v>
      </c>
      <c r="S84" s="337"/>
    </row>
    <row r="85" spans="1:19">
      <c r="A85" s="378"/>
      <c r="B85" s="363" t="s">
        <v>965</v>
      </c>
      <c r="C85" s="367">
        <v>81</v>
      </c>
      <c r="D85" s="337" t="s">
        <v>1437</v>
      </c>
      <c r="E85" s="337" t="s">
        <v>334</v>
      </c>
      <c r="F85" s="346">
        <v>500000</v>
      </c>
      <c r="G85" s="346">
        <v>66650</v>
      </c>
      <c r="H85" s="340">
        <f t="shared" si="18"/>
        <v>566650</v>
      </c>
      <c r="I85" s="348">
        <v>50</v>
      </c>
      <c r="J85" s="380">
        <v>11333</v>
      </c>
      <c r="K85" s="356">
        <f t="shared" si="17"/>
        <v>1333</v>
      </c>
      <c r="L85" s="356">
        <f t="shared" si="19"/>
        <v>10000</v>
      </c>
      <c r="M85" s="356">
        <f t="shared" si="20"/>
        <v>61318</v>
      </c>
      <c r="N85" s="356">
        <f t="shared" si="21"/>
        <v>5332</v>
      </c>
      <c r="O85" s="348">
        <v>46</v>
      </c>
      <c r="P85" s="354">
        <f t="shared" si="22"/>
        <v>4</v>
      </c>
      <c r="Q85" s="339">
        <f t="shared" si="23"/>
        <v>521318</v>
      </c>
      <c r="R85" s="339">
        <f t="shared" si="24"/>
        <v>45332</v>
      </c>
      <c r="S85" s="337"/>
    </row>
    <row r="86" spans="1:19">
      <c r="A86" s="378"/>
      <c r="B86" s="365" t="s">
        <v>1402</v>
      </c>
      <c r="C86" s="367">
        <v>82</v>
      </c>
      <c r="D86" s="337" t="s">
        <v>1437</v>
      </c>
      <c r="E86" s="337" t="s">
        <v>1403</v>
      </c>
      <c r="F86" s="346">
        <v>150000</v>
      </c>
      <c r="G86" s="346">
        <v>19995</v>
      </c>
      <c r="H86" s="340">
        <f t="shared" si="18"/>
        <v>169995</v>
      </c>
      <c r="I86" s="348">
        <v>50</v>
      </c>
      <c r="J86" s="380">
        <v>3399.9</v>
      </c>
      <c r="K86" s="356">
        <f t="shared" si="17"/>
        <v>399.9</v>
      </c>
      <c r="L86" s="356">
        <f t="shared" si="19"/>
        <v>3000</v>
      </c>
      <c r="M86" s="356">
        <f t="shared" si="20"/>
        <v>3599.1</v>
      </c>
      <c r="N86" s="356">
        <f t="shared" si="21"/>
        <v>16395.899999999998</v>
      </c>
      <c r="O86" s="348">
        <v>9</v>
      </c>
      <c r="P86" s="354">
        <f t="shared" si="22"/>
        <v>41</v>
      </c>
      <c r="Q86" s="339">
        <f t="shared" si="23"/>
        <v>30599.100000000002</v>
      </c>
      <c r="R86" s="339">
        <f t="shared" si="24"/>
        <v>139395.9</v>
      </c>
      <c r="S86" s="337"/>
    </row>
    <row r="87" spans="1:19">
      <c r="A87" s="378"/>
      <c r="B87" s="361" t="s">
        <v>1355</v>
      </c>
      <c r="C87" s="367">
        <v>83</v>
      </c>
      <c r="D87" s="337" t="s">
        <v>1437</v>
      </c>
      <c r="E87" s="337" t="s">
        <v>1287</v>
      </c>
      <c r="F87" s="346">
        <v>450000</v>
      </c>
      <c r="G87" s="346">
        <v>59985</v>
      </c>
      <c r="H87" s="340">
        <f t="shared" si="18"/>
        <v>509985</v>
      </c>
      <c r="I87" s="348">
        <v>50</v>
      </c>
      <c r="J87" s="380">
        <v>10199.700000000001</v>
      </c>
      <c r="K87" s="356">
        <f t="shared" si="17"/>
        <v>1199.7</v>
      </c>
      <c r="L87" s="356">
        <f t="shared" si="19"/>
        <v>9000</v>
      </c>
      <c r="M87" s="356">
        <f t="shared" si="20"/>
        <v>16795.8</v>
      </c>
      <c r="N87" s="356">
        <f t="shared" si="21"/>
        <v>43189.200000000004</v>
      </c>
      <c r="O87" s="348">
        <v>14</v>
      </c>
      <c r="P87" s="354">
        <f t="shared" si="22"/>
        <v>36</v>
      </c>
      <c r="Q87" s="339">
        <f t="shared" si="23"/>
        <v>142795.80000000002</v>
      </c>
      <c r="R87" s="339">
        <f t="shared" si="24"/>
        <v>367189.19999999995</v>
      </c>
      <c r="S87" s="337"/>
    </row>
    <row r="88" spans="1:19">
      <c r="A88" s="378"/>
      <c r="B88" s="337" t="s">
        <v>1025</v>
      </c>
      <c r="C88" s="367">
        <v>84</v>
      </c>
      <c r="D88" s="337" t="s">
        <v>1437</v>
      </c>
      <c r="E88" s="337" t="s">
        <v>333</v>
      </c>
      <c r="F88" s="346">
        <v>500000</v>
      </c>
      <c r="G88" s="346">
        <v>66650</v>
      </c>
      <c r="H88" s="340">
        <f t="shared" si="18"/>
        <v>566650</v>
      </c>
      <c r="I88" s="348">
        <v>50</v>
      </c>
      <c r="J88" s="381">
        <v>11333</v>
      </c>
      <c r="K88" s="356">
        <f t="shared" si="17"/>
        <v>1333</v>
      </c>
      <c r="L88" s="356">
        <f t="shared" si="19"/>
        <v>10000</v>
      </c>
      <c r="M88" s="356">
        <f t="shared" si="20"/>
        <v>2666</v>
      </c>
      <c r="N88" s="356">
        <f t="shared" si="21"/>
        <v>63984</v>
      </c>
      <c r="O88" s="358">
        <v>2</v>
      </c>
      <c r="P88" s="354">
        <f t="shared" si="22"/>
        <v>48</v>
      </c>
      <c r="Q88" s="339">
        <f t="shared" si="23"/>
        <v>22666</v>
      </c>
      <c r="R88" s="339">
        <f t="shared" si="24"/>
        <v>543984</v>
      </c>
      <c r="S88" s="337"/>
    </row>
    <row r="89" spans="1:19">
      <c r="A89" s="378"/>
      <c r="B89" s="337" t="s">
        <v>1465</v>
      </c>
      <c r="C89" s="367">
        <v>85</v>
      </c>
      <c r="D89" s="337" t="s">
        <v>1437</v>
      </c>
      <c r="E89" s="337" t="s">
        <v>1466</v>
      </c>
      <c r="F89" s="346">
        <v>500000</v>
      </c>
      <c r="G89" s="346">
        <v>66650</v>
      </c>
      <c r="H89" s="340">
        <f t="shared" si="18"/>
        <v>566650</v>
      </c>
      <c r="I89" s="348">
        <v>50</v>
      </c>
      <c r="J89" s="381">
        <v>11333</v>
      </c>
      <c r="K89" s="356">
        <f t="shared" si="17"/>
        <v>1333</v>
      </c>
      <c r="L89" s="356">
        <f t="shared" si="19"/>
        <v>10000</v>
      </c>
      <c r="M89" s="356">
        <f t="shared" si="20"/>
        <v>2666</v>
      </c>
      <c r="N89" s="356">
        <f t="shared" si="21"/>
        <v>63984</v>
      </c>
      <c r="O89" s="358">
        <v>2</v>
      </c>
      <c r="P89" s="354">
        <f t="shared" si="22"/>
        <v>48</v>
      </c>
      <c r="Q89" s="339">
        <f t="shared" si="23"/>
        <v>22666</v>
      </c>
      <c r="R89" s="339">
        <f t="shared" si="24"/>
        <v>543984</v>
      </c>
      <c r="S89" s="337"/>
    </row>
    <row r="90" spans="1:19">
      <c r="A90" s="378"/>
      <c r="B90" s="365" t="s">
        <v>1102</v>
      </c>
      <c r="C90" s="367">
        <v>86</v>
      </c>
      <c r="D90" s="337" t="s">
        <v>1437</v>
      </c>
      <c r="E90" s="337" t="s">
        <v>485</v>
      </c>
      <c r="F90" s="346">
        <v>500000</v>
      </c>
      <c r="G90" s="346">
        <v>66650</v>
      </c>
      <c r="H90" s="340">
        <f t="shared" si="18"/>
        <v>566650</v>
      </c>
      <c r="I90" s="348">
        <v>50</v>
      </c>
      <c r="J90" s="380">
        <v>11333</v>
      </c>
      <c r="K90" s="356">
        <f t="shared" si="17"/>
        <v>1333</v>
      </c>
      <c r="L90" s="356">
        <f t="shared" si="19"/>
        <v>10000</v>
      </c>
      <c r="M90" s="356">
        <f t="shared" si="20"/>
        <v>14663</v>
      </c>
      <c r="N90" s="356">
        <f t="shared" si="21"/>
        <v>51987</v>
      </c>
      <c r="O90" s="348">
        <v>11</v>
      </c>
      <c r="P90" s="354">
        <f t="shared" si="22"/>
        <v>39</v>
      </c>
      <c r="Q90" s="339">
        <f t="shared" si="23"/>
        <v>124663</v>
      </c>
      <c r="R90" s="339">
        <f t="shared" si="24"/>
        <v>441987</v>
      </c>
      <c r="S90" s="337"/>
    </row>
    <row r="91" spans="1:19">
      <c r="A91" s="378"/>
      <c r="B91" s="364" t="s">
        <v>1351</v>
      </c>
      <c r="C91" s="367">
        <v>87</v>
      </c>
      <c r="D91" s="337" t="s">
        <v>1437</v>
      </c>
      <c r="E91" s="337" t="s">
        <v>1285</v>
      </c>
      <c r="F91" s="346">
        <v>500000</v>
      </c>
      <c r="G91" s="346">
        <v>66650</v>
      </c>
      <c r="H91" s="340">
        <f t="shared" si="18"/>
        <v>566650</v>
      </c>
      <c r="I91" s="348">
        <v>50</v>
      </c>
      <c r="J91" s="380">
        <v>11333</v>
      </c>
      <c r="K91" s="356">
        <f t="shared" si="17"/>
        <v>1333</v>
      </c>
      <c r="L91" s="356">
        <f t="shared" si="19"/>
        <v>10000</v>
      </c>
      <c r="M91" s="356">
        <f t="shared" si="20"/>
        <v>18662</v>
      </c>
      <c r="N91" s="356">
        <f t="shared" si="21"/>
        <v>47988</v>
      </c>
      <c r="O91" s="348">
        <v>14</v>
      </c>
      <c r="P91" s="354">
        <f t="shared" si="22"/>
        <v>36</v>
      </c>
      <c r="Q91" s="339">
        <f t="shared" si="23"/>
        <v>158662</v>
      </c>
      <c r="R91" s="339">
        <f t="shared" si="24"/>
        <v>407988</v>
      </c>
      <c r="S91" s="337"/>
    </row>
    <row r="92" spans="1:19">
      <c r="A92" s="378"/>
      <c r="B92" s="364" t="s">
        <v>960</v>
      </c>
      <c r="C92" s="367">
        <v>88</v>
      </c>
      <c r="D92" s="337" t="s">
        <v>1437</v>
      </c>
      <c r="E92" s="337" t="s">
        <v>488</v>
      </c>
      <c r="F92" s="346">
        <v>500000</v>
      </c>
      <c r="G92" s="346">
        <v>66650</v>
      </c>
      <c r="H92" s="340">
        <f t="shared" si="18"/>
        <v>566650</v>
      </c>
      <c r="I92" s="348">
        <v>50</v>
      </c>
      <c r="J92" s="380">
        <v>11333</v>
      </c>
      <c r="K92" s="356">
        <f t="shared" si="17"/>
        <v>1333</v>
      </c>
      <c r="L92" s="356">
        <f t="shared" si="19"/>
        <v>10000</v>
      </c>
      <c r="M92" s="356">
        <f t="shared" si="20"/>
        <v>45322</v>
      </c>
      <c r="N92" s="356">
        <f t="shared" si="21"/>
        <v>21328</v>
      </c>
      <c r="O92" s="348">
        <v>34</v>
      </c>
      <c r="P92" s="354">
        <f t="shared" si="22"/>
        <v>16</v>
      </c>
      <c r="Q92" s="339">
        <f t="shared" si="23"/>
        <v>385322</v>
      </c>
      <c r="R92" s="339">
        <f t="shared" si="24"/>
        <v>181328</v>
      </c>
      <c r="S92" s="337"/>
    </row>
    <row r="93" spans="1:19">
      <c r="A93" s="378"/>
      <c r="B93" s="362" t="s">
        <v>1024</v>
      </c>
      <c r="C93" s="367">
        <v>89</v>
      </c>
      <c r="D93" s="337" t="s">
        <v>1437</v>
      </c>
      <c r="E93" s="337" t="s">
        <v>810</v>
      </c>
      <c r="F93" s="346">
        <v>450000</v>
      </c>
      <c r="G93" s="346">
        <v>59985</v>
      </c>
      <c r="H93" s="340">
        <f t="shared" si="18"/>
        <v>509985</v>
      </c>
      <c r="I93" s="348">
        <v>50</v>
      </c>
      <c r="J93" s="380">
        <v>10199.700000000001</v>
      </c>
      <c r="K93" s="356">
        <f t="shared" si="17"/>
        <v>1199.7</v>
      </c>
      <c r="L93" s="356">
        <f t="shared" si="19"/>
        <v>9000</v>
      </c>
      <c r="M93" s="356">
        <f t="shared" si="20"/>
        <v>70782.3</v>
      </c>
      <c r="N93" s="356">
        <f t="shared" si="21"/>
        <v>-10797.300000000001</v>
      </c>
      <c r="O93" s="348">
        <v>59</v>
      </c>
      <c r="P93" s="354">
        <f t="shared" si="22"/>
        <v>-9</v>
      </c>
      <c r="Q93" s="339">
        <f t="shared" si="23"/>
        <v>601782.30000000005</v>
      </c>
      <c r="R93" s="339">
        <f t="shared" si="24"/>
        <v>-91797.300000000047</v>
      </c>
      <c r="S93" s="337"/>
    </row>
    <row r="94" spans="1:19">
      <c r="A94" s="378"/>
      <c r="B94" s="363" t="s">
        <v>1011</v>
      </c>
      <c r="C94" s="367">
        <v>90</v>
      </c>
      <c r="D94" s="337" t="s">
        <v>1437</v>
      </c>
      <c r="E94" s="337" t="s">
        <v>863</v>
      </c>
      <c r="F94" s="346">
        <v>500000</v>
      </c>
      <c r="G94" s="346">
        <v>66650</v>
      </c>
      <c r="H94" s="340">
        <f t="shared" si="18"/>
        <v>566650</v>
      </c>
      <c r="I94" s="348">
        <v>50</v>
      </c>
      <c r="J94" s="380">
        <v>11333</v>
      </c>
      <c r="K94" s="356">
        <f t="shared" si="17"/>
        <v>1333</v>
      </c>
      <c r="L94" s="356">
        <f t="shared" si="19"/>
        <v>10000</v>
      </c>
      <c r="M94" s="356">
        <f t="shared" si="20"/>
        <v>38657</v>
      </c>
      <c r="N94" s="356">
        <f t="shared" si="21"/>
        <v>27993</v>
      </c>
      <c r="O94" s="348">
        <v>29</v>
      </c>
      <c r="P94" s="354">
        <f t="shared" si="22"/>
        <v>21</v>
      </c>
      <c r="Q94" s="339">
        <f t="shared" si="23"/>
        <v>328657</v>
      </c>
      <c r="R94" s="339">
        <f t="shared" si="24"/>
        <v>237993</v>
      </c>
      <c r="S94" s="337"/>
    </row>
    <row r="95" spans="1:19">
      <c r="A95" s="378"/>
      <c r="B95" s="364" t="s">
        <v>1042</v>
      </c>
      <c r="C95" s="367">
        <v>91</v>
      </c>
      <c r="D95" s="337" t="s">
        <v>1437</v>
      </c>
      <c r="E95" s="337" t="s">
        <v>359</v>
      </c>
      <c r="F95" s="346">
        <v>500000</v>
      </c>
      <c r="G95" s="346">
        <v>66650</v>
      </c>
      <c r="H95" s="340">
        <f t="shared" si="18"/>
        <v>566650</v>
      </c>
      <c r="I95" s="348">
        <v>50</v>
      </c>
      <c r="J95" s="380">
        <v>11333</v>
      </c>
      <c r="K95" s="356">
        <f t="shared" si="17"/>
        <v>1333</v>
      </c>
      <c r="L95" s="356">
        <f t="shared" si="19"/>
        <v>10000</v>
      </c>
      <c r="M95" s="356">
        <f t="shared" si="20"/>
        <v>11997</v>
      </c>
      <c r="N95" s="356">
        <f t="shared" si="21"/>
        <v>54653</v>
      </c>
      <c r="O95" s="348">
        <v>9</v>
      </c>
      <c r="P95" s="354">
        <f t="shared" si="22"/>
        <v>41</v>
      </c>
      <c r="Q95" s="339">
        <f t="shared" si="23"/>
        <v>101997</v>
      </c>
      <c r="R95" s="339">
        <f t="shared" si="24"/>
        <v>464653</v>
      </c>
      <c r="S95" s="337"/>
    </row>
    <row r="96" spans="1:19">
      <c r="A96" s="378"/>
      <c r="B96" s="361" t="s">
        <v>1045</v>
      </c>
      <c r="C96" s="367">
        <v>92</v>
      </c>
      <c r="D96" s="337" t="s">
        <v>1437</v>
      </c>
      <c r="E96" s="337" t="s">
        <v>867</v>
      </c>
      <c r="F96" s="346">
        <v>500000</v>
      </c>
      <c r="G96" s="346">
        <v>66650</v>
      </c>
      <c r="H96" s="340">
        <f t="shared" si="18"/>
        <v>566650</v>
      </c>
      <c r="I96" s="348">
        <v>50</v>
      </c>
      <c r="J96" s="380">
        <v>11333</v>
      </c>
      <c r="K96" s="356">
        <f t="shared" si="17"/>
        <v>1333</v>
      </c>
      <c r="L96" s="356">
        <f t="shared" si="19"/>
        <v>10000</v>
      </c>
      <c r="M96" s="356">
        <f t="shared" si="20"/>
        <v>90644</v>
      </c>
      <c r="N96" s="356">
        <f t="shared" si="21"/>
        <v>-23994</v>
      </c>
      <c r="O96" s="348">
        <v>68</v>
      </c>
      <c r="P96" s="354">
        <f t="shared" si="22"/>
        <v>-18</v>
      </c>
      <c r="Q96" s="339">
        <f t="shared" si="23"/>
        <v>770644</v>
      </c>
      <c r="R96" s="339">
        <f t="shared" si="24"/>
        <v>-203994</v>
      </c>
      <c r="S96" s="337"/>
    </row>
    <row r="97" spans="1:19">
      <c r="A97" s="378"/>
      <c r="B97" s="364" t="s">
        <v>1323</v>
      </c>
      <c r="C97" s="367">
        <v>93</v>
      </c>
      <c r="D97" s="337" t="s">
        <v>1437</v>
      </c>
      <c r="E97" s="337" t="s">
        <v>448</v>
      </c>
      <c r="F97" s="346">
        <v>500000</v>
      </c>
      <c r="G97" s="346">
        <v>66650</v>
      </c>
      <c r="H97" s="340">
        <f t="shared" si="18"/>
        <v>566650</v>
      </c>
      <c r="I97" s="348">
        <v>50</v>
      </c>
      <c r="J97" s="380">
        <v>11333</v>
      </c>
      <c r="K97" s="356">
        <f t="shared" si="17"/>
        <v>1333</v>
      </c>
      <c r="L97" s="356">
        <f t="shared" si="19"/>
        <v>10000</v>
      </c>
      <c r="M97" s="356">
        <f t="shared" si="20"/>
        <v>26660</v>
      </c>
      <c r="N97" s="356">
        <f t="shared" si="21"/>
        <v>39990</v>
      </c>
      <c r="O97" s="348">
        <v>20</v>
      </c>
      <c r="P97" s="354">
        <f t="shared" si="22"/>
        <v>30</v>
      </c>
      <c r="Q97" s="339">
        <f t="shared" si="23"/>
        <v>226660</v>
      </c>
      <c r="R97" s="339">
        <f t="shared" si="24"/>
        <v>339990</v>
      </c>
      <c r="S97" s="337"/>
    </row>
    <row r="98" spans="1:19" ht="22.5">
      <c r="A98" s="378"/>
      <c r="B98" s="337" t="s">
        <v>1483</v>
      </c>
      <c r="C98" s="367">
        <v>94</v>
      </c>
      <c r="D98" s="337" t="s">
        <v>1437</v>
      </c>
      <c r="E98" s="337" t="s">
        <v>1484</v>
      </c>
      <c r="F98" s="346">
        <v>150000</v>
      </c>
      <c r="G98" s="346">
        <v>19995</v>
      </c>
      <c r="H98" s="340">
        <f t="shared" si="18"/>
        <v>169995</v>
      </c>
      <c r="I98" s="348">
        <v>50</v>
      </c>
      <c r="J98" s="381">
        <v>3399.5</v>
      </c>
      <c r="K98" s="356">
        <f t="shared" si="17"/>
        <v>399.9</v>
      </c>
      <c r="L98" s="356">
        <f t="shared" si="19"/>
        <v>3000</v>
      </c>
      <c r="M98" s="356">
        <f t="shared" si="20"/>
        <v>799.8</v>
      </c>
      <c r="N98" s="356">
        <f t="shared" si="21"/>
        <v>19195.199999999997</v>
      </c>
      <c r="O98" s="358">
        <v>2</v>
      </c>
      <c r="P98" s="354">
        <f t="shared" si="22"/>
        <v>48</v>
      </c>
      <c r="Q98" s="339">
        <f t="shared" si="23"/>
        <v>6799</v>
      </c>
      <c r="R98" s="339">
        <f t="shared" si="24"/>
        <v>163196</v>
      </c>
      <c r="S98" s="389" t="s">
        <v>1444</v>
      </c>
    </row>
    <row r="99" spans="1:19">
      <c r="A99" s="378"/>
      <c r="B99" s="363" t="s">
        <v>1037</v>
      </c>
      <c r="C99" s="367">
        <v>95</v>
      </c>
      <c r="D99" s="337" t="s">
        <v>1437</v>
      </c>
      <c r="E99" s="337" t="s">
        <v>326</v>
      </c>
      <c r="F99" s="346">
        <v>500000</v>
      </c>
      <c r="G99" s="346">
        <v>66650</v>
      </c>
      <c r="H99" s="340">
        <f t="shared" si="18"/>
        <v>566650</v>
      </c>
      <c r="I99" s="348">
        <v>50</v>
      </c>
      <c r="J99" s="380">
        <v>11333</v>
      </c>
      <c r="K99" s="356">
        <f t="shared" si="17"/>
        <v>1333</v>
      </c>
      <c r="L99" s="356">
        <f t="shared" si="19"/>
        <v>10000</v>
      </c>
      <c r="M99" s="356">
        <f t="shared" si="20"/>
        <v>59985</v>
      </c>
      <c r="N99" s="356">
        <f t="shared" si="21"/>
        <v>6665</v>
      </c>
      <c r="O99" s="348">
        <v>45</v>
      </c>
      <c r="P99" s="354">
        <f t="shared" si="22"/>
        <v>5</v>
      </c>
      <c r="Q99" s="339">
        <f t="shared" si="23"/>
        <v>509985</v>
      </c>
      <c r="R99" s="339">
        <f t="shared" si="24"/>
        <v>56665</v>
      </c>
      <c r="S99" s="337"/>
    </row>
    <row r="100" spans="1:19">
      <c r="A100" s="378"/>
      <c r="B100" s="363" t="s">
        <v>1002</v>
      </c>
      <c r="C100" s="367">
        <v>96</v>
      </c>
      <c r="D100" s="337" t="s">
        <v>1437</v>
      </c>
      <c r="E100" s="337" t="s">
        <v>1003</v>
      </c>
      <c r="F100" s="346">
        <v>150000</v>
      </c>
      <c r="G100" s="346">
        <v>19995</v>
      </c>
      <c r="H100" s="340">
        <f t="shared" si="18"/>
        <v>169995</v>
      </c>
      <c r="I100" s="348">
        <v>50</v>
      </c>
      <c r="J100" s="380">
        <v>3399.9</v>
      </c>
      <c r="K100" s="356">
        <f t="shared" si="17"/>
        <v>399.9</v>
      </c>
      <c r="L100" s="356">
        <f t="shared" si="19"/>
        <v>3000</v>
      </c>
      <c r="M100" s="356">
        <f t="shared" si="20"/>
        <v>10397.4</v>
      </c>
      <c r="N100" s="356">
        <f t="shared" si="21"/>
        <v>9597.5999999999985</v>
      </c>
      <c r="O100" s="348">
        <v>26</v>
      </c>
      <c r="P100" s="354">
        <f t="shared" si="22"/>
        <v>24</v>
      </c>
      <c r="Q100" s="339">
        <f t="shared" si="23"/>
        <v>88397.400000000009</v>
      </c>
      <c r="R100" s="339">
        <f t="shared" si="24"/>
        <v>81597.599999999991</v>
      </c>
      <c r="S100" s="337"/>
    </row>
    <row r="101" spans="1:19">
      <c r="A101" s="378"/>
      <c r="B101" s="363" t="s">
        <v>1315</v>
      </c>
      <c r="C101" s="367">
        <v>97</v>
      </c>
      <c r="D101" s="337" t="s">
        <v>1437</v>
      </c>
      <c r="E101" s="337" t="s">
        <v>1316</v>
      </c>
      <c r="F101" s="346">
        <v>450000</v>
      </c>
      <c r="G101" s="346">
        <v>28792.799999999999</v>
      </c>
      <c r="H101" s="340">
        <f t="shared" ref="H101:H132" si="25">SUM(F101:G101)</f>
        <v>478792.8</v>
      </c>
      <c r="I101" s="348">
        <v>24</v>
      </c>
      <c r="J101" s="380">
        <v>19949.7</v>
      </c>
      <c r="K101" s="356">
        <f>G101/24</f>
        <v>1199.7</v>
      </c>
      <c r="L101" s="356">
        <f t="shared" ref="L101:L132" si="26">F101/50</f>
        <v>9000</v>
      </c>
      <c r="M101" s="356">
        <f t="shared" ref="M101:M132" si="27">K101*O101</f>
        <v>10797.300000000001</v>
      </c>
      <c r="N101" s="356">
        <f t="shared" ref="N101:N132" si="28">K101*P101</f>
        <v>17995.5</v>
      </c>
      <c r="O101" s="348">
        <v>9</v>
      </c>
      <c r="P101" s="354">
        <f t="shared" ref="P101:P132" si="29">I101-O101</f>
        <v>15</v>
      </c>
      <c r="Q101" s="339">
        <f t="shared" ref="Q101:Q132" si="30">J101*O101</f>
        <v>179547.30000000002</v>
      </c>
      <c r="R101" s="339">
        <f t="shared" ref="R101:R132" si="31">H101-Q101</f>
        <v>299245.5</v>
      </c>
      <c r="S101" s="337"/>
    </row>
    <row r="102" spans="1:19">
      <c r="A102" s="378"/>
      <c r="B102" s="362" t="s">
        <v>1404</v>
      </c>
      <c r="C102" s="367">
        <v>98</v>
      </c>
      <c r="D102" s="337" t="s">
        <v>1437</v>
      </c>
      <c r="E102" s="337" t="s">
        <v>1405</v>
      </c>
      <c r="F102" s="346">
        <v>150000</v>
      </c>
      <c r="G102" s="346">
        <v>19995</v>
      </c>
      <c r="H102" s="340">
        <f t="shared" si="25"/>
        <v>169995</v>
      </c>
      <c r="I102" s="348">
        <v>50</v>
      </c>
      <c r="J102" s="380">
        <v>3399.9</v>
      </c>
      <c r="K102" s="356">
        <f t="shared" ref="K102:K128" si="32">G102/50</f>
        <v>399.9</v>
      </c>
      <c r="L102" s="356">
        <f t="shared" si="26"/>
        <v>3000</v>
      </c>
      <c r="M102" s="356">
        <f t="shared" si="27"/>
        <v>3599.1</v>
      </c>
      <c r="N102" s="356">
        <f t="shared" si="28"/>
        <v>16395.899999999998</v>
      </c>
      <c r="O102" s="348">
        <v>9</v>
      </c>
      <c r="P102" s="354">
        <f t="shared" si="29"/>
        <v>41</v>
      </c>
      <c r="Q102" s="339">
        <f t="shared" si="30"/>
        <v>30599.100000000002</v>
      </c>
      <c r="R102" s="339">
        <f t="shared" si="31"/>
        <v>139395.9</v>
      </c>
      <c r="S102" s="337"/>
    </row>
    <row r="103" spans="1:19">
      <c r="A103" s="378"/>
      <c r="B103" s="366" t="s">
        <v>1381</v>
      </c>
      <c r="C103" s="367">
        <v>99</v>
      </c>
      <c r="D103" s="337" t="s">
        <v>1437</v>
      </c>
      <c r="E103" s="337" t="s">
        <v>1129</v>
      </c>
      <c r="F103" s="346">
        <v>330000</v>
      </c>
      <c r="G103" s="346">
        <v>43989</v>
      </c>
      <c r="H103" s="340">
        <f t="shared" si="25"/>
        <v>373989</v>
      </c>
      <c r="I103" s="348">
        <v>50</v>
      </c>
      <c r="J103" s="380">
        <v>7479.78</v>
      </c>
      <c r="K103" s="356">
        <f t="shared" si="32"/>
        <v>879.78</v>
      </c>
      <c r="L103" s="356">
        <f t="shared" si="26"/>
        <v>6600</v>
      </c>
      <c r="M103" s="356">
        <f t="shared" si="27"/>
        <v>18475.38</v>
      </c>
      <c r="N103" s="356">
        <f t="shared" si="28"/>
        <v>25513.62</v>
      </c>
      <c r="O103" s="348">
        <v>21</v>
      </c>
      <c r="P103" s="354">
        <f t="shared" si="29"/>
        <v>29</v>
      </c>
      <c r="Q103" s="339">
        <f t="shared" si="30"/>
        <v>157075.38</v>
      </c>
      <c r="R103" s="339">
        <f t="shared" si="31"/>
        <v>216913.62</v>
      </c>
      <c r="S103" s="337"/>
    </row>
    <row r="104" spans="1:19">
      <c r="A104" s="378"/>
      <c r="B104" s="337" t="s">
        <v>1417</v>
      </c>
      <c r="C104" s="367">
        <v>100</v>
      </c>
      <c r="D104" s="337" t="s">
        <v>1437</v>
      </c>
      <c r="E104" s="337" t="s">
        <v>477</v>
      </c>
      <c r="F104" s="346">
        <v>330000</v>
      </c>
      <c r="G104" s="346">
        <v>43989</v>
      </c>
      <c r="H104" s="340">
        <f t="shared" si="25"/>
        <v>373989</v>
      </c>
      <c r="I104" s="358">
        <v>50</v>
      </c>
      <c r="J104" s="381">
        <v>7479.78</v>
      </c>
      <c r="K104" s="356">
        <f t="shared" si="32"/>
        <v>879.78</v>
      </c>
      <c r="L104" s="356">
        <f t="shared" si="26"/>
        <v>6600</v>
      </c>
      <c r="M104" s="356">
        <f t="shared" si="27"/>
        <v>6158.46</v>
      </c>
      <c r="N104" s="356">
        <f t="shared" si="28"/>
        <v>37830.54</v>
      </c>
      <c r="O104" s="358">
        <v>7</v>
      </c>
      <c r="P104" s="354">
        <f t="shared" si="29"/>
        <v>43</v>
      </c>
      <c r="Q104" s="339">
        <f t="shared" si="30"/>
        <v>52358.46</v>
      </c>
      <c r="R104" s="339">
        <f t="shared" si="31"/>
        <v>321630.53999999998</v>
      </c>
      <c r="S104" s="337"/>
    </row>
    <row r="105" spans="1:19">
      <c r="A105" s="378"/>
      <c r="B105" s="363" t="s">
        <v>1061</v>
      </c>
      <c r="C105" s="367">
        <v>101</v>
      </c>
      <c r="D105" s="337" t="s">
        <v>1437</v>
      </c>
      <c r="E105" s="337" t="s">
        <v>854</v>
      </c>
      <c r="F105" s="346">
        <v>330000</v>
      </c>
      <c r="G105" s="346">
        <v>43989</v>
      </c>
      <c r="H105" s="340">
        <f t="shared" si="25"/>
        <v>373989</v>
      </c>
      <c r="I105" s="348">
        <v>50</v>
      </c>
      <c r="J105" s="380">
        <v>7479.78</v>
      </c>
      <c r="K105" s="356">
        <f t="shared" si="32"/>
        <v>879.78</v>
      </c>
      <c r="L105" s="356">
        <f t="shared" si="26"/>
        <v>6600</v>
      </c>
      <c r="M105" s="356">
        <f t="shared" si="27"/>
        <v>23754.059999999998</v>
      </c>
      <c r="N105" s="356">
        <f t="shared" si="28"/>
        <v>20234.939999999999</v>
      </c>
      <c r="O105" s="348">
        <v>27</v>
      </c>
      <c r="P105" s="354">
        <f t="shared" si="29"/>
        <v>23</v>
      </c>
      <c r="Q105" s="339">
        <f t="shared" si="30"/>
        <v>201954.06</v>
      </c>
      <c r="R105" s="339">
        <f t="shared" si="31"/>
        <v>172034.94</v>
      </c>
      <c r="S105" s="337"/>
    </row>
    <row r="106" spans="1:19">
      <c r="A106" s="378"/>
      <c r="B106" s="362" t="s">
        <v>969</v>
      </c>
      <c r="C106" s="367">
        <v>102</v>
      </c>
      <c r="D106" s="337" t="s">
        <v>1437</v>
      </c>
      <c r="E106" s="337" t="s">
        <v>851</v>
      </c>
      <c r="F106" s="346">
        <v>150000</v>
      </c>
      <c r="G106" s="346">
        <v>19995</v>
      </c>
      <c r="H106" s="340">
        <f t="shared" si="25"/>
        <v>169995</v>
      </c>
      <c r="I106" s="348">
        <v>50</v>
      </c>
      <c r="J106" s="380">
        <v>3399.9</v>
      </c>
      <c r="K106" s="356">
        <f t="shared" si="32"/>
        <v>399.9</v>
      </c>
      <c r="L106" s="356">
        <f t="shared" si="26"/>
        <v>3000</v>
      </c>
      <c r="M106" s="356">
        <f t="shared" si="27"/>
        <v>3599.1</v>
      </c>
      <c r="N106" s="356">
        <f t="shared" si="28"/>
        <v>16395.899999999998</v>
      </c>
      <c r="O106" s="348">
        <v>9</v>
      </c>
      <c r="P106" s="354">
        <f t="shared" si="29"/>
        <v>41</v>
      </c>
      <c r="Q106" s="339">
        <f t="shared" si="30"/>
        <v>30599.100000000002</v>
      </c>
      <c r="R106" s="339">
        <f t="shared" si="31"/>
        <v>139395.9</v>
      </c>
      <c r="S106" s="337"/>
    </row>
    <row r="107" spans="1:19">
      <c r="A107" s="378"/>
      <c r="B107" s="363" t="s">
        <v>1341</v>
      </c>
      <c r="C107" s="367">
        <v>103</v>
      </c>
      <c r="D107" s="337" t="s">
        <v>1437</v>
      </c>
      <c r="E107" s="337" t="s">
        <v>1139</v>
      </c>
      <c r="F107" s="346">
        <v>500000</v>
      </c>
      <c r="G107" s="346">
        <v>66650</v>
      </c>
      <c r="H107" s="340">
        <f t="shared" si="25"/>
        <v>566650</v>
      </c>
      <c r="I107" s="348">
        <v>50</v>
      </c>
      <c r="J107" s="380">
        <v>11333</v>
      </c>
      <c r="K107" s="356">
        <f t="shared" si="32"/>
        <v>1333</v>
      </c>
      <c r="L107" s="356">
        <f t="shared" si="26"/>
        <v>10000</v>
      </c>
      <c r="M107" s="356">
        <f t="shared" si="27"/>
        <v>27993</v>
      </c>
      <c r="N107" s="356">
        <f t="shared" si="28"/>
        <v>38657</v>
      </c>
      <c r="O107" s="348">
        <v>21</v>
      </c>
      <c r="P107" s="354">
        <f t="shared" si="29"/>
        <v>29</v>
      </c>
      <c r="Q107" s="339">
        <f t="shared" si="30"/>
        <v>237993</v>
      </c>
      <c r="R107" s="339">
        <f t="shared" si="31"/>
        <v>328657</v>
      </c>
      <c r="S107" s="337"/>
    </row>
    <row r="108" spans="1:19">
      <c r="A108" s="378"/>
      <c r="B108" s="362" t="s">
        <v>1398</v>
      </c>
      <c r="C108" s="367">
        <v>104</v>
      </c>
      <c r="D108" s="337" t="s">
        <v>1437</v>
      </c>
      <c r="E108" s="337" t="s">
        <v>1399</v>
      </c>
      <c r="F108" s="346">
        <v>150000</v>
      </c>
      <c r="G108" s="346">
        <v>19995</v>
      </c>
      <c r="H108" s="340">
        <f t="shared" si="25"/>
        <v>169995</v>
      </c>
      <c r="I108" s="348">
        <v>50</v>
      </c>
      <c r="J108" s="380">
        <v>3399.9</v>
      </c>
      <c r="K108" s="356">
        <f t="shared" si="32"/>
        <v>399.9</v>
      </c>
      <c r="L108" s="356">
        <f t="shared" si="26"/>
        <v>3000</v>
      </c>
      <c r="M108" s="356">
        <f t="shared" si="27"/>
        <v>3599.1</v>
      </c>
      <c r="N108" s="356">
        <f t="shared" si="28"/>
        <v>16395.899999999998</v>
      </c>
      <c r="O108" s="348">
        <v>9</v>
      </c>
      <c r="P108" s="354">
        <f t="shared" si="29"/>
        <v>41</v>
      </c>
      <c r="Q108" s="339">
        <f t="shared" si="30"/>
        <v>30599.100000000002</v>
      </c>
      <c r="R108" s="339">
        <f t="shared" si="31"/>
        <v>139395.9</v>
      </c>
      <c r="S108" s="337"/>
    </row>
    <row r="109" spans="1:19">
      <c r="A109" s="378"/>
      <c r="B109" s="362" t="s">
        <v>1118</v>
      </c>
      <c r="C109" s="367">
        <v>105</v>
      </c>
      <c r="D109" s="337" t="s">
        <v>1437</v>
      </c>
      <c r="E109" s="337" t="s">
        <v>1119</v>
      </c>
      <c r="F109" s="346">
        <v>500000</v>
      </c>
      <c r="G109" s="346">
        <v>66650</v>
      </c>
      <c r="H109" s="340">
        <f t="shared" si="25"/>
        <v>566650</v>
      </c>
      <c r="I109" s="348">
        <v>50</v>
      </c>
      <c r="J109" s="380">
        <v>11333</v>
      </c>
      <c r="K109" s="356">
        <f t="shared" si="32"/>
        <v>1333</v>
      </c>
      <c r="L109" s="356">
        <f t="shared" si="26"/>
        <v>10000</v>
      </c>
      <c r="M109" s="356">
        <f t="shared" si="27"/>
        <v>29326</v>
      </c>
      <c r="N109" s="356">
        <f t="shared" si="28"/>
        <v>37324</v>
      </c>
      <c r="O109" s="348">
        <v>22</v>
      </c>
      <c r="P109" s="354">
        <f t="shared" si="29"/>
        <v>28</v>
      </c>
      <c r="Q109" s="339">
        <f t="shared" si="30"/>
        <v>249326</v>
      </c>
      <c r="R109" s="339">
        <f t="shared" si="31"/>
        <v>317324</v>
      </c>
      <c r="S109" s="337"/>
    </row>
    <row r="110" spans="1:19">
      <c r="A110" s="378"/>
      <c r="B110" s="363" t="s">
        <v>1123</v>
      </c>
      <c r="C110" s="367">
        <v>106</v>
      </c>
      <c r="D110" s="337" t="s">
        <v>1437</v>
      </c>
      <c r="E110" s="337" t="s">
        <v>439</v>
      </c>
      <c r="F110" s="346">
        <v>330000</v>
      </c>
      <c r="G110" s="346">
        <v>43989</v>
      </c>
      <c r="H110" s="340">
        <f t="shared" si="25"/>
        <v>373989</v>
      </c>
      <c r="I110" s="348">
        <v>50</v>
      </c>
      <c r="J110" s="380">
        <v>7479.78</v>
      </c>
      <c r="K110" s="356">
        <f t="shared" si="32"/>
        <v>879.78</v>
      </c>
      <c r="L110" s="356">
        <f t="shared" si="26"/>
        <v>6600</v>
      </c>
      <c r="M110" s="356">
        <f t="shared" si="27"/>
        <v>19355.16</v>
      </c>
      <c r="N110" s="356">
        <f t="shared" si="28"/>
        <v>24633.84</v>
      </c>
      <c r="O110" s="348">
        <v>22</v>
      </c>
      <c r="P110" s="354">
        <f t="shared" si="29"/>
        <v>28</v>
      </c>
      <c r="Q110" s="339">
        <f t="shared" si="30"/>
        <v>164555.16</v>
      </c>
      <c r="R110" s="339">
        <f t="shared" si="31"/>
        <v>209433.84</v>
      </c>
      <c r="S110" s="337"/>
    </row>
    <row r="111" spans="1:19">
      <c r="A111" s="378"/>
      <c r="B111" s="361" t="s">
        <v>1365</v>
      </c>
      <c r="C111" s="367">
        <v>107</v>
      </c>
      <c r="D111" s="337" t="s">
        <v>1437</v>
      </c>
      <c r="E111" s="337" t="s">
        <v>449</v>
      </c>
      <c r="F111" s="346">
        <v>450000</v>
      </c>
      <c r="G111" s="346">
        <v>59985</v>
      </c>
      <c r="H111" s="340">
        <f t="shared" si="25"/>
        <v>509985</v>
      </c>
      <c r="I111" s="348">
        <v>50</v>
      </c>
      <c r="J111" s="380">
        <v>10199.700000000001</v>
      </c>
      <c r="K111" s="356">
        <f t="shared" si="32"/>
        <v>1199.7</v>
      </c>
      <c r="L111" s="356">
        <f t="shared" si="26"/>
        <v>9000</v>
      </c>
      <c r="M111" s="356">
        <f t="shared" si="27"/>
        <v>16795.8</v>
      </c>
      <c r="N111" s="356">
        <f t="shared" si="28"/>
        <v>43189.200000000004</v>
      </c>
      <c r="O111" s="348">
        <v>14</v>
      </c>
      <c r="P111" s="354">
        <f t="shared" si="29"/>
        <v>36</v>
      </c>
      <c r="Q111" s="339">
        <f t="shared" si="30"/>
        <v>142795.80000000002</v>
      </c>
      <c r="R111" s="339">
        <f t="shared" si="31"/>
        <v>367189.19999999995</v>
      </c>
      <c r="S111" s="337"/>
    </row>
    <row r="112" spans="1:19">
      <c r="A112" s="378"/>
      <c r="B112" s="363" t="s">
        <v>987</v>
      </c>
      <c r="C112" s="367">
        <v>108</v>
      </c>
      <c r="D112" s="337" t="s">
        <v>1437</v>
      </c>
      <c r="E112" s="337" t="s">
        <v>866</v>
      </c>
      <c r="F112" s="346">
        <v>500000</v>
      </c>
      <c r="G112" s="346">
        <v>66650</v>
      </c>
      <c r="H112" s="340">
        <f t="shared" si="25"/>
        <v>566650</v>
      </c>
      <c r="I112" s="348">
        <v>50</v>
      </c>
      <c r="J112" s="380">
        <v>11333</v>
      </c>
      <c r="K112" s="356">
        <f t="shared" si="32"/>
        <v>1333</v>
      </c>
      <c r="L112" s="356">
        <f t="shared" si="26"/>
        <v>10000</v>
      </c>
      <c r="M112" s="356">
        <f t="shared" si="27"/>
        <v>18662</v>
      </c>
      <c r="N112" s="356">
        <f t="shared" si="28"/>
        <v>47988</v>
      </c>
      <c r="O112" s="348">
        <v>14</v>
      </c>
      <c r="P112" s="354">
        <f t="shared" si="29"/>
        <v>36</v>
      </c>
      <c r="Q112" s="339">
        <f t="shared" si="30"/>
        <v>158662</v>
      </c>
      <c r="R112" s="339">
        <f t="shared" si="31"/>
        <v>407988</v>
      </c>
      <c r="S112" s="337"/>
    </row>
    <row r="113" spans="1:19">
      <c r="A113" s="378"/>
      <c r="B113" s="364" t="s">
        <v>1321</v>
      </c>
      <c r="C113" s="367">
        <v>109</v>
      </c>
      <c r="D113" s="337" t="s">
        <v>1437</v>
      </c>
      <c r="E113" s="337" t="s">
        <v>403</v>
      </c>
      <c r="F113" s="346">
        <v>500000</v>
      </c>
      <c r="G113" s="346">
        <v>66650</v>
      </c>
      <c r="H113" s="340">
        <f t="shared" si="25"/>
        <v>566650</v>
      </c>
      <c r="I113" s="348">
        <v>50</v>
      </c>
      <c r="J113" s="380">
        <v>11333</v>
      </c>
      <c r="K113" s="356">
        <f t="shared" si="32"/>
        <v>1333</v>
      </c>
      <c r="L113" s="356">
        <f t="shared" si="26"/>
        <v>10000</v>
      </c>
      <c r="M113" s="356">
        <f t="shared" si="27"/>
        <v>15996</v>
      </c>
      <c r="N113" s="356">
        <f t="shared" si="28"/>
        <v>50654</v>
      </c>
      <c r="O113" s="348">
        <v>12</v>
      </c>
      <c r="P113" s="354">
        <f t="shared" si="29"/>
        <v>38</v>
      </c>
      <c r="Q113" s="339">
        <f t="shared" si="30"/>
        <v>135996</v>
      </c>
      <c r="R113" s="339">
        <f t="shared" si="31"/>
        <v>430654</v>
      </c>
      <c r="S113" s="337"/>
    </row>
    <row r="114" spans="1:19">
      <c r="A114" s="378"/>
      <c r="B114" s="337" t="s">
        <v>1467</v>
      </c>
      <c r="C114" s="367">
        <v>110</v>
      </c>
      <c r="D114" s="337" t="s">
        <v>1437</v>
      </c>
      <c r="E114" s="337" t="s">
        <v>1468</v>
      </c>
      <c r="F114" s="346">
        <v>500000</v>
      </c>
      <c r="G114" s="346">
        <v>66650</v>
      </c>
      <c r="H114" s="340">
        <f t="shared" si="25"/>
        <v>566650</v>
      </c>
      <c r="I114" s="348">
        <v>50</v>
      </c>
      <c r="J114" s="381">
        <v>11333</v>
      </c>
      <c r="K114" s="356">
        <f t="shared" si="32"/>
        <v>1333</v>
      </c>
      <c r="L114" s="356">
        <f t="shared" si="26"/>
        <v>10000</v>
      </c>
      <c r="M114" s="356">
        <f t="shared" si="27"/>
        <v>2666</v>
      </c>
      <c r="N114" s="356">
        <f t="shared" si="28"/>
        <v>63984</v>
      </c>
      <c r="O114" s="358">
        <v>2</v>
      </c>
      <c r="P114" s="354">
        <f t="shared" si="29"/>
        <v>48</v>
      </c>
      <c r="Q114" s="339">
        <f t="shared" si="30"/>
        <v>22666</v>
      </c>
      <c r="R114" s="339">
        <f t="shared" si="31"/>
        <v>543984</v>
      </c>
      <c r="S114" s="337"/>
    </row>
    <row r="115" spans="1:19">
      <c r="A115" s="378"/>
      <c r="B115" s="366" t="s">
        <v>1093</v>
      </c>
      <c r="C115" s="367">
        <v>111</v>
      </c>
      <c r="D115" s="337" t="s">
        <v>1437</v>
      </c>
      <c r="E115" s="337" t="s">
        <v>364</v>
      </c>
      <c r="F115" s="346">
        <v>450000</v>
      </c>
      <c r="G115" s="346">
        <v>59985</v>
      </c>
      <c r="H115" s="340">
        <f t="shared" si="25"/>
        <v>509985</v>
      </c>
      <c r="I115" s="348">
        <v>50</v>
      </c>
      <c r="J115" s="380">
        <v>10199.700000000001</v>
      </c>
      <c r="K115" s="356">
        <f t="shared" si="32"/>
        <v>1199.7</v>
      </c>
      <c r="L115" s="356">
        <f t="shared" si="26"/>
        <v>9000</v>
      </c>
      <c r="M115" s="356">
        <f t="shared" si="27"/>
        <v>53986.5</v>
      </c>
      <c r="N115" s="356">
        <f t="shared" si="28"/>
        <v>5998.5</v>
      </c>
      <c r="O115" s="348">
        <v>45</v>
      </c>
      <c r="P115" s="354">
        <f t="shared" si="29"/>
        <v>5</v>
      </c>
      <c r="Q115" s="339">
        <f t="shared" si="30"/>
        <v>458986.50000000006</v>
      </c>
      <c r="R115" s="339">
        <f t="shared" si="31"/>
        <v>50998.499999999942</v>
      </c>
      <c r="S115" s="337"/>
    </row>
    <row r="116" spans="1:19">
      <c r="A116" s="378"/>
      <c r="B116" s="361" t="s">
        <v>1105</v>
      </c>
      <c r="C116" s="367">
        <v>112</v>
      </c>
      <c r="D116" s="337" t="s">
        <v>1437</v>
      </c>
      <c r="E116" s="337" t="s">
        <v>861</v>
      </c>
      <c r="F116" s="346">
        <v>500000</v>
      </c>
      <c r="G116" s="346">
        <v>66650</v>
      </c>
      <c r="H116" s="340">
        <f t="shared" si="25"/>
        <v>566650</v>
      </c>
      <c r="I116" s="348">
        <v>50</v>
      </c>
      <c r="J116" s="380">
        <v>11333</v>
      </c>
      <c r="K116" s="356">
        <f t="shared" si="32"/>
        <v>1333</v>
      </c>
      <c r="L116" s="356">
        <f t="shared" si="26"/>
        <v>10000</v>
      </c>
      <c r="M116" s="356">
        <f t="shared" si="27"/>
        <v>35991</v>
      </c>
      <c r="N116" s="356">
        <f t="shared" si="28"/>
        <v>30659</v>
      </c>
      <c r="O116" s="348">
        <v>27</v>
      </c>
      <c r="P116" s="354">
        <f t="shared" si="29"/>
        <v>23</v>
      </c>
      <c r="Q116" s="339">
        <f t="shared" si="30"/>
        <v>305991</v>
      </c>
      <c r="R116" s="339">
        <f t="shared" si="31"/>
        <v>260659</v>
      </c>
      <c r="S116" s="337"/>
    </row>
    <row r="117" spans="1:19">
      <c r="A117" s="378"/>
      <c r="B117" s="364" t="s">
        <v>999</v>
      </c>
      <c r="C117" s="367">
        <v>113</v>
      </c>
      <c r="D117" s="337" t="s">
        <v>1437</v>
      </c>
      <c r="E117" s="337" t="s">
        <v>441</v>
      </c>
      <c r="F117" s="346">
        <v>500000</v>
      </c>
      <c r="G117" s="346">
        <v>66650</v>
      </c>
      <c r="H117" s="340">
        <f t="shared" si="25"/>
        <v>566650</v>
      </c>
      <c r="I117" s="348">
        <v>50</v>
      </c>
      <c r="J117" s="380">
        <v>11333</v>
      </c>
      <c r="K117" s="356">
        <f t="shared" si="32"/>
        <v>1333</v>
      </c>
      <c r="L117" s="356">
        <f t="shared" si="26"/>
        <v>10000</v>
      </c>
      <c r="M117" s="356">
        <f t="shared" si="27"/>
        <v>45322</v>
      </c>
      <c r="N117" s="356">
        <f t="shared" si="28"/>
        <v>21328</v>
      </c>
      <c r="O117" s="348">
        <v>34</v>
      </c>
      <c r="P117" s="354">
        <f t="shared" si="29"/>
        <v>16</v>
      </c>
      <c r="Q117" s="339">
        <f t="shared" si="30"/>
        <v>385322</v>
      </c>
      <c r="R117" s="339">
        <f t="shared" si="31"/>
        <v>181328</v>
      </c>
      <c r="S117" s="337"/>
    </row>
    <row r="118" spans="1:19">
      <c r="A118" s="378"/>
      <c r="B118" s="337" t="s">
        <v>1479</v>
      </c>
      <c r="C118" s="367">
        <v>114</v>
      </c>
      <c r="D118" s="337" t="s">
        <v>1437</v>
      </c>
      <c r="E118" s="337" t="s">
        <v>1480</v>
      </c>
      <c r="F118" s="346">
        <v>330000</v>
      </c>
      <c r="G118" s="346">
        <v>43989</v>
      </c>
      <c r="H118" s="340">
        <f t="shared" si="25"/>
        <v>373989</v>
      </c>
      <c r="I118" s="348">
        <v>50</v>
      </c>
      <c r="J118" s="381">
        <v>7479.78</v>
      </c>
      <c r="K118" s="356">
        <f t="shared" si="32"/>
        <v>879.78</v>
      </c>
      <c r="L118" s="356">
        <f t="shared" si="26"/>
        <v>6600</v>
      </c>
      <c r="M118" s="356">
        <f t="shared" si="27"/>
        <v>1759.56</v>
      </c>
      <c r="N118" s="356">
        <f t="shared" si="28"/>
        <v>42229.440000000002</v>
      </c>
      <c r="O118" s="358">
        <v>2</v>
      </c>
      <c r="P118" s="354">
        <f t="shared" si="29"/>
        <v>48</v>
      </c>
      <c r="Q118" s="339">
        <f t="shared" si="30"/>
        <v>14959.56</v>
      </c>
      <c r="R118" s="339">
        <f t="shared" si="31"/>
        <v>359029.44</v>
      </c>
      <c r="S118" s="337"/>
    </row>
    <row r="119" spans="1:19">
      <c r="A119" s="378"/>
      <c r="B119" s="362" t="s">
        <v>1053</v>
      </c>
      <c r="C119" s="367">
        <v>115</v>
      </c>
      <c r="D119" s="337" t="s">
        <v>1437</v>
      </c>
      <c r="E119" s="337" t="s">
        <v>845</v>
      </c>
      <c r="F119" s="346">
        <v>150000</v>
      </c>
      <c r="G119" s="346">
        <v>19995</v>
      </c>
      <c r="H119" s="340">
        <f t="shared" si="25"/>
        <v>169995</v>
      </c>
      <c r="I119" s="348">
        <v>50</v>
      </c>
      <c r="J119" s="380">
        <v>3399.9</v>
      </c>
      <c r="K119" s="356">
        <f t="shared" si="32"/>
        <v>399.9</v>
      </c>
      <c r="L119" s="356">
        <f t="shared" si="26"/>
        <v>3000</v>
      </c>
      <c r="M119" s="356">
        <f t="shared" si="27"/>
        <v>18395.399999999998</v>
      </c>
      <c r="N119" s="356">
        <f t="shared" si="28"/>
        <v>1599.6</v>
      </c>
      <c r="O119" s="348">
        <v>46</v>
      </c>
      <c r="P119" s="354">
        <f t="shared" si="29"/>
        <v>4</v>
      </c>
      <c r="Q119" s="339">
        <f t="shared" si="30"/>
        <v>156395.4</v>
      </c>
      <c r="R119" s="339">
        <f t="shared" si="31"/>
        <v>13599.600000000006</v>
      </c>
      <c r="S119" s="337"/>
    </row>
    <row r="120" spans="1:19">
      <c r="A120" s="378"/>
      <c r="B120" s="364" t="s">
        <v>1332</v>
      </c>
      <c r="C120" s="367">
        <v>116</v>
      </c>
      <c r="D120" s="337" t="s">
        <v>1437</v>
      </c>
      <c r="E120" s="337" t="s">
        <v>1284</v>
      </c>
      <c r="F120" s="346">
        <v>500000</v>
      </c>
      <c r="G120" s="346">
        <v>66650</v>
      </c>
      <c r="H120" s="340">
        <f t="shared" si="25"/>
        <v>566650</v>
      </c>
      <c r="I120" s="348">
        <v>50</v>
      </c>
      <c r="J120" s="380">
        <v>11333</v>
      </c>
      <c r="K120" s="356">
        <f t="shared" si="32"/>
        <v>1333</v>
      </c>
      <c r="L120" s="356">
        <f t="shared" si="26"/>
        <v>10000</v>
      </c>
      <c r="M120" s="356">
        <f t="shared" si="27"/>
        <v>38657</v>
      </c>
      <c r="N120" s="356">
        <f t="shared" si="28"/>
        <v>27993</v>
      </c>
      <c r="O120" s="348">
        <v>29</v>
      </c>
      <c r="P120" s="354">
        <f t="shared" si="29"/>
        <v>21</v>
      </c>
      <c r="Q120" s="339">
        <f t="shared" si="30"/>
        <v>328657</v>
      </c>
      <c r="R120" s="339">
        <f t="shared" si="31"/>
        <v>237993</v>
      </c>
      <c r="S120" s="337"/>
    </row>
    <row r="121" spans="1:19">
      <c r="A121" s="378"/>
      <c r="B121" s="363" t="s">
        <v>1062</v>
      </c>
      <c r="C121" s="367">
        <v>117</v>
      </c>
      <c r="D121" s="337" t="s">
        <v>1437</v>
      </c>
      <c r="E121" s="337" t="s">
        <v>335</v>
      </c>
      <c r="F121" s="346">
        <v>500000</v>
      </c>
      <c r="G121" s="346">
        <v>66650</v>
      </c>
      <c r="H121" s="340">
        <f t="shared" si="25"/>
        <v>566650</v>
      </c>
      <c r="I121" s="348">
        <v>50</v>
      </c>
      <c r="J121" s="380">
        <v>11333</v>
      </c>
      <c r="K121" s="356">
        <f t="shared" si="32"/>
        <v>1333</v>
      </c>
      <c r="L121" s="356">
        <f t="shared" si="26"/>
        <v>10000</v>
      </c>
      <c r="M121" s="356">
        <f t="shared" si="27"/>
        <v>78647</v>
      </c>
      <c r="N121" s="356">
        <f t="shared" si="28"/>
        <v>-11997</v>
      </c>
      <c r="O121" s="348">
        <v>59</v>
      </c>
      <c r="P121" s="354">
        <f t="shared" si="29"/>
        <v>-9</v>
      </c>
      <c r="Q121" s="339">
        <f t="shared" si="30"/>
        <v>668647</v>
      </c>
      <c r="R121" s="339">
        <f t="shared" si="31"/>
        <v>-101997</v>
      </c>
      <c r="S121" s="337"/>
    </row>
    <row r="122" spans="1:19">
      <c r="A122" s="378"/>
      <c r="B122" s="337" t="s">
        <v>1411</v>
      </c>
      <c r="C122" s="367">
        <v>118</v>
      </c>
      <c r="D122" s="337" t="s">
        <v>1437</v>
      </c>
      <c r="E122" s="337" t="s">
        <v>473</v>
      </c>
      <c r="F122" s="346">
        <v>500000</v>
      </c>
      <c r="G122" s="346">
        <v>66650</v>
      </c>
      <c r="H122" s="340">
        <f t="shared" si="25"/>
        <v>566650</v>
      </c>
      <c r="I122" s="348">
        <v>40</v>
      </c>
      <c r="J122" s="380">
        <v>13833</v>
      </c>
      <c r="K122" s="356">
        <f t="shared" si="32"/>
        <v>1333</v>
      </c>
      <c r="L122" s="356">
        <f t="shared" si="26"/>
        <v>10000</v>
      </c>
      <c r="M122" s="356">
        <f t="shared" si="27"/>
        <v>9331</v>
      </c>
      <c r="N122" s="356">
        <f t="shared" si="28"/>
        <v>43989</v>
      </c>
      <c r="O122" s="348">
        <v>7</v>
      </c>
      <c r="P122" s="354">
        <f t="shared" si="29"/>
        <v>33</v>
      </c>
      <c r="Q122" s="339">
        <f t="shared" si="30"/>
        <v>96831</v>
      </c>
      <c r="R122" s="339">
        <f t="shared" si="31"/>
        <v>469819</v>
      </c>
      <c r="S122" s="337"/>
    </row>
    <row r="123" spans="1:19">
      <c r="A123" s="378"/>
      <c r="B123" s="363" t="s">
        <v>1329</v>
      </c>
      <c r="C123" s="367">
        <v>119</v>
      </c>
      <c r="D123" s="337" t="s">
        <v>1437</v>
      </c>
      <c r="E123" s="337" t="s">
        <v>463</v>
      </c>
      <c r="F123" s="346">
        <v>500000</v>
      </c>
      <c r="G123" s="346">
        <v>66650</v>
      </c>
      <c r="H123" s="340">
        <f t="shared" si="25"/>
        <v>566650</v>
      </c>
      <c r="I123" s="348">
        <v>50</v>
      </c>
      <c r="J123" s="380">
        <v>11333</v>
      </c>
      <c r="K123" s="356">
        <f t="shared" si="32"/>
        <v>1333</v>
      </c>
      <c r="L123" s="356">
        <f t="shared" si="26"/>
        <v>10000</v>
      </c>
      <c r="M123" s="356">
        <f t="shared" si="27"/>
        <v>25327</v>
      </c>
      <c r="N123" s="356">
        <f t="shared" si="28"/>
        <v>41323</v>
      </c>
      <c r="O123" s="348">
        <v>19</v>
      </c>
      <c r="P123" s="354">
        <f t="shared" si="29"/>
        <v>31</v>
      </c>
      <c r="Q123" s="339">
        <f t="shared" si="30"/>
        <v>215327</v>
      </c>
      <c r="R123" s="339">
        <f t="shared" si="31"/>
        <v>351323</v>
      </c>
      <c r="S123" s="337"/>
    </row>
    <row r="124" spans="1:19">
      <c r="A124" s="378"/>
      <c r="B124" s="365" t="s">
        <v>1358</v>
      </c>
      <c r="C124" s="367">
        <v>120</v>
      </c>
      <c r="D124" s="337" t="s">
        <v>1437</v>
      </c>
      <c r="E124" s="337" t="s">
        <v>1359</v>
      </c>
      <c r="F124" s="346">
        <v>450000</v>
      </c>
      <c r="G124" s="346">
        <v>59985</v>
      </c>
      <c r="H124" s="340">
        <f t="shared" si="25"/>
        <v>509985</v>
      </c>
      <c r="I124" s="348">
        <v>50</v>
      </c>
      <c r="J124" s="380">
        <v>10199.700000000001</v>
      </c>
      <c r="K124" s="356">
        <f t="shared" si="32"/>
        <v>1199.7</v>
      </c>
      <c r="L124" s="356">
        <f t="shared" si="26"/>
        <v>9000</v>
      </c>
      <c r="M124" s="356">
        <f t="shared" si="27"/>
        <v>10797.300000000001</v>
      </c>
      <c r="N124" s="356">
        <f t="shared" si="28"/>
        <v>49187.700000000004</v>
      </c>
      <c r="O124" s="348">
        <v>9</v>
      </c>
      <c r="P124" s="354">
        <f t="shared" si="29"/>
        <v>41</v>
      </c>
      <c r="Q124" s="339">
        <f t="shared" si="30"/>
        <v>91797.3</v>
      </c>
      <c r="R124" s="339">
        <f t="shared" si="31"/>
        <v>418187.7</v>
      </c>
      <c r="S124" s="337"/>
    </row>
    <row r="125" spans="1:19">
      <c r="A125" s="378"/>
      <c r="B125" s="361" t="s">
        <v>1334</v>
      </c>
      <c r="C125" s="367">
        <v>121</v>
      </c>
      <c r="D125" s="337" t="s">
        <v>1437</v>
      </c>
      <c r="E125" s="337" t="s">
        <v>1294</v>
      </c>
      <c r="F125" s="346">
        <v>500000</v>
      </c>
      <c r="G125" s="346">
        <v>66650</v>
      </c>
      <c r="H125" s="340">
        <f t="shared" si="25"/>
        <v>566650</v>
      </c>
      <c r="I125" s="348">
        <v>50</v>
      </c>
      <c r="J125" s="380">
        <v>11333</v>
      </c>
      <c r="K125" s="356">
        <f t="shared" si="32"/>
        <v>1333</v>
      </c>
      <c r="L125" s="356">
        <f t="shared" si="26"/>
        <v>10000</v>
      </c>
      <c r="M125" s="356">
        <f t="shared" si="27"/>
        <v>25327</v>
      </c>
      <c r="N125" s="356">
        <f t="shared" si="28"/>
        <v>41323</v>
      </c>
      <c r="O125" s="348">
        <v>19</v>
      </c>
      <c r="P125" s="354">
        <f t="shared" si="29"/>
        <v>31</v>
      </c>
      <c r="Q125" s="339">
        <f t="shared" si="30"/>
        <v>215327</v>
      </c>
      <c r="R125" s="339">
        <f t="shared" si="31"/>
        <v>351323</v>
      </c>
      <c r="S125" s="337"/>
    </row>
    <row r="126" spans="1:19">
      <c r="A126" s="378"/>
      <c r="B126" s="361" t="s">
        <v>1319</v>
      </c>
      <c r="C126" s="367">
        <v>122</v>
      </c>
      <c r="D126" s="337" t="s">
        <v>1437</v>
      </c>
      <c r="E126" s="337" t="s">
        <v>305</v>
      </c>
      <c r="F126" s="346">
        <v>500000</v>
      </c>
      <c r="G126" s="346">
        <v>66650</v>
      </c>
      <c r="H126" s="340">
        <f t="shared" si="25"/>
        <v>566650</v>
      </c>
      <c r="I126" s="348">
        <v>40</v>
      </c>
      <c r="J126" s="380">
        <v>13833</v>
      </c>
      <c r="K126" s="356">
        <f t="shared" si="32"/>
        <v>1333</v>
      </c>
      <c r="L126" s="356">
        <f t="shared" si="26"/>
        <v>10000</v>
      </c>
      <c r="M126" s="356">
        <f t="shared" si="27"/>
        <v>11997</v>
      </c>
      <c r="N126" s="356">
        <f t="shared" si="28"/>
        <v>41323</v>
      </c>
      <c r="O126" s="348">
        <v>9</v>
      </c>
      <c r="P126" s="354">
        <f t="shared" si="29"/>
        <v>31</v>
      </c>
      <c r="Q126" s="339">
        <f t="shared" si="30"/>
        <v>124497</v>
      </c>
      <c r="R126" s="339">
        <f t="shared" si="31"/>
        <v>442153</v>
      </c>
      <c r="S126" s="337"/>
    </row>
    <row r="127" spans="1:19">
      <c r="A127" s="378"/>
      <c r="B127" s="337" t="s">
        <v>988</v>
      </c>
      <c r="C127" s="367">
        <v>123</v>
      </c>
      <c r="D127" s="337" t="s">
        <v>1437</v>
      </c>
      <c r="E127" s="337" t="s">
        <v>296</v>
      </c>
      <c r="F127" s="346">
        <v>450000</v>
      </c>
      <c r="G127" s="346">
        <v>59985</v>
      </c>
      <c r="H127" s="340">
        <f t="shared" si="25"/>
        <v>509985</v>
      </c>
      <c r="I127" s="348">
        <v>50</v>
      </c>
      <c r="J127" s="381">
        <v>10199.700000000001</v>
      </c>
      <c r="K127" s="356">
        <f t="shared" si="32"/>
        <v>1199.7</v>
      </c>
      <c r="L127" s="356">
        <f t="shared" si="26"/>
        <v>9000</v>
      </c>
      <c r="M127" s="356">
        <f t="shared" si="27"/>
        <v>2399.4</v>
      </c>
      <c r="N127" s="356">
        <f t="shared" si="28"/>
        <v>57585.600000000006</v>
      </c>
      <c r="O127" s="358">
        <v>2</v>
      </c>
      <c r="P127" s="354">
        <f t="shared" si="29"/>
        <v>48</v>
      </c>
      <c r="Q127" s="339">
        <f t="shared" si="30"/>
        <v>20399.400000000001</v>
      </c>
      <c r="R127" s="339">
        <f t="shared" si="31"/>
        <v>489585.6</v>
      </c>
      <c r="S127" s="337"/>
    </row>
    <row r="128" spans="1:19">
      <c r="A128" s="378"/>
      <c r="B128" s="361" t="s">
        <v>1388</v>
      </c>
      <c r="C128" s="367">
        <v>124</v>
      </c>
      <c r="D128" s="337" t="s">
        <v>1437</v>
      </c>
      <c r="E128" s="337" t="s">
        <v>1389</v>
      </c>
      <c r="F128" s="346">
        <v>330000</v>
      </c>
      <c r="G128" s="346">
        <v>43989</v>
      </c>
      <c r="H128" s="340">
        <f t="shared" si="25"/>
        <v>373989</v>
      </c>
      <c r="I128" s="348">
        <v>50</v>
      </c>
      <c r="J128" s="380">
        <v>7479.78</v>
      </c>
      <c r="K128" s="356">
        <f t="shared" si="32"/>
        <v>879.78</v>
      </c>
      <c r="L128" s="356">
        <f t="shared" si="26"/>
        <v>6600</v>
      </c>
      <c r="M128" s="356">
        <f t="shared" si="27"/>
        <v>9677.58</v>
      </c>
      <c r="N128" s="356">
        <f t="shared" si="28"/>
        <v>34311.42</v>
      </c>
      <c r="O128" s="348">
        <v>11</v>
      </c>
      <c r="P128" s="354">
        <f t="shared" si="29"/>
        <v>39</v>
      </c>
      <c r="Q128" s="339">
        <f t="shared" si="30"/>
        <v>82277.58</v>
      </c>
      <c r="R128" s="339">
        <f t="shared" si="31"/>
        <v>291711.42</v>
      </c>
      <c r="S128" s="337"/>
    </row>
    <row r="129" spans="1:19">
      <c r="A129" s="378"/>
      <c r="B129" s="362" t="s">
        <v>1317</v>
      </c>
      <c r="C129" s="367">
        <v>125</v>
      </c>
      <c r="D129" s="337" t="s">
        <v>1437</v>
      </c>
      <c r="E129" s="337" t="s">
        <v>1318</v>
      </c>
      <c r="F129" s="346">
        <v>450000</v>
      </c>
      <c r="G129" s="346">
        <v>43189.2</v>
      </c>
      <c r="H129" s="340">
        <f t="shared" si="25"/>
        <v>493189.2</v>
      </c>
      <c r="I129" s="348">
        <v>36</v>
      </c>
      <c r="J129" s="380">
        <v>14153.05</v>
      </c>
      <c r="K129" s="356">
        <f>G129/36</f>
        <v>1199.6999999999998</v>
      </c>
      <c r="L129" s="356">
        <f t="shared" si="26"/>
        <v>9000</v>
      </c>
      <c r="M129" s="356">
        <f t="shared" si="27"/>
        <v>33591.599999999991</v>
      </c>
      <c r="N129" s="356">
        <f t="shared" si="28"/>
        <v>9597.5999999999985</v>
      </c>
      <c r="O129" s="348">
        <v>28</v>
      </c>
      <c r="P129" s="354">
        <f t="shared" si="29"/>
        <v>8</v>
      </c>
      <c r="Q129" s="339">
        <f t="shared" si="30"/>
        <v>396285.39999999997</v>
      </c>
      <c r="R129" s="339">
        <f t="shared" si="31"/>
        <v>96903.800000000047</v>
      </c>
      <c r="S129" s="337"/>
    </row>
    <row r="130" spans="1:19">
      <c r="A130" s="378"/>
      <c r="B130" s="363" t="s">
        <v>1360</v>
      </c>
      <c r="C130" s="367">
        <v>126</v>
      </c>
      <c r="D130" s="337" t="s">
        <v>1437</v>
      </c>
      <c r="E130" s="337" t="s">
        <v>293</v>
      </c>
      <c r="F130" s="346">
        <v>450000</v>
      </c>
      <c r="G130" s="346">
        <v>59985</v>
      </c>
      <c r="H130" s="340">
        <f t="shared" si="25"/>
        <v>509985</v>
      </c>
      <c r="I130" s="348">
        <v>50</v>
      </c>
      <c r="J130" s="380">
        <v>10199.700000000001</v>
      </c>
      <c r="K130" s="356">
        <f t="shared" ref="K130:K176" si="33">G130/50</f>
        <v>1199.7</v>
      </c>
      <c r="L130" s="356">
        <f t="shared" si="26"/>
        <v>9000</v>
      </c>
      <c r="M130" s="356">
        <f t="shared" si="27"/>
        <v>25193.7</v>
      </c>
      <c r="N130" s="356">
        <f t="shared" si="28"/>
        <v>34791.300000000003</v>
      </c>
      <c r="O130" s="348">
        <v>21</v>
      </c>
      <c r="P130" s="354">
        <f t="shared" si="29"/>
        <v>29</v>
      </c>
      <c r="Q130" s="339">
        <f t="shared" si="30"/>
        <v>214193.7</v>
      </c>
      <c r="R130" s="339">
        <f t="shared" si="31"/>
        <v>295791.3</v>
      </c>
      <c r="S130" s="337"/>
    </row>
    <row r="131" spans="1:19">
      <c r="A131" s="378"/>
      <c r="B131" s="337" t="s">
        <v>1450</v>
      </c>
      <c r="C131" s="367">
        <v>127</v>
      </c>
      <c r="D131" s="337" t="s">
        <v>1437</v>
      </c>
      <c r="E131" s="337" t="s">
        <v>1451</v>
      </c>
      <c r="F131" s="346">
        <v>450000</v>
      </c>
      <c r="G131" s="346">
        <v>59985</v>
      </c>
      <c r="H131" s="340">
        <f t="shared" si="25"/>
        <v>509985</v>
      </c>
      <c r="I131" s="348">
        <v>50</v>
      </c>
      <c r="J131" s="381">
        <v>10199.700000000001</v>
      </c>
      <c r="K131" s="356">
        <f t="shared" si="33"/>
        <v>1199.7</v>
      </c>
      <c r="L131" s="356">
        <f t="shared" si="26"/>
        <v>9000</v>
      </c>
      <c r="M131" s="356">
        <f t="shared" si="27"/>
        <v>5998.5</v>
      </c>
      <c r="N131" s="356">
        <f t="shared" si="28"/>
        <v>53986.5</v>
      </c>
      <c r="O131" s="358">
        <v>5</v>
      </c>
      <c r="P131" s="354">
        <f t="shared" si="29"/>
        <v>45</v>
      </c>
      <c r="Q131" s="339">
        <f t="shared" si="30"/>
        <v>50998.5</v>
      </c>
      <c r="R131" s="339">
        <f t="shared" si="31"/>
        <v>458986.5</v>
      </c>
      <c r="S131" s="337"/>
    </row>
    <row r="132" spans="1:19">
      <c r="A132" s="378"/>
      <c r="B132" s="362" t="s">
        <v>1094</v>
      </c>
      <c r="C132" s="367">
        <v>128</v>
      </c>
      <c r="D132" s="337" t="s">
        <v>1437</v>
      </c>
      <c r="E132" s="337" t="s">
        <v>1095</v>
      </c>
      <c r="F132" s="346">
        <v>500000</v>
      </c>
      <c r="G132" s="346">
        <v>66650</v>
      </c>
      <c r="H132" s="340">
        <f t="shared" si="25"/>
        <v>566650</v>
      </c>
      <c r="I132" s="348">
        <v>50</v>
      </c>
      <c r="J132" s="380">
        <v>11333</v>
      </c>
      <c r="K132" s="356">
        <f t="shared" si="33"/>
        <v>1333</v>
      </c>
      <c r="L132" s="356">
        <f t="shared" si="26"/>
        <v>10000</v>
      </c>
      <c r="M132" s="356">
        <f t="shared" si="27"/>
        <v>34658</v>
      </c>
      <c r="N132" s="356">
        <f t="shared" si="28"/>
        <v>31992</v>
      </c>
      <c r="O132" s="348">
        <v>26</v>
      </c>
      <c r="P132" s="354">
        <f t="shared" si="29"/>
        <v>24</v>
      </c>
      <c r="Q132" s="339">
        <f t="shared" si="30"/>
        <v>294658</v>
      </c>
      <c r="R132" s="339">
        <f t="shared" si="31"/>
        <v>271992</v>
      </c>
      <c r="S132" s="337"/>
    </row>
    <row r="133" spans="1:19">
      <c r="A133" s="378"/>
      <c r="B133" s="365" t="s">
        <v>1330</v>
      </c>
      <c r="C133" s="367">
        <v>129</v>
      </c>
      <c r="D133" s="337" t="s">
        <v>1437</v>
      </c>
      <c r="E133" s="337" t="s">
        <v>1331</v>
      </c>
      <c r="F133" s="346">
        <v>500000</v>
      </c>
      <c r="G133" s="346">
        <v>66650</v>
      </c>
      <c r="H133" s="340">
        <f t="shared" ref="H133:H164" si="34">SUM(F133:G133)</f>
        <v>566650</v>
      </c>
      <c r="I133" s="348">
        <v>50</v>
      </c>
      <c r="J133" s="380">
        <v>11333</v>
      </c>
      <c r="K133" s="356">
        <f t="shared" si="33"/>
        <v>1333</v>
      </c>
      <c r="L133" s="356">
        <f t="shared" ref="L133:L164" si="35">F133/50</f>
        <v>10000</v>
      </c>
      <c r="M133" s="356">
        <f t="shared" ref="M133:M164" si="36">K133*O133</f>
        <v>27993</v>
      </c>
      <c r="N133" s="356">
        <f t="shared" ref="N133:N164" si="37">K133*P133</f>
        <v>38657</v>
      </c>
      <c r="O133" s="348">
        <v>21</v>
      </c>
      <c r="P133" s="354">
        <f t="shared" ref="P133:P164" si="38">I133-O133</f>
        <v>29</v>
      </c>
      <c r="Q133" s="339">
        <f t="shared" ref="Q133:Q164" si="39">J133*O133</f>
        <v>237993</v>
      </c>
      <c r="R133" s="339">
        <f t="shared" ref="R133:R164" si="40">H133-Q133</f>
        <v>328657</v>
      </c>
      <c r="S133" s="337"/>
    </row>
    <row r="134" spans="1:19">
      <c r="A134" s="378"/>
      <c r="B134" s="364" t="s">
        <v>1368</v>
      </c>
      <c r="C134" s="367">
        <v>130</v>
      </c>
      <c r="D134" s="337" t="s">
        <v>1437</v>
      </c>
      <c r="E134" s="337" t="s">
        <v>443</v>
      </c>
      <c r="F134" s="346">
        <v>330000</v>
      </c>
      <c r="G134" s="346">
        <v>43989</v>
      </c>
      <c r="H134" s="340">
        <f t="shared" si="34"/>
        <v>373989</v>
      </c>
      <c r="I134" s="348">
        <v>50</v>
      </c>
      <c r="J134" s="380">
        <v>7479.78</v>
      </c>
      <c r="K134" s="356">
        <f t="shared" si="33"/>
        <v>879.78</v>
      </c>
      <c r="L134" s="356">
        <f t="shared" si="35"/>
        <v>6600</v>
      </c>
      <c r="M134" s="356">
        <f t="shared" si="36"/>
        <v>12316.92</v>
      </c>
      <c r="N134" s="356">
        <f t="shared" si="37"/>
        <v>31672.079999999998</v>
      </c>
      <c r="O134" s="348">
        <v>14</v>
      </c>
      <c r="P134" s="354">
        <f t="shared" si="38"/>
        <v>36</v>
      </c>
      <c r="Q134" s="339">
        <f t="shared" si="39"/>
        <v>104716.92</v>
      </c>
      <c r="R134" s="339">
        <f t="shared" si="40"/>
        <v>269272.08</v>
      </c>
      <c r="S134" s="337"/>
    </row>
    <row r="135" spans="1:19">
      <c r="A135" s="378"/>
      <c r="B135" s="337" t="s">
        <v>1469</v>
      </c>
      <c r="C135" s="367">
        <v>131</v>
      </c>
      <c r="D135" s="337" t="s">
        <v>1437</v>
      </c>
      <c r="E135" s="337" t="s">
        <v>1470</v>
      </c>
      <c r="F135" s="346">
        <v>500000</v>
      </c>
      <c r="G135" s="346">
        <v>66650</v>
      </c>
      <c r="H135" s="340">
        <f t="shared" si="34"/>
        <v>566650</v>
      </c>
      <c r="I135" s="348">
        <v>50</v>
      </c>
      <c r="J135" s="381">
        <v>11333</v>
      </c>
      <c r="K135" s="356">
        <f t="shared" si="33"/>
        <v>1333</v>
      </c>
      <c r="L135" s="356">
        <f t="shared" si="35"/>
        <v>10000</v>
      </c>
      <c r="M135" s="356">
        <f t="shared" si="36"/>
        <v>2666</v>
      </c>
      <c r="N135" s="356">
        <f t="shared" si="37"/>
        <v>63984</v>
      </c>
      <c r="O135" s="358">
        <v>2</v>
      </c>
      <c r="P135" s="354">
        <f t="shared" si="38"/>
        <v>48</v>
      </c>
      <c r="Q135" s="339">
        <f t="shared" si="39"/>
        <v>22666</v>
      </c>
      <c r="R135" s="339">
        <f t="shared" si="40"/>
        <v>543984</v>
      </c>
      <c r="S135" s="337"/>
    </row>
    <row r="136" spans="1:19">
      <c r="A136" s="378"/>
      <c r="B136" s="364" t="s">
        <v>1006</v>
      </c>
      <c r="C136" s="367">
        <v>132</v>
      </c>
      <c r="D136" s="337" t="s">
        <v>1437</v>
      </c>
      <c r="E136" s="337" t="s">
        <v>865</v>
      </c>
      <c r="F136" s="346">
        <v>500000</v>
      </c>
      <c r="G136" s="346">
        <v>66650</v>
      </c>
      <c r="H136" s="340">
        <f t="shared" si="34"/>
        <v>566650</v>
      </c>
      <c r="I136" s="348">
        <v>50</v>
      </c>
      <c r="J136" s="380">
        <v>11333</v>
      </c>
      <c r="K136" s="356">
        <f t="shared" si="33"/>
        <v>1333</v>
      </c>
      <c r="L136" s="356">
        <f t="shared" si="35"/>
        <v>10000</v>
      </c>
      <c r="M136" s="356">
        <f t="shared" si="36"/>
        <v>79980</v>
      </c>
      <c r="N136" s="356">
        <f t="shared" si="37"/>
        <v>-13330</v>
      </c>
      <c r="O136" s="348">
        <v>60</v>
      </c>
      <c r="P136" s="354">
        <f t="shared" si="38"/>
        <v>-10</v>
      </c>
      <c r="Q136" s="339">
        <f t="shared" si="39"/>
        <v>679980</v>
      </c>
      <c r="R136" s="339">
        <f t="shared" si="40"/>
        <v>-113330</v>
      </c>
      <c r="S136" s="337"/>
    </row>
    <row r="137" spans="1:19">
      <c r="A137" s="378"/>
      <c r="B137" s="337" t="s">
        <v>1414</v>
      </c>
      <c r="C137" s="367">
        <v>133</v>
      </c>
      <c r="D137" s="337" t="s">
        <v>1437</v>
      </c>
      <c r="E137" s="337" t="s">
        <v>459</v>
      </c>
      <c r="F137" s="346">
        <v>500000</v>
      </c>
      <c r="G137" s="346">
        <v>66650</v>
      </c>
      <c r="H137" s="340">
        <f t="shared" si="34"/>
        <v>566650</v>
      </c>
      <c r="I137" s="348">
        <v>50</v>
      </c>
      <c r="J137" s="380">
        <v>11333</v>
      </c>
      <c r="K137" s="356">
        <f t="shared" si="33"/>
        <v>1333</v>
      </c>
      <c r="L137" s="356">
        <f t="shared" si="35"/>
        <v>10000</v>
      </c>
      <c r="M137" s="356">
        <f t="shared" si="36"/>
        <v>9331</v>
      </c>
      <c r="N137" s="356">
        <f t="shared" si="37"/>
        <v>57319</v>
      </c>
      <c r="O137" s="348">
        <v>7</v>
      </c>
      <c r="P137" s="354">
        <f t="shared" si="38"/>
        <v>43</v>
      </c>
      <c r="Q137" s="339">
        <f t="shared" si="39"/>
        <v>79331</v>
      </c>
      <c r="R137" s="339">
        <f t="shared" si="40"/>
        <v>487319</v>
      </c>
      <c r="S137" s="337"/>
    </row>
    <row r="138" spans="1:19">
      <c r="A138" s="378"/>
      <c r="B138" s="364" t="s">
        <v>983</v>
      </c>
      <c r="C138" s="367">
        <v>134</v>
      </c>
      <c r="D138" s="337" t="s">
        <v>1437</v>
      </c>
      <c r="E138" s="337" t="s">
        <v>323</v>
      </c>
      <c r="F138" s="346">
        <v>500000</v>
      </c>
      <c r="G138" s="346">
        <v>66650</v>
      </c>
      <c r="H138" s="340">
        <f t="shared" si="34"/>
        <v>566650</v>
      </c>
      <c r="I138" s="348">
        <v>50</v>
      </c>
      <c r="J138" s="380">
        <v>11333</v>
      </c>
      <c r="K138" s="356">
        <f t="shared" si="33"/>
        <v>1333</v>
      </c>
      <c r="L138" s="356">
        <f t="shared" si="35"/>
        <v>10000</v>
      </c>
      <c r="M138" s="356">
        <f t="shared" si="36"/>
        <v>78647</v>
      </c>
      <c r="N138" s="356">
        <f t="shared" si="37"/>
        <v>-11997</v>
      </c>
      <c r="O138" s="348">
        <v>59</v>
      </c>
      <c r="P138" s="354">
        <f t="shared" si="38"/>
        <v>-9</v>
      </c>
      <c r="Q138" s="339">
        <f t="shared" si="39"/>
        <v>668647</v>
      </c>
      <c r="R138" s="339">
        <f t="shared" si="40"/>
        <v>-101997</v>
      </c>
      <c r="S138" s="337"/>
    </row>
    <row r="139" spans="1:19">
      <c r="A139" s="378"/>
      <c r="B139" s="364" t="s">
        <v>1080</v>
      </c>
      <c r="C139" s="367">
        <v>135</v>
      </c>
      <c r="D139" s="337" t="s">
        <v>1437</v>
      </c>
      <c r="E139" s="337" t="s">
        <v>315</v>
      </c>
      <c r="F139" s="346">
        <v>500000</v>
      </c>
      <c r="G139" s="346">
        <v>66650</v>
      </c>
      <c r="H139" s="340">
        <f t="shared" si="34"/>
        <v>566650</v>
      </c>
      <c r="I139" s="348">
        <v>50</v>
      </c>
      <c r="J139" s="380">
        <v>11333</v>
      </c>
      <c r="K139" s="356">
        <f t="shared" si="33"/>
        <v>1333</v>
      </c>
      <c r="L139" s="356">
        <f t="shared" si="35"/>
        <v>10000</v>
      </c>
      <c r="M139" s="356">
        <f t="shared" si="36"/>
        <v>61318</v>
      </c>
      <c r="N139" s="356">
        <f t="shared" si="37"/>
        <v>5332</v>
      </c>
      <c r="O139" s="348">
        <v>46</v>
      </c>
      <c r="P139" s="354">
        <f t="shared" si="38"/>
        <v>4</v>
      </c>
      <c r="Q139" s="339">
        <f t="shared" si="39"/>
        <v>521318</v>
      </c>
      <c r="R139" s="339">
        <f t="shared" si="40"/>
        <v>45332</v>
      </c>
      <c r="S139" s="337"/>
    </row>
    <row r="140" spans="1:19">
      <c r="A140" s="378"/>
      <c r="B140" s="364" t="s">
        <v>1084</v>
      </c>
      <c r="C140" s="367">
        <v>136</v>
      </c>
      <c r="D140" s="337" t="s">
        <v>1437</v>
      </c>
      <c r="E140" s="337" t="s">
        <v>353</v>
      </c>
      <c r="F140" s="346">
        <v>500000</v>
      </c>
      <c r="G140" s="346">
        <v>66650</v>
      </c>
      <c r="H140" s="340">
        <f t="shared" si="34"/>
        <v>566650</v>
      </c>
      <c r="I140" s="348">
        <v>50</v>
      </c>
      <c r="J140" s="380">
        <v>11333</v>
      </c>
      <c r="K140" s="356">
        <f t="shared" si="33"/>
        <v>1333</v>
      </c>
      <c r="L140" s="356">
        <f t="shared" si="35"/>
        <v>10000</v>
      </c>
      <c r="M140" s="356">
        <f t="shared" si="36"/>
        <v>61318</v>
      </c>
      <c r="N140" s="356">
        <f t="shared" si="37"/>
        <v>5332</v>
      </c>
      <c r="O140" s="348">
        <v>46</v>
      </c>
      <c r="P140" s="354">
        <f t="shared" si="38"/>
        <v>4</v>
      </c>
      <c r="Q140" s="339">
        <f t="shared" si="39"/>
        <v>521318</v>
      </c>
      <c r="R140" s="339">
        <f t="shared" si="40"/>
        <v>45332</v>
      </c>
      <c r="S140" s="337"/>
    </row>
    <row r="141" spans="1:19">
      <c r="A141" s="378"/>
      <c r="B141" s="361" t="s">
        <v>1108</v>
      </c>
      <c r="C141" s="367">
        <v>137</v>
      </c>
      <c r="D141" s="337" t="s">
        <v>1437</v>
      </c>
      <c r="E141" s="337" t="s">
        <v>802</v>
      </c>
      <c r="F141" s="346">
        <v>500000</v>
      </c>
      <c r="G141" s="346">
        <v>66650</v>
      </c>
      <c r="H141" s="340">
        <f t="shared" si="34"/>
        <v>566650</v>
      </c>
      <c r="I141" s="348">
        <v>50</v>
      </c>
      <c r="J141" s="380">
        <v>11333</v>
      </c>
      <c r="K141" s="356">
        <f t="shared" si="33"/>
        <v>1333</v>
      </c>
      <c r="L141" s="356">
        <f t="shared" si="35"/>
        <v>10000</v>
      </c>
      <c r="M141" s="356">
        <f t="shared" si="36"/>
        <v>47988</v>
      </c>
      <c r="N141" s="356">
        <f t="shared" si="37"/>
        <v>18662</v>
      </c>
      <c r="O141" s="348">
        <v>36</v>
      </c>
      <c r="P141" s="354">
        <f t="shared" si="38"/>
        <v>14</v>
      </c>
      <c r="Q141" s="339">
        <f t="shared" si="39"/>
        <v>407988</v>
      </c>
      <c r="R141" s="339">
        <f t="shared" si="40"/>
        <v>158662</v>
      </c>
      <c r="S141" s="337"/>
    </row>
    <row r="142" spans="1:19">
      <c r="A142" s="378"/>
      <c r="B142" s="362" t="s">
        <v>1333</v>
      </c>
      <c r="C142" s="367">
        <v>138</v>
      </c>
      <c r="D142" s="337" t="s">
        <v>1437</v>
      </c>
      <c r="E142" s="337" t="s">
        <v>1281</v>
      </c>
      <c r="F142" s="346">
        <v>500000</v>
      </c>
      <c r="G142" s="346">
        <v>66650</v>
      </c>
      <c r="H142" s="340">
        <f t="shared" si="34"/>
        <v>566650</v>
      </c>
      <c r="I142" s="348">
        <v>50</v>
      </c>
      <c r="J142" s="380">
        <v>11333</v>
      </c>
      <c r="K142" s="356">
        <f t="shared" si="33"/>
        <v>1333</v>
      </c>
      <c r="L142" s="356">
        <f t="shared" si="35"/>
        <v>10000</v>
      </c>
      <c r="M142" s="356">
        <f t="shared" si="36"/>
        <v>18662</v>
      </c>
      <c r="N142" s="356">
        <f t="shared" si="37"/>
        <v>47988</v>
      </c>
      <c r="O142" s="348">
        <v>14</v>
      </c>
      <c r="P142" s="354">
        <f t="shared" si="38"/>
        <v>36</v>
      </c>
      <c r="Q142" s="339">
        <f t="shared" si="39"/>
        <v>158662</v>
      </c>
      <c r="R142" s="339">
        <f t="shared" si="40"/>
        <v>407988</v>
      </c>
      <c r="S142" s="337"/>
    </row>
    <row r="143" spans="1:19">
      <c r="A143" s="378"/>
      <c r="B143" s="364" t="s">
        <v>1057</v>
      </c>
      <c r="C143" s="367">
        <v>139</v>
      </c>
      <c r="D143" s="337" t="s">
        <v>1437</v>
      </c>
      <c r="E143" s="337" t="s">
        <v>412</v>
      </c>
      <c r="F143" s="346">
        <v>500000</v>
      </c>
      <c r="G143" s="346">
        <v>66650</v>
      </c>
      <c r="H143" s="340">
        <f t="shared" si="34"/>
        <v>566650</v>
      </c>
      <c r="I143" s="348">
        <v>50</v>
      </c>
      <c r="J143" s="380">
        <v>11333</v>
      </c>
      <c r="K143" s="356">
        <f t="shared" si="33"/>
        <v>1333</v>
      </c>
      <c r="L143" s="356">
        <f t="shared" si="35"/>
        <v>10000</v>
      </c>
      <c r="M143" s="356">
        <f t="shared" si="36"/>
        <v>38657</v>
      </c>
      <c r="N143" s="356">
        <f t="shared" si="37"/>
        <v>27993</v>
      </c>
      <c r="O143" s="348">
        <v>29</v>
      </c>
      <c r="P143" s="354">
        <f t="shared" si="38"/>
        <v>21</v>
      </c>
      <c r="Q143" s="339">
        <f t="shared" si="39"/>
        <v>328657</v>
      </c>
      <c r="R143" s="339">
        <f t="shared" si="40"/>
        <v>237993</v>
      </c>
      <c r="S143" s="337"/>
    </row>
    <row r="144" spans="1:19">
      <c r="A144" s="378"/>
      <c r="B144" s="337" t="s">
        <v>1471</v>
      </c>
      <c r="C144" s="367">
        <v>140</v>
      </c>
      <c r="D144" s="337" t="s">
        <v>1437</v>
      </c>
      <c r="E144" s="337" t="s">
        <v>1472</v>
      </c>
      <c r="F144" s="346">
        <v>500000</v>
      </c>
      <c r="G144" s="346">
        <v>66650</v>
      </c>
      <c r="H144" s="340">
        <f t="shared" si="34"/>
        <v>566650</v>
      </c>
      <c r="I144" s="348">
        <v>50</v>
      </c>
      <c r="J144" s="381">
        <v>11333</v>
      </c>
      <c r="K144" s="356">
        <f t="shared" si="33"/>
        <v>1333</v>
      </c>
      <c r="L144" s="356">
        <f t="shared" si="35"/>
        <v>10000</v>
      </c>
      <c r="M144" s="356">
        <f t="shared" si="36"/>
        <v>2666</v>
      </c>
      <c r="N144" s="356">
        <f t="shared" si="37"/>
        <v>63984</v>
      </c>
      <c r="O144" s="358">
        <v>2</v>
      </c>
      <c r="P144" s="354">
        <f t="shared" si="38"/>
        <v>48</v>
      </c>
      <c r="Q144" s="339">
        <f t="shared" si="39"/>
        <v>22666</v>
      </c>
      <c r="R144" s="339">
        <f t="shared" si="40"/>
        <v>543984</v>
      </c>
      <c r="S144" s="337"/>
    </row>
    <row r="145" spans="1:19">
      <c r="A145" s="378"/>
      <c r="B145" s="364" t="s">
        <v>1091</v>
      </c>
      <c r="C145" s="367">
        <v>141</v>
      </c>
      <c r="D145" s="337" t="s">
        <v>1437</v>
      </c>
      <c r="E145" s="337" t="s">
        <v>1092</v>
      </c>
      <c r="F145" s="346">
        <v>500000</v>
      </c>
      <c r="G145" s="346">
        <v>66650</v>
      </c>
      <c r="H145" s="340">
        <f t="shared" si="34"/>
        <v>566650</v>
      </c>
      <c r="I145" s="348">
        <v>50</v>
      </c>
      <c r="J145" s="380">
        <v>11333</v>
      </c>
      <c r="K145" s="356">
        <f t="shared" si="33"/>
        <v>1333</v>
      </c>
      <c r="L145" s="356">
        <f t="shared" si="35"/>
        <v>10000</v>
      </c>
      <c r="M145" s="356">
        <f t="shared" si="36"/>
        <v>78647</v>
      </c>
      <c r="N145" s="356">
        <f t="shared" si="37"/>
        <v>-11997</v>
      </c>
      <c r="O145" s="348">
        <v>59</v>
      </c>
      <c r="P145" s="354">
        <f t="shared" si="38"/>
        <v>-9</v>
      </c>
      <c r="Q145" s="339">
        <f t="shared" si="39"/>
        <v>668647</v>
      </c>
      <c r="R145" s="339">
        <f t="shared" si="40"/>
        <v>-101997</v>
      </c>
      <c r="S145" s="337"/>
    </row>
    <row r="146" spans="1:19">
      <c r="A146" s="378"/>
      <c r="B146" s="363" t="s">
        <v>1087</v>
      </c>
      <c r="C146" s="367">
        <v>142</v>
      </c>
      <c r="D146" s="337" t="s">
        <v>1437</v>
      </c>
      <c r="E146" s="337" t="s">
        <v>1088</v>
      </c>
      <c r="F146" s="346">
        <v>500000</v>
      </c>
      <c r="G146" s="346">
        <v>66650</v>
      </c>
      <c r="H146" s="340">
        <f t="shared" si="34"/>
        <v>566650</v>
      </c>
      <c r="I146" s="348">
        <v>50</v>
      </c>
      <c r="J146" s="380">
        <v>11333</v>
      </c>
      <c r="K146" s="356">
        <f t="shared" si="33"/>
        <v>1333</v>
      </c>
      <c r="L146" s="356">
        <f t="shared" si="35"/>
        <v>10000</v>
      </c>
      <c r="M146" s="356">
        <f t="shared" si="36"/>
        <v>78647</v>
      </c>
      <c r="N146" s="356">
        <f t="shared" si="37"/>
        <v>-11997</v>
      </c>
      <c r="O146" s="348">
        <v>59</v>
      </c>
      <c r="P146" s="354">
        <f t="shared" si="38"/>
        <v>-9</v>
      </c>
      <c r="Q146" s="339">
        <f t="shared" si="39"/>
        <v>668647</v>
      </c>
      <c r="R146" s="339">
        <f t="shared" si="40"/>
        <v>-101997</v>
      </c>
      <c r="S146" s="337"/>
    </row>
    <row r="147" spans="1:19">
      <c r="A147" s="378"/>
      <c r="B147" s="363" t="s">
        <v>1324</v>
      </c>
      <c r="C147" s="367">
        <v>143</v>
      </c>
      <c r="D147" s="337" t="s">
        <v>1437</v>
      </c>
      <c r="E147" s="337" t="s">
        <v>1325</v>
      </c>
      <c r="F147" s="346">
        <v>500000</v>
      </c>
      <c r="G147" s="346">
        <v>66650</v>
      </c>
      <c r="H147" s="340">
        <f t="shared" si="34"/>
        <v>566650</v>
      </c>
      <c r="I147" s="348">
        <v>50</v>
      </c>
      <c r="J147" s="380">
        <v>11333</v>
      </c>
      <c r="K147" s="356">
        <f t="shared" si="33"/>
        <v>1333</v>
      </c>
      <c r="L147" s="356">
        <f t="shared" si="35"/>
        <v>10000</v>
      </c>
      <c r="M147" s="356">
        <f t="shared" si="36"/>
        <v>15996</v>
      </c>
      <c r="N147" s="356">
        <f t="shared" si="37"/>
        <v>50654</v>
      </c>
      <c r="O147" s="348">
        <v>12</v>
      </c>
      <c r="P147" s="354">
        <f t="shared" si="38"/>
        <v>38</v>
      </c>
      <c r="Q147" s="339">
        <f t="shared" si="39"/>
        <v>135996</v>
      </c>
      <c r="R147" s="339">
        <f t="shared" si="40"/>
        <v>430654</v>
      </c>
      <c r="S147" s="337"/>
    </row>
    <row r="148" spans="1:19">
      <c r="A148" s="378"/>
      <c r="B148" s="363" t="s">
        <v>1340</v>
      </c>
      <c r="C148" s="367">
        <v>144</v>
      </c>
      <c r="D148" s="337" t="s">
        <v>1437</v>
      </c>
      <c r="E148" s="337" t="s">
        <v>410</v>
      </c>
      <c r="F148" s="346">
        <v>500000</v>
      </c>
      <c r="G148" s="346">
        <v>66650</v>
      </c>
      <c r="H148" s="340">
        <f t="shared" si="34"/>
        <v>566650</v>
      </c>
      <c r="I148" s="348">
        <v>50</v>
      </c>
      <c r="J148" s="380">
        <v>11333</v>
      </c>
      <c r="K148" s="356">
        <f t="shared" si="33"/>
        <v>1333</v>
      </c>
      <c r="L148" s="356">
        <f t="shared" si="35"/>
        <v>10000</v>
      </c>
      <c r="M148" s="356">
        <f t="shared" si="36"/>
        <v>15996</v>
      </c>
      <c r="N148" s="356">
        <f t="shared" si="37"/>
        <v>50654</v>
      </c>
      <c r="O148" s="348">
        <v>12</v>
      </c>
      <c r="P148" s="354">
        <f t="shared" si="38"/>
        <v>38</v>
      </c>
      <c r="Q148" s="339">
        <f t="shared" si="39"/>
        <v>135996</v>
      </c>
      <c r="R148" s="339">
        <f t="shared" si="40"/>
        <v>430654</v>
      </c>
      <c r="S148" s="337"/>
    </row>
    <row r="149" spans="1:19">
      <c r="A149" s="378"/>
      <c r="B149" s="363" t="s">
        <v>1021</v>
      </c>
      <c r="C149" s="367">
        <v>145</v>
      </c>
      <c r="D149" s="337" t="s">
        <v>1437</v>
      </c>
      <c r="E149" s="337" t="s">
        <v>1022</v>
      </c>
      <c r="F149" s="346">
        <v>330000</v>
      </c>
      <c r="G149" s="346">
        <v>43989</v>
      </c>
      <c r="H149" s="340">
        <f t="shared" si="34"/>
        <v>373989</v>
      </c>
      <c r="I149" s="348">
        <v>50</v>
      </c>
      <c r="J149" s="380">
        <v>7479.78</v>
      </c>
      <c r="K149" s="356">
        <f t="shared" si="33"/>
        <v>879.78</v>
      </c>
      <c r="L149" s="356">
        <f t="shared" si="35"/>
        <v>6600</v>
      </c>
      <c r="M149" s="356">
        <f t="shared" si="36"/>
        <v>22874.28</v>
      </c>
      <c r="N149" s="356">
        <f t="shared" si="37"/>
        <v>21114.720000000001</v>
      </c>
      <c r="O149" s="348">
        <v>26</v>
      </c>
      <c r="P149" s="354">
        <f t="shared" si="38"/>
        <v>24</v>
      </c>
      <c r="Q149" s="339">
        <f t="shared" si="39"/>
        <v>194474.28</v>
      </c>
      <c r="R149" s="339">
        <f t="shared" si="40"/>
        <v>179514.72</v>
      </c>
      <c r="S149" s="337"/>
    </row>
    <row r="150" spans="1:19">
      <c r="A150" s="378"/>
      <c r="B150" s="337" t="s">
        <v>1481</v>
      </c>
      <c r="C150" s="367">
        <v>146</v>
      </c>
      <c r="D150" s="337" t="s">
        <v>1437</v>
      </c>
      <c r="E150" s="337" t="s">
        <v>1482</v>
      </c>
      <c r="F150" s="346">
        <v>330000</v>
      </c>
      <c r="G150" s="346">
        <v>43989</v>
      </c>
      <c r="H150" s="340">
        <f t="shared" si="34"/>
        <v>373989</v>
      </c>
      <c r="I150" s="348">
        <v>50</v>
      </c>
      <c r="J150" s="381">
        <v>7479.78</v>
      </c>
      <c r="K150" s="356">
        <f t="shared" si="33"/>
        <v>879.78</v>
      </c>
      <c r="L150" s="356">
        <f t="shared" si="35"/>
        <v>6600</v>
      </c>
      <c r="M150" s="356">
        <f t="shared" si="36"/>
        <v>1759.56</v>
      </c>
      <c r="N150" s="356">
        <f t="shared" si="37"/>
        <v>42229.440000000002</v>
      </c>
      <c r="O150" s="358">
        <v>2</v>
      </c>
      <c r="P150" s="354">
        <f t="shared" si="38"/>
        <v>48</v>
      </c>
      <c r="Q150" s="339">
        <f t="shared" si="39"/>
        <v>14959.56</v>
      </c>
      <c r="R150" s="339">
        <f t="shared" si="40"/>
        <v>359029.44</v>
      </c>
      <c r="S150" s="337"/>
    </row>
    <row r="151" spans="1:19">
      <c r="A151" s="378"/>
      <c r="B151" s="362" t="s">
        <v>1385</v>
      </c>
      <c r="C151" s="367">
        <v>147</v>
      </c>
      <c r="D151" s="337" t="s">
        <v>1437</v>
      </c>
      <c r="E151" s="337" t="s">
        <v>1295</v>
      </c>
      <c r="F151" s="346">
        <v>330000</v>
      </c>
      <c r="G151" s="346">
        <v>43989</v>
      </c>
      <c r="H151" s="340">
        <f t="shared" si="34"/>
        <v>373989</v>
      </c>
      <c r="I151" s="348">
        <v>50</v>
      </c>
      <c r="J151" s="380">
        <v>7479.78</v>
      </c>
      <c r="K151" s="356">
        <f t="shared" si="33"/>
        <v>879.78</v>
      </c>
      <c r="L151" s="356">
        <f t="shared" si="35"/>
        <v>6600</v>
      </c>
      <c r="M151" s="356">
        <f t="shared" si="36"/>
        <v>12316.92</v>
      </c>
      <c r="N151" s="356">
        <f t="shared" si="37"/>
        <v>31672.079999999998</v>
      </c>
      <c r="O151" s="348">
        <v>14</v>
      </c>
      <c r="P151" s="354">
        <f t="shared" si="38"/>
        <v>36</v>
      </c>
      <c r="Q151" s="339">
        <f t="shared" si="39"/>
        <v>104716.92</v>
      </c>
      <c r="R151" s="339">
        <f t="shared" si="40"/>
        <v>269272.08</v>
      </c>
      <c r="S151" s="337"/>
    </row>
    <row r="152" spans="1:19">
      <c r="A152" s="378"/>
      <c r="B152" s="337" t="s">
        <v>1128</v>
      </c>
      <c r="C152" s="367">
        <v>148</v>
      </c>
      <c r="D152" s="337" t="s">
        <v>1437</v>
      </c>
      <c r="E152" s="337" t="s">
        <v>462</v>
      </c>
      <c r="F152" s="346">
        <v>450000</v>
      </c>
      <c r="G152" s="346">
        <v>59985</v>
      </c>
      <c r="H152" s="340">
        <f t="shared" si="34"/>
        <v>509985</v>
      </c>
      <c r="I152" s="348">
        <v>50</v>
      </c>
      <c r="J152" s="381">
        <v>10199.700000000001</v>
      </c>
      <c r="K152" s="356">
        <f t="shared" si="33"/>
        <v>1199.7</v>
      </c>
      <c r="L152" s="356">
        <f t="shared" si="35"/>
        <v>9000</v>
      </c>
      <c r="M152" s="356">
        <f t="shared" si="36"/>
        <v>5998.5</v>
      </c>
      <c r="N152" s="356">
        <f t="shared" si="37"/>
        <v>53986.5</v>
      </c>
      <c r="O152" s="358">
        <v>5</v>
      </c>
      <c r="P152" s="354">
        <f t="shared" si="38"/>
        <v>45</v>
      </c>
      <c r="Q152" s="339">
        <f t="shared" si="39"/>
        <v>50998.5</v>
      </c>
      <c r="R152" s="339">
        <f t="shared" si="40"/>
        <v>458986.5</v>
      </c>
      <c r="S152" s="337"/>
    </row>
    <row r="153" spans="1:19">
      <c r="A153" s="378"/>
      <c r="B153" s="362" t="s">
        <v>1004</v>
      </c>
      <c r="C153" s="367">
        <v>149</v>
      </c>
      <c r="D153" s="337" t="s">
        <v>1437</v>
      </c>
      <c r="E153" s="337" t="s">
        <v>107</v>
      </c>
      <c r="F153" s="346">
        <v>450000</v>
      </c>
      <c r="G153" s="346">
        <v>59985</v>
      </c>
      <c r="H153" s="340">
        <f t="shared" si="34"/>
        <v>509985</v>
      </c>
      <c r="I153" s="348">
        <v>50</v>
      </c>
      <c r="J153" s="380">
        <v>10199.700000000001</v>
      </c>
      <c r="K153" s="356">
        <f t="shared" si="33"/>
        <v>1199.7</v>
      </c>
      <c r="L153" s="356">
        <f t="shared" si="35"/>
        <v>9000</v>
      </c>
      <c r="M153" s="356">
        <f t="shared" si="36"/>
        <v>26393.4</v>
      </c>
      <c r="N153" s="356">
        <f t="shared" si="37"/>
        <v>33591.599999999999</v>
      </c>
      <c r="O153" s="348">
        <v>22</v>
      </c>
      <c r="P153" s="354">
        <f t="shared" si="38"/>
        <v>28</v>
      </c>
      <c r="Q153" s="339">
        <f t="shared" si="39"/>
        <v>224393.40000000002</v>
      </c>
      <c r="R153" s="339">
        <f t="shared" si="40"/>
        <v>285591.59999999998</v>
      </c>
      <c r="S153" s="337"/>
    </row>
    <row r="154" spans="1:19">
      <c r="A154" s="378"/>
      <c r="B154" s="362" t="s">
        <v>1136</v>
      </c>
      <c r="C154" s="367">
        <v>150</v>
      </c>
      <c r="D154" s="337" t="s">
        <v>1437</v>
      </c>
      <c r="E154" s="337" t="s">
        <v>1137</v>
      </c>
      <c r="F154" s="346">
        <v>330000</v>
      </c>
      <c r="G154" s="346">
        <v>43989</v>
      </c>
      <c r="H154" s="340">
        <f t="shared" si="34"/>
        <v>373989</v>
      </c>
      <c r="I154" s="348">
        <v>50</v>
      </c>
      <c r="J154" s="380">
        <v>7479.78</v>
      </c>
      <c r="K154" s="356">
        <f t="shared" si="33"/>
        <v>879.78</v>
      </c>
      <c r="L154" s="356">
        <f t="shared" si="35"/>
        <v>6600</v>
      </c>
      <c r="M154" s="356">
        <f t="shared" si="36"/>
        <v>19355.16</v>
      </c>
      <c r="N154" s="356">
        <f t="shared" si="37"/>
        <v>24633.84</v>
      </c>
      <c r="O154" s="348">
        <v>22</v>
      </c>
      <c r="P154" s="354">
        <f t="shared" si="38"/>
        <v>28</v>
      </c>
      <c r="Q154" s="339">
        <f t="shared" si="39"/>
        <v>164555.16</v>
      </c>
      <c r="R154" s="339">
        <f t="shared" si="40"/>
        <v>209433.84</v>
      </c>
      <c r="S154" s="337"/>
    </row>
    <row r="155" spans="1:19">
      <c r="A155" s="378"/>
      <c r="B155" s="337" t="s">
        <v>1452</v>
      </c>
      <c r="C155" s="367">
        <v>151</v>
      </c>
      <c r="D155" s="337" t="s">
        <v>1437</v>
      </c>
      <c r="E155" s="337" t="s">
        <v>1453</v>
      </c>
      <c r="F155" s="346">
        <v>500000</v>
      </c>
      <c r="G155" s="346">
        <v>66650</v>
      </c>
      <c r="H155" s="340">
        <f t="shared" si="34"/>
        <v>566650</v>
      </c>
      <c r="I155" s="348">
        <v>50</v>
      </c>
      <c r="J155" s="381">
        <v>11333</v>
      </c>
      <c r="K155" s="356">
        <f t="shared" si="33"/>
        <v>1333</v>
      </c>
      <c r="L155" s="356">
        <f t="shared" si="35"/>
        <v>10000</v>
      </c>
      <c r="M155" s="356">
        <f t="shared" si="36"/>
        <v>6665</v>
      </c>
      <c r="N155" s="356">
        <f t="shared" si="37"/>
        <v>59985</v>
      </c>
      <c r="O155" s="358">
        <v>5</v>
      </c>
      <c r="P155" s="354">
        <f t="shared" si="38"/>
        <v>45</v>
      </c>
      <c r="Q155" s="339">
        <f t="shared" si="39"/>
        <v>56665</v>
      </c>
      <c r="R155" s="339">
        <f t="shared" si="40"/>
        <v>509985</v>
      </c>
      <c r="S155" s="337"/>
    </row>
    <row r="156" spans="1:19">
      <c r="A156" s="378"/>
      <c r="B156" s="362" t="s">
        <v>1115</v>
      </c>
      <c r="C156" s="367">
        <v>152</v>
      </c>
      <c r="D156" s="337" t="s">
        <v>1437</v>
      </c>
      <c r="E156" s="337" t="s">
        <v>1116</v>
      </c>
      <c r="F156" s="346">
        <v>200000</v>
      </c>
      <c r="G156" s="346">
        <v>26660</v>
      </c>
      <c r="H156" s="340">
        <f t="shared" si="34"/>
        <v>226660</v>
      </c>
      <c r="I156" s="348">
        <v>50</v>
      </c>
      <c r="J156" s="380">
        <v>5099.8500000000004</v>
      </c>
      <c r="K156" s="356">
        <f t="shared" si="33"/>
        <v>533.20000000000005</v>
      </c>
      <c r="L156" s="356">
        <f t="shared" si="35"/>
        <v>4000</v>
      </c>
      <c r="M156" s="356">
        <f t="shared" si="36"/>
        <v>11730.400000000001</v>
      </c>
      <c r="N156" s="356">
        <f t="shared" si="37"/>
        <v>14929.600000000002</v>
      </c>
      <c r="O156" s="348">
        <v>22</v>
      </c>
      <c r="P156" s="354">
        <f t="shared" si="38"/>
        <v>28</v>
      </c>
      <c r="Q156" s="339">
        <f t="shared" si="39"/>
        <v>112196.70000000001</v>
      </c>
      <c r="R156" s="339">
        <f t="shared" si="40"/>
        <v>114463.29999999999</v>
      </c>
      <c r="S156" s="337"/>
    </row>
    <row r="157" spans="1:19">
      <c r="A157" s="378"/>
      <c r="B157" s="366" t="s">
        <v>1408</v>
      </c>
      <c r="C157" s="367">
        <v>153</v>
      </c>
      <c r="D157" s="337" t="s">
        <v>1437</v>
      </c>
      <c r="E157" s="337" t="s">
        <v>406</v>
      </c>
      <c r="F157" s="346">
        <v>500000</v>
      </c>
      <c r="G157" s="346">
        <v>66650</v>
      </c>
      <c r="H157" s="340">
        <f t="shared" si="34"/>
        <v>566650</v>
      </c>
      <c r="I157" s="348">
        <v>40</v>
      </c>
      <c r="J157" s="380">
        <v>13833</v>
      </c>
      <c r="K157" s="356">
        <f t="shared" si="33"/>
        <v>1333</v>
      </c>
      <c r="L157" s="356">
        <f t="shared" si="35"/>
        <v>10000</v>
      </c>
      <c r="M157" s="356">
        <f t="shared" si="36"/>
        <v>10664</v>
      </c>
      <c r="N157" s="356">
        <f t="shared" si="37"/>
        <v>42656</v>
      </c>
      <c r="O157" s="348">
        <v>8</v>
      </c>
      <c r="P157" s="354">
        <f t="shared" si="38"/>
        <v>32</v>
      </c>
      <c r="Q157" s="339">
        <f t="shared" si="39"/>
        <v>110664</v>
      </c>
      <c r="R157" s="339">
        <f t="shared" si="40"/>
        <v>455986</v>
      </c>
      <c r="S157" s="337"/>
    </row>
    <row r="158" spans="1:19">
      <c r="A158" s="378"/>
      <c r="B158" s="364" t="s">
        <v>1134</v>
      </c>
      <c r="C158" s="367">
        <v>154</v>
      </c>
      <c r="D158" s="337" t="s">
        <v>1437</v>
      </c>
      <c r="E158" s="337" t="s">
        <v>1135</v>
      </c>
      <c r="F158" s="346">
        <v>500000</v>
      </c>
      <c r="G158" s="346">
        <v>66650</v>
      </c>
      <c r="H158" s="340">
        <f t="shared" si="34"/>
        <v>566650</v>
      </c>
      <c r="I158" s="348">
        <v>50</v>
      </c>
      <c r="J158" s="380">
        <v>11333</v>
      </c>
      <c r="K158" s="356">
        <f t="shared" si="33"/>
        <v>1333</v>
      </c>
      <c r="L158" s="356">
        <f t="shared" si="35"/>
        <v>10000</v>
      </c>
      <c r="M158" s="356">
        <f t="shared" si="36"/>
        <v>29326</v>
      </c>
      <c r="N158" s="356">
        <f t="shared" si="37"/>
        <v>37324</v>
      </c>
      <c r="O158" s="348">
        <v>22</v>
      </c>
      <c r="P158" s="354">
        <f t="shared" si="38"/>
        <v>28</v>
      </c>
      <c r="Q158" s="339">
        <f t="shared" si="39"/>
        <v>249326</v>
      </c>
      <c r="R158" s="339">
        <f t="shared" si="40"/>
        <v>317324</v>
      </c>
      <c r="S158" s="337"/>
    </row>
    <row r="159" spans="1:19">
      <c r="A159" s="378"/>
      <c r="B159" s="365" t="s">
        <v>1048</v>
      </c>
      <c r="C159" s="367">
        <v>155</v>
      </c>
      <c r="D159" s="337" t="s">
        <v>1437</v>
      </c>
      <c r="E159" s="337" t="s">
        <v>1049</v>
      </c>
      <c r="F159" s="346">
        <v>450000</v>
      </c>
      <c r="G159" s="346">
        <v>59985</v>
      </c>
      <c r="H159" s="340">
        <f t="shared" si="34"/>
        <v>509985</v>
      </c>
      <c r="I159" s="348">
        <v>50</v>
      </c>
      <c r="J159" s="380">
        <v>10199.700000000001</v>
      </c>
      <c r="K159" s="356">
        <f t="shared" si="33"/>
        <v>1199.7</v>
      </c>
      <c r="L159" s="356">
        <f t="shared" si="35"/>
        <v>9000</v>
      </c>
      <c r="M159" s="356">
        <f t="shared" si="36"/>
        <v>53986.5</v>
      </c>
      <c r="N159" s="356">
        <f t="shared" si="37"/>
        <v>5998.5</v>
      </c>
      <c r="O159" s="348">
        <v>45</v>
      </c>
      <c r="P159" s="354">
        <f t="shared" si="38"/>
        <v>5</v>
      </c>
      <c r="Q159" s="339">
        <f t="shared" si="39"/>
        <v>458986.50000000006</v>
      </c>
      <c r="R159" s="339">
        <f t="shared" si="40"/>
        <v>50998.499999999942</v>
      </c>
      <c r="S159" s="337"/>
    </row>
    <row r="160" spans="1:19">
      <c r="A160" s="378"/>
      <c r="B160" s="364" t="s">
        <v>1090</v>
      </c>
      <c r="C160" s="367">
        <v>156</v>
      </c>
      <c r="D160" s="337" t="s">
        <v>1437</v>
      </c>
      <c r="E160" s="337" t="s">
        <v>295</v>
      </c>
      <c r="F160" s="346">
        <v>500000</v>
      </c>
      <c r="G160" s="346">
        <v>66650</v>
      </c>
      <c r="H160" s="340">
        <f t="shared" si="34"/>
        <v>566650</v>
      </c>
      <c r="I160" s="348">
        <v>50</v>
      </c>
      <c r="J160" s="380">
        <v>11333</v>
      </c>
      <c r="K160" s="356">
        <f t="shared" si="33"/>
        <v>1333</v>
      </c>
      <c r="L160" s="356">
        <f t="shared" si="35"/>
        <v>10000</v>
      </c>
      <c r="M160" s="356">
        <f t="shared" si="36"/>
        <v>38657</v>
      </c>
      <c r="N160" s="356">
        <f t="shared" si="37"/>
        <v>27993</v>
      </c>
      <c r="O160" s="348">
        <v>29</v>
      </c>
      <c r="P160" s="354">
        <f t="shared" si="38"/>
        <v>21</v>
      </c>
      <c r="Q160" s="339">
        <f t="shared" si="39"/>
        <v>328657</v>
      </c>
      <c r="R160" s="339">
        <f t="shared" si="40"/>
        <v>237993</v>
      </c>
      <c r="S160" s="337"/>
    </row>
    <row r="161" spans="1:19">
      <c r="A161" s="378"/>
      <c r="B161" s="362" t="s">
        <v>1337</v>
      </c>
      <c r="C161" s="367">
        <v>157</v>
      </c>
      <c r="D161" s="337" t="s">
        <v>1437</v>
      </c>
      <c r="E161" s="337" t="s">
        <v>1280</v>
      </c>
      <c r="F161" s="346">
        <v>500000</v>
      </c>
      <c r="G161" s="346">
        <v>66650</v>
      </c>
      <c r="H161" s="340">
        <f t="shared" si="34"/>
        <v>566650</v>
      </c>
      <c r="I161" s="348">
        <v>50</v>
      </c>
      <c r="J161" s="380">
        <v>11333</v>
      </c>
      <c r="K161" s="356">
        <f t="shared" si="33"/>
        <v>1333</v>
      </c>
      <c r="L161" s="356">
        <f t="shared" si="35"/>
        <v>10000</v>
      </c>
      <c r="M161" s="356">
        <f t="shared" si="36"/>
        <v>18662</v>
      </c>
      <c r="N161" s="356">
        <f t="shared" si="37"/>
        <v>47988</v>
      </c>
      <c r="O161" s="348">
        <v>14</v>
      </c>
      <c r="P161" s="354">
        <f t="shared" si="38"/>
        <v>36</v>
      </c>
      <c r="Q161" s="339">
        <f t="shared" si="39"/>
        <v>158662</v>
      </c>
      <c r="R161" s="339">
        <f t="shared" si="40"/>
        <v>407988</v>
      </c>
      <c r="S161" s="337"/>
    </row>
    <row r="162" spans="1:19" s="392" customFormat="1">
      <c r="B162" s="337" t="s">
        <v>1415</v>
      </c>
      <c r="C162" s="367">
        <v>158</v>
      </c>
      <c r="D162" s="337" t="s">
        <v>1437</v>
      </c>
      <c r="E162" s="337" t="s">
        <v>1416</v>
      </c>
      <c r="F162" s="346">
        <v>500000</v>
      </c>
      <c r="G162" s="346">
        <v>66650</v>
      </c>
      <c r="H162" s="340">
        <f t="shared" si="34"/>
        <v>566650</v>
      </c>
      <c r="I162" s="358">
        <v>50</v>
      </c>
      <c r="J162" s="381">
        <v>11333</v>
      </c>
      <c r="K162" s="356">
        <f t="shared" si="33"/>
        <v>1333</v>
      </c>
      <c r="L162" s="356">
        <f t="shared" si="35"/>
        <v>10000</v>
      </c>
      <c r="M162" s="356">
        <f t="shared" si="36"/>
        <v>9331</v>
      </c>
      <c r="N162" s="356">
        <f t="shared" si="37"/>
        <v>57319</v>
      </c>
      <c r="O162" s="358">
        <v>7</v>
      </c>
      <c r="P162" s="354">
        <f t="shared" si="38"/>
        <v>43</v>
      </c>
      <c r="Q162" s="339">
        <f t="shared" si="39"/>
        <v>79331</v>
      </c>
      <c r="R162" s="339">
        <f t="shared" si="40"/>
        <v>487319</v>
      </c>
      <c r="S162" s="337"/>
    </row>
    <row r="163" spans="1:19">
      <c r="B163" s="363" t="s">
        <v>1023</v>
      </c>
      <c r="C163" s="367">
        <v>159</v>
      </c>
      <c r="D163" s="337" t="s">
        <v>1437</v>
      </c>
      <c r="E163" s="337" t="s">
        <v>321</v>
      </c>
      <c r="F163" s="346">
        <v>500000</v>
      </c>
      <c r="G163" s="346">
        <v>66650</v>
      </c>
      <c r="H163" s="340">
        <f t="shared" si="34"/>
        <v>566650</v>
      </c>
      <c r="I163" s="348">
        <v>50</v>
      </c>
      <c r="J163" s="380">
        <v>11333</v>
      </c>
      <c r="K163" s="356">
        <f t="shared" si="33"/>
        <v>1333</v>
      </c>
      <c r="L163" s="356">
        <f t="shared" si="35"/>
        <v>10000</v>
      </c>
      <c r="M163" s="356">
        <f t="shared" si="36"/>
        <v>78647</v>
      </c>
      <c r="N163" s="356">
        <f t="shared" si="37"/>
        <v>-11997</v>
      </c>
      <c r="O163" s="348">
        <v>59</v>
      </c>
      <c r="P163" s="354">
        <f t="shared" si="38"/>
        <v>-9</v>
      </c>
      <c r="Q163" s="339">
        <f t="shared" si="39"/>
        <v>668647</v>
      </c>
      <c r="R163" s="339">
        <f t="shared" si="40"/>
        <v>-101997</v>
      </c>
      <c r="S163" s="337"/>
    </row>
    <row r="164" spans="1:19">
      <c r="B164" s="364" t="s">
        <v>1354</v>
      </c>
      <c r="C164" s="367">
        <v>160</v>
      </c>
      <c r="D164" s="337" t="s">
        <v>1437</v>
      </c>
      <c r="E164" s="337" t="s">
        <v>450</v>
      </c>
      <c r="F164" s="346">
        <v>450000</v>
      </c>
      <c r="G164" s="346">
        <v>59985</v>
      </c>
      <c r="H164" s="340">
        <f t="shared" si="34"/>
        <v>509985</v>
      </c>
      <c r="I164" s="348">
        <v>50</v>
      </c>
      <c r="J164" s="380">
        <v>10199.700000000001</v>
      </c>
      <c r="K164" s="356">
        <f t="shared" si="33"/>
        <v>1199.7</v>
      </c>
      <c r="L164" s="356">
        <f t="shared" si="35"/>
        <v>9000</v>
      </c>
      <c r="M164" s="356">
        <f t="shared" si="36"/>
        <v>25193.7</v>
      </c>
      <c r="N164" s="356">
        <f t="shared" si="37"/>
        <v>34791.300000000003</v>
      </c>
      <c r="O164" s="348">
        <v>21</v>
      </c>
      <c r="P164" s="354">
        <f t="shared" si="38"/>
        <v>29</v>
      </c>
      <c r="Q164" s="339">
        <f t="shared" si="39"/>
        <v>214193.7</v>
      </c>
      <c r="R164" s="339">
        <f t="shared" si="40"/>
        <v>295791.3</v>
      </c>
      <c r="S164" s="337"/>
    </row>
    <row r="165" spans="1:19">
      <c r="B165" s="364" t="s">
        <v>1394</v>
      </c>
      <c r="C165" s="367">
        <v>161</v>
      </c>
      <c r="D165" s="337" t="s">
        <v>1437</v>
      </c>
      <c r="E165" s="337" t="s">
        <v>1395</v>
      </c>
      <c r="F165" s="346">
        <v>150000</v>
      </c>
      <c r="G165" s="346">
        <v>19995</v>
      </c>
      <c r="H165" s="340">
        <f t="shared" ref="H165:H176" si="41">SUM(F165:G165)</f>
        <v>169995</v>
      </c>
      <c r="I165" s="348">
        <v>40</v>
      </c>
      <c r="J165" s="380">
        <v>4149.8999999999996</v>
      </c>
      <c r="K165" s="356">
        <f t="shared" si="33"/>
        <v>399.9</v>
      </c>
      <c r="L165" s="356">
        <f t="shared" ref="L165:L176" si="42">F165/50</f>
        <v>3000</v>
      </c>
      <c r="M165" s="356">
        <f t="shared" ref="M165:M176" si="43">K165*O165</f>
        <v>3599.1</v>
      </c>
      <c r="N165" s="356">
        <f t="shared" ref="N165:N176" si="44">K165*P165</f>
        <v>12396.9</v>
      </c>
      <c r="O165" s="348">
        <v>9</v>
      </c>
      <c r="P165" s="354">
        <f t="shared" ref="P165:P176" si="45">I165-O165</f>
        <v>31</v>
      </c>
      <c r="Q165" s="339">
        <f t="shared" ref="Q165:Q176" si="46">J165*O165</f>
        <v>37349.1</v>
      </c>
      <c r="R165" s="339">
        <f t="shared" ref="R165:R176" si="47">H165-Q165</f>
        <v>132645.9</v>
      </c>
      <c r="S165" s="337"/>
    </row>
    <row r="166" spans="1:19">
      <c r="B166" s="363" t="s">
        <v>968</v>
      </c>
      <c r="C166" s="367">
        <v>162</v>
      </c>
      <c r="D166" s="337" t="s">
        <v>1437</v>
      </c>
      <c r="E166" s="337" t="s">
        <v>490</v>
      </c>
      <c r="F166" s="346">
        <v>330000</v>
      </c>
      <c r="G166" s="346">
        <v>43989</v>
      </c>
      <c r="H166" s="340">
        <f t="shared" si="41"/>
        <v>373989</v>
      </c>
      <c r="I166" s="348">
        <v>50</v>
      </c>
      <c r="J166" s="380">
        <v>7479.78</v>
      </c>
      <c r="K166" s="356">
        <f t="shared" si="33"/>
        <v>879.78</v>
      </c>
      <c r="L166" s="356">
        <f t="shared" si="42"/>
        <v>6600</v>
      </c>
      <c r="M166" s="356">
        <f t="shared" si="43"/>
        <v>29912.52</v>
      </c>
      <c r="N166" s="356">
        <f t="shared" si="44"/>
        <v>14076.48</v>
      </c>
      <c r="O166" s="348">
        <v>34</v>
      </c>
      <c r="P166" s="354">
        <f t="shared" si="45"/>
        <v>16</v>
      </c>
      <c r="Q166" s="339">
        <f t="shared" si="46"/>
        <v>254312.52</v>
      </c>
      <c r="R166" s="339">
        <f t="shared" si="47"/>
        <v>119676.48000000001</v>
      </c>
      <c r="S166" s="337"/>
    </row>
    <row r="167" spans="1:19">
      <c r="B167" s="365" t="s">
        <v>1036</v>
      </c>
      <c r="C167" s="367">
        <v>163</v>
      </c>
      <c r="D167" s="337" t="s">
        <v>1437</v>
      </c>
      <c r="E167" s="337" t="s">
        <v>216</v>
      </c>
      <c r="F167" s="346">
        <v>60000</v>
      </c>
      <c r="G167" s="346">
        <v>7998</v>
      </c>
      <c r="H167" s="340">
        <f t="shared" si="41"/>
        <v>67998</v>
      </c>
      <c r="I167" s="348">
        <v>40</v>
      </c>
      <c r="J167" s="380">
        <v>1699.95</v>
      </c>
      <c r="K167" s="356">
        <f t="shared" si="33"/>
        <v>159.96</v>
      </c>
      <c r="L167" s="356">
        <f t="shared" si="42"/>
        <v>1200</v>
      </c>
      <c r="M167" s="356">
        <f t="shared" si="43"/>
        <v>5598.6</v>
      </c>
      <c r="N167" s="356">
        <f t="shared" si="44"/>
        <v>799.80000000000007</v>
      </c>
      <c r="O167" s="348">
        <v>35</v>
      </c>
      <c r="P167" s="354">
        <f t="shared" si="45"/>
        <v>5</v>
      </c>
      <c r="Q167" s="339">
        <f t="shared" si="46"/>
        <v>59498.25</v>
      </c>
      <c r="R167" s="339">
        <f t="shared" si="47"/>
        <v>8499.75</v>
      </c>
      <c r="S167" s="337"/>
    </row>
    <row r="168" spans="1:19">
      <c r="B168" s="363" t="s">
        <v>1379</v>
      </c>
      <c r="C168" s="367">
        <v>164</v>
      </c>
      <c r="D168" s="337" t="s">
        <v>1437</v>
      </c>
      <c r="E168" s="337" t="s">
        <v>1380</v>
      </c>
      <c r="F168" s="346">
        <v>330000</v>
      </c>
      <c r="G168" s="346">
        <v>43989</v>
      </c>
      <c r="H168" s="340">
        <f t="shared" si="41"/>
        <v>373989</v>
      </c>
      <c r="I168" s="348">
        <v>50</v>
      </c>
      <c r="J168" s="380">
        <v>7479.78</v>
      </c>
      <c r="K168" s="356">
        <f t="shared" si="33"/>
        <v>879.78</v>
      </c>
      <c r="L168" s="356">
        <f t="shared" si="42"/>
        <v>6600</v>
      </c>
      <c r="M168" s="356">
        <f t="shared" si="43"/>
        <v>7918.0199999999995</v>
      </c>
      <c r="N168" s="356">
        <f t="shared" si="44"/>
        <v>36070.979999999996</v>
      </c>
      <c r="O168" s="348">
        <v>9</v>
      </c>
      <c r="P168" s="354">
        <f t="shared" si="45"/>
        <v>41</v>
      </c>
      <c r="Q168" s="339">
        <f t="shared" si="46"/>
        <v>67318.02</v>
      </c>
      <c r="R168" s="339">
        <f t="shared" si="47"/>
        <v>306670.98</v>
      </c>
      <c r="S168" s="337"/>
    </row>
    <row r="169" spans="1:19">
      <c r="B169" s="362" t="s">
        <v>1372</v>
      </c>
      <c r="C169" s="367">
        <v>165</v>
      </c>
      <c r="D169" s="337" t="s">
        <v>1437</v>
      </c>
      <c r="E169" s="337" t="s">
        <v>1297</v>
      </c>
      <c r="F169" s="346">
        <v>330000</v>
      </c>
      <c r="G169" s="346">
        <v>43989</v>
      </c>
      <c r="H169" s="340">
        <f t="shared" si="41"/>
        <v>373989</v>
      </c>
      <c r="I169" s="348">
        <v>50</v>
      </c>
      <c r="J169" s="380">
        <v>7479.78</v>
      </c>
      <c r="K169" s="356">
        <f t="shared" si="33"/>
        <v>879.78</v>
      </c>
      <c r="L169" s="356">
        <f t="shared" si="42"/>
        <v>6600</v>
      </c>
      <c r="M169" s="356">
        <f t="shared" si="43"/>
        <v>17595.599999999999</v>
      </c>
      <c r="N169" s="356">
        <f t="shared" si="44"/>
        <v>26393.399999999998</v>
      </c>
      <c r="O169" s="348">
        <v>20</v>
      </c>
      <c r="P169" s="354">
        <f t="shared" si="45"/>
        <v>30</v>
      </c>
      <c r="Q169" s="339">
        <f t="shared" si="46"/>
        <v>149595.6</v>
      </c>
      <c r="R169" s="339">
        <f t="shared" si="47"/>
        <v>224393.4</v>
      </c>
      <c r="S169" s="337"/>
    </row>
    <row r="170" spans="1:19">
      <c r="B170" s="337" t="s">
        <v>1447</v>
      </c>
      <c r="C170" s="367">
        <v>166</v>
      </c>
      <c r="D170" s="337" t="s">
        <v>1437</v>
      </c>
      <c r="E170" s="337" t="s">
        <v>1448</v>
      </c>
      <c r="F170" s="346">
        <v>450000</v>
      </c>
      <c r="G170" s="346">
        <v>59985</v>
      </c>
      <c r="H170" s="340">
        <f t="shared" si="41"/>
        <v>509985</v>
      </c>
      <c r="I170" s="348">
        <v>50</v>
      </c>
      <c r="J170" s="381">
        <v>10199.700000000001</v>
      </c>
      <c r="K170" s="356">
        <f t="shared" si="33"/>
        <v>1199.7</v>
      </c>
      <c r="L170" s="356">
        <f t="shared" si="42"/>
        <v>9000</v>
      </c>
      <c r="M170" s="356">
        <f t="shared" si="43"/>
        <v>5998.5</v>
      </c>
      <c r="N170" s="356">
        <f t="shared" si="44"/>
        <v>53986.5</v>
      </c>
      <c r="O170" s="358">
        <v>5</v>
      </c>
      <c r="P170" s="354">
        <f t="shared" si="45"/>
        <v>45</v>
      </c>
      <c r="Q170" s="339">
        <f t="shared" si="46"/>
        <v>50998.5</v>
      </c>
      <c r="R170" s="339">
        <f t="shared" si="47"/>
        <v>458986.5</v>
      </c>
      <c r="S170" s="337"/>
    </row>
    <row r="171" spans="1:19">
      <c r="B171" s="365" t="s">
        <v>1373</v>
      </c>
      <c r="C171" s="367">
        <v>167</v>
      </c>
      <c r="D171" s="337" t="s">
        <v>1437</v>
      </c>
      <c r="E171" s="337" t="s">
        <v>1374</v>
      </c>
      <c r="F171" s="346">
        <v>330000</v>
      </c>
      <c r="G171" s="346">
        <v>43989</v>
      </c>
      <c r="H171" s="340">
        <f t="shared" si="41"/>
        <v>373989</v>
      </c>
      <c r="I171" s="348">
        <v>50</v>
      </c>
      <c r="J171" s="380">
        <v>7479.78</v>
      </c>
      <c r="K171" s="356">
        <f t="shared" si="33"/>
        <v>879.78</v>
      </c>
      <c r="L171" s="356">
        <f t="shared" si="42"/>
        <v>6600</v>
      </c>
      <c r="M171" s="356">
        <f t="shared" si="43"/>
        <v>7918.0199999999995</v>
      </c>
      <c r="N171" s="356">
        <f t="shared" si="44"/>
        <v>36070.979999999996</v>
      </c>
      <c r="O171" s="348">
        <v>9</v>
      </c>
      <c r="P171" s="354">
        <f t="shared" si="45"/>
        <v>41</v>
      </c>
      <c r="Q171" s="339">
        <f t="shared" si="46"/>
        <v>67318.02</v>
      </c>
      <c r="R171" s="339">
        <f t="shared" si="47"/>
        <v>306670.98</v>
      </c>
      <c r="S171" s="337"/>
    </row>
    <row r="172" spans="1:19">
      <c r="B172" s="365" t="s">
        <v>1367</v>
      </c>
      <c r="C172" s="367">
        <v>168</v>
      </c>
      <c r="D172" s="337" t="s">
        <v>1437</v>
      </c>
      <c r="E172" s="337" t="s">
        <v>465</v>
      </c>
      <c r="F172" s="346">
        <v>450000</v>
      </c>
      <c r="G172" s="346">
        <v>59985</v>
      </c>
      <c r="H172" s="340">
        <f t="shared" si="41"/>
        <v>509985</v>
      </c>
      <c r="I172" s="348">
        <v>50</v>
      </c>
      <c r="J172" s="380">
        <v>10199.700000000001</v>
      </c>
      <c r="K172" s="356">
        <f t="shared" si="33"/>
        <v>1199.7</v>
      </c>
      <c r="L172" s="356">
        <f t="shared" si="42"/>
        <v>9000</v>
      </c>
      <c r="M172" s="356">
        <f t="shared" si="43"/>
        <v>34791.300000000003</v>
      </c>
      <c r="N172" s="356">
        <f t="shared" si="44"/>
        <v>25193.7</v>
      </c>
      <c r="O172" s="348">
        <v>29</v>
      </c>
      <c r="P172" s="354">
        <f t="shared" si="45"/>
        <v>21</v>
      </c>
      <c r="Q172" s="339">
        <f t="shared" si="46"/>
        <v>295791.30000000005</v>
      </c>
      <c r="R172" s="339">
        <f t="shared" si="47"/>
        <v>214193.69999999995</v>
      </c>
      <c r="S172" s="337"/>
    </row>
    <row r="173" spans="1:19">
      <c r="B173" s="337" t="s">
        <v>1486</v>
      </c>
      <c r="C173" s="367">
        <v>169</v>
      </c>
      <c r="D173" s="337" t="s">
        <v>1437</v>
      </c>
      <c r="E173" s="336" t="s">
        <v>1487</v>
      </c>
      <c r="F173" s="346">
        <v>150000</v>
      </c>
      <c r="G173" s="346">
        <v>19995</v>
      </c>
      <c r="H173" s="340">
        <f t="shared" si="41"/>
        <v>169995</v>
      </c>
      <c r="I173" s="348">
        <v>50</v>
      </c>
      <c r="J173" s="380">
        <v>3399.9</v>
      </c>
      <c r="K173" s="356">
        <f t="shared" si="33"/>
        <v>399.9</v>
      </c>
      <c r="L173" s="356">
        <f t="shared" si="42"/>
        <v>3000</v>
      </c>
      <c r="M173" s="356">
        <f t="shared" si="43"/>
        <v>17595.599999999999</v>
      </c>
      <c r="N173" s="356">
        <f t="shared" si="44"/>
        <v>2399.3999999999996</v>
      </c>
      <c r="O173" s="344">
        <v>44</v>
      </c>
      <c r="P173" s="354">
        <f t="shared" si="45"/>
        <v>6</v>
      </c>
      <c r="Q173" s="339">
        <f t="shared" si="46"/>
        <v>149595.6</v>
      </c>
      <c r="R173" s="339">
        <f t="shared" si="47"/>
        <v>20399.399999999994</v>
      </c>
    </row>
    <row r="174" spans="1:19">
      <c r="B174" s="337"/>
      <c r="C174" s="367">
        <v>170</v>
      </c>
      <c r="D174" s="337" t="s">
        <v>1437</v>
      </c>
      <c r="E174" s="337" t="s">
        <v>1270</v>
      </c>
      <c r="F174" s="346">
        <v>150000</v>
      </c>
      <c r="G174" s="346">
        <v>19995</v>
      </c>
      <c r="H174" s="340">
        <f t="shared" si="41"/>
        <v>169995</v>
      </c>
      <c r="I174" s="358">
        <v>50</v>
      </c>
      <c r="J174" s="381">
        <v>3399.9</v>
      </c>
      <c r="K174" s="356">
        <f t="shared" si="33"/>
        <v>399.9</v>
      </c>
      <c r="L174" s="356">
        <f t="shared" si="42"/>
        <v>3000</v>
      </c>
      <c r="M174" s="356">
        <f t="shared" si="43"/>
        <v>17995.5</v>
      </c>
      <c r="N174" s="356">
        <f t="shared" si="44"/>
        <v>1999.5</v>
      </c>
      <c r="O174" s="358">
        <v>45</v>
      </c>
      <c r="P174" s="354">
        <f t="shared" si="45"/>
        <v>5</v>
      </c>
      <c r="Q174" s="339">
        <f t="shared" si="46"/>
        <v>152995.5</v>
      </c>
      <c r="R174" s="339">
        <f t="shared" si="47"/>
        <v>16999.5</v>
      </c>
      <c r="S174" s="337"/>
    </row>
    <row r="175" spans="1:19">
      <c r="B175" s="337"/>
      <c r="C175" s="367">
        <v>171</v>
      </c>
      <c r="D175" s="337" t="s">
        <v>1437</v>
      </c>
      <c r="E175" s="337" t="s">
        <v>1268</v>
      </c>
      <c r="F175" s="346">
        <v>500000</v>
      </c>
      <c r="G175" s="346">
        <v>66650</v>
      </c>
      <c r="H175" s="340">
        <f t="shared" si="41"/>
        <v>566650</v>
      </c>
      <c r="I175" s="358">
        <v>50</v>
      </c>
      <c r="J175" s="381">
        <v>11749.67</v>
      </c>
      <c r="K175" s="356">
        <f t="shared" si="33"/>
        <v>1333</v>
      </c>
      <c r="L175" s="356">
        <f t="shared" si="42"/>
        <v>10000</v>
      </c>
      <c r="M175" s="356">
        <f t="shared" si="43"/>
        <v>45322</v>
      </c>
      <c r="N175" s="356">
        <f t="shared" si="44"/>
        <v>21328</v>
      </c>
      <c r="O175" s="358">
        <v>34</v>
      </c>
      <c r="P175" s="354">
        <f t="shared" si="45"/>
        <v>16</v>
      </c>
      <c r="Q175" s="339">
        <f t="shared" si="46"/>
        <v>399488.78</v>
      </c>
      <c r="R175" s="339">
        <f t="shared" si="47"/>
        <v>167161.21999999997</v>
      </c>
      <c r="S175" s="337"/>
    </row>
    <row r="176" spans="1:19">
      <c r="B176" s="337"/>
      <c r="C176" s="367">
        <v>172</v>
      </c>
      <c r="D176" s="337" t="s">
        <v>1437</v>
      </c>
      <c r="E176" s="337" t="s">
        <v>1420</v>
      </c>
      <c r="F176" s="346">
        <v>450000</v>
      </c>
      <c r="G176" s="346">
        <v>59985</v>
      </c>
      <c r="H176" s="340">
        <f t="shared" si="41"/>
        <v>509985</v>
      </c>
      <c r="I176" s="358">
        <v>50</v>
      </c>
      <c r="J176" s="381">
        <v>10199.700000000001</v>
      </c>
      <c r="K176" s="356">
        <f t="shared" si="33"/>
        <v>1199.7</v>
      </c>
      <c r="L176" s="356">
        <f t="shared" si="42"/>
        <v>9000</v>
      </c>
      <c r="M176" s="356">
        <f t="shared" si="43"/>
        <v>10797.300000000001</v>
      </c>
      <c r="N176" s="356">
        <f t="shared" si="44"/>
        <v>49187.700000000004</v>
      </c>
      <c r="O176" s="358">
        <v>9</v>
      </c>
      <c r="P176" s="354">
        <f t="shared" si="45"/>
        <v>41</v>
      </c>
      <c r="Q176" s="339">
        <f t="shared" si="46"/>
        <v>91797.3</v>
      </c>
      <c r="R176" s="339">
        <f t="shared" si="47"/>
        <v>418187.7</v>
      </c>
      <c r="S176" s="337"/>
    </row>
    <row r="177" spans="2:19">
      <c r="B177" s="337"/>
      <c r="C177" s="337"/>
      <c r="D177" s="337"/>
      <c r="E177" s="337"/>
      <c r="F177" s="386">
        <f>SUM(F5:F176)</f>
        <v>72550000</v>
      </c>
      <c r="G177" s="346">
        <f>SUM(G5:G176)</f>
        <v>9539481.1999999993</v>
      </c>
      <c r="H177" s="346">
        <f>SUM(H5:H176)</f>
        <v>82089481.200000003</v>
      </c>
      <c r="I177" s="346"/>
      <c r="J177" s="346">
        <f>SUM(J5:J176)</f>
        <v>1709177.8999999997</v>
      </c>
      <c r="K177" s="346">
        <f>SUM(K5:K176)</f>
        <v>193418.3</v>
      </c>
      <c r="L177" s="346">
        <f>SUM(L5:L176)</f>
        <v>1451000</v>
      </c>
      <c r="M177" s="346">
        <f>SUM(M5:M176)</f>
        <v>4391648.4799999977</v>
      </c>
      <c r="N177" s="346">
        <f>SUM(N5:N176)</f>
        <v>5034261.120000002</v>
      </c>
      <c r="O177" s="358"/>
      <c r="P177" s="358"/>
      <c r="Q177" s="346">
        <f>SUM(Q5:Q176)</f>
        <v>38029857.590000011</v>
      </c>
      <c r="R177" s="397">
        <f>SUM(R5:R176)</f>
        <v>44059623.609999992</v>
      </c>
      <c r="S177" s="337"/>
    </row>
    <row r="178" spans="2:19">
      <c r="J178" s="359"/>
    </row>
  </sheetData>
  <sortState ref="B5:S178">
    <sortCondition ref="B5:B178"/>
  </sortState>
  <mergeCells count="3">
    <mergeCell ref="C1:S1"/>
    <mergeCell ref="C2:S2"/>
    <mergeCell ref="C3:S3"/>
  </mergeCells>
  <conditionalFormatting sqref="B92:B93">
    <cfRule type="duplicateValues" dxfId="17" priority="2"/>
  </conditionalFormatting>
  <conditionalFormatting sqref="B120:B133 B107:B113 B99:B102 B4:B85 B91:B93">
    <cfRule type="duplicateValues" dxfId="16" priority="4"/>
  </conditionalFormatting>
  <pageMargins left="0.2" right="0.2" top="0.25" bottom="0.25" header="0.3" footer="0.3"/>
  <pageSetup paperSize="9" scale="5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U172"/>
  <sheetViews>
    <sheetView topLeftCell="E142" zoomScale="90" zoomScaleNormal="90" workbookViewId="0">
      <selection activeCell="G9" sqref="G9"/>
    </sheetView>
  </sheetViews>
  <sheetFormatPr defaultRowHeight="15.75"/>
  <cols>
    <col min="1" max="1" width="9.140625" style="336"/>
    <col min="2" max="2" width="14.5703125" style="336" bestFit="1" customWidth="1"/>
    <col min="3" max="3" width="14.5703125" style="336" customWidth="1"/>
    <col min="4" max="4" width="18.7109375" style="336" customWidth="1"/>
    <col min="5" max="5" width="5.42578125" style="336" customWidth="1"/>
    <col min="6" max="6" width="13.5703125" style="336" customWidth="1"/>
    <col min="7" max="7" width="36.5703125" style="336" customWidth="1"/>
    <col min="8" max="8" width="16.85546875" style="342" customWidth="1"/>
    <col min="9" max="9" width="16" style="342" customWidth="1"/>
    <col min="10" max="10" width="17.42578125" style="342" customWidth="1"/>
    <col min="11" max="11" width="8.28515625" style="343" customWidth="1"/>
    <col min="12" max="12" width="16.5703125" style="342" customWidth="1"/>
    <col min="13" max="13" width="14.140625" style="355" customWidth="1"/>
    <col min="14" max="14" width="16.85546875" style="355" customWidth="1"/>
    <col min="15" max="15" width="16.5703125" style="355" customWidth="1"/>
    <col min="16" max="16" width="15.85546875" style="355" customWidth="1"/>
    <col min="17" max="17" width="10.140625" style="344" customWidth="1"/>
    <col min="18" max="18" width="12.140625" style="344" customWidth="1"/>
    <col min="19" max="19" width="17" style="342" customWidth="1"/>
    <col min="20" max="20" width="16.85546875" style="342" customWidth="1"/>
    <col min="21" max="21" width="9.5703125" style="336" customWidth="1"/>
    <col min="22" max="16384" width="9.140625" style="336"/>
  </cols>
  <sheetData>
    <row r="1" spans="2:21" ht="22.5">
      <c r="E1" s="425" t="s">
        <v>1421</v>
      </c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  <c r="U1" s="425"/>
    </row>
    <row r="2" spans="2:21" customFormat="1" ht="20.25">
      <c r="D2" s="360"/>
      <c r="E2" s="419" t="s">
        <v>245</v>
      </c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  <c r="U2" s="419"/>
    </row>
    <row r="3" spans="2:21" customFormat="1" ht="18">
      <c r="D3" s="360"/>
      <c r="E3" s="426" t="s">
        <v>1491</v>
      </c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  <c r="U3" s="426"/>
    </row>
    <row r="4" spans="2:21" s="372" customFormat="1" ht="68.25" customHeight="1">
      <c r="D4" s="117" t="s">
        <v>869</v>
      </c>
      <c r="E4" s="369" t="s">
        <v>0</v>
      </c>
      <c r="F4" s="370" t="s">
        <v>1422</v>
      </c>
      <c r="G4" s="370" t="s">
        <v>292</v>
      </c>
      <c r="H4" s="370" t="s">
        <v>1423</v>
      </c>
      <c r="I4" s="370" t="s">
        <v>1424</v>
      </c>
      <c r="J4" s="370" t="s">
        <v>1425</v>
      </c>
      <c r="K4" s="370" t="s">
        <v>1426</v>
      </c>
      <c r="L4" s="370" t="s">
        <v>1427</v>
      </c>
      <c r="M4" s="371" t="s">
        <v>1428</v>
      </c>
      <c r="N4" s="371" t="s">
        <v>1429</v>
      </c>
      <c r="O4" s="371" t="s">
        <v>1430</v>
      </c>
      <c r="P4" s="371" t="s">
        <v>1431</v>
      </c>
      <c r="Q4" s="368" t="s">
        <v>1432</v>
      </c>
      <c r="R4" s="373" t="s">
        <v>1433</v>
      </c>
      <c r="S4" s="370" t="s">
        <v>1434</v>
      </c>
      <c r="T4" s="370" t="s">
        <v>1435</v>
      </c>
      <c r="U4" s="383" t="s">
        <v>1436</v>
      </c>
    </row>
    <row r="5" spans="2:21">
      <c r="B5" s="378"/>
      <c r="C5" s="378"/>
      <c r="D5" s="361" t="s">
        <v>1369</v>
      </c>
      <c r="E5" s="367">
        <v>1</v>
      </c>
      <c r="F5" s="337" t="s">
        <v>1437</v>
      </c>
      <c r="G5" s="338" t="s">
        <v>1282</v>
      </c>
      <c r="H5" s="339">
        <v>330000</v>
      </c>
      <c r="I5" s="339">
        <v>43989</v>
      </c>
      <c r="J5" s="340">
        <f t="shared" ref="J5:J36" si="0">SUM(H5:I5)</f>
        <v>373989</v>
      </c>
      <c r="K5" s="347">
        <v>50</v>
      </c>
      <c r="L5" s="379">
        <v>7479.78</v>
      </c>
      <c r="M5" s="356">
        <f t="shared" ref="M5:M22" si="1">I5/50</f>
        <v>879.78</v>
      </c>
      <c r="N5" s="356">
        <f t="shared" ref="N5:N36" si="2">H5/50</f>
        <v>6600</v>
      </c>
      <c r="O5" s="356">
        <f t="shared" ref="O5:O36" si="3">M5*Q5</f>
        <v>13196.699999999999</v>
      </c>
      <c r="P5" s="356">
        <f t="shared" ref="P5:P36" si="4">M5*R5</f>
        <v>30792.3</v>
      </c>
      <c r="Q5" s="352">
        <v>15</v>
      </c>
      <c r="R5" s="354">
        <f t="shared" ref="R5:R36" si="5">K5-Q5</f>
        <v>35</v>
      </c>
      <c r="S5" s="339">
        <f t="shared" ref="S5:S36" si="6">L5*Q5</f>
        <v>112196.7</v>
      </c>
      <c r="T5" s="339">
        <f t="shared" ref="T5:T36" si="7">J5-S5</f>
        <v>261792.3</v>
      </c>
      <c r="U5" s="341"/>
    </row>
    <row r="6" spans="2:21">
      <c r="B6" s="378"/>
      <c r="C6" s="378"/>
      <c r="D6" s="361" t="s">
        <v>1396</v>
      </c>
      <c r="E6" s="367">
        <v>2</v>
      </c>
      <c r="F6" s="337" t="s">
        <v>1437</v>
      </c>
      <c r="G6" s="341" t="s">
        <v>1397</v>
      </c>
      <c r="H6" s="339">
        <v>150000</v>
      </c>
      <c r="I6" s="339">
        <v>19995</v>
      </c>
      <c r="J6" s="340">
        <f t="shared" si="0"/>
        <v>169995</v>
      </c>
      <c r="K6" s="347">
        <v>50</v>
      </c>
      <c r="L6" s="379">
        <v>3399.9</v>
      </c>
      <c r="M6" s="356">
        <f t="shared" si="1"/>
        <v>399.9</v>
      </c>
      <c r="N6" s="356">
        <f t="shared" si="2"/>
        <v>3000</v>
      </c>
      <c r="O6" s="356">
        <f t="shared" si="3"/>
        <v>6798.2999999999993</v>
      </c>
      <c r="P6" s="356">
        <f t="shared" si="4"/>
        <v>13196.699999999999</v>
      </c>
      <c r="Q6" s="352">
        <v>17</v>
      </c>
      <c r="R6" s="354">
        <f t="shared" si="5"/>
        <v>33</v>
      </c>
      <c r="S6" s="339">
        <f t="shared" si="6"/>
        <v>57798.3</v>
      </c>
      <c r="T6" s="339">
        <f t="shared" si="7"/>
        <v>112196.7</v>
      </c>
      <c r="U6" s="341"/>
    </row>
    <row r="7" spans="2:21">
      <c r="B7" s="378"/>
      <c r="C7" s="378"/>
      <c r="D7" s="337" t="s">
        <v>1412</v>
      </c>
      <c r="E7" s="367">
        <v>3</v>
      </c>
      <c r="F7" s="337" t="s">
        <v>1437</v>
      </c>
      <c r="G7" s="337" t="s">
        <v>468</v>
      </c>
      <c r="H7" s="346">
        <v>500000</v>
      </c>
      <c r="I7" s="346">
        <v>66650</v>
      </c>
      <c r="J7" s="340">
        <f t="shared" si="0"/>
        <v>566650</v>
      </c>
      <c r="K7" s="348">
        <v>50</v>
      </c>
      <c r="L7" s="380">
        <v>11333</v>
      </c>
      <c r="M7" s="356">
        <f t="shared" si="1"/>
        <v>1333</v>
      </c>
      <c r="N7" s="356">
        <f t="shared" si="2"/>
        <v>10000</v>
      </c>
      <c r="O7" s="356">
        <f t="shared" si="3"/>
        <v>10664</v>
      </c>
      <c r="P7" s="356">
        <f t="shared" si="4"/>
        <v>55986</v>
      </c>
      <c r="Q7" s="348">
        <v>8</v>
      </c>
      <c r="R7" s="354">
        <f t="shared" si="5"/>
        <v>42</v>
      </c>
      <c r="S7" s="339">
        <f t="shared" si="6"/>
        <v>90664</v>
      </c>
      <c r="T7" s="339">
        <f t="shared" si="7"/>
        <v>475986</v>
      </c>
      <c r="U7" s="337"/>
    </row>
    <row r="8" spans="2:21" ht="22.5">
      <c r="B8" s="378"/>
      <c r="C8" s="378"/>
      <c r="D8" s="337" t="s">
        <v>1460</v>
      </c>
      <c r="E8" s="367">
        <v>4</v>
      </c>
      <c r="F8" s="337" t="s">
        <v>1437</v>
      </c>
      <c r="G8" s="337" t="s">
        <v>1461</v>
      </c>
      <c r="H8" s="346">
        <v>500000</v>
      </c>
      <c r="I8" s="346">
        <v>66650</v>
      </c>
      <c r="J8" s="340">
        <f t="shared" si="0"/>
        <v>566650</v>
      </c>
      <c r="K8" s="348">
        <v>50</v>
      </c>
      <c r="L8" s="381">
        <v>11333</v>
      </c>
      <c r="M8" s="356">
        <f t="shared" si="1"/>
        <v>1333</v>
      </c>
      <c r="N8" s="356">
        <f t="shared" si="2"/>
        <v>10000</v>
      </c>
      <c r="O8" s="356">
        <f t="shared" si="3"/>
        <v>3999</v>
      </c>
      <c r="P8" s="356">
        <f t="shared" si="4"/>
        <v>62651</v>
      </c>
      <c r="Q8" s="358">
        <v>3</v>
      </c>
      <c r="R8" s="354">
        <f t="shared" si="5"/>
        <v>47</v>
      </c>
      <c r="S8" s="339">
        <f t="shared" si="6"/>
        <v>33999</v>
      </c>
      <c r="T8" s="339">
        <f t="shared" si="7"/>
        <v>532651</v>
      </c>
      <c r="U8" s="389" t="s">
        <v>1458</v>
      </c>
    </row>
    <row r="9" spans="2:21">
      <c r="B9" s="378"/>
      <c r="C9" s="378"/>
      <c r="D9" s="362" t="s">
        <v>1047</v>
      </c>
      <c r="E9" s="367">
        <v>5</v>
      </c>
      <c r="F9" s="337" t="s">
        <v>1437</v>
      </c>
      <c r="G9" s="338" t="s">
        <v>873</v>
      </c>
      <c r="H9" s="339">
        <v>450000</v>
      </c>
      <c r="I9" s="339">
        <v>59985</v>
      </c>
      <c r="J9" s="340">
        <f t="shared" si="0"/>
        <v>509985</v>
      </c>
      <c r="K9" s="347">
        <v>50</v>
      </c>
      <c r="L9" s="379">
        <v>10199.700000000001</v>
      </c>
      <c r="M9" s="356">
        <f t="shared" si="1"/>
        <v>1199.7</v>
      </c>
      <c r="N9" s="356">
        <f t="shared" si="2"/>
        <v>9000</v>
      </c>
      <c r="O9" s="356">
        <f t="shared" si="3"/>
        <v>35991</v>
      </c>
      <c r="P9" s="356">
        <f t="shared" si="4"/>
        <v>23994</v>
      </c>
      <c r="Q9" s="352">
        <v>30</v>
      </c>
      <c r="R9" s="354">
        <f t="shared" si="5"/>
        <v>20</v>
      </c>
      <c r="S9" s="339">
        <f t="shared" si="6"/>
        <v>305991</v>
      </c>
      <c r="T9" s="339">
        <f t="shared" si="7"/>
        <v>203994</v>
      </c>
      <c r="U9" s="341"/>
    </row>
    <row r="10" spans="2:21">
      <c r="B10" s="378"/>
      <c r="C10" s="378"/>
      <c r="D10" s="337" t="s">
        <v>1418</v>
      </c>
      <c r="E10" s="367">
        <v>6</v>
      </c>
      <c r="F10" s="337" t="s">
        <v>1437</v>
      </c>
      <c r="G10" s="337" t="s">
        <v>455</v>
      </c>
      <c r="H10" s="346">
        <v>150000</v>
      </c>
      <c r="I10" s="346">
        <v>19995</v>
      </c>
      <c r="J10" s="340">
        <f t="shared" si="0"/>
        <v>169995</v>
      </c>
      <c r="K10" s="358">
        <v>50</v>
      </c>
      <c r="L10" s="381">
        <v>3399.9</v>
      </c>
      <c r="M10" s="356">
        <f t="shared" si="1"/>
        <v>399.9</v>
      </c>
      <c r="N10" s="356">
        <f t="shared" si="2"/>
        <v>3000</v>
      </c>
      <c r="O10" s="356">
        <f t="shared" si="3"/>
        <v>3199.2</v>
      </c>
      <c r="P10" s="356">
        <f t="shared" si="4"/>
        <v>16795.8</v>
      </c>
      <c r="Q10" s="358">
        <v>8</v>
      </c>
      <c r="R10" s="354">
        <f t="shared" si="5"/>
        <v>42</v>
      </c>
      <c r="S10" s="339">
        <f t="shared" si="6"/>
        <v>27199.200000000001</v>
      </c>
      <c r="T10" s="339">
        <f t="shared" si="7"/>
        <v>142795.79999999999</v>
      </c>
      <c r="U10" s="337"/>
    </row>
    <row r="11" spans="2:21">
      <c r="B11" s="378"/>
      <c r="C11" s="378"/>
      <c r="D11" s="363" t="s">
        <v>1034</v>
      </c>
      <c r="E11" s="367">
        <v>7</v>
      </c>
      <c r="F11" s="337" t="s">
        <v>1437</v>
      </c>
      <c r="G11" s="341" t="s">
        <v>1035</v>
      </c>
      <c r="H11" s="339">
        <v>500000</v>
      </c>
      <c r="I11" s="339">
        <v>66650</v>
      </c>
      <c r="J11" s="340">
        <f t="shared" si="0"/>
        <v>566650</v>
      </c>
      <c r="K11" s="347">
        <v>50</v>
      </c>
      <c r="L11" s="379">
        <v>11333</v>
      </c>
      <c r="M11" s="356">
        <f t="shared" si="1"/>
        <v>1333</v>
      </c>
      <c r="N11" s="356">
        <f t="shared" si="2"/>
        <v>10000</v>
      </c>
      <c r="O11" s="356">
        <f t="shared" si="3"/>
        <v>39990</v>
      </c>
      <c r="P11" s="356">
        <f t="shared" si="4"/>
        <v>26660</v>
      </c>
      <c r="Q11" s="347">
        <v>30</v>
      </c>
      <c r="R11" s="354">
        <f t="shared" si="5"/>
        <v>20</v>
      </c>
      <c r="S11" s="339">
        <f t="shared" si="6"/>
        <v>339990</v>
      </c>
      <c r="T11" s="339">
        <f t="shared" si="7"/>
        <v>226660</v>
      </c>
      <c r="U11" s="341"/>
    </row>
    <row r="12" spans="2:21">
      <c r="B12" s="378"/>
      <c r="C12" s="378"/>
      <c r="D12" s="337" t="s">
        <v>1462</v>
      </c>
      <c r="E12" s="367">
        <v>8</v>
      </c>
      <c r="F12" s="337" t="s">
        <v>1437</v>
      </c>
      <c r="G12" s="337" t="s">
        <v>458</v>
      </c>
      <c r="H12" s="346">
        <v>500000</v>
      </c>
      <c r="I12" s="346">
        <v>66650</v>
      </c>
      <c r="J12" s="340">
        <f t="shared" si="0"/>
        <v>566650</v>
      </c>
      <c r="K12" s="348">
        <v>50</v>
      </c>
      <c r="L12" s="381">
        <v>11333</v>
      </c>
      <c r="M12" s="356">
        <f t="shared" si="1"/>
        <v>1333</v>
      </c>
      <c r="N12" s="356">
        <f t="shared" si="2"/>
        <v>10000</v>
      </c>
      <c r="O12" s="356">
        <f t="shared" si="3"/>
        <v>3999</v>
      </c>
      <c r="P12" s="356">
        <f t="shared" si="4"/>
        <v>62651</v>
      </c>
      <c r="Q12" s="358">
        <v>3</v>
      </c>
      <c r="R12" s="354">
        <f t="shared" si="5"/>
        <v>47</v>
      </c>
      <c r="S12" s="339">
        <f t="shared" si="6"/>
        <v>33999</v>
      </c>
      <c r="T12" s="339">
        <f t="shared" si="7"/>
        <v>532651</v>
      </c>
      <c r="U12" s="337"/>
    </row>
    <row r="13" spans="2:21">
      <c r="B13" s="378"/>
      <c r="C13" s="378"/>
      <c r="D13" s="337" t="s">
        <v>1101</v>
      </c>
      <c r="E13" s="367">
        <v>9</v>
      </c>
      <c r="F13" s="337" t="s">
        <v>1437</v>
      </c>
      <c r="G13" s="337" t="s">
        <v>290</v>
      </c>
      <c r="H13" s="346">
        <v>330000</v>
      </c>
      <c r="I13" s="346">
        <v>43989</v>
      </c>
      <c r="J13" s="340">
        <f t="shared" si="0"/>
        <v>373989</v>
      </c>
      <c r="K13" s="348">
        <v>50</v>
      </c>
      <c r="L13" s="381">
        <v>7479.78</v>
      </c>
      <c r="M13" s="356">
        <f t="shared" si="1"/>
        <v>879.78</v>
      </c>
      <c r="N13" s="356">
        <f t="shared" si="2"/>
        <v>6600</v>
      </c>
      <c r="O13" s="356">
        <f t="shared" si="3"/>
        <v>2639.34</v>
      </c>
      <c r="P13" s="356">
        <f t="shared" si="4"/>
        <v>41349.659999999996</v>
      </c>
      <c r="Q13" s="358">
        <v>3</v>
      </c>
      <c r="R13" s="354">
        <f t="shared" si="5"/>
        <v>47</v>
      </c>
      <c r="S13" s="339">
        <f t="shared" si="6"/>
        <v>22439.34</v>
      </c>
      <c r="T13" s="339">
        <f t="shared" si="7"/>
        <v>351549.66</v>
      </c>
      <c r="U13" s="337"/>
    </row>
    <row r="14" spans="2:21">
      <c r="B14" s="378"/>
      <c r="C14" s="378"/>
      <c r="D14" s="362" t="s">
        <v>1382</v>
      </c>
      <c r="E14" s="367">
        <v>10</v>
      </c>
      <c r="F14" s="337" t="s">
        <v>1437</v>
      </c>
      <c r="G14" s="341" t="s">
        <v>1130</v>
      </c>
      <c r="H14" s="339">
        <v>330000</v>
      </c>
      <c r="I14" s="339">
        <v>43989</v>
      </c>
      <c r="J14" s="340">
        <f t="shared" si="0"/>
        <v>373989</v>
      </c>
      <c r="K14" s="347">
        <v>50</v>
      </c>
      <c r="L14" s="379">
        <v>7479.78</v>
      </c>
      <c r="M14" s="356">
        <f t="shared" si="1"/>
        <v>879.78</v>
      </c>
      <c r="N14" s="356">
        <f t="shared" si="2"/>
        <v>6600</v>
      </c>
      <c r="O14" s="356">
        <f t="shared" si="3"/>
        <v>19355.16</v>
      </c>
      <c r="P14" s="356">
        <f t="shared" si="4"/>
        <v>24633.84</v>
      </c>
      <c r="Q14" s="353">
        <v>22</v>
      </c>
      <c r="R14" s="354">
        <f t="shared" si="5"/>
        <v>28</v>
      </c>
      <c r="S14" s="339">
        <f t="shared" si="6"/>
        <v>164555.16</v>
      </c>
      <c r="T14" s="339">
        <f t="shared" si="7"/>
        <v>209433.84</v>
      </c>
      <c r="U14" s="341"/>
    </row>
    <row r="15" spans="2:21">
      <c r="B15" s="378"/>
      <c r="C15" s="378"/>
      <c r="D15" s="362" t="s">
        <v>1350</v>
      </c>
      <c r="E15" s="367">
        <v>11</v>
      </c>
      <c r="F15" s="337" t="s">
        <v>1437</v>
      </c>
      <c r="G15" s="338" t="s">
        <v>1117</v>
      </c>
      <c r="H15" s="339">
        <v>500000</v>
      </c>
      <c r="I15" s="339">
        <v>66650</v>
      </c>
      <c r="J15" s="340">
        <f t="shared" si="0"/>
        <v>566650</v>
      </c>
      <c r="K15" s="347">
        <v>50</v>
      </c>
      <c r="L15" s="379">
        <v>11333</v>
      </c>
      <c r="M15" s="356">
        <f t="shared" si="1"/>
        <v>1333</v>
      </c>
      <c r="N15" s="356">
        <f t="shared" si="2"/>
        <v>10000</v>
      </c>
      <c r="O15" s="356">
        <f t="shared" si="3"/>
        <v>29326</v>
      </c>
      <c r="P15" s="356">
        <f t="shared" si="4"/>
        <v>37324</v>
      </c>
      <c r="Q15" s="352">
        <v>22</v>
      </c>
      <c r="R15" s="354">
        <f t="shared" si="5"/>
        <v>28</v>
      </c>
      <c r="S15" s="339">
        <f t="shared" si="6"/>
        <v>249326</v>
      </c>
      <c r="T15" s="339">
        <f t="shared" si="7"/>
        <v>317324</v>
      </c>
      <c r="U15" s="341"/>
    </row>
    <row r="16" spans="2:21">
      <c r="B16" s="378"/>
      <c r="C16" s="378"/>
      <c r="D16" s="361" t="s">
        <v>1338</v>
      </c>
      <c r="E16" s="367">
        <v>12</v>
      </c>
      <c r="F16" s="337" t="s">
        <v>1437</v>
      </c>
      <c r="G16" s="341" t="s">
        <v>438</v>
      </c>
      <c r="H16" s="339">
        <v>500000</v>
      </c>
      <c r="I16" s="339">
        <v>66650</v>
      </c>
      <c r="J16" s="340">
        <f t="shared" si="0"/>
        <v>566650</v>
      </c>
      <c r="K16" s="347">
        <v>50</v>
      </c>
      <c r="L16" s="379">
        <v>11333</v>
      </c>
      <c r="M16" s="356">
        <f t="shared" si="1"/>
        <v>1333</v>
      </c>
      <c r="N16" s="356">
        <f t="shared" si="2"/>
        <v>10000</v>
      </c>
      <c r="O16" s="356">
        <f t="shared" si="3"/>
        <v>13330</v>
      </c>
      <c r="P16" s="356">
        <f t="shared" si="4"/>
        <v>53320</v>
      </c>
      <c r="Q16" s="352">
        <v>10</v>
      </c>
      <c r="R16" s="354">
        <f t="shared" si="5"/>
        <v>40</v>
      </c>
      <c r="S16" s="339">
        <f t="shared" si="6"/>
        <v>113330</v>
      </c>
      <c r="T16" s="339">
        <f t="shared" si="7"/>
        <v>453320</v>
      </c>
      <c r="U16" s="341"/>
    </row>
    <row r="17" spans="2:21">
      <c r="B17" s="378"/>
      <c r="C17" s="378"/>
      <c r="D17" s="337" t="s">
        <v>1413</v>
      </c>
      <c r="E17" s="367">
        <v>13</v>
      </c>
      <c r="F17" s="337" t="s">
        <v>1437</v>
      </c>
      <c r="G17" s="337" t="s">
        <v>454</v>
      </c>
      <c r="H17" s="346">
        <v>500000</v>
      </c>
      <c r="I17" s="346">
        <v>66650</v>
      </c>
      <c r="J17" s="340">
        <f t="shared" si="0"/>
        <v>566650</v>
      </c>
      <c r="K17" s="348">
        <v>50</v>
      </c>
      <c r="L17" s="380">
        <v>11333</v>
      </c>
      <c r="M17" s="356">
        <f t="shared" si="1"/>
        <v>1333</v>
      </c>
      <c r="N17" s="356">
        <f t="shared" si="2"/>
        <v>10000</v>
      </c>
      <c r="O17" s="356">
        <f t="shared" si="3"/>
        <v>10664</v>
      </c>
      <c r="P17" s="356">
        <f t="shared" si="4"/>
        <v>55986</v>
      </c>
      <c r="Q17" s="348">
        <v>8</v>
      </c>
      <c r="R17" s="354">
        <f t="shared" si="5"/>
        <v>42</v>
      </c>
      <c r="S17" s="339">
        <f t="shared" si="6"/>
        <v>90664</v>
      </c>
      <c r="T17" s="339">
        <f t="shared" si="7"/>
        <v>475986</v>
      </c>
      <c r="U17" s="337"/>
    </row>
    <row r="18" spans="2:21">
      <c r="B18" s="378"/>
      <c r="C18" s="378"/>
      <c r="D18" s="361" t="s">
        <v>1343</v>
      </c>
      <c r="E18" s="367">
        <v>14</v>
      </c>
      <c r="F18" s="337" t="s">
        <v>1437</v>
      </c>
      <c r="G18" s="341" t="s">
        <v>451</v>
      </c>
      <c r="H18" s="339">
        <v>500000</v>
      </c>
      <c r="I18" s="339">
        <v>66650</v>
      </c>
      <c r="J18" s="340">
        <f t="shared" si="0"/>
        <v>566650</v>
      </c>
      <c r="K18" s="347">
        <v>50</v>
      </c>
      <c r="L18" s="379">
        <v>11333</v>
      </c>
      <c r="M18" s="356">
        <f t="shared" si="1"/>
        <v>1333</v>
      </c>
      <c r="N18" s="356">
        <f t="shared" si="2"/>
        <v>10000</v>
      </c>
      <c r="O18" s="356">
        <f t="shared" si="3"/>
        <v>27993</v>
      </c>
      <c r="P18" s="356">
        <f t="shared" si="4"/>
        <v>38657</v>
      </c>
      <c r="Q18" s="353">
        <v>21</v>
      </c>
      <c r="R18" s="354">
        <f t="shared" si="5"/>
        <v>29</v>
      </c>
      <c r="S18" s="339">
        <f t="shared" si="6"/>
        <v>237993</v>
      </c>
      <c r="T18" s="339">
        <f t="shared" si="7"/>
        <v>328657</v>
      </c>
      <c r="U18" s="341"/>
    </row>
    <row r="19" spans="2:21">
      <c r="B19" s="378"/>
      <c r="C19" s="378"/>
      <c r="D19" s="337" t="s">
        <v>1463</v>
      </c>
      <c r="E19" s="367">
        <v>15</v>
      </c>
      <c r="F19" s="337" t="s">
        <v>1437</v>
      </c>
      <c r="G19" s="337" t="s">
        <v>472</v>
      </c>
      <c r="H19" s="346">
        <v>500000</v>
      </c>
      <c r="I19" s="346">
        <v>66650</v>
      </c>
      <c r="J19" s="340">
        <f t="shared" si="0"/>
        <v>566650</v>
      </c>
      <c r="K19" s="348">
        <v>50</v>
      </c>
      <c r="L19" s="381">
        <v>11333</v>
      </c>
      <c r="M19" s="356">
        <f t="shared" si="1"/>
        <v>1333</v>
      </c>
      <c r="N19" s="356">
        <f t="shared" si="2"/>
        <v>10000</v>
      </c>
      <c r="O19" s="356">
        <f t="shared" si="3"/>
        <v>3999</v>
      </c>
      <c r="P19" s="356">
        <f t="shared" si="4"/>
        <v>62651</v>
      </c>
      <c r="Q19" s="358">
        <v>3</v>
      </c>
      <c r="R19" s="354">
        <f t="shared" si="5"/>
        <v>47</v>
      </c>
      <c r="S19" s="339">
        <f t="shared" si="6"/>
        <v>33999</v>
      </c>
      <c r="T19" s="339">
        <f t="shared" si="7"/>
        <v>532651</v>
      </c>
      <c r="U19" s="337"/>
    </row>
    <row r="20" spans="2:21">
      <c r="B20" s="378"/>
      <c r="C20" s="378"/>
      <c r="D20" s="363" t="s">
        <v>1107</v>
      </c>
      <c r="E20" s="367">
        <v>16</v>
      </c>
      <c r="F20" s="337" t="s">
        <v>1437</v>
      </c>
      <c r="G20" s="341" t="s">
        <v>734</v>
      </c>
      <c r="H20" s="339">
        <v>500000</v>
      </c>
      <c r="I20" s="339">
        <v>66650</v>
      </c>
      <c r="J20" s="340">
        <f t="shared" si="0"/>
        <v>566650</v>
      </c>
      <c r="K20" s="347">
        <v>50</v>
      </c>
      <c r="L20" s="379">
        <v>11333</v>
      </c>
      <c r="M20" s="356">
        <f t="shared" si="1"/>
        <v>1333</v>
      </c>
      <c r="N20" s="356">
        <f t="shared" si="2"/>
        <v>10000</v>
      </c>
      <c r="O20" s="356">
        <f t="shared" si="3"/>
        <v>13330</v>
      </c>
      <c r="P20" s="356">
        <f t="shared" si="4"/>
        <v>53320</v>
      </c>
      <c r="Q20" s="353">
        <v>10</v>
      </c>
      <c r="R20" s="354">
        <f t="shared" si="5"/>
        <v>40</v>
      </c>
      <c r="S20" s="339">
        <f t="shared" si="6"/>
        <v>113330</v>
      </c>
      <c r="T20" s="339">
        <f t="shared" si="7"/>
        <v>453320</v>
      </c>
      <c r="U20" s="341"/>
    </row>
    <row r="21" spans="2:21">
      <c r="B21" s="378"/>
      <c r="C21" s="378"/>
      <c r="D21" s="363" t="s">
        <v>1344</v>
      </c>
      <c r="E21" s="367">
        <v>17</v>
      </c>
      <c r="F21" s="337" t="s">
        <v>1437</v>
      </c>
      <c r="G21" s="341" t="s">
        <v>1345</v>
      </c>
      <c r="H21" s="339">
        <v>500000</v>
      </c>
      <c r="I21" s="339">
        <v>66650</v>
      </c>
      <c r="J21" s="340">
        <f t="shared" si="0"/>
        <v>566650</v>
      </c>
      <c r="K21" s="347">
        <v>50</v>
      </c>
      <c r="L21" s="379">
        <v>11333</v>
      </c>
      <c r="M21" s="356">
        <f t="shared" si="1"/>
        <v>1333</v>
      </c>
      <c r="N21" s="356">
        <f t="shared" si="2"/>
        <v>10000</v>
      </c>
      <c r="O21" s="356">
        <f t="shared" si="3"/>
        <v>17329</v>
      </c>
      <c r="P21" s="356">
        <f t="shared" si="4"/>
        <v>49321</v>
      </c>
      <c r="Q21" s="352">
        <v>13</v>
      </c>
      <c r="R21" s="354">
        <f t="shared" si="5"/>
        <v>37</v>
      </c>
      <c r="S21" s="339">
        <f t="shared" si="6"/>
        <v>147329</v>
      </c>
      <c r="T21" s="339">
        <f t="shared" si="7"/>
        <v>419321</v>
      </c>
      <c r="U21" s="341"/>
    </row>
    <row r="22" spans="2:21">
      <c r="B22" s="378"/>
      <c r="C22" s="378"/>
      <c r="D22" s="362" t="s">
        <v>989</v>
      </c>
      <c r="E22" s="367">
        <v>18</v>
      </c>
      <c r="F22" s="337" t="s">
        <v>1437</v>
      </c>
      <c r="G22" s="338" t="s">
        <v>864</v>
      </c>
      <c r="H22" s="339">
        <v>500000</v>
      </c>
      <c r="I22" s="339">
        <v>66650</v>
      </c>
      <c r="J22" s="340">
        <f t="shared" si="0"/>
        <v>566650</v>
      </c>
      <c r="K22" s="347">
        <v>50</v>
      </c>
      <c r="L22" s="379">
        <v>11333</v>
      </c>
      <c r="M22" s="356">
        <f t="shared" si="1"/>
        <v>1333</v>
      </c>
      <c r="N22" s="356">
        <f t="shared" si="2"/>
        <v>10000</v>
      </c>
      <c r="O22" s="356">
        <f t="shared" si="3"/>
        <v>39990</v>
      </c>
      <c r="P22" s="356">
        <f t="shared" si="4"/>
        <v>26660</v>
      </c>
      <c r="Q22" s="352">
        <v>30</v>
      </c>
      <c r="R22" s="354">
        <f t="shared" si="5"/>
        <v>20</v>
      </c>
      <c r="S22" s="339">
        <f t="shared" si="6"/>
        <v>339990</v>
      </c>
      <c r="T22" s="339">
        <f t="shared" si="7"/>
        <v>226660</v>
      </c>
      <c r="U22" s="341"/>
    </row>
    <row r="23" spans="2:21">
      <c r="B23" s="378"/>
      <c r="C23" s="378"/>
      <c r="D23" s="337" t="s">
        <v>991</v>
      </c>
      <c r="E23" s="367">
        <v>19</v>
      </c>
      <c r="F23" s="337" t="s">
        <v>1437</v>
      </c>
      <c r="G23" s="337" t="s">
        <v>992</v>
      </c>
      <c r="H23" s="346">
        <v>330000</v>
      </c>
      <c r="I23" s="346">
        <v>26393.4</v>
      </c>
      <c r="J23" s="340">
        <f t="shared" si="0"/>
        <v>356393.4</v>
      </c>
      <c r="K23" s="358">
        <v>30</v>
      </c>
      <c r="L23" s="381">
        <v>11879.78</v>
      </c>
      <c r="M23" s="356">
        <f>I23/30</f>
        <v>879.78000000000009</v>
      </c>
      <c r="N23" s="356">
        <f t="shared" si="2"/>
        <v>6600</v>
      </c>
      <c r="O23" s="356">
        <f t="shared" si="3"/>
        <v>2639.34</v>
      </c>
      <c r="P23" s="356">
        <f t="shared" si="4"/>
        <v>23754.06</v>
      </c>
      <c r="Q23" s="358">
        <v>3</v>
      </c>
      <c r="R23" s="354">
        <f t="shared" si="5"/>
        <v>27</v>
      </c>
      <c r="S23" s="339">
        <f t="shared" si="6"/>
        <v>35639.340000000004</v>
      </c>
      <c r="T23" s="339">
        <f t="shared" si="7"/>
        <v>320754.06</v>
      </c>
      <c r="U23" s="337"/>
    </row>
    <row r="24" spans="2:21">
      <c r="B24" s="378"/>
      <c r="C24" s="378"/>
      <c r="D24" s="337" t="s">
        <v>1038</v>
      </c>
      <c r="E24" s="367">
        <v>20</v>
      </c>
      <c r="F24" s="337" t="s">
        <v>1437</v>
      </c>
      <c r="G24" s="337" t="s">
        <v>375</v>
      </c>
      <c r="H24" s="346">
        <v>450000</v>
      </c>
      <c r="I24" s="346">
        <v>59985</v>
      </c>
      <c r="J24" s="340">
        <f t="shared" si="0"/>
        <v>509985</v>
      </c>
      <c r="K24" s="348">
        <v>50</v>
      </c>
      <c r="L24" s="381">
        <v>10199.700000000001</v>
      </c>
      <c r="M24" s="356">
        <f t="shared" ref="M24:M39" si="8">I24/50</f>
        <v>1199.7</v>
      </c>
      <c r="N24" s="356">
        <f t="shared" si="2"/>
        <v>9000</v>
      </c>
      <c r="O24" s="356">
        <f t="shared" si="3"/>
        <v>7198.2000000000007</v>
      </c>
      <c r="P24" s="356">
        <f t="shared" si="4"/>
        <v>52786.8</v>
      </c>
      <c r="Q24" s="358">
        <v>6</v>
      </c>
      <c r="R24" s="354">
        <f t="shared" si="5"/>
        <v>44</v>
      </c>
      <c r="S24" s="339">
        <f t="shared" si="6"/>
        <v>61198.200000000004</v>
      </c>
      <c r="T24" s="339">
        <f t="shared" si="7"/>
        <v>448786.8</v>
      </c>
      <c r="U24" s="337"/>
    </row>
    <row r="25" spans="2:21">
      <c r="B25" s="378"/>
      <c r="C25" s="378"/>
      <c r="D25" s="363" t="s">
        <v>1352</v>
      </c>
      <c r="E25" s="367">
        <v>21</v>
      </c>
      <c r="F25" s="337" t="s">
        <v>1437</v>
      </c>
      <c r="G25" s="341" t="s">
        <v>1353</v>
      </c>
      <c r="H25" s="339">
        <v>500000</v>
      </c>
      <c r="I25" s="339">
        <v>66650</v>
      </c>
      <c r="J25" s="340">
        <f t="shared" si="0"/>
        <v>566650</v>
      </c>
      <c r="K25" s="347">
        <v>50</v>
      </c>
      <c r="L25" s="379">
        <v>11333</v>
      </c>
      <c r="M25" s="356">
        <f t="shared" si="8"/>
        <v>1333</v>
      </c>
      <c r="N25" s="356">
        <f t="shared" si="2"/>
        <v>10000</v>
      </c>
      <c r="O25" s="356">
        <f t="shared" si="3"/>
        <v>13330</v>
      </c>
      <c r="P25" s="356">
        <f t="shared" si="4"/>
        <v>53320</v>
      </c>
      <c r="Q25" s="347">
        <v>10</v>
      </c>
      <c r="R25" s="354">
        <f t="shared" si="5"/>
        <v>40</v>
      </c>
      <c r="S25" s="339">
        <f t="shared" si="6"/>
        <v>113330</v>
      </c>
      <c r="T25" s="339">
        <f t="shared" si="7"/>
        <v>453320</v>
      </c>
      <c r="U25" s="341"/>
    </row>
    <row r="26" spans="2:21">
      <c r="B26" s="378"/>
      <c r="C26" s="378"/>
      <c r="D26" s="362" t="s">
        <v>1141</v>
      </c>
      <c r="E26" s="367">
        <v>22</v>
      </c>
      <c r="F26" s="337" t="s">
        <v>1437</v>
      </c>
      <c r="G26" s="338" t="s">
        <v>1142</v>
      </c>
      <c r="H26" s="339">
        <v>330000</v>
      </c>
      <c r="I26" s="339">
        <v>43989</v>
      </c>
      <c r="J26" s="340">
        <f t="shared" si="0"/>
        <v>373989</v>
      </c>
      <c r="K26" s="347">
        <v>50</v>
      </c>
      <c r="L26" s="379">
        <v>7479.78</v>
      </c>
      <c r="M26" s="356">
        <f t="shared" si="8"/>
        <v>879.78</v>
      </c>
      <c r="N26" s="356">
        <f t="shared" si="2"/>
        <v>6600</v>
      </c>
      <c r="O26" s="356">
        <f t="shared" si="3"/>
        <v>20234.939999999999</v>
      </c>
      <c r="P26" s="356">
        <f t="shared" si="4"/>
        <v>23754.059999999998</v>
      </c>
      <c r="Q26" s="352">
        <v>23</v>
      </c>
      <c r="R26" s="354">
        <f t="shared" si="5"/>
        <v>27</v>
      </c>
      <c r="S26" s="339">
        <f t="shared" si="6"/>
        <v>172034.94</v>
      </c>
      <c r="T26" s="339">
        <f t="shared" si="7"/>
        <v>201954.06</v>
      </c>
      <c r="U26" s="341"/>
    </row>
    <row r="27" spans="2:21">
      <c r="B27" s="378"/>
      <c r="C27" s="378"/>
      <c r="D27" s="364" t="s">
        <v>966</v>
      </c>
      <c r="E27" s="367">
        <v>23</v>
      </c>
      <c r="F27" s="337" t="s">
        <v>1437</v>
      </c>
      <c r="G27" s="337" t="s">
        <v>29</v>
      </c>
      <c r="H27" s="346">
        <v>450000</v>
      </c>
      <c r="I27" s="346">
        <v>59985</v>
      </c>
      <c r="J27" s="340">
        <f t="shared" si="0"/>
        <v>509985</v>
      </c>
      <c r="K27" s="348">
        <v>50</v>
      </c>
      <c r="L27" s="380">
        <v>10199.700000000001</v>
      </c>
      <c r="M27" s="356">
        <f t="shared" si="8"/>
        <v>1199.7</v>
      </c>
      <c r="N27" s="356">
        <f t="shared" si="2"/>
        <v>9000</v>
      </c>
      <c r="O27" s="356">
        <f t="shared" si="3"/>
        <v>56385.9</v>
      </c>
      <c r="P27" s="356">
        <f t="shared" si="4"/>
        <v>3599.1000000000004</v>
      </c>
      <c r="Q27" s="348">
        <v>47</v>
      </c>
      <c r="R27" s="354">
        <f t="shared" si="5"/>
        <v>3</v>
      </c>
      <c r="S27" s="339">
        <f t="shared" si="6"/>
        <v>479385.9</v>
      </c>
      <c r="T27" s="339">
        <f t="shared" si="7"/>
        <v>30599.099999999977</v>
      </c>
      <c r="U27" s="337"/>
    </row>
    <row r="28" spans="2:21">
      <c r="B28" s="378"/>
      <c r="C28" s="378"/>
      <c r="D28" s="362" t="s">
        <v>993</v>
      </c>
      <c r="E28" s="367">
        <v>24</v>
      </c>
      <c r="F28" s="337" t="s">
        <v>1437</v>
      </c>
      <c r="G28" s="337" t="s">
        <v>994</v>
      </c>
      <c r="H28" s="346">
        <v>150000</v>
      </c>
      <c r="I28" s="346">
        <v>19995</v>
      </c>
      <c r="J28" s="340">
        <f t="shared" si="0"/>
        <v>169995</v>
      </c>
      <c r="K28" s="348">
        <v>50</v>
      </c>
      <c r="L28" s="380">
        <v>3399.9</v>
      </c>
      <c r="M28" s="356">
        <f t="shared" si="8"/>
        <v>399.9</v>
      </c>
      <c r="N28" s="356">
        <f t="shared" si="2"/>
        <v>3000</v>
      </c>
      <c r="O28" s="356">
        <f t="shared" si="3"/>
        <v>11997</v>
      </c>
      <c r="P28" s="356">
        <f t="shared" si="4"/>
        <v>7998</v>
      </c>
      <c r="Q28" s="348">
        <v>30</v>
      </c>
      <c r="R28" s="354">
        <f t="shared" si="5"/>
        <v>20</v>
      </c>
      <c r="S28" s="339">
        <f t="shared" si="6"/>
        <v>101997</v>
      </c>
      <c r="T28" s="339">
        <f t="shared" si="7"/>
        <v>67998</v>
      </c>
      <c r="U28" s="337"/>
    </row>
    <row r="29" spans="2:21">
      <c r="B29" s="378"/>
      <c r="C29" s="378"/>
      <c r="D29" s="364" t="s">
        <v>1099</v>
      </c>
      <c r="E29" s="367">
        <v>25</v>
      </c>
      <c r="F29" s="337" t="s">
        <v>1437</v>
      </c>
      <c r="G29" s="337" t="s">
        <v>487</v>
      </c>
      <c r="H29" s="346">
        <v>500000</v>
      </c>
      <c r="I29" s="346">
        <v>66650</v>
      </c>
      <c r="J29" s="340">
        <f t="shared" si="0"/>
        <v>566650</v>
      </c>
      <c r="K29" s="348">
        <v>50</v>
      </c>
      <c r="L29" s="380">
        <v>11333</v>
      </c>
      <c r="M29" s="356">
        <f t="shared" si="8"/>
        <v>1333</v>
      </c>
      <c r="N29" s="356">
        <f t="shared" si="2"/>
        <v>10000</v>
      </c>
      <c r="O29" s="356">
        <f t="shared" si="3"/>
        <v>46655</v>
      </c>
      <c r="P29" s="356">
        <f t="shared" si="4"/>
        <v>19995</v>
      </c>
      <c r="Q29" s="348">
        <v>35</v>
      </c>
      <c r="R29" s="354">
        <f t="shared" si="5"/>
        <v>15</v>
      </c>
      <c r="S29" s="339">
        <f t="shared" si="6"/>
        <v>396655</v>
      </c>
      <c r="T29" s="339">
        <f t="shared" si="7"/>
        <v>169995</v>
      </c>
      <c r="U29" s="337"/>
    </row>
    <row r="30" spans="2:21">
      <c r="B30" s="378"/>
      <c r="C30" s="378"/>
      <c r="D30" s="364" t="s">
        <v>1069</v>
      </c>
      <c r="E30" s="367">
        <v>26</v>
      </c>
      <c r="F30" s="337" t="s">
        <v>1437</v>
      </c>
      <c r="G30" s="337" t="s">
        <v>358</v>
      </c>
      <c r="H30" s="346">
        <v>500000</v>
      </c>
      <c r="I30" s="346">
        <v>66650</v>
      </c>
      <c r="J30" s="340">
        <f t="shared" si="0"/>
        <v>566650</v>
      </c>
      <c r="K30" s="348">
        <v>50</v>
      </c>
      <c r="L30" s="380">
        <v>11333</v>
      </c>
      <c r="M30" s="356">
        <f t="shared" si="8"/>
        <v>1333</v>
      </c>
      <c r="N30" s="356">
        <f t="shared" si="2"/>
        <v>10000</v>
      </c>
      <c r="O30" s="356">
        <f t="shared" si="3"/>
        <v>62651</v>
      </c>
      <c r="P30" s="356">
        <f t="shared" si="4"/>
        <v>3999</v>
      </c>
      <c r="Q30" s="348">
        <v>47</v>
      </c>
      <c r="R30" s="354">
        <f t="shared" si="5"/>
        <v>3</v>
      </c>
      <c r="S30" s="339">
        <f t="shared" si="6"/>
        <v>532651</v>
      </c>
      <c r="T30" s="339">
        <f t="shared" si="7"/>
        <v>33999</v>
      </c>
      <c r="U30" s="337"/>
    </row>
    <row r="31" spans="2:21">
      <c r="B31" s="378"/>
      <c r="C31" s="378"/>
      <c r="D31" s="337" t="s">
        <v>1445</v>
      </c>
      <c r="E31" s="367">
        <v>27</v>
      </c>
      <c r="F31" s="337" t="s">
        <v>1437</v>
      </c>
      <c r="G31" s="337" t="s">
        <v>1446</v>
      </c>
      <c r="H31" s="346">
        <v>500000</v>
      </c>
      <c r="I31" s="346">
        <v>66650</v>
      </c>
      <c r="J31" s="340">
        <f t="shared" si="0"/>
        <v>566650</v>
      </c>
      <c r="K31" s="348">
        <v>50</v>
      </c>
      <c r="L31" s="381">
        <v>11333</v>
      </c>
      <c r="M31" s="356">
        <f t="shared" si="8"/>
        <v>1333</v>
      </c>
      <c r="N31" s="356">
        <f t="shared" si="2"/>
        <v>10000</v>
      </c>
      <c r="O31" s="356">
        <f t="shared" si="3"/>
        <v>7998</v>
      </c>
      <c r="P31" s="356">
        <f t="shared" si="4"/>
        <v>58652</v>
      </c>
      <c r="Q31" s="358">
        <v>6</v>
      </c>
      <c r="R31" s="354">
        <f t="shared" si="5"/>
        <v>44</v>
      </c>
      <c r="S31" s="339">
        <f t="shared" si="6"/>
        <v>67998</v>
      </c>
      <c r="T31" s="339">
        <f t="shared" si="7"/>
        <v>498652</v>
      </c>
      <c r="U31" s="337"/>
    </row>
    <row r="32" spans="2:21">
      <c r="B32" s="378"/>
      <c r="C32" s="378"/>
      <c r="D32" s="364" t="s">
        <v>1106</v>
      </c>
      <c r="E32" s="367">
        <v>28</v>
      </c>
      <c r="F32" s="337" t="s">
        <v>1437</v>
      </c>
      <c r="G32" s="337" t="s">
        <v>314</v>
      </c>
      <c r="H32" s="346">
        <v>500000</v>
      </c>
      <c r="I32" s="346">
        <v>66650</v>
      </c>
      <c r="J32" s="340">
        <f t="shared" si="0"/>
        <v>566650</v>
      </c>
      <c r="K32" s="348">
        <v>50</v>
      </c>
      <c r="L32" s="380">
        <v>11333</v>
      </c>
      <c r="M32" s="356">
        <f t="shared" si="8"/>
        <v>1333</v>
      </c>
      <c r="N32" s="356">
        <f t="shared" si="2"/>
        <v>10000</v>
      </c>
      <c r="O32" s="356">
        <f t="shared" si="3"/>
        <v>62651</v>
      </c>
      <c r="P32" s="356">
        <f t="shared" si="4"/>
        <v>3999</v>
      </c>
      <c r="Q32" s="348">
        <v>47</v>
      </c>
      <c r="R32" s="354">
        <f t="shared" si="5"/>
        <v>3</v>
      </c>
      <c r="S32" s="339">
        <f t="shared" si="6"/>
        <v>532651</v>
      </c>
      <c r="T32" s="339">
        <f t="shared" si="7"/>
        <v>33999</v>
      </c>
      <c r="U32" s="337"/>
    </row>
    <row r="33" spans="2:21">
      <c r="B33" s="378"/>
      <c r="C33" s="378"/>
      <c r="D33" s="364" t="s">
        <v>1046</v>
      </c>
      <c r="E33" s="367">
        <v>29</v>
      </c>
      <c r="F33" s="337" t="s">
        <v>1437</v>
      </c>
      <c r="G33" s="337" t="s">
        <v>349</v>
      </c>
      <c r="H33" s="346">
        <v>500000</v>
      </c>
      <c r="I33" s="346">
        <v>66650</v>
      </c>
      <c r="J33" s="340">
        <f t="shared" si="0"/>
        <v>566650</v>
      </c>
      <c r="K33" s="348">
        <v>50</v>
      </c>
      <c r="L33" s="380">
        <v>11333</v>
      </c>
      <c r="M33" s="356">
        <f t="shared" si="8"/>
        <v>1333</v>
      </c>
      <c r="N33" s="356">
        <f t="shared" si="2"/>
        <v>10000</v>
      </c>
      <c r="O33" s="356">
        <f t="shared" si="3"/>
        <v>51987</v>
      </c>
      <c r="P33" s="356">
        <f t="shared" si="4"/>
        <v>14663</v>
      </c>
      <c r="Q33" s="348">
        <v>39</v>
      </c>
      <c r="R33" s="354">
        <f t="shared" si="5"/>
        <v>11</v>
      </c>
      <c r="S33" s="339">
        <f t="shared" si="6"/>
        <v>441987</v>
      </c>
      <c r="T33" s="339">
        <f t="shared" si="7"/>
        <v>124663</v>
      </c>
      <c r="U33" s="337"/>
    </row>
    <row r="34" spans="2:21" ht="22.5">
      <c r="B34" s="378"/>
      <c r="C34" s="378"/>
      <c r="D34" s="337" t="s">
        <v>1440</v>
      </c>
      <c r="E34" s="367">
        <v>30</v>
      </c>
      <c r="F34" s="337" t="s">
        <v>1437</v>
      </c>
      <c r="G34" s="337" t="s">
        <v>1441</v>
      </c>
      <c r="H34" s="346">
        <v>500000</v>
      </c>
      <c r="I34" s="346">
        <v>66650</v>
      </c>
      <c r="J34" s="340">
        <f t="shared" si="0"/>
        <v>566650</v>
      </c>
      <c r="K34" s="348">
        <v>50</v>
      </c>
      <c r="L34" s="381">
        <v>11333</v>
      </c>
      <c r="M34" s="356">
        <f t="shared" si="8"/>
        <v>1333</v>
      </c>
      <c r="N34" s="356">
        <f t="shared" si="2"/>
        <v>10000</v>
      </c>
      <c r="O34" s="356">
        <f t="shared" si="3"/>
        <v>62651</v>
      </c>
      <c r="P34" s="356">
        <f t="shared" si="4"/>
        <v>3999</v>
      </c>
      <c r="Q34" s="358">
        <v>47</v>
      </c>
      <c r="R34" s="354">
        <f t="shared" si="5"/>
        <v>3</v>
      </c>
      <c r="S34" s="339">
        <f t="shared" si="6"/>
        <v>532651</v>
      </c>
      <c r="T34" s="339">
        <f t="shared" si="7"/>
        <v>33999</v>
      </c>
      <c r="U34" s="389" t="s">
        <v>1444</v>
      </c>
    </row>
    <row r="35" spans="2:21">
      <c r="B35" s="378"/>
      <c r="C35" s="378"/>
      <c r="D35" s="364" t="s">
        <v>1009</v>
      </c>
      <c r="E35" s="367">
        <v>31</v>
      </c>
      <c r="F35" s="337" t="s">
        <v>1437</v>
      </c>
      <c r="G35" s="337" t="s">
        <v>332</v>
      </c>
      <c r="H35" s="346">
        <v>500000</v>
      </c>
      <c r="I35" s="346">
        <v>66650</v>
      </c>
      <c r="J35" s="340">
        <f t="shared" si="0"/>
        <v>566650</v>
      </c>
      <c r="K35" s="348">
        <v>50</v>
      </c>
      <c r="L35" s="380">
        <v>11333</v>
      </c>
      <c r="M35" s="356">
        <f t="shared" si="8"/>
        <v>1333</v>
      </c>
      <c r="N35" s="356">
        <f t="shared" si="2"/>
        <v>10000</v>
      </c>
      <c r="O35" s="356">
        <f t="shared" si="3"/>
        <v>62651</v>
      </c>
      <c r="P35" s="356">
        <f t="shared" si="4"/>
        <v>3999</v>
      </c>
      <c r="Q35" s="348">
        <v>47</v>
      </c>
      <c r="R35" s="354">
        <f t="shared" si="5"/>
        <v>3</v>
      </c>
      <c r="S35" s="339">
        <f t="shared" si="6"/>
        <v>532651</v>
      </c>
      <c r="T35" s="339">
        <f t="shared" si="7"/>
        <v>33999</v>
      </c>
      <c r="U35" s="337"/>
    </row>
    <row r="36" spans="2:21">
      <c r="B36" s="378"/>
      <c r="C36" s="378"/>
      <c r="D36" s="361" t="s">
        <v>1342</v>
      </c>
      <c r="E36" s="367">
        <v>32</v>
      </c>
      <c r="F36" s="337" t="s">
        <v>1437</v>
      </c>
      <c r="G36" s="337" t="s">
        <v>1290</v>
      </c>
      <c r="H36" s="346">
        <v>500000</v>
      </c>
      <c r="I36" s="346">
        <v>66650</v>
      </c>
      <c r="J36" s="340">
        <f t="shared" si="0"/>
        <v>566650</v>
      </c>
      <c r="K36" s="348">
        <v>50</v>
      </c>
      <c r="L36" s="380">
        <v>11333</v>
      </c>
      <c r="M36" s="356">
        <f t="shared" si="8"/>
        <v>1333</v>
      </c>
      <c r="N36" s="356">
        <f t="shared" si="2"/>
        <v>10000</v>
      </c>
      <c r="O36" s="356">
        <f t="shared" si="3"/>
        <v>26660</v>
      </c>
      <c r="P36" s="356">
        <f t="shared" si="4"/>
        <v>39990</v>
      </c>
      <c r="Q36" s="348">
        <v>20</v>
      </c>
      <c r="R36" s="354">
        <f t="shared" si="5"/>
        <v>30</v>
      </c>
      <c r="S36" s="339">
        <f t="shared" si="6"/>
        <v>226660</v>
      </c>
      <c r="T36" s="339">
        <f t="shared" si="7"/>
        <v>339990</v>
      </c>
      <c r="U36" s="337"/>
    </row>
    <row r="37" spans="2:21">
      <c r="B37" s="378"/>
      <c r="C37" s="378"/>
      <c r="D37" s="364" t="s">
        <v>995</v>
      </c>
      <c r="E37" s="367">
        <v>33</v>
      </c>
      <c r="F37" s="337" t="s">
        <v>1437</v>
      </c>
      <c r="G37" s="337" t="s">
        <v>339</v>
      </c>
      <c r="H37" s="346">
        <v>500000</v>
      </c>
      <c r="I37" s="346">
        <v>66650</v>
      </c>
      <c r="J37" s="340">
        <f t="shared" ref="J37:J68" si="9">SUM(H37:I37)</f>
        <v>566650</v>
      </c>
      <c r="K37" s="348">
        <v>50</v>
      </c>
      <c r="L37" s="380">
        <v>11333</v>
      </c>
      <c r="M37" s="356">
        <f t="shared" si="8"/>
        <v>1333</v>
      </c>
      <c r="N37" s="356">
        <f t="shared" ref="N37:N68" si="10">H37/50</f>
        <v>10000</v>
      </c>
      <c r="O37" s="356">
        <f t="shared" ref="O37:O68" si="11">M37*Q37</f>
        <v>62651</v>
      </c>
      <c r="P37" s="356">
        <f t="shared" ref="P37:P68" si="12">M37*R37</f>
        <v>3999</v>
      </c>
      <c r="Q37" s="348">
        <v>47</v>
      </c>
      <c r="R37" s="354">
        <f t="shared" ref="R37:R68" si="13">K37-Q37</f>
        <v>3</v>
      </c>
      <c r="S37" s="339">
        <f t="shared" ref="S37:S68" si="14">L37*Q37</f>
        <v>532651</v>
      </c>
      <c r="T37" s="339">
        <f t="shared" ref="T37:T68" si="15">J37-S37</f>
        <v>33999</v>
      </c>
      <c r="U37" s="337"/>
    </row>
    <row r="38" spans="2:21">
      <c r="B38" s="378"/>
      <c r="C38" s="378"/>
      <c r="D38" s="362" t="s">
        <v>1366</v>
      </c>
      <c r="E38" s="367">
        <v>34</v>
      </c>
      <c r="F38" s="337" t="s">
        <v>1437</v>
      </c>
      <c r="G38" s="337" t="s">
        <v>1138</v>
      </c>
      <c r="H38" s="346">
        <v>450000</v>
      </c>
      <c r="I38" s="346">
        <v>59985</v>
      </c>
      <c r="J38" s="340">
        <f t="shared" si="9"/>
        <v>509985</v>
      </c>
      <c r="K38" s="348">
        <v>50</v>
      </c>
      <c r="L38" s="380">
        <v>10199.700000000001</v>
      </c>
      <c r="M38" s="356">
        <f t="shared" si="8"/>
        <v>1199.7</v>
      </c>
      <c r="N38" s="356">
        <f t="shared" si="10"/>
        <v>9000</v>
      </c>
      <c r="O38" s="356">
        <f t="shared" si="11"/>
        <v>26393.4</v>
      </c>
      <c r="P38" s="356">
        <f t="shared" si="12"/>
        <v>33591.599999999999</v>
      </c>
      <c r="Q38" s="348">
        <v>22</v>
      </c>
      <c r="R38" s="354">
        <f t="shared" si="13"/>
        <v>28</v>
      </c>
      <c r="S38" s="339">
        <f t="shared" si="14"/>
        <v>224393.40000000002</v>
      </c>
      <c r="T38" s="339">
        <f t="shared" si="15"/>
        <v>285591.59999999998</v>
      </c>
      <c r="U38" s="337"/>
    </row>
    <row r="39" spans="2:21">
      <c r="B39" s="378"/>
      <c r="C39" s="378"/>
      <c r="D39" s="364" t="s">
        <v>998</v>
      </c>
      <c r="E39" s="367">
        <v>35</v>
      </c>
      <c r="F39" s="337" t="s">
        <v>1437</v>
      </c>
      <c r="G39" s="337" t="s">
        <v>363</v>
      </c>
      <c r="H39" s="346">
        <v>450000</v>
      </c>
      <c r="I39" s="346">
        <v>59985</v>
      </c>
      <c r="J39" s="340">
        <f t="shared" si="9"/>
        <v>509985</v>
      </c>
      <c r="K39" s="348">
        <v>50</v>
      </c>
      <c r="L39" s="380">
        <v>10199.700000000001</v>
      </c>
      <c r="M39" s="356">
        <f t="shared" si="8"/>
        <v>1199.7</v>
      </c>
      <c r="N39" s="356">
        <f t="shared" si="10"/>
        <v>9000</v>
      </c>
      <c r="O39" s="356">
        <f t="shared" si="11"/>
        <v>46788.3</v>
      </c>
      <c r="P39" s="356">
        <f t="shared" si="12"/>
        <v>13196.7</v>
      </c>
      <c r="Q39" s="348">
        <v>39</v>
      </c>
      <c r="R39" s="354">
        <f t="shared" si="13"/>
        <v>11</v>
      </c>
      <c r="S39" s="339">
        <f t="shared" si="14"/>
        <v>397788.30000000005</v>
      </c>
      <c r="T39" s="339">
        <f t="shared" si="15"/>
        <v>112196.69999999995</v>
      </c>
      <c r="U39" s="337"/>
    </row>
    <row r="40" spans="2:21">
      <c r="B40" s="378"/>
      <c r="C40" s="378"/>
      <c r="D40" s="337" t="s">
        <v>1079</v>
      </c>
      <c r="E40" s="367">
        <v>36</v>
      </c>
      <c r="F40" s="337" t="s">
        <v>1437</v>
      </c>
      <c r="G40" s="337" t="s">
        <v>302</v>
      </c>
      <c r="H40" s="346">
        <v>500000</v>
      </c>
      <c r="I40" s="346">
        <v>31992</v>
      </c>
      <c r="J40" s="340">
        <f t="shared" si="9"/>
        <v>531992</v>
      </c>
      <c r="K40" s="348">
        <v>24</v>
      </c>
      <c r="L40" s="380">
        <v>22166.34</v>
      </c>
      <c r="M40" s="356">
        <f>I40/24</f>
        <v>1333</v>
      </c>
      <c r="N40" s="356">
        <f t="shared" si="10"/>
        <v>10000</v>
      </c>
      <c r="O40" s="356">
        <f t="shared" si="11"/>
        <v>10664</v>
      </c>
      <c r="P40" s="356">
        <f t="shared" si="12"/>
        <v>21328</v>
      </c>
      <c r="Q40" s="348">
        <v>8</v>
      </c>
      <c r="R40" s="354">
        <f t="shared" si="13"/>
        <v>16</v>
      </c>
      <c r="S40" s="339">
        <f t="shared" si="14"/>
        <v>177330.72</v>
      </c>
      <c r="T40" s="339">
        <f t="shared" si="15"/>
        <v>354661.28</v>
      </c>
      <c r="U40" s="337"/>
    </row>
    <row r="41" spans="2:21">
      <c r="B41" s="378"/>
      <c r="C41" s="378"/>
      <c r="D41" s="361" t="s">
        <v>1320</v>
      </c>
      <c r="E41" s="367">
        <v>37</v>
      </c>
      <c r="F41" s="337" t="s">
        <v>1437</v>
      </c>
      <c r="G41" s="337" t="s">
        <v>464</v>
      </c>
      <c r="H41" s="346">
        <v>500000</v>
      </c>
      <c r="I41" s="346">
        <v>66650</v>
      </c>
      <c r="J41" s="340">
        <f t="shared" si="9"/>
        <v>566650</v>
      </c>
      <c r="K41" s="348">
        <v>40</v>
      </c>
      <c r="L41" s="380">
        <v>13833</v>
      </c>
      <c r="M41" s="356">
        <f t="shared" ref="M41:M53" si="16">I41/50</f>
        <v>1333</v>
      </c>
      <c r="N41" s="356">
        <f t="shared" si="10"/>
        <v>10000</v>
      </c>
      <c r="O41" s="356">
        <f t="shared" si="11"/>
        <v>13330</v>
      </c>
      <c r="P41" s="356">
        <f t="shared" si="12"/>
        <v>39990</v>
      </c>
      <c r="Q41" s="348">
        <v>10</v>
      </c>
      <c r="R41" s="354">
        <f t="shared" si="13"/>
        <v>30</v>
      </c>
      <c r="S41" s="339">
        <f t="shared" si="14"/>
        <v>138330</v>
      </c>
      <c r="T41" s="339">
        <f t="shared" si="15"/>
        <v>428320</v>
      </c>
      <c r="U41" s="337"/>
    </row>
    <row r="42" spans="2:21">
      <c r="B42" s="378"/>
      <c r="C42" s="378"/>
      <c r="D42" s="363" t="s">
        <v>1348</v>
      </c>
      <c r="E42" s="367">
        <v>38</v>
      </c>
      <c r="F42" s="337" t="s">
        <v>1437</v>
      </c>
      <c r="G42" s="337" t="s">
        <v>1349</v>
      </c>
      <c r="H42" s="346">
        <v>500000</v>
      </c>
      <c r="I42" s="346">
        <v>66650</v>
      </c>
      <c r="J42" s="340">
        <f t="shared" si="9"/>
        <v>566650</v>
      </c>
      <c r="K42" s="348">
        <v>50</v>
      </c>
      <c r="L42" s="380">
        <v>11333</v>
      </c>
      <c r="M42" s="356">
        <f t="shared" si="16"/>
        <v>1333</v>
      </c>
      <c r="N42" s="356">
        <f t="shared" si="10"/>
        <v>10000</v>
      </c>
      <c r="O42" s="356">
        <f t="shared" si="11"/>
        <v>17329</v>
      </c>
      <c r="P42" s="356">
        <f t="shared" si="12"/>
        <v>49321</v>
      </c>
      <c r="Q42" s="348">
        <v>13</v>
      </c>
      <c r="R42" s="354">
        <f t="shared" si="13"/>
        <v>37</v>
      </c>
      <c r="S42" s="339">
        <f t="shared" si="14"/>
        <v>147329</v>
      </c>
      <c r="T42" s="339">
        <f t="shared" si="15"/>
        <v>419321</v>
      </c>
      <c r="U42" s="337"/>
    </row>
    <row r="43" spans="2:21">
      <c r="B43" s="378"/>
      <c r="C43" s="378"/>
      <c r="D43" s="362" t="s">
        <v>1012</v>
      </c>
      <c r="E43" s="367">
        <v>39</v>
      </c>
      <c r="F43" s="337" t="s">
        <v>1437</v>
      </c>
      <c r="G43" s="337" t="s">
        <v>852</v>
      </c>
      <c r="H43" s="346">
        <v>330000</v>
      </c>
      <c r="I43" s="346">
        <v>43989</v>
      </c>
      <c r="J43" s="340">
        <f t="shared" si="9"/>
        <v>373989</v>
      </c>
      <c r="K43" s="348">
        <v>50</v>
      </c>
      <c r="L43" s="380">
        <v>7479.78</v>
      </c>
      <c r="M43" s="356">
        <f t="shared" si="16"/>
        <v>879.78</v>
      </c>
      <c r="N43" s="356">
        <f t="shared" si="10"/>
        <v>6600</v>
      </c>
      <c r="O43" s="356">
        <f t="shared" si="11"/>
        <v>26393.399999999998</v>
      </c>
      <c r="P43" s="356">
        <f t="shared" si="12"/>
        <v>17595.599999999999</v>
      </c>
      <c r="Q43" s="348">
        <v>30</v>
      </c>
      <c r="R43" s="354">
        <f t="shared" si="13"/>
        <v>20</v>
      </c>
      <c r="S43" s="339">
        <f t="shared" si="14"/>
        <v>224393.4</v>
      </c>
      <c r="T43" s="339">
        <f t="shared" si="15"/>
        <v>149595.6</v>
      </c>
      <c r="U43" s="337"/>
    </row>
    <row r="44" spans="2:21">
      <c r="B44" s="378"/>
      <c r="C44" s="378"/>
      <c r="D44" s="363" t="s">
        <v>1065</v>
      </c>
      <c r="E44" s="367">
        <v>40</v>
      </c>
      <c r="F44" s="337" t="s">
        <v>1437</v>
      </c>
      <c r="G44" s="337" t="s">
        <v>1066</v>
      </c>
      <c r="H44" s="346">
        <v>330000</v>
      </c>
      <c r="I44" s="346">
        <v>43989</v>
      </c>
      <c r="J44" s="340">
        <f t="shared" si="9"/>
        <v>373989</v>
      </c>
      <c r="K44" s="348">
        <v>50</v>
      </c>
      <c r="L44" s="380">
        <v>7479.78</v>
      </c>
      <c r="M44" s="356">
        <f t="shared" si="16"/>
        <v>879.78</v>
      </c>
      <c r="N44" s="356">
        <f t="shared" si="10"/>
        <v>6600</v>
      </c>
      <c r="O44" s="356">
        <f t="shared" si="11"/>
        <v>23754.059999999998</v>
      </c>
      <c r="P44" s="356">
        <f t="shared" si="12"/>
        <v>20234.939999999999</v>
      </c>
      <c r="Q44" s="348">
        <v>27</v>
      </c>
      <c r="R44" s="354">
        <f t="shared" si="13"/>
        <v>23</v>
      </c>
      <c r="S44" s="339">
        <f t="shared" si="14"/>
        <v>201954.06</v>
      </c>
      <c r="T44" s="339">
        <f t="shared" si="15"/>
        <v>172034.94</v>
      </c>
      <c r="U44" s="337"/>
    </row>
    <row r="45" spans="2:21">
      <c r="B45" s="378"/>
      <c r="C45" s="378"/>
      <c r="D45" s="337" t="s">
        <v>1449</v>
      </c>
      <c r="E45" s="367">
        <v>41</v>
      </c>
      <c r="F45" s="337" t="s">
        <v>1437</v>
      </c>
      <c r="G45" s="337" t="s">
        <v>389</v>
      </c>
      <c r="H45" s="346">
        <v>500000</v>
      </c>
      <c r="I45" s="346">
        <v>66650</v>
      </c>
      <c r="J45" s="340">
        <f t="shared" si="9"/>
        <v>566650</v>
      </c>
      <c r="K45" s="348">
        <v>50</v>
      </c>
      <c r="L45" s="381">
        <v>11333</v>
      </c>
      <c r="M45" s="356">
        <f t="shared" si="16"/>
        <v>1333</v>
      </c>
      <c r="N45" s="356">
        <f t="shared" si="10"/>
        <v>10000</v>
      </c>
      <c r="O45" s="356">
        <f t="shared" si="11"/>
        <v>7998</v>
      </c>
      <c r="P45" s="356">
        <f t="shared" si="12"/>
        <v>58652</v>
      </c>
      <c r="Q45" s="358">
        <v>6</v>
      </c>
      <c r="R45" s="354">
        <f t="shared" si="13"/>
        <v>44</v>
      </c>
      <c r="S45" s="339">
        <f t="shared" si="14"/>
        <v>67998</v>
      </c>
      <c r="T45" s="339">
        <f t="shared" si="15"/>
        <v>498652</v>
      </c>
      <c r="U45" s="337"/>
    </row>
    <row r="46" spans="2:21">
      <c r="B46" s="378"/>
      <c r="C46" s="378"/>
      <c r="D46" s="364" t="s">
        <v>1029</v>
      </c>
      <c r="E46" s="367">
        <v>42</v>
      </c>
      <c r="F46" s="337" t="s">
        <v>1437</v>
      </c>
      <c r="G46" s="337" t="s">
        <v>1030</v>
      </c>
      <c r="H46" s="346">
        <v>450000</v>
      </c>
      <c r="I46" s="346">
        <v>59985</v>
      </c>
      <c r="J46" s="340">
        <f t="shared" si="9"/>
        <v>509985</v>
      </c>
      <c r="K46" s="348">
        <v>50</v>
      </c>
      <c r="L46" s="380">
        <v>10199.700000000001</v>
      </c>
      <c r="M46" s="356">
        <f t="shared" si="16"/>
        <v>1199.7</v>
      </c>
      <c r="N46" s="356">
        <f t="shared" si="10"/>
        <v>9000</v>
      </c>
      <c r="O46" s="356">
        <f t="shared" si="11"/>
        <v>32391.9</v>
      </c>
      <c r="P46" s="356">
        <f t="shared" si="12"/>
        <v>27593.100000000002</v>
      </c>
      <c r="Q46" s="348">
        <v>27</v>
      </c>
      <c r="R46" s="354">
        <f t="shared" si="13"/>
        <v>23</v>
      </c>
      <c r="S46" s="339">
        <f t="shared" si="14"/>
        <v>275391.90000000002</v>
      </c>
      <c r="T46" s="339">
        <f t="shared" si="15"/>
        <v>234593.09999999998</v>
      </c>
      <c r="U46" s="337"/>
    </row>
    <row r="47" spans="2:21">
      <c r="B47" s="378"/>
      <c r="C47" s="378"/>
      <c r="D47" s="361" t="s">
        <v>1377</v>
      </c>
      <c r="E47" s="367">
        <v>43</v>
      </c>
      <c r="F47" s="337" t="s">
        <v>1437</v>
      </c>
      <c r="G47" s="337" t="s">
        <v>1378</v>
      </c>
      <c r="H47" s="346">
        <v>330000</v>
      </c>
      <c r="I47" s="346">
        <v>43989</v>
      </c>
      <c r="J47" s="340">
        <f t="shared" si="9"/>
        <v>373989</v>
      </c>
      <c r="K47" s="348">
        <v>50</v>
      </c>
      <c r="L47" s="380">
        <v>7479.78</v>
      </c>
      <c r="M47" s="356">
        <f t="shared" si="16"/>
        <v>879.78</v>
      </c>
      <c r="N47" s="356">
        <f t="shared" si="10"/>
        <v>6600</v>
      </c>
      <c r="O47" s="356">
        <f t="shared" si="11"/>
        <v>11437.14</v>
      </c>
      <c r="P47" s="356">
        <f t="shared" si="12"/>
        <v>32551.86</v>
      </c>
      <c r="Q47" s="348">
        <v>13</v>
      </c>
      <c r="R47" s="354">
        <f t="shared" si="13"/>
        <v>37</v>
      </c>
      <c r="S47" s="339">
        <f t="shared" si="14"/>
        <v>97237.14</v>
      </c>
      <c r="T47" s="339">
        <f t="shared" si="15"/>
        <v>276751.86</v>
      </c>
      <c r="U47" s="337"/>
    </row>
    <row r="48" spans="2:21">
      <c r="B48" s="378"/>
      <c r="C48" s="378"/>
      <c r="D48" s="361" t="s">
        <v>1339</v>
      </c>
      <c r="E48" s="367">
        <v>44</v>
      </c>
      <c r="F48" s="337" t="s">
        <v>1437</v>
      </c>
      <c r="G48" s="337" t="s">
        <v>408</v>
      </c>
      <c r="H48" s="346">
        <v>500000</v>
      </c>
      <c r="I48" s="346">
        <v>66650</v>
      </c>
      <c r="J48" s="340">
        <f t="shared" si="9"/>
        <v>566650</v>
      </c>
      <c r="K48" s="348">
        <v>50</v>
      </c>
      <c r="L48" s="380">
        <v>11333</v>
      </c>
      <c r="M48" s="356">
        <f t="shared" si="16"/>
        <v>1333</v>
      </c>
      <c r="N48" s="356">
        <f t="shared" si="10"/>
        <v>10000</v>
      </c>
      <c r="O48" s="356">
        <f t="shared" si="11"/>
        <v>13330</v>
      </c>
      <c r="P48" s="356">
        <f t="shared" si="12"/>
        <v>53320</v>
      </c>
      <c r="Q48" s="348">
        <v>10</v>
      </c>
      <c r="R48" s="354">
        <f t="shared" si="13"/>
        <v>40</v>
      </c>
      <c r="S48" s="339">
        <f t="shared" si="14"/>
        <v>113330</v>
      </c>
      <c r="T48" s="339">
        <f t="shared" si="15"/>
        <v>453320</v>
      </c>
      <c r="U48" s="337"/>
    </row>
    <row r="49" spans="2:21">
      <c r="B49" s="378"/>
      <c r="C49" s="378"/>
      <c r="D49" s="337" t="s">
        <v>1473</v>
      </c>
      <c r="E49" s="367">
        <v>45</v>
      </c>
      <c r="F49" s="337" t="s">
        <v>1437</v>
      </c>
      <c r="G49" s="337" t="s">
        <v>1474</v>
      </c>
      <c r="H49" s="346">
        <v>330000</v>
      </c>
      <c r="I49" s="346">
        <v>43989</v>
      </c>
      <c r="J49" s="340">
        <f t="shared" si="9"/>
        <v>373989</v>
      </c>
      <c r="K49" s="348">
        <v>50</v>
      </c>
      <c r="L49" s="381">
        <v>7479.78</v>
      </c>
      <c r="M49" s="356">
        <f t="shared" si="16"/>
        <v>879.78</v>
      </c>
      <c r="N49" s="356">
        <f t="shared" si="10"/>
        <v>6600</v>
      </c>
      <c r="O49" s="356">
        <f t="shared" si="11"/>
        <v>2639.34</v>
      </c>
      <c r="P49" s="356">
        <f t="shared" si="12"/>
        <v>41349.659999999996</v>
      </c>
      <c r="Q49" s="358">
        <v>3</v>
      </c>
      <c r="R49" s="354">
        <f t="shared" si="13"/>
        <v>47</v>
      </c>
      <c r="S49" s="339">
        <f t="shared" si="14"/>
        <v>22439.34</v>
      </c>
      <c r="T49" s="339">
        <f t="shared" si="15"/>
        <v>351549.66</v>
      </c>
      <c r="U49" s="337"/>
    </row>
    <row r="50" spans="2:21">
      <c r="B50" s="378"/>
      <c r="C50" s="378"/>
      <c r="D50" s="337" t="s">
        <v>1475</v>
      </c>
      <c r="E50" s="367">
        <v>46</v>
      </c>
      <c r="F50" s="337" t="s">
        <v>1437</v>
      </c>
      <c r="G50" s="337" t="s">
        <v>1476</v>
      </c>
      <c r="H50" s="346">
        <v>330000</v>
      </c>
      <c r="I50" s="346">
        <v>43989</v>
      </c>
      <c r="J50" s="340">
        <f t="shared" si="9"/>
        <v>373989</v>
      </c>
      <c r="K50" s="348">
        <v>50</v>
      </c>
      <c r="L50" s="381">
        <v>7479.78</v>
      </c>
      <c r="M50" s="356">
        <f t="shared" si="16"/>
        <v>879.78</v>
      </c>
      <c r="N50" s="356">
        <f t="shared" si="10"/>
        <v>6600</v>
      </c>
      <c r="O50" s="356">
        <f t="shared" si="11"/>
        <v>2639.34</v>
      </c>
      <c r="P50" s="356">
        <f t="shared" si="12"/>
        <v>41349.659999999996</v>
      </c>
      <c r="Q50" s="358">
        <v>3</v>
      </c>
      <c r="R50" s="354">
        <f t="shared" si="13"/>
        <v>47</v>
      </c>
      <c r="S50" s="339">
        <f t="shared" si="14"/>
        <v>22439.34</v>
      </c>
      <c r="T50" s="339">
        <f t="shared" si="15"/>
        <v>351549.66</v>
      </c>
      <c r="U50" s="337"/>
    </row>
    <row r="51" spans="2:21">
      <c r="B51" s="378"/>
      <c r="C51" s="378"/>
      <c r="D51" s="363" t="s">
        <v>1383</v>
      </c>
      <c r="E51" s="367">
        <v>47</v>
      </c>
      <c r="F51" s="337" t="s">
        <v>1437</v>
      </c>
      <c r="G51" s="337" t="s">
        <v>1384</v>
      </c>
      <c r="H51" s="346">
        <v>330000</v>
      </c>
      <c r="I51" s="346">
        <v>43989</v>
      </c>
      <c r="J51" s="340">
        <f t="shared" si="9"/>
        <v>373989</v>
      </c>
      <c r="K51" s="348">
        <v>50</v>
      </c>
      <c r="L51" s="380">
        <v>7479.78</v>
      </c>
      <c r="M51" s="356">
        <f t="shared" si="16"/>
        <v>879.78</v>
      </c>
      <c r="N51" s="356">
        <f t="shared" si="10"/>
        <v>6600</v>
      </c>
      <c r="O51" s="356">
        <f t="shared" si="11"/>
        <v>8797.7999999999993</v>
      </c>
      <c r="P51" s="356">
        <f t="shared" si="12"/>
        <v>35191.199999999997</v>
      </c>
      <c r="Q51" s="348">
        <v>10</v>
      </c>
      <c r="R51" s="354">
        <f t="shared" si="13"/>
        <v>40</v>
      </c>
      <c r="S51" s="339">
        <f t="shared" si="14"/>
        <v>74797.8</v>
      </c>
      <c r="T51" s="339">
        <f t="shared" si="15"/>
        <v>299191.2</v>
      </c>
      <c r="U51" s="337"/>
    </row>
    <row r="52" spans="2:21">
      <c r="B52" s="378"/>
      <c r="C52" s="378"/>
      <c r="D52" s="361" t="s">
        <v>1409</v>
      </c>
      <c r="E52" s="367">
        <v>48</v>
      </c>
      <c r="F52" s="337" t="s">
        <v>1437</v>
      </c>
      <c r="G52" s="337" t="s">
        <v>1407</v>
      </c>
      <c r="H52" s="346">
        <v>500000</v>
      </c>
      <c r="I52" s="346">
        <v>66650</v>
      </c>
      <c r="J52" s="340">
        <f t="shared" si="9"/>
        <v>566650</v>
      </c>
      <c r="K52" s="348">
        <v>50</v>
      </c>
      <c r="L52" s="380">
        <v>11333</v>
      </c>
      <c r="M52" s="356">
        <f t="shared" si="16"/>
        <v>1333</v>
      </c>
      <c r="N52" s="356">
        <f t="shared" si="10"/>
        <v>10000</v>
      </c>
      <c r="O52" s="356">
        <f t="shared" si="11"/>
        <v>39990</v>
      </c>
      <c r="P52" s="356">
        <f t="shared" si="12"/>
        <v>26660</v>
      </c>
      <c r="Q52" s="348">
        <v>30</v>
      </c>
      <c r="R52" s="354">
        <f t="shared" si="13"/>
        <v>20</v>
      </c>
      <c r="S52" s="339">
        <f t="shared" si="14"/>
        <v>339990</v>
      </c>
      <c r="T52" s="339">
        <f t="shared" si="15"/>
        <v>226660</v>
      </c>
      <c r="U52" s="337"/>
    </row>
    <row r="53" spans="2:21">
      <c r="B53" s="378"/>
      <c r="C53" s="378"/>
      <c r="D53" s="363" t="s">
        <v>1370</v>
      </c>
      <c r="E53" s="367">
        <v>49</v>
      </c>
      <c r="F53" s="337" t="s">
        <v>1437</v>
      </c>
      <c r="G53" s="337" t="s">
        <v>1371</v>
      </c>
      <c r="H53" s="346">
        <v>330000</v>
      </c>
      <c r="I53" s="346">
        <v>43989</v>
      </c>
      <c r="J53" s="340">
        <f t="shared" si="9"/>
        <v>373989</v>
      </c>
      <c r="K53" s="348">
        <v>50</v>
      </c>
      <c r="L53" s="380">
        <v>7479.78</v>
      </c>
      <c r="M53" s="356">
        <f t="shared" si="16"/>
        <v>879.78</v>
      </c>
      <c r="N53" s="356">
        <f t="shared" si="10"/>
        <v>6600</v>
      </c>
      <c r="O53" s="356">
        <f t="shared" si="11"/>
        <v>11437.14</v>
      </c>
      <c r="P53" s="356">
        <f t="shared" si="12"/>
        <v>32551.86</v>
      </c>
      <c r="Q53" s="348">
        <v>13</v>
      </c>
      <c r="R53" s="354">
        <f t="shared" si="13"/>
        <v>37</v>
      </c>
      <c r="S53" s="339">
        <f t="shared" si="14"/>
        <v>97237.14</v>
      </c>
      <c r="T53" s="339">
        <f t="shared" si="15"/>
        <v>276751.86</v>
      </c>
      <c r="U53" s="337"/>
    </row>
    <row r="54" spans="2:21">
      <c r="B54" s="378"/>
      <c r="C54" s="378"/>
      <c r="D54" s="361" t="s">
        <v>1313</v>
      </c>
      <c r="E54" s="367">
        <v>50</v>
      </c>
      <c r="F54" s="337" t="s">
        <v>1437</v>
      </c>
      <c r="G54" s="337" t="s">
        <v>1314</v>
      </c>
      <c r="H54" s="346">
        <v>450000</v>
      </c>
      <c r="I54" s="346">
        <v>28792.799999999999</v>
      </c>
      <c r="J54" s="340">
        <f t="shared" si="9"/>
        <v>478792.8</v>
      </c>
      <c r="K54" s="348">
        <v>24</v>
      </c>
      <c r="L54" s="380">
        <v>19949.7</v>
      </c>
      <c r="M54" s="356">
        <f>I54/24</f>
        <v>1199.7</v>
      </c>
      <c r="N54" s="356">
        <f t="shared" si="10"/>
        <v>9000</v>
      </c>
      <c r="O54" s="356">
        <f t="shared" si="11"/>
        <v>11997</v>
      </c>
      <c r="P54" s="356">
        <f t="shared" si="12"/>
        <v>16795.8</v>
      </c>
      <c r="Q54" s="348">
        <v>10</v>
      </c>
      <c r="R54" s="354">
        <f t="shared" si="13"/>
        <v>14</v>
      </c>
      <c r="S54" s="339">
        <f t="shared" si="14"/>
        <v>199497</v>
      </c>
      <c r="T54" s="339">
        <f t="shared" si="15"/>
        <v>279295.8</v>
      </c>
      <c r="U54" s="337"/>
    </row>
    <row r="55" spans="2:21">
      <c r="B55" s="378"/>
      <c r="C55" s="378"/>
      <c r="D55" s="362" t="s">
        <v>1386</v>
      </c>
      <c r="E55" s="367">
        <v>51</v>
      </c>
      <c r="F55" s="337" t="s">
        <v>1437</v>
      </c>
      <c r="G55" s="337" t="s">
        <v>1387</v>
      </c>
      <c r="H55" s="346">
        <v>330000</v>
      </c>
      <c r="I55" s="346">
        <v>43989</v>
      </c>
      <c r="J55" s="340">
        <f t="shared" si="9"/>
        <v>373989</v>
      </c>
      <c r="K55" s="348">
        <v>50</v>
      </c>
      <c r="L55" s="380">
        <v>7479.78</v>
      </c>
      <c r="M55" s="356">
        <f t="shared" ref="M55:M98" si="17">I55/50</f>
        <v>879.78</v>
      </c>
      <c r="N55" s="356">
        <f t="shared" si="10"/>
        <v>6600</v>
      </c>
      <c r="O55" s="356">
        <f t="shared" si="11"/>
        <v>19355.16</v>
      </c>
      <c r="P55" s="356">
        <f t="shared" si="12"/>
        <v>24633.84</v>
      </c>
      <c r="Q55" s="348">
        <v>22</v>
      </c>
      <c r="R55" s="354">
        <f t="shared" si="13"/>
        <v>28</v>
      </c>
      <c r="S55" s="339">
        <f t="shared" si="14"/>
        <v>164555.16</v>
      </c>
      <c r="T55" s="339">
        <f t="shared" si="15"/>
        <v>209433.84</v>
      </c>
      <c r="U55" s="337"/>
    </row>
    <row r="56" spans="2:21">
      <c r="B56" s="378"/>
      <c r="C56" s="378"/>
      <c r="D56" s="362" t="s">
        <v>975</v>
      </c>
      <c r="E56" s="367">
        <v>52</v>
      </c>
      <c r="F56" s="337" t="s">
        <v>1437</v>
      </c>
      <c r="G56" s="337" t="s">
        <v>875</v>
      </c>
      <c r="H56" s="346">
        <v>450000</v>
      </c>
      <c r="I56" s="346">
        <v>59985</v>
      </c>
      <c r="J56" s="340">
        <f t="shared" si="9"/>
        <v>509985</v>
      </c>
      <c r="K56" s="348">
        <v>50</v>
      </c>
      <c r="L56" s="380">
        <v>10199.700000000001</v>
      </c>
      <c r="M56" s="356">
        <f t="shared" si="17"/>
        <v>1199.7</v>
      </c>
      <c r="N56" s="356">
        <f t="shared" si="10"/>
        <v>9000</v>
      </c>
      <c r="O56" s="356">
        <f t="shared" si="11"/>
        <v>35991</v>
      </c>
      <c r="P56" s="356">
        <f t="shared" si="12"/>
        <v>23994</v>
      </c>
      <c r="Q56" s="348">
        <v>30</v>
      </c>
      <c r="R56" s="354">
        <f t="shared" si="13"/>
        <v>20</v>
      </c>
      <c r="S56" s="339">
        <f t="shared" si="14"/>
        <v>305991</v>
      </c>
      <c r="T56" s="339">
        <f t="shared" si="15"/>
        <v>203994</v>
      </c>
      <c r="U56" s="337"/>
    </row>
    <row r="57" spans="2:21">
      <c r="B57" s="378"/>
      <c r="C57" s="378"/>
      <c r="D57" s="364" t="s">
        <v>1357</v>
      </c>
      <c r="E57" s="367">
        <v>53</v>
      </c>
      <c r="F57" s="337" t="s">
        <v>1437</v>
      </c>
      <c r="G57" s="337" t="s">
        <v>858</v>
      </c>
      <c r="H57" s="346">
        <v>450000</v>
      </c>
      <c r="I57" s="346">
        <v>59985</v>
      </c>
      <c r="J57" s="340">
        <f t="shared" si="9"/>
        <v>509985</v>
      </c>
      <c r="K57" s="348">
        <v>50</v>
      </c>
      <c r="L57" s="380">
        <v>10199.700000000001</v>
      </c>
      <c r="M57" s="356">
        <f t="shared" si="17"/>
        <v>1199.7</v>
      </c>
      <c r="N57" s="356">
        <f t="shared" si="10"/>
        <v>9000</v>
      </c>
      <c r="O57" s="356">
        <f t="shared" si="11"/>
        <v>26393.4</v>
      </c>
      <c r="P57" s="356">
        <f t="shared" si="12"/>
        <v>33591.599999999999</v>
      </c>
      <c r="Q57" s="348">
        <v>22</v>
      </c>
      <c r="R57" s="354">
        <f t="shared" si="13"/>
        <v>28</v>
      </c>
      <c r="S57" s="339">
        <f t="shared" si="14"/>
        <v>224393.40000000002</v>
      </c>
      <c r="T57" s="339">
        <f t="shared" si="15"/>
        <v>285591.59999999998</v>
      </c>
      <c r="U57" s="337"/>
    </row>
    <row r="58" spans="2:21">
      <c r="B58" s="378"/>
      <c r="C58" s="378"/>
      <c r="D58" s="363" t="s">
        <v>1097</v>
      </c>
      <c r="E58" s="367">
        <v>54</v>
      </c>
      <c r="F58" s="337" t="s">
        <v>1437</v>
      </c>
      <c r="G58" s="337" t="s">
        <v>286</v>
      </c>
      <c r="H58" s="346">
        <v>450000</v>
      </c>
      <c r="I58" s="346">
        <v>59985</v>
      </c>
      <c r="J58" s="340">
        <f t="shared" si="9"/>
        <v>509985</v>
      </c>
      <c r="K58" s="348">
        <v>50</v>
      </c>
      <c r="L58" s="380">
        <v>10199.700000000001</v>
      </c>
      <c r="M58" s="356">
        <f t="shared" si="17"/>
        <v>1199.7</v>
      </c>
      <c r="N58" s="356">
        <f t="shared" si="10"/>
        <v>9000</v>
      </c>
      <c r="O58" s="356">
        <f t="shared" si="11"/>
        <v>58785.3</v>
      </c>
      <c r="P58" s="356">
        <f t="shared" si="12"/>
        <v>1199.7</v>
      </c>
      <c r="Q58" s="348">
        <v>49</v>
      </c>
      <c r="R58" s="354">
        <f t="shared" si="13"/>
        <v>1</v>
      </c>
      <c r="S58" s="339">
        <f t="shared" si="14"/>
        <v>499785.30000000005</v>
      </c>
      <c r="T58" s="339">
        <f t="shared" si="15"/>
        <v>10199.699999999953</v>
      </c>
      <c r="U58" s="337"/>
    </row>
    <row r="59" spans="2:21">
      <c r="B59" s="378"/>
      <c r="C59" s="378"/>
      <c r="D59" s="361" t="s">
        <v>1346</v>
      </c>
      <c r="E59" s="367">
        <v>55</v>
      </c>
      <c r="F59" s="337" t="s">
        <v>1437</v>
      </c>
      <c r="G59" s="337" t="s">
        <v>1347</v>
      </c>
      <c r="H59" s="346">
        <v>500000</v>
      </c>
      <c r="I59" s="346">
        <v>66650</v>
      </c>
      <c r="J59" s="340">
        <f t="shared" si="9"/>
        <v>566650</v>
      </c>
      <c r="K59" s="348">
        <v>50</v>
      </c>
      <c r="L59" s="380">
        <v>11333</v>
      </c>
      <c r="M59" s="356">
        <f t="shared" si="17"/>
        <v>1333</v>
      </c>
      <c r="N59" s="356">
        <f t="shared" si="10"/>
        <v>10000</v>
      </c>
      <c r="O59" s="356">
        <f t="shared" si="11"/>
        <v>19995</v>
      </c>
      <c r="P59" s="356">
        <f t="shared" si="12"/>
        <v>46655</v>
      </c>
      <c r="Q59" s="348">
        <v>15</v>
      </c>
      <c r="R59" s="354">
        <f t="shared" si="13"/>
        <v>35</v>
      </c>
      <c r="S59" s="339">
        <f t="shared" si="14"/>
        <v>169995</v>
      </c>
      <c r="T59" s="339">
        <f t="shared" si="15"/>
        <v>396655</v>
      </c>
      <c r="U59" s="337"/>
    </row>
    <row r="60" spans="2:21">
      <c r="B60" s="378"/>
      <c r="C60" s="378"/>
      <c r="D60" s="364" t="s">
        <v>1356</v>
      </c>
      <c r="E60" s="367">
        <v>56</v>
      </c>
      <c r="F60" s="337" t="s">
        <v>1437</v>
      </c>
      <c r="G60" s="337" t="s">
        <v>1286</v>
      </c>
      <c r="H60" s="346">
        <v>450000</v>
      </c>
      <c r="I60" s="346">
        <v>59985</v>
      </c>
      <c r="J60" s="340">
        <f t="shared" si="9"/>
        <v>509985</v>
      </c>
      <c r="K60" s="348">
        <v>50</v>
      </c>
      <c r="L60" s="380">
        <v>10199.700000000001</v>
      </c>
      <c r="M60" s="356">
        <f t="shared" si="17"/>
        <v>1199.7</v>
      </c>
      <c r="N60" s="356">
        <f t="shared" si="10"/>
        <v>9000</v>
      </c>
      <c r="O60" s="356">
        <f t="shared" si="11"/>
        <v>17995.5</v>
      </c>
      <c r="P60" s="356">
        <f t="shared" si="12"/>
        <v>41989.5</v>
      </c>
      <c r="Q60" s="348">
        <v>15</v>
      </c>
      <c r="R60" s="354">
        <f t="shared" si="13"/>
        <v>35</v>
      </c>
      <c r="S60" s="339">
        <f t="shared" si="14"/>
        <v>152995.5</v>
      </c>
      <c r="T60" s="339">
        <f t="shared" si="15"/>
        <v>356989.5</v>
      </c>
      <c r="U60" s="337"/>
    </row>
    <row r="61" spans="2:21">
      <c r="B61" s="378"/>
      <c r="C61" s="378"/>
      <c r="D61" s="364" t="s">
        <v>964</v>
      </c>
      <c r="E61" s="367">
        <v>57</v>
      </c>
      <c r="F61" s="337" t="s">
        <v>1437</v>
      </c>
      <c r="G61" s="337" t="s">
        <v>341</v>
      </c>
      <c r="H61" s="346">
        <v>500000</v>
      </c>
      <c r="I61" s="346">
        <v>66650</v>
      </c>
      <c r="J61" s="340">
        <f t="shared" si="9"/>
        <v>566650</v>
      </c>
      <c r="K61" s="348">
        <v>50</v>
      </c>
      <c r="L61" s="380">
        <v>11333</v>
      </c>
      <c r="M61" s="356">
        <f t="shared" si="17"/>
        <v>1333</v>
      </c>
      <c r="N61" s="356">
        <f t="shared" si="10"/>
        <v>10000</v>
      </c>
      <c r="O61" s="356">
        <f t="shared" si="11"/>
        <v>62651</v>
      </c>
      <c r="P61" s="356">
        <f t="shared" si="12"/>
        <v>3999</v>
      </c>
      <c r="Q61" s="348">
        <v>47</v>
      </c>
      <c r="R61" s="354">
        <f t="shared" si="13"/>
        <v>3</v>
      </c>
      <c r="S61" s="339">
        <f t="shared" si="14"/>
        <v>532651</v>
      </c>
      <c r="T61" s="339">
        <f t="shared" si="15"/>
        <v>33999</v>
      </c>
      <c r="U61" s="337"/>
    </row>
    <row r="62" spans="2:21">
      <c r="B62" s="378"/>
      <c r="C62" s="378"/>
      <c r="D62" s="364" t="s">
        <v>1103</v>
      </c>
      <c r="E62" s="367">
        <v>58</v>
      </c>
      <c r="F62" s="337" t="s">
        <v>1437</v>
      </c>
      <c r="G62" s="337" t="s">
        <v>310</v>
      </c>
      <c r="H62" s="346">
        <v>500000</v>
      </c>
      <c r="I62" s="346">
        <v>66650</v>
      </c>
      <c r="J62" s="340">
        <f t="shared" si="9"/>
        <v>566650</v>
      </c>
      <c r="K62" s="348">
        <v>50</v>
      </c>
      <c r="L62" s="380">
        <v>11333</v>
      </c>
      <c r="M62" s="356">
        <f t="shared" si="17"/>
        <v>1333</v>
      </c>
      <c r="N62" s="356">
        <f t="shared" si="10"/>
        <v>10000</v>
      </c>
      <c r="O62" s="356">
        <f t="shared" si="11"/>
        <v>62651</v>
      </c>
      <c r="P62" s="356">
        <f t="shared" si="12"/>
        <v>3999</v>
      </c>
      <c r="Q62" s="348">
        <v>47</v>
      </c>
      <c r="R62" s="354">
        <f t="shared" si="13"/>
        <v>3</v>
      </c>
      <c r="S62" s="339">
        <f t="shared" si="14"/>
        <v>532651</v>
      </c>
      <c r="T62" s="339">
        <f t="shared" si="15"/>
        <v>33999</v>
      </c>
      <c r="U62" s="337"/>
    </row>
    <row r="63" spans="2:21">
      <c r="B63" s="378"/>
      <c r="C63" s="378"/>
      <c r="D63" s="364" t="s">
        <v>1043</v>
      </c>
      <c r="E63" s="367">
        <v>59</v>
      </c>
      <c r="F63" s="337" t="s">
        <v>1437</v>
      </c>
      <c r="G63" s="337" t="s">
        <v>444</v>
      </c>
      <c r="H63" s="346">
        <v>500000</v>
      </c>
      <c r="I63" s="346">
        <v>66650</v>
      </c>
      <c r="J63" s="340">
        <f t="shared" si="9"/>
        <v>566650</v>
      </c>
      <c r="K63" s="348">
        <v>50</v>
      </c>
      <c r="L63" s="380">
        <v>11333</v>
      </c>
      <c r="M63" s="356">
        <f t="shared" si="17"/>
        <v>1333</v>
      </c>
      <c r="N63" s="356">
        <f t="shared" si="10"/>
        <v>10000</v>
      </c>
      <c r="O63" s="356">
        <f t="shared" si="11"/>
        <v>46655</v>
      </c>
      <c r="P63" s="356">
        <f t="shared" si="12"/>
        <v>19995</v>
      </c>
      <c r="Q63" s="348">
        <v>35</v>
      </c>
      <c r="R63" s="354">
        <f t="shared" si="13"/>
        <v>15</v>
      </c>
      <c r="S63" s="339">
        <f t="shared" si="14"/>
        <v>396655</v>
      </c>
      <c r="T63" s="339">
        <f t="shared" si="15"/>
        <v>169995</v>
      </c>
      <c r="U63" s="337"/>
    </row>
    <row r="64" spans="2:21">
      <c r="B64" s="378"/>
      <c r="C64" s="378"/>
      <c r="D64" s="363" t="s">
        <v>1001</v>
      </c>
      <c r="E64" s="367">
        <v>60</v>
      </c>
      <c r="F64" s="337" t="s">
        <v>1437</v>
      </c>
      <c r="G64" s="337" t="s">
        <v>834</v>
      </c>
      <c r="H64" s="346">
        <v>330000</v>
      </c>
      <c r="I64" s="346">
        <v>43989</v>
      </c>
      <c r="J64" s="340">
        <f t="shared" si="9"/>
        <v>373989</v>
      </c>
      <c r="K64" s="348">
        <v>50</v>
      </c>
      <c r="L64" s="380">
        <v>7479.78</v>
      </c>
      <c r="M64" s="356">
        <f t="shared" si="17"/>
        <v>879.78</v>
      </c>
      <c r="N64" s="356">
        <f t="shared" si="10"/>
        <v>6600</v>
      </c>
      <c r="O64" s="356">
        <f t="shared" si="11"/>
        <v>30792.3</v>
      </c>
      <c r="P64" s="356">
        <f t="shared" si="12"/>
        <v>13196.699999999999</v>
      </c>
      <c r="Q64" s="348">
        <v>35</v>
      </c>
      <c r="R64" s="354">
        <f t="shared" si="13"/>
        <v>15</v>
      </c>
      <c r="S64" s="339">
        <f t="shared" si="14"/>
        <v>261792.3</v>
      </c>
      <c r="T64" s="339">
        <f t="shared" si="15"/>
        <v>112196.70000000001</v>
      </c>
      <c r="U64" s="337"/>
    </row>
    <row r="65" spans="2:21">
      <c r="B65" s="378"/>
      <c r="C65" s="378"/>
      <c r="D65" s="361" t="s">
        <v>996</v>
      </c>
      <c r="E65" s="367">
        <v>61</v>
      </c>
      <c r="F65" s="337" t="s">
        <v>1437</v>
      </c>
      <c r="G65" s="337" t="s">
        <v>338</v>
      </c>
      <c r="H65" s="346">
        <v>500000</v>
      </c>
      <c r="I65" s="346">
        <v>66650</v>
      </c>
      <c r="J65" s="340">
        <f t="shared" si="9"/>
        <v>566650</v>
      </c>
      <c r="K65" s="348">
        <v>40</v>
      </c>
      <c r="L65" s="380">
        <v>13833</v>
      </c>
      <c r="M65" s="356">
        <f t="shared" si="17"/>
        <v>1333</v>
      </c>
      <c r="N65" s="356">
        <f t="shared" si="10"/>
        <v>10000</v>
      </c>
      <c r="O65" s="356">
        <f t="shared" si="11"/>
        <v>13330</v>
      </c>
      <c r="P65" s="356">
        <f t="shared" si="12"/>
        <v>39990</v>
      </c>
      <c r="Q65" s="348">
        <v>10</v>
      </c>
      <c r="R65" s="354">
        <f t="shared" si="13"/>
        <v>30</v>
      </c>
      <c r="S65" s="339">
        <f t="shared" si="14"/>
        <v>138330</v>
      </c>
      <c r="T65" s="339">
        <f t="shared" si="15"/>
        <v>428320</v>
      </c>
      <c r="U65" s="337"/>
    </row>
    <row r="66" spans="2:21">
      <c r="B66" s="378"/>
      <c r="C66" s="378"/>
      <c r="D66" s="361" t="s">
        <v>1335</v>
      </c>
      <c r="E66" s="367">
        <v>62</v>
      </c>
      <c r="F66" s="337" t="s">
        <v>1437</v>
      </c>
      <c r="G66" s="337" t="s">
        <v>1336</v>
      </c>
      <c r="H66" s="346">
        <v>500000</v>
      </c>
      <c r="I66" s="346">
        <v>66650</v>
      </c>
      <c r="J66" s="340">
        <f t="shared" si="9"/>
        <v>566650</v>
      </c>
      <c r="K66" s="348">
        <v>50</v>
      </c>
      <c r="L66" s="380">
        <v>11333</v>
      </c>
      <c r="M66" s="356">
        <f t="shared" si="17"/>
        <v>1333</v>
      </c>
      <c r="N66" s="356">
        <f t="shared" si="10"/>
        <v>10000</v>
      </c>
      <c r="O66" s="356">
        <f t="shared" si="11"/>
        <v>22661</v>
      </c>
      <c r="P66" s="356">
        <f t="shared" si="12"/>
        <v>43989</v>
      </c>
      <c r="Q66" s="348">
        <v>17</v>
      </c>
      <c r="R66" s="354">
        <f t="shared" si="13"/>
        <v>33</v>
      </c>
      <c r="S66" s="339">
        <f t="shared" si="14"/>
        <v>192661</v>
      </c>
      <c r="T66" s="339">
        <f t="shared" si="15"/>
        <v>373989</v>
      </c>
      <c r="U66" s="337"/>
    </row>
    <row r="67" spans="2:21">
      <c r="B67" s="378"/>
      <c r="C67" s="378"/>
      <c r="D67" s="364" t="s">
        <v>1312</v>
      </c>
      <c r="E67" s="367">
        <v>63</v>
      </c>
      <c r="F67" s="337" t="s">
        <v>1437</v>
      </c>
      <c r="G67" s="337" t="s">
        <v>436</v>
      </c>
      <c r="H67" s="346">
        <v>500000</v>
      </c>
      <c r="I67" s="346">
        <v>66650</v>
      </c>
      <c r="J67" s="340">
        <f t="shared" si="9"/>
        <v>566650</v>
      </c>
      <c r="K67" s="348">
        <v>25</v>
      </c>
      <c r="L67" s="380">
        <v>21333</v>
      </c>
      <c r="M67" s="356">
        <f t="shared" si="17"/>
        <v>1333</v>
      </c>
      <c r="N67" s="356">
        <f t="shared" si="10"/>
        <v>10000</v>
      </c>
      <c r="O67" s="356">
        <f t="shared" si="11"/>
        <v>19995</v>
      </c>
      <c r="P67" s="356">
        <f t="shared" si="12"/>
        <v>13330</v>
      </c>
      <c r="Q67" s="348">
        <v>15</v>
      </c>
      <c r="R67" s="354">
        <f t="shared" si="13"/>
        <v>10</v>
      </c>
      <c r="S67" s="339">
        <f t="shared" si="14"/>
        <v>319995</v>
      </c>
      <c r="T67" s="339">
        <f t="shared" si="15"/>
        <v>246655</v>
      </c>
      <c r="U67" s="337"/>
    </row>
    <row r="68" spans="2:21">
      <c r="B68" s="378"/>
      <c r="C68" s="378"/>
      <c r="D68" s="361" t="s">
        <v>1044</v>
      </c>
      <c r="E68" s="367">
        <v>64</v>
      </c>
      <c r="F68" s="337" t="s">
        <v>1437</v>
      </c>
      <c r="G68" s="337" t="s">
        <v>844</v>
      </c>
      <c r="H68" s="346">
        <v>150000</v>
      </c>
      <c r="I68" s="346">
        <v>19995</v>
      </c>
      <c r="J68" s="340">
        <f t="shared" si="9"/>
        <v>169995</v>
      </c>
      <c r="K68" s="348">
        <v>50</v>
      </c>
      <c r="L68" s="380">
        <v>3399.9</v>
      </c>
      <c r="M68" s="356">
        <f t="shared" si="17"/>
        <v>399.9</v>
      </c>
      <c r="N68" s="356">
        <f t="shared" si="10"/>
        <v>3000</v>
      </c>
      <c r="O68" s="356">
        <f t="shared" si="11"/>
        <v>13996.5</v>
      </c>
      <c r="P68" s="356">
        <f t="shared" si="12"/>
        <v>5998.5</v>
      </c>
      <c r="Q68" s="348">
        <v>35</v>
      </c>
      <c r="R68" s="354">
        <f t="shared" si="13"/>
        <v>15</v>
      </c>
      <c r="S68" s="339">
        <f t="shared" si="14"/>
        <v>118996.5</v>
      </c>
      <c r="T68" s="339">
        <f t="shared" si="15"/>
        <v>50998.5</v>
      </c>
      <c r="U68" s="337"/>
    </row>
    <row r="69" spans="2:21">
      <c r="B69" s="378"/>
      <c r="C69" s="378"/>
      <c r="D69" s="364" t="s">
        <v>1328</v>
      </c>
      <c r="E69" s="367">
        <v>65</v>
      </c>
      <c r="F69" s="337" t="s">
        <v>1437</v>
      </c>
      <c r="G69" s="337" t="s">
        <v>433</v>
      </c>
      <c r="H69" s="346">
        <v>500000</v>
      </c>
      <c r="I69" s="346">
        <v>66650</v>
      </c>
      <c r="J69" s="340">
        <f t="shared" ref="J69:J100" si="18">SUM(H69:I69)</f>
        <v>566650</v>
      </c>
      <c r="K69" s="348">
        <v>50</v>
      </c>
      <c r="L69" s="380">
        <v>11333</v>
      </c>
      <c r="M69" s="356">
        <f t="shared" si="17"/>
        <v>1333</v>
      </c>
      <c r="N69" s="356">
        <f t="shared" ref="N69:N100" si="19">H69/50</f>
        <v>10000</v>
      </c>
      <c r="O69" s="356">
        <f t="shared" ref="O69:O100" si="20">M69*Q69</f>
        <v>27993</v>
      </c>
      <c r="P69" s="356">
        <f t="shared" ref="P69:P100" si="21">M69*R69</f>
        <v>38657</v>
      </c>
      <c r="Q69" s="348">
        <v>21</v>
      </c>
      <c r="R69" s="354">
        <f t="shared" ref="R69:R100" si="22">K69-Q69</f>
        <v>29</v>
      </c>
      <c r="S69" s="339">
        <f t="shared" ref="S69:S100" si="23">L69*Q69</f>
        <v>237993</v>
      </c>
      <c r="T69" s="339">
        <f t="shared" ref="T69:T100" si="24">J69-S69</f>
        <v>328657</v>
      </c>
      <c r="U69" s="337"/>
    </row>
    <row r="70" spans="2:21">
      <c r="B70" s="378"/>
      <c r="C70" s="378"/>
      <c r="D70" s="362" t="s">
        <v>1058</v>
      </c>
      <c r="E70" s="367">
        <v>66</v>
      </c>
      <c r="F70" s="337" t="s">
        <v>1437</v>
      </c>
      <c r="G70" s="337" t="s">
        <v>346</v>
      </c>
      <c r="H70" s="346">
        <v>500000</v>
      </c>
      <c r="I70" s="346">
        <v>66650</v>
      </c>
      <c r="J70" s="340">
        <f t="shared" si="18"/>
        <v>566650</v>
      </c>
      <c r="K70" s="348">
        <v>50</v>
      </c>
      <c r="L70" s="380">
        <v>11333</v>
      </c>
      <c r="M70" s="356">
        <f t="shared" si="17"/>
        <v>1333</v>
      </c>
      <c r="N70" s="356">
        <f t="shared" si="19"/>
        <v>10000</v>
      </c>
      <c r="O70" s="356">
        <f t="shared" si="20"/>
        <v>61318</v>
      </c>
      <c r="P70" s="356">
        <f t="shared" si="21"/>
        <v>5332</v>
      </c>
      <c r="Q70" s="348">
        <v>46</v>
      </c>
      <c r="R70" s="354">
        <f t="shared" si="22"/>
        <v>4</v>
      </c>
      <c r="S70" s="339">
        <f t="shared" si="23"/>
        <v>521318</v>
      </c>
      <c r="T70" s="339">
        <f t="shared" si="24"/>
        <v>45332</v>
      </c>
      <c r="U70" s="337"/>
    </row>
    <row r="71" spans="2:21">
      <c r="B71" s="378"/>
      <c r="C71" s="378"/>
      <c r="D71" s="364" t="s">
        <v>1322</v>
      </c>
      <c r="E71" s="367">
        <v>67</v>
      </c>
      <c r="F71" s="337" t="s">
        <v>1437</v>
      </c>
      <c r="G71" s="337" t="s">
        <v>1122</v>
      </c>
      <c r="H71" s="346">
        <v>500000</v>
      </c>
      <c r="I71" s="346">
        <v>66650</v>
      </c>
      <c r="J71" s="340">
        <f t="shared" si="18"/>
        <v>566650</v>
      </c>
      <c r="K71" s="348">
        <v>50</v>
      </c>
      <c r="L71" s="380">
        <v>11333</v>
      </c>
      <c r="M71" s="356">
        <f t="shared" si="17"/>
        <v>1333</v>
      </c>
      <c r="N71" s="356">
        <f t="shared" si="19"/>
        <v>10000</v>
      </c>
      <c r="O71" s="356">
        <f t="shared" si="20"/>
        <v>29326</v>
      </c>
      <c r="P71" s="356">
        <f t="shared" si="21"/>
        <v>37324</v>
      </c>
      <c r="Q71" s="348">
        <v>22</v>
      </c>
      <c r="R71" s="354">
        <f t="shared" si="22"/>
        <v>28</v>
      </c>
      <c r="S71" s="339">
        <f t="shared" si="23"/>
        <v>249326</v>
      </c>
      <c r="T71" s="339">
        <f t="shared" si="24"/>
        <v>317324</v>
      </c>
      <c r="U71" s="337"/>
    </row>
    <row r="72" spans="2:21">
      <c r="B72" s="378"/>
      <c r="C72" s="378"/>
      <c r="D72" s="362" t="s">
        <v>1098</v>
      </c>
      <c r="E72" s="367">
        <v>68</v>
      </c>
      <c r="F72" s="337" t="s">
        <v>1437</v>
      </c>
      <c r="G72" s="337" t="s">
        <v>345</v>
      </c>
      <c r="H72" s="346">
        <v>500000</v>
      </c>
      <c r="I72" s="346">
        <v>66650</v>
      </c>
      <c r="J72" s="340">
        <f t="shared" si="18"/>
        <v>566650</v>
      </c>
      <c r="K72" s="348">
        <v>50</v>
      </c>
      <c r="L72" s="380">
        <v>11333</v>
      </c>
      <c r="M72" s="356">
        <f t="shared" si="17"/>
        <v>1333</v>
      </c>
      <c r="N72" s="356">
        <f t="shared" si="19"/>
        <v>10000</v>
      </c>
      <c r="O72" s="356">
        <f t="shared" si="20"/>
        <v>62651</v>
      </c>
      <c r="P72" s="356">
        <f t="shared" si="21"/>
        <v>3999</v>
      </c>
      <c r="Q72" s="348">
        <v>47</v>
      </c>
      <c r="R72" s="354">
        <f t="shared" si="22"/>
        <v>3</v>
      </c>
      <c r="S72" s="339">
        <f t="shared" si="23"/>
        <v>532651</v>
      </c>
      <c r="T72" s="339">
        <f t="shared" si="24"/>
        <v>33999</v>
      </c>
      <c r="U72" s="337"/>
    </row>
    <row r="73" spans="2:21">
      <c r="B73" s="378"/>
      <c r="C73" s="378"/>
      <c r="D73" s="337" t="s">
        <v>1464</v>
      </c>
      <c r="E73" s="367">
        <v>69</v>
      </c>
      <c r="F73" s="337" t="s">
        <v>1437</v>
      </c>
      <c r="G73" s="337" t="s">
        <v>445</v>
      </c>
      <c r="H73" s="346">
        <v>500000</v>
      </c>
      <c r="I73" s="346">
        <v>66650</v>
      </c>
      <c r="J73" s="340">
        <f t="shared" si="18"/>
        <v>566650</v>
      </c>
      <c r="K73" s="348">
        <v>50</v>
      </c>
      <c r="L73" s="381">
        <v>11333</v>
      </c>
      <c r="M73" s="356">
        <f t="shared" si="17"/>
        <v>1333</v>
      </c>
      <c r="N73" s="356">
        <f t="shared" si="19"/>
        <v>10000</v>
      </c>
      <c r="O73" s="356">
        <f t="shared" si="20"/>
        <v>3999</v>
      </c>
      <c r="P73" s="356">
        <f t="shared" si="21"/>
        <v>62651</v>
      </c>
      <c r="Q73" s="358">
        <v>3</v>
      </c>
      <c r="R73" s="354">
        <f t="shared" si="22"/>
        <v>47</v>
      </c>
      <c r="S73" s="339">
        <f t="shared" si="23"/>
        <v>33999</v>
      </c>
      <c r="T73" s="339">
        <f t="shared" si="24"/>
        <v>532651</v>
      </c>
      <c r="U73" s="337"/>
    </row>
    <row r="74" spans="2:21">
      <c r="B74" s="378"/>
      <c r="C74" s="378"/>
      <c r="D74" s="362" t="s">
        <v>1125</v>
      </c>
      <c r="E74" s="367">
        <v>70</v>
      </c>
      <c r="F74" s="337" t="s">
        <v>1437</v>
      </c>
      <c r="G74" s="337" t="s">
        <v>452</v>
      </c>
      <c r="H74" s="346">
        <v>500000</v>
      </c>
      <c r="I74" s="346">
        <v>66650</v>
      </c>
      <c r="J74" s="340">
        <f t="shared" si="18"/>
        <v>566650</v>
      </c>
      <c r="K74" s="348">
        <v>50</v>
      </c>
      <c r="L74" s="380">
        <v>11333</v>
      </c>
      <c r="M74" s="356">
        <f t="shared" si="17"/>
        <v>1333</v>
      </c>
      <c r="N74" s="356">
        <f t="shared" si="19"/>
        <v>10000</v>
      </c>
      <c r="O74" s="356">
        <f t="shared" si="20"/>
        <v>30659</v>
      </c>
      <c r="P74" s="356">
        <f t="shared" si="21"/>
        <v>35991</v>
      </c>
      <c r="Q74" s="348">
        <v>23</v>
      </c>
      <c r="R74" s="354">
        <f t="shared" si="22"/>
        <v>27</v>
      </c>
      <c r="S74" s="339">
        <f t="shared" si="23"/>
        <v>260659</v>
      </c>
      <c r="T74" s="339">
        <f t="shared" si="24"/>
        <v>305991</v>
      </c>
      <c r="U74" s="337"/>
    </row>
    <row r="75" spans="2:21">
      <c r="B75" s="378"/>
      <c r="C75" s="378"/>
      <c r="D75" s="364" t="s">
        <v>1390</v>
      </c>
      <c r="E75" s="367">
        <v>71</v>
      </c>
      <c r="F75" s="337" t="s">
        <v>1437</v>
      </c>
      <c r="G75" s="337" t="s">
        <v>1391</v>
      </c>
      <c r="H75" s="346">
        <v>150000</v>
      </c>
      <c r="I75" s="346">
        <v>19995</v>
      </c>
      <c r="J75" s="340">
        <f t="shared" si="18"/>
        <v>169995</v>
      </c>
      <c r="K75" s="348">
        <v>40</v>
      </c>
      <c r="L75" s="380">
        <v>4149.8999999999996</v>
      </c>
      <c r="M75" s="356">
        <f t="shared" si="17"/>
        <v>399.9</v>
      </c>
      <c r="N75" s="356">
        <f t="shared" si="19"/>
        <v>3000</v>
      </c>
      <c r="O75" s="356">
        <f t="shared" si="20"/>
        <v>8797.7999999999993</v>
      </c>
      <c r="P75" s="356">
        <f t="shared" si="21"/>
        <v>7198.2</v>
      </c>
      <c r="Q75" s="348">
        <v>22</v>
      </c>
      <c r="R75" s="354">
        <f t="shared" si="22"/>
        <v>18</v>
      </c>
      <c r="S75" s="339">
        <f t="shared" si="23"/>
        <v>91297.799999999988</v>
      </c>
      <c r="T75" s="339">
        <f t="shared" si="24"/>
        <v>78697.200000000012</v>
      </c>
      <c r="U75" s="337"/>
    </row>
    <row r="76" spans="2:21">
      <c r="B76" s="378"/>
      <c r="C76" s="378"/>
      <c r="D76" s="337" t="s">
        <v>1477</v>
      </c>
      <c r="E76" s="367">
        <v>72</v>
      </c>
      <c r="F76" s="337" t="s">
        <v>1437</v>
      </c>
      <c r="G76" s="337" t="s">
        <v>1478</v>
      </c>
      <c r="H76" s="346">
        <v>330000</v>
      </c>
      <c r="I76" s="346">
        <v>43989</v>
      </c>
      <c r="J76" s="340">
        <f t="shared" si="18"/>
        <v>373989</v>
      </c>
      <c r="K76" s="348">
        <v>50</v>
      </c>
      <c r="L76" s="381">
        <v>7479.78</v>
      </c>
      <c r="M76" s="356">
        <f t="shared" si="17"/>
        <v>879.78</v>
      </c>
      <c r="N76" s="356">
        <f t="shared" si="19"/>
        <v>6600</v>
      </c>
      <c r="O76" s="356">
        <f t="shared" si="20"/>
        <v>2639.34</v>
      </c>
      <c r="P76" s="356">
        <f t="shared" si="21"/>
        <v>41349.659999999996</v>
      </c>
      <c r="Q76" s="358">
        <v>3</v>
      </c>
      <c r="R76" s="354">
        <f t="shared" si="22"/>
        <v>47</v>
      </c>
      <c r="S76" s="339">
        <f t="shared" si="23"/>
        <v>22439.34</v>
      </c>
      <c r="T76" s="339">
        <f t="shared" si="24"/>
        <v>351549.66</v>
      </c>
      <c r="U76" s="337"/>
    </row>
    <row r="77" spans="2:21">
      <c r="B77" s="378"/>
      <c r="C77" s="378"/>
      <c r="D77" s="362" t="s">
        <v>1067</v>
      </c>
      <c r="E77" s="367">
        <v>73</v>
      </c>
      <c r="F77" s="337" t="s">
        <v>1437</v>
      </c>
      <c r="G77" s="337" t="s">
        <v>368</v>
      </c>
      <c r="H77" s="346">
        <v>450000</v>
      </c>
      <c r="I77" s="346">
        <v>59985</v>
      </c>
      <c r="J77" s="340">
        <f t="shared" si="18"/>
        <v>509985</v>
      </c>
      <c r="K77" s="348">
        <v>50</v>
      </c>
      <c r="L77" s="380">
        <v>10199.700000000001</v>
      </c>
      <c r="M77" s="356">
        <f t="shared" si="17"/>
        <v>1199.7</v>
      </c>
      <c r="N77" s="356">
        <f t="shared" si="19"/>
        <v>9000</v>
      </c>
      <c r="O77" s="356">
        <f t="shared" si="20"/>
        <v>55186.200000000004</v>
      </c>
      <c r="P77" s="356">
        <f t="shared" si="21"/>
        <v>4798.8</v>
      </c>
      <c r="Q77" s="348">
        <v>46</v>
      </c>
      <c r="R77" s="354">
        <f t="shared" si="22"/>
        <v>4</v>
      </c>
      <c r="S77" s="339">
        <f t="shared" si="23"/>
        <v>469186.2</v>
      </c>
      <c r="T77" s="339">
        <f t="shared" si="24"/>
        <v>40798.799999999988</v>
      </c>
      <c r="U77" s="337"/>
    </row>
    <row r="78" spans="2:21">
      <c r="B78" s="378"/>
      <c r="C78" s="378"/>
      <c r="D78" s="362" t="s">
        <v>1078</v>
      </c>
      <c r="E78" s="367">
        <v>74</v>
      </c>
      <c r="F78" s="337" t="s">
        <v>1437</v>
      </c>
      <c r="G78" s="337" t="s">
        <v>446</v>
      </c>
      <c r="H78" s="346">
        <v>330000</v>
      </c>
      <c r="I78" s="346">
        <v>43989</v>
      </c>
      <c r="J78" s="340">
        <f t="shared" si="18"/>
        <v>373989</v>
      </c>
      <c r="K78" s="348">
        <v>50</v>
      </c>
      <c r="L78" s="380">
        <v>7479.78</v>
      </c>
      <c r="M78" s="356">
        <f t="shared" si="17"/>
        <v>879.78</v>
      </c>
      <c r="N78" s="356">
        <f t="shared" si="19"/>
        <v>6600</v>
      </c>
      <c r="O78" s="356">
        <f t="shared" si="20"/>
        <v>26393.399999999998</v>
      </c>
      <c r="P78" s="356">
        <f t="shared" si="21"/>
        <v>17595.599999999999</v>
      </c>
      <c r="Q78" s="348">
        <v>30</v>
      </c>
      <c r="R78" s="354">
        <f t="shared" si="22"/>
        <v>20</v>
      </c>
      <c r="S78" s="339">
        <f t="shared" si="23"/>
        <v>224393.4</v>
      </c>
      <c r="T78" s="339">
        <f t="shared" si="24"/>
        <v>149595.6</v>
      </c>
      <c r="U78" s="337"/>
    </row>
    <row r="79" spans="2:21">
      <c r="B79" s="378"/>
      <c r="C79" s="378"/>
      <c r="D79" s="337" t="s">
        <v>971</v>
      </c>
      <c r="E79" s="367">
        <v>75</v>
      </c>
      <c r="F79" s="337" t="s">
        <v>1437</v>
      </c>
      <c r="G79" s="337" t="s">
        <v>112</v>
      </c>
      <c r="H79" s="346">
        <v>330000</v>
      </c>
      <c r="I79" s="346">
        <v>43989</v>
      </c>
      <c r="J79" s="340">
        <f t="shared" si="18"/>
        <v>373989</v>
      </c>
      <c r="K79" s="348">
        <v>50</v>
      </c>
      <c r="L79" s="381">
        <v>7479.78</v>
      </c>
      <c r="M79" s="356">
        <f t="shared" si="17"/>
        <v>879.78</v>
      </c>
      <c r="N79" s="356">
        <f t="shared" si="19"/>
        <v>6600</v>
      </c>
      <c r="O79" s="356">
        <f t="shared" si="20"/>
        <v>5278.68</v>
      </c>
      <c r="P79" s="356">
        <f t="shared" si="21"/>
        <v>38710.32</v>
      </c>
      <c r="Q79" s="358">
        <v>6</v>
      </c>
      <c r="R79" s="354">
        <f t="shared" si="22"/>
        <v>44</v>
      </c>
      <c r="S79" s="339">
        <f t="shared" si="23"/>
        <v>44878.68</v>
      </c>
      <c r="T79" s="339">
        <f t="shared" si="24"/>
        <v>329110.32</v>
      </c>
      <c r="U79" s="337"/>
    </row>
    <row r="80" spans="2:21">
      <c r="B80" s="378"/>
      <c r="C80" s="378"/>
      <c r="D80" s="362" t="s">
        <v>1375</v>
      </c>
      <c r="E80" s="367">
        <v>76</v>
      </c>
      <c r="F80" s="337" t="s">
        <v>1437</v>
      </c>
      <c r="G80" s="337" t="s">
        <v>1376</v>
      </c>
      <c r="H80" s="346">
        <v>330000</v>
      </c>
      <c r="I80" s="346">
        <v>43989</v>
      </c>
      <c r="J80" s="340">
        <f t="shared" si="18"/>
        <v>373989</v>
      </c>
      <c r="K80" s="348">
        <v>50</v>
      </c>
      <c r="L80" s="380">
        <v>7479.78</v>
      </c>
      <c r="M80" s="356">
        <f t="shared" si="17"/>
        <v>879.78</v>
      </c>
      <c r="N80" s="356">
        <f t="shared" si="19"/>
        <v>6600</v>
      </c>
      <c r="O80" s="356">
        <f t="shared" si="20"/>
        <v>11437.14</v>
      </c>
      <c r="P80" s="356">
        <f t="shared" si="21"/>
        <v>32551.86</v>
      </c>
      <c r="Q80" s="348">
        <v>13</v>
      </c>
      <c r="R80" s="354">
        <f t="shared" si="22"/>
        <v>37</v>
      </c>
      <c r="S80" s="339">
        <f t="shared" si="23"/>
        <v>97237.14</v>
      </c>
      <c r="T80" s="339">
        <f t="shared" si="24"/>
        <v>276751.86</v>
      </c>
      <c r="U80" s="337"/>
    </row>
    <row r="81" spans="2:21">
      <c r="B81" s="378"/>
      <c r="C81" s="378"/>
      <c r="D81" s="364" t="s">
        <v>1392</v>
      </c>
      <c r="E81" s="367">
        <v>77</v>
      </c>
      <c r="F81" s="337" t="s">
        <v>1437</v>
      </c>
      <c r="G81" s="337" t="s">
        <v>1393</v>
      </c>
      <c r="H81" s="346">
        <v>150000</v>
      </c>
      <c r="I81" s="346">
        <v>19995</v>
      </c>
      <c r="J81" s="340">
        <f t="shared" si="18"/>
        <v>169995</v>
      </c>
      <c r="K81" s="348">
        <v>40</v>
      </c>
      <c r="L81" s="380">
        <v>4149.8999999999996</v>
      </c>
      <c r="M81" s="356">
        <f t="shared" si="17"/>
        <v>399.9</v>
      </c>
      <c r="N81" s="356">
        <f t="shared" si="19"/>
        <v>3000</v>
      </c>
      <c r="O81" s="356">
        <f t="shared" si="20"/>
        <v>8797.7999999999993</v>
      </c>
      <c r="P81" s="356">
        <f t="shared" si="21"/>
        <v>7198.2</v>
      </c>
      <c r="Q81" s="348">
        <v>22</v>
      </c>
      <c r="R81" s="354">
        <f t="shared" si="22"/>
        <v>18</v>
      </c>
      <c r="S81" s="339">
        <f t="shared" si="23"/>
        <v>91297.799999999988</v>
      </c>
      <c r="T81" s="339">
        <f t="shared" si="24"/>
        <v>78697.200000000012</v>
      </c>
      <c r="U81" s="337"/>
    </row>
    <row r="82" spans="2:21">
      <c r="B82" s="378"/>
      <c r="C82" s="378"/>
      <c r="D82" s="337" t="s">
        <v>1438</v>
      </c>
      <c r="E82" s="367">
        <v>78</v>
      </c>
      <c r="F82" s="337" t="s">
        <v>1437</v>
      </c>
      <c r="G82" s="337" t="s">
        <v>1439</v>
      </c>
      <c r="H82" s="346">
        <v>450000</v>
      </c>
      <c r="I82" s="346">
        <v>59985</v>
      </c>
      <c r="J82" s="340">
        <f t="shared" si="18"/>
        <v>509985</v>
      </c>
      <c r="K82" s="348">
        <v>50</v>
      </c>
      <c r="L82" s="381">
        <v>10199.700000000001</v>
      </c>
      <c r="M82" s="356">
        <f t="shared" si="17"/>
        <v>1199.7</v>
      </c>
      <c r="N82" s="356">
        <f t="shared" si="19"/>
        <v>9000</v>
      </c>
      <c r="O82" s="356">
        <f t="shared" si="20"/>
        <v>52786.8</v>
      </c>
      <c r="P82" s="356">
        <f t="shared" si="21"/>
        <v>7198.2000000000007</v>
      </c>
      <c r="Q82" s="358">
        <v>44</v>
      </c>
      <c r="R82" s="354">
        <f t="shared" si="22"/>
        <v>6</v>
      </c>
      <c r="S82" s="339">
        <f t="shared" si="23"/>
        <v>448786.80000000005</v>
      </c>
      <c r="T82" s="339">
        <f t="shared" si="24"/>
        <v>61198.199999999953</v>
      </c>
      <c r="U82" s="390"/>
    </row>
    <row r="83" spans="2:21">
      <c r="B83" s="378"/>
      <c r="C83" s="378"/>
      <c r="D83" s="364" t="s">
        <v>982</v>
      </c>
      <c r="E83" s="367">
        <v>79</v>
      </c>
      <c r="F83" s="337" t="s">
        <v>1437</v>
      </c>
      <c r="G83" s="337" t="s">
        <v>350</v>
      </c>
      <c r="H83" s="346">
        <v>500000</v>
      </c>
      <c r="I83" s="346">
        <v>66650</v>
      </c>
      <c r="J83" s="340">
        <f t="shared" si="18"/>
        <v>566650</v>
      </c>
      <c r="K83" s="348">
        <v>50</v>
      </c>
      <c r="L83" s="380">
        <v>11333</v>
      </c>
      <c r="M83" s="356">
        <f t="shared" si="17"/>
        <v>1333</v>
      </c>
      <c r="N83" s="356">
        <f t="shared" si="19"/>
        <v>10000</v>
      </c>
      <c r="O83" s="356">
        <f t="shared" si="20"/>
        <v>51987</v>
      </c>
      <c r="P83" s="356">
        <f t="shared" si="21"/>
        <v>14663</v>
      </c>
      <c r="Q83" s="348">
        <v>39</v>
      </c>
      <c r="R83" s="354">
        <f t="shared" si="22"/>
        <v>11</v>
      </c>
      <c r="S83" s="339">
        <f t="shared" si="23"/>
        <v>441987</v>
      </c>
      <c r="T83" s="339">
        <f t="shared" si="24"/>
        <v>124663</v>
      </c>
      <c r="U83" s="337"/>
    </row>
    <row r="84" spans="2:21">
      <c r="B84" s="378"/>
      <c r="C84" s="378"/>
      <c r="D84" s="363" t="s">
        <v>965</v>
      </c>
      <c r="E84" s="367">
        <v>80</v>
      </c>
      <c r="F84" s="337" t="s">
        <v>1437</v>
      </c>
      <c r="G84" s="337" t="s">
        <v>334</v>
      </c>
      <c r="H84" s="346">
        <v>500000</v>
      </c>
      <c r="I84" s="346">
        <v>66650</v>
      </c>
      <c r="J84" s="340">
        <f t="shared" si="18"/>
        <v>566650</v>
      </c>
      <c r="K84" s="348">
        <v>50</v>
      </c>
      <c r="L84" s="380">
        <v>11333</v>
      </c>
      <c r="M84" s="356">
        <f t="shared" si="17"/>
        <v>1333</v>
      </c>
      <c r="N84" s="356">
        <f t="shared" si="19"/>
        <v>10000</v>
      </c>
      <c r="O84" s="356">
        <f t="shared" si="20"/>
        <v>62651</v>
      </c>
      <c r="P84" s="356">
        <f t="shared" si="21"/>
        <v>3999</v>
      </c>
      <c r="Q84" s="348">
        <v>47</v>
      </c>
      <c r="R84" s="354">
        <f t="shared" si="22"/>
        <v>3</v>
      </c>
      <c r="S84" s="339">
        <f t="shared" si="23"/>
        <v>532651</v>
      </c>
      <c r="T84" s="339">
        <f t="shared" si="24"/>
        <v>33999</v>
      </c>
      <c r="U84" s="337"/>
    </row>
    <row r="85" spans="2:21">
      <c r="B85" s="378"/>
      <c r="C85" s="378"/>
      <c r="D85" s="365" t="s">
        <v>1402</v>
      </c>
      <c r="E85" s="367">
        <v>81</v>
      </c>
      <c r="F85" s="337" t="s">
        <v>1437</v>
      </c>
      <c r="G85" s="337" t="s">
        <v>1403</v>
      </c>
      <c r="H85" s="346">
        <v>150000</v>
      </c>
      <c r="I85" s="346">
        <v>19995</v>
      </c>
      <c r="J85" s="340">
        <f t="shared" si="18"/>
        <v>169995</v>
      </c>
      <c r="K85" s="348">
        <v>50</v>
      </c>
      <c r="L85" s="380">
        <v>3399.9</v>
      </c>
      <c r="M85" s="356">
        <f t="shared" si="17"/>
        <v>399.9</v>
      </c>
      <c r="N85" s="356">
        <f t="shared" si="19"/>
        <v>3000</v>
      </c>
      <c r="O85" s="356">
        <f t="shared" si="20"/>
        <v>3999</v>
      </c>
      <c r="P85" s="356">
        <f t="shared" si="21"/>
        <v>15996</v>
      </c>
      <c r="Q85" s="348">
        <v>10</v>
      </c>
      <c r="R85" s="354">
        <f t="shared" si="22"/>
        <v>40</v>
      </c>
      <c r="S85" s="339">
        <f t="shared" si="23"/>
        <v>33999</v>
      </c>
      <c r="T85" s="339">
        <f t="shared" si="24"/>
        <v>135996</v>
      </c>
      <c r="U85" s="337"/>
    </row>
    <row r="86" spans="2:21">
      <c r="B86" s="378"/>
      <c r="C86" s="378"/>
      <c r="D86" s="361" t="s">
        <v>1355</v>
      </c>
      <c r="E86" s="367">
        <v>82</v>
      </c>
      <c r="F86" s="337" t="s">
        <v>1437</v>
      </c>
      <c r="G86" s="337" t="s">
        <v>1287</v>
      </c>
      <c r="H86" s="346">
        <v>450000</v>
      </c>
      <c r="I86" s="346">
        <v>59985</v>
      </c>
      <c r="J86" s="340">
        <f t="shared" si="18"/>
        <v>509985</v>
      </c>
      <c r="K86" s="348">
        <v>50</v>
      </c>
      <c r="L86" s="380">
        <v>10199.700000000001</v>
      </c>
      <c r="M86" s="356">
        <f t="shared" si="17"/>
        <v>1199.7</v>
      </c>
      <c r="N86" s="356">
        <f t="shared" si="19"/>
        <v>9000</v>
      </c>
      <c r="O86" s="356">
        <f t="shared" si="20"/>
        <v>17995.5</v>
      </c>
      <c r="P86" s="356">
        <f t="shared" si="21"/>
        <v>41989.5</v>
      </c>
      <c r="Q86" s="348">
        <v>15</v>
      </c>
      <c r="R86" s="354">
        <f t="shared" si="22"/>
        <v>35</v>
      </c>
      <c r="S86" s="339">
        <f t="shared" si="23"/>
        <v>152995.5</v>
      </c>
      <c r="T86" s="339">
        <f t="shared" si="24"/>
        <v>356989.5</v>
      </c>
      <c r="U86" s="337"/>
    </row>
    <row r="87" spans="2:21">
      <c r="B87" s="378"/>
      <c r="C87" s="378"/>
      <c r="D87" s="337" t="s">
        <v>1025</v>
      </c>
      <c r="E87" s="367">
        <v>83</v>
      </c>
      <c r="F87" s="337" t="s">
        <v>1437</v>
      </c>
      <c r="G87" s="337" t="s">
        <v>333</v>
      </c>
      <c r="H87" s="346">
        <v>500000</v>
      </c>
      <c r="I87" s="346">
        <v>66650</v>
      </c>
      <c r="J87" s="340">
        <f t="shared" si="18"/>
        <v>566650</v>
      </c>
      <c r="K87" s="348">
        <v>50</v>
      </c>
      <c r="L87" s="381">
        <v>11333</v>
      </c>
      <c r="M87" s="356">
        <f t="shared" si="17"/>
        <v>1333</v>
      </c>
      <c r="N87" s="356">
        <f t="shared" si="19"/>
        <v>10000</v>
      </c>
      <c r="O87" s="356">
        <f t="shared" si="20"/>
        <v>3999</v>
      </c>
      <c r="P87" s="356">
        <f t="shared" si="21"/>
        <v>62651</v>
      </c>
      <c r="Q87" s="358">
        <v>3</v>
      </c>
      <c r="R87" s="354">
        <f t="shared" si="22"/>
        <v>47</v>
      </c>
      <c r="S87" s="339">
        <f t="shared" si="23"/>
        <v>33999</v>
      </c>
      <c r="T87" s="339">
        <f t="shared" si="24"/>
        <v>532651</v>
      </c>
      <c r="U87" s="337"/>
    </row>
    <row r="88" spans="2:21">
      <c r="B88" s="378"/>
      <c r="C88" s="378"/>
      <c r="D88" s="337" t="s">
        <v>1465</v>
      </c>
      <c r="E88" s="367">
        <v>84</v>
      </c>
      <c r="F88" s="337" t="s">
        <v>1437</v>
      </c>
      <c r="G88" s="337" t="s">
        <v>1466</v>
      </c>
      <c r="H88" s="346">
        <v>500000</v>
      </c>
      <c r="I88" s="346">
        <v>66650</v>
      </c>
      <c r="J88" s="340">
        <f t="shared" si="18"/>
        <v>566650</v>
      </c>
      <c r="K88" s="348">
        <v>50</v>
      </c>
      <c r="L88" s="381">
        <v>11333</v>
      </c>
      <c r="M88" s="356">
        <f t="shared" si="17"/>
        <v>1333</v>
      </c>
      <c r="N88" s="356">
        <f t="shared" si="19"/>
        <v>10000</v>
      </c>
      <c r="O88" s="356">
        <f t="shared" si="20"/>
        <v>3999</v>
      </c>
      <c r="P88" s="356">
        <f t="shared" si="21"/>
        <v>62651</v>
      </c>
      <c r="Q88" s="358">
        <v>3</v>
      </c>
      <c r="R88" s="354">
        <f t="shared" si="22"/>
        <v>47</v>
      </c>
      <c r="S88" s="339">
        <f t="shared" si="23"/>
        <v>33999</v>
      </c>
      <c r="T88" s="339">
        <f t="shared" si="24"/>
        <v>532651</v>
      </c>
      <c r="U88" s="337"/>
    </row>
    <row r="89" spans="2:21">
      <c r="B89" s="378"/>
      <c r="C89" s="378"/>
      <c r="D89" s="365" t="s">
        <v>1102</v>
      </c>
      <c r="E89" s="367">
        <v>85</v>
      </c>
      <c r="F89" s="337" t="s">
        <v>1437</v>
      </c>
      <c r="G89" s="337" t="s">
        <v>485</v>
      </c>
      <c r="H89" s="346">
        <v>500000</v>
      </c>
      <c r="I89" s="346">
        <v>66650</v>
      </c>
      <c r="J89" s="340">
        <f t="shared" si="18"/>
        <v>566650</v>
      </c>
      <c r="K89" s="348">
        <v>50</v>
      </c>
      <c r="L89" s="380">
        <v>11333</v>
      </c>
      <c r="M89" s="356">
        <f t="shared" si="17"/>
        <v>1333</v>
      </c>
      <c r="N89" s="356">
        <f t="shared" si="19"/>
        <v>10000</v>
      </c>
      <c r="O89" s="356">
        <f t="shared" si="20"/>
        <v>15996</v>
      </c>
      <c r="P89" s="356">
        <f t="shared" si="21"/>
        <v>50654</v>
      </c>
      <c r="Q89" s="348">
        <v>12</v>
      </c>
      <c r="R89" s="354">
        <f t="shared" si="22"/>
        <v>38</v>
      </c>
      <c r="S89" s="339">
        <f t="shared" si="23"/>
        <v>135996</v>
      </c>
      <c r="T89" s="339">
        <f t="shared" si="24"/>
        <v>430654</v>
      </c>
      <c r="U89" s="337"/>
    </row>
    <row r="90" spans="2:21">
      <c r="B90" s="378"/>
      <c r="C90" s="378"/>
      <c r="D90" s="364" t="s">
        <v>1351</v>
      </c>
      <c r="E90" s="367">
        <v>86</v>
      </c>
      <c r="F90" s="337" t="s">
        <v>1437</v>
      </c>
      <c r="G90" s="337" t="s">
        <v>1285</v>
      </c>
      <c r="H90" s="346">
        <v>500000</v>
      </c>
      <c r="I90" s="346">
        <v>66650</v>
      </c>
      <c r="J90" s="340">
        <f t="shared" si="18"/>
        <v>566650</v>
      </c>
      <c r="K90" s="348">
        <v>50</v>
      </c>
      <c r="L90" s="380">
        <v>11333</v>
      </c>
      <c r="M90" s="356">
        <f t="shared" si="17"/>
        <v>1333</v>
      </c>
      <c r="N90" s="356">
        <f t="shared" si="19"/>
        <v>10000</v>
      </c>
      <c r="O90" s="356">
        <f t="shared" si="20"/>
        <v>19995</v>
      </c>
      <c r="P90" s="356">
        <f t="shared" si="21"/>
        <v>46655</v>
      </c>
      <c r="Q90" s="348">
        <v>15</v>
      </c>
      <c r="R90" s="354">
        <f t="shared" si="22"/>
        <v>35</v>
      </c>
      <c r="S90" s="339">
        <f t="shared" si="23"/>
        <v>169995</v>
      </c>
      <c r="T90" s="339">
        <f t="shared" si="24"/>
        <v>396655</v>
      </c>
      <c r="U90" s="337"/>
    </row>
    <row r="91" spans="2:21">
      <c r="B91" s="378"/>
      <c r="C91" s="378"/>
      <c r="D91" s="364" t="s">
        <v>960</v>
      </c>
      <c r="E91" s="367">
        <v>87</v>
      </c>
      <c r="F91" s="337" t="s">
        <v>1437</v>
      </c>
      <c r="G91" s="337" t="s">
        <v>488</v>
      </c>
      <c r="H91" s="346">
        <v>500000</v>
      </c>
      <c r="I91" s="346">
        <v>66650</v>
      </c>
      <c r="J91" s="340">
        <f t="shared" si="18"/>
        <v>566650</v>
      </c>
      <c r="K91" s="348">
        <v>50</v>
      </c>
      <c r="L91" s="380">
        <v>11333</v>
      </c>
      <c r="M91" s="356">
        <f t="shared" si="17"/>
        <v>1333</v>
      </c>
      <c r="N91" s="356">
        <f t="shared" si="19"/>
        <v>10000</v>
      </c>
      <c r="O91" s="356">
        <f t="shared" si="20"/>
        <v>46655</v>
      </c>
      <c r="P91" s="356">
        <f t="shared" si="21"/>
        <v>19995</v>
      </c>
      <c r="Q91" s="348">
        <v>35</v>
      </c>
      <c r="R91" s="354">
        <f t="shared" si="22"/>
        <v>15</v>
      </c>
      <c r="S91" s="339">
        <f t="shared" si="23"/>
        <v>396655</v>
      </c>
      <c r="T91" s="339">
        <f t="shared" si="24"/>
        <v>169995</v>
      </c>
      <c r="U91" s="337"/>
    </row>
    <row r="92" spans="2:21">
      <c r="B92" s="378"/>
      <c r="C92" s="378"/>
      <c r="D92" s="363" t="s">
        <v>1011</v>
      </c>
      <c r="E92" s="367">
        <v>88</v>
      </c>
      <c r="F92" s="337" t="s">
        <v>1437</v>
      </c>
      <c r="G92" s="337" t="s">
        <v>863</v>
      </c>
      <c r="H92" s="346">
        <v>500000</v>
      </c>
      <c r="I92" s="346">
        <v>66650</v>
      </c>
      <c r="J92" s="340">
        <f t="shared" si="18"/>
        <v>566650</v>
      </c>
      <c r="K92" s="348">
        <v>50</v>
      </c>
      <c r="L92" s="380">
        <v>11333</v>
      </c>
      <c r="M92" s="356">
        <f t="shared" si="17"/>
        <v>1333</v>
      </c>
      <c r="N92" s="356">
        <f t="shared" si="19"/>
        <v>10000</v>
      </c>
      <c r="O92" s="356">
        <f t="shared" si="20"/>
        <v>39990</v>
      </c>
      <c r="P92" s="356">
        <f t="shared" si="21"/>
        <v>26660</v>
      </c>
      <c r="Q92" s="348">
        <v>30</v>
      </c>
      <c r="R92" s="354">
        <f t="shared" si="22"/>
        <v>20</v>
      </c>
      <c r="S92" s="339">
        <f t="shared" si="23"/>
        <v>339990</v>
      </c>
      <c r="T92" s="339">
        <f t="shared" si="24"/>
        <v>226660</v>
      </c>
      <c r="U92" s="337"/>
    </row>
    <row r="93" spans="2:21">
      <c r="B93" s="378"/>
      <c r="C93" s="378"/>
      <c r="D93" s="364" t="s">
        <v>1042</v>
      </c>
      <c r="E93" s="367">
        <v>89</v>
      </c>
      <c r="F93" s="337" t="s">
        <v>1437</v>
      </c>
      <c r="G93" s="337" t="s">
        <v>359</v>
      </c>
      <c r="H93" s="346">
        <v>500000</v>
      </c>
      <c r="I93" s="346">
        <v>66650</v>
      </c>
      <c r="J93" s="340">
        <f t="shared" si="18"/>
        <v>566650</v>
      </c>
      <c r="K93" s="348">
        <v>50</v>
      </c>
      <c r="L93" s="380">
        <v>11333</v>
      </c>
      <c r="M93" s="356">
        <f t="shared" si="17"/>
        <v>1333</v>
      </c>
      <c r="N93" s="356">
        <f t="shared" si="19"/>
        <v>10000</v>
      </c>
      <c r="O93" s="356">
        <f t="shared" si="20"/>
        <v>13330</v>
      </c>
      <c r="P93" s="356">
        <f t="shared" si="21"/>
        <v>53320</v>
      </c>
      <c r="Q93" s="348">
        <v>10</v>
      </c>
      <c r="R93" s="354">
        <f t="shared" si="22"/>
        <v>40</v>
      </c>
      <c r="S93" s="339">
        <f t="shared" si="23"/>
        <v>113330</v>
      </c>
      <c r="T93" s="339">
        <f t="shared" si="24"/>
        <v>453320</v>
      </c>
      <c r="U93" s="337"/>
    </row>
    <row r="94" spans="2:21">
      <c r="B94" s="378"/>
      <c r="C94" s="378"/>
      <c r="D94" s="361" t="s">
        <v>1045</v>
      </c>
      <c r="E94" s="367">
        <v>90</v>
      </c>
      <c r="F94" s="337" t="s">
        <v>1437</v>
      </c>
      <c r="G94" s="337" t="s">
        <v>867</v>
      </c>
      <c r="H94" s="346">
        <v>500000</v>
      </c>
      <c r="I94" s="346">
        <v>66650</v>
      </c>
      <c r="J94" s="340">
        <f t="shared" si="18"/>
        <v>566650</v>
      </c>
      <c r="K94" s="348">
        <v>50</v>
      </c>
      <c r="L94" s="380">
        <v>11333</v>
      </c>
      <c r="M94" s="356">
        <f t="shared" si="17"/>
        <v>1333</v>
      </c>
      <c r="N94" s="356">
        <f t="shared" si="19"/>
        <v>10000</v>
      </c>
      <c r="O94" s="356">
        <f t="shared" si="20"/>
        <v>91977</v>
      </c>
      <c r="P94" s="356">
        <f t="shared" si="21"/>
        <v>-25327</v>
      </c>
      <c r="Q94" s="348">
        <v>69</v>
      </c>
      <c r="R94" s="354">
        <f t="shared" si="22"/>
        <v>-19</v>
      </c>
      <c r="S94" s="339">
        <f t="shared" si="23"/>
        <v>781977</v>
      </c>
      <c r="T94" s="339">
        <f t="shared" si="24"/>
        <v>-215327</v>
      </c>
      <c r="U94" s="337"/>
    </row>
    <row r="95" spans="2:21">
      <c r="B95" s="378"/>
      <c r="C95" s="378"/>
      <c r="D95" s="364" t="s">
        <v>1323</v>
      </c>
      <c r="E95" s="367">
        <v>91</v>
      </c>
      <c r="F95" s="337" t="s">
        <v>1437</v>
      </c>
      <c r="G95" s="337" t="s">
        <v>448</v>
      </c>
      <c r="H95" s="346">
        <v>500000</v>
      </c>
      <c r="I95" s="346">
        <v>66650</v>
      </c>
      <c r="J95" s="340">
        <f t="shared" si="18"/>
        <v>566650</v>
      </c>
      <c r="K95" s="348">
        <v>50</v>
      </c>
      <c r="L95" s="380">
        <v>11333</v>
      </c>
      <c r="M95" s="356">
        <f t="shared" si="17"/>
        <v>1333</v>
      </c>
      <c r="N95" s="356">
        <f t="shared" si="19"/>
        <v>10000</v>
      </c>
      <c r="O95" s="356">
        <f t="shared" si="20"/>
        <v>27993</v>
      </c>
      <c r="P95" s="356">
        <f t="shared" si="21"/>
        <v>38657</v>
      </c>
      <c r="Q95" s="348">
        <v>21</v>
      </c>
      <c r="R95" s="354">
        <f t="shared" si="22"/>
        <v>29</v>
      </c>
      <c r="S95" s="339">
        <f t="shared" si="23"/>
        <v>237993</v>
      </c>
      <c r="T95" s="339">
        <f t="shared" si="24"/>
        <v>328657</v>
      </c>
      <c r="U95" s="337"/>
    </row>
    <row r="96" spans="2:21" ht="22.5">
      <c r="B96" s="378"/>
      <c r="C96" s="378"/>
      <c r="D96" s="337" t="s">
        <v>1483</v>
      </c>
      <c r="E96" s="367">
        <v>92</v>
      </c>
      <c r="F96" s="337" t="s">
        <v>1437</v>
      </c>
      <c r="G96" s="337" t="s">
        <v>1484</v>
      </c>
      <c r="H96" s="346">
        <v>150000</v>
      </c>
      <c r="I96" s="346">
        <v>19995</v>
      </c>
      <c r="J96" s="340">
        <f t="shared" si="18"/>
        <v>169995</v>
      </c>
      <c r="K96" s="348">
        <v>50</v>
      </c>
      <c r="L96" s="381">
        <v>3399.5</v>
      </c>
      <c r="M96" s="356">
        <f t="shared" si="17"/>
        <v>399.9</v>
      </c>
      <c r="N96" s="356">
        <f t="shared" si="19"/>
        <v>3000</v>
      </c>
      <c r="O96" s="356">
        <f t="shared" si="20"/>
        <v>1199.6999999999998</v>
      </c>
      <c r="P96" s="356">
        <f t="shared" si="21"/>
        <v>18795.3</v>
      </c>
      <c r="Q96" s="358">
        <v>3</v>
      </c>
      <c r="R96" s="354">
        <f t="shared" si="22"/>
        <v>47</v>
      </c>
      <c r="S96" s="339">
        <f t="shared" si="23"/>
        <v>10198.5</v>
      </c>
      <c r="T96" s="339">
        <f t="shared" si="24"/>
        <v>159796.5</v>
      </c>
      <c r="U96" s="389" t="s">
        <v>1444</v>
      </c>
    </row>
    <row r="97" spans="2:21">
      <c r="B97" s="378"/>
      <c r="C97" s="378"/>
      <c r="D97" s="363" t="s">
        <v>1037</v>
      </c>
      <c r="E97" s="367">
        <v>93</v>
      </c>
      <c r="F97" s="337" t="s">
        <v>1437</v>
      </c>
      <c r="G97" s="337" t="s">
        <v>326</v>
      </c>
      <c r="H97" s="346">
        <v>500000</v>
      </c>
      <c r="I97" s="346">
        <v>66650</v>
      </c>
      <c r="J97" s="340">
        <f t="shared" si="18"/>
        <v>566650</v>
      </c>
      <c r="K97" s="348">
        <v>50</v>
      </c>
      <c r="L97" s="380">
        <v>11333</v>
      </c>
      <c r="M97" s="356">
        <f t="shared" si="17"/>
        <v>1333</v>
      </c>
      <c r="N97" s="356">
        <f t="shared" si="19"/>
        <v>10000</v>
      </c>
      <c r="O97" s="356">
        <f t="shared" si="20"/>
        <v>61318</v>
      </c>
      <c r="P97" s="356">
        <f t="shared" si="21"/>
        <v>5332</v>
      </c>
      <c r="Q97" s="348">
        <v>46</v>
      </c>
      <c r="R97" s="354">
        <f t="shared" si="22"/>
        <v>4</v>
      </c>
      <c r="S97" s="339">
        <f t="shared" si="23"/>
        <v>521318</v>
      </c>
      <c r="T97" s="339">
        <f t="shared" si="24"/>
        <v>45332</v>
      </c>
      <c r="U97" s="337"/>
    </row>
    <row r="98" spans="2:21">
      <c r="B98" s="378"/>
      <c r="C98" s="378"/>
      <c r="D98" s="363" t="s">
        <v>1002</v>
      </c>
      <c r="E98" s="367">
        <v>94</v>
      </c>
      <c r="F98" s="337" t="s">
        <v>1437</v>
      </c>
      <c r="G98" s="337" t="s">
        <v>1003</v>
      </c>
      <c r="H98" s="346">
        <v>150000</v>
      </c>
      <c r="I98" s="346">
        <v>19995</v>
      </c>
      <c r="J98" s="340">
        <f t="shared" si="18"/>
        <v>169995</v>
      </c>
      <c r="K98" s="348">
        <v>50</v>
      </c>
      <c r="L98" s="380">
        <v>3399.9</v>
      </c>
      <c r="M98" s="356">
        <f t="shared" si="17"/>
        <v>399.9</v>
      </c>
      <c r="N98" s="356">
        <f t="shared" si="19"/>
        <v>3000</v>
      </c>
      <c r="O98" s="356">
        <f t="shared" si="20"/>
        <v>10797.3</v>
      </c>
      <c r="P98" s="356">
        <f t="shared" si="21"/>
        <v>9197.6999999999989</v>
      </c>
      <c r="Q98" s="348">
        <v>27</v>
      </c>
      <c r="R98" s="354">
        <f t="shared" si="22"/>
        <v>23</v>
      </c>
      <c r="S98" s="339">
        <f t="shared" si="23"/>
        <v>91797.3</v>
      </c>
      <c r="T98" s="339">
        <f t="shared" si="24"/>
        <v>78197.7</v>
      </c>
      <c r="U98" s="337"/>
    </row>
    <row r="99" spans="2:21">
      <c r="B99" s="378"/>
      <c r="C99" s="378"/>
      <c r="D99" s="363" t="s">
        <v>1315</v>
      </c>
      <c r="E99" s="367">
        <v>95</v>
      </c>
      <c r="F99" s="337" t="s">
        <v>1437</v>
      </c>
      <c r="G99" s="337" t="s">
        <v>1316</v>
      </c>
      <c r="H99" s="346">
        <v>450000</v>
      </c>
      <c r="I99" s="346">
        <v>28792.799999999999</v>
      </c>
      <c r="J99" s="340">
        <f t="shared" si="18"/>
        <v>478792.8</v>
      </c>
      <c r="K99" s="348">
        <v>24</v>
      </c>
      <c r="L99" s="380">
        <v>19949.7</v>
      </c>
      <c r="M99" s="356">
        <f>I99/24</f>
        <v>1199.7</v>
      </c>
      <c r="N99" s="356">
        <f t="shared" si="19"/>
        <v>9000</v>
      </c>
      <c r="O99" s="356">
        <f t="shared" si="20"/>
        <v>11997</v>
      </c>
      <c r="P99" s="356">
        <f t="shared" si="21"/>
        <v>16795.8</v>
      </c>
      <c r="Q99" s="348">
        <v>10</v>
      </c>
      <c r="R99" s="354">
        <f t="shared" si="22"/>
        <v>14</v>
      </c>
      <c r="S99" s="339">
        <f t="shared" si="23"/>
        <v>199497</v>
      </c>
      <c r="T99" s="339">
        <f t="shared" si="24"/>
        <v>279295.8</v>
      </c>
      <c r="U99" s="337"/>
    </row>
    <row r="100" spans="2:21">
      <c r="B100" s="378"/>
      <c r="C100" s="378"/>
      <c r="D100" s="362" t="s">
        <v>1404</v>
      </c>
      <c r="E100" s="367">
        <v>96</v>
      </c>
      <c r="F100" s="337" t="s">
        <v>1437</v>
      </c>
      <c r="G100" s="337" t="s">
        <v>1405</v>
      </c>
      <c r="H100" s="346">
        <v>150000</v>
      </c>
      <c r="I100" s="346">
        <v>19995</v>
      </c>
      <c r="J100" s="340">
        <f t="shared" si="18"/>
        <v>169995</v>
      </c>
      <c r="K100" s="348">
        <v>50</v>
      </c>
      <c r="L100" s="380">
        <v>3399.9</v>
      </c>
      <c r="M100" s="356">
        <f t="shared" ref="M100:M125" si="25">I100/50</f>
        <v>399.9</v>
      </c>
      <c r="N100" s="356">
        <f t="shared" si="19"/>
        <v>3000</v>
      </c>
      <c r="O100" s="356">
        <f t="shared" si="20"/>
        <v>3999</v>
      </c>
      <c r="P100" s="356">
        <f t="shared" si="21"/>
        <v>15996</v>
      </c>
      <c r="Q100" s="348">
        <v>10</v>
      </c>
      <c r="R100" s="354">
        <f t="shared" si="22"/>
        <v>40</v>
      </c>
      <c r="S100" s="339">
        <f t="shared" si="23"/>
        <v>33999</v>
      </c>
      <c r="T100" s="339">
        <f t="shared" si="24"/>
        <v>135996</v>
      </c>
      <c r="U100" s="337"/>
    </row>
    <row r="101" spans="2:21">
      <c r="B101" s="378"/>
      <c r="C101" s="378"/>
      <c r="D101" s="366" t="s">
        <v>1381</v>
      </c>
      <c r="E101" s="367">
        <v>97</v>
      </c>
      <c r="F101" s="337" t="s">
        <v>1437</v>
      </c>
      <c r="G101" s="337" t="s">
        <v>1129</v>
      </c>
      <c r="H101" s="346">
        <v>330000</v>
      </c>
      <c r="I101" s="346">
        <v>43989</v>
      </c>
      <c r="J101" s="340">
        <f t="shared" ref="J101:J132" si="26">SUM(H101:I101)</f>
        <v>373989</v>
      </c>
      <c r="K101" s="348">
        <v>50</v>
      </c>
      <c r="L101" s="380">
        <v>7479.78</v>
      </c>
      <c r="M101" s="356">
        <f t="shared" si="25"/>
        <v>879.78</v>
      </c>
      <c r="N101" s="356">
        <f t="shared" ref="N101:N132" si="27">H101/50</f>
        <v>6600</v>
      </c>
      <c r="O101" s="356">
        <f t="shared" ref="O101:O132" si="28">M101*Q101</f>
        <v>19355.16</v>
      </c>
      <c r="P101" s="356">
        <f t="shared" ref="P101:P132" si="29">M101*R101</f>
        <v>24633.84</v>
      </c>
      <c r="Q101" s="348">
        <v>22</v>
      </c>
      <c r="R101" s="354">
        <f t="shared" ref="R101:R132" si="30">K101-Q101</f>
        <v>28</v>
      </c>
      <c r="S101" s="339">
        <f t="shared" ref="S101:S132" si="31">L101*Q101</f>
        <v>164555.16</v>
      </c>
      <c r="T101" s="339">
        <f t="shared" ref="T101:T132" si="32">J101-S101</f>
        <v>209433.84</v>
      </c>
      <c r="U101" s="337"/>
    </row>
    <row r="102" spans="2:21">
      <c r="B102" s="378"/>
      <c r="C102" s="378"/>
      <c r="D102" s="337" t="s">
        <v>1417</v>
      </c>
      <c r="E102" s="367">
        <v>98</v>
      </c>
      <c r="F102" s="337" t="s">
        <v>1437</v>
      </c>
      <c r="G102" s="337" t="s">
        <v>477</v>
      </c>
      <c r="H102" s="346">
        <v>330000</v>
      </c>
      <c r="I102" s="346">
        <v>43989</v>
      </c>
      <c r="J102" s="340">
        <f t="shared" si="26"/>
        <v>373989</v>
      </c>
      <c r="K102" s="358">
        <v>50</v>
      </c>
      <c r="L102" s="381">
        <v>7479.78</v>
      </c>
      <c r="M102" s="356">
        <f t="shared" si="25"/>
        <v>879.78</v>
      </c>
      <c r="N102" s="356">
        <f t="shared" si="27"/>
        <v>6600</v>
      </c>
      <c r="O102" s="356">
        <f t="shared" si="28"/>
        <v>7038.24</v>
      </c>
      <c r="P102" s="356">
        <f t="shared" si="29"/>
        <v>36950.76</v>
      </c>
      <c r="Q102" s="358">
        <v>8</v>
      </c>
      <c r="R102" s="354">
        <f t="shared" si="30"/>
        <v>42</v>
      </c>
      <c r="S102" s="339">
        <f t="shared" si="31"/>
        <v>59838.239999999998</v>
      </c>
      <c r="T102" s="339">
        <f t="shared" si="32"/>
        <v>314150.76</v>
      </c>
      <c r="U102" s="337"/>
    </row>
    <row r="103" spans="2:21">
      <c r="B103" s="378"/>
      <c r="C103" s="378"/>
      <c r="D103" s="363" t="s">
        <v>1061</v>
      </c>
      <c r="E103" s="367">
        <v>99</v>
      </c>
      <c r="F103" s="337" t="s">
        <v>1437</v>
      </c>
      <c r="G103" s="337" t="s">
        <v>854</v>
      </c>
      <c r="H103" s="346">
        <v>330000</v>
      </c>
      <c r="I103" s="346">
        <v>43989</v>
      </c>
      <c r="J103" s="340">
        <f t="shared" si="26"/>
        <v>373989</v>
      </c>
      <c r="K103" s="348">
        <v>50</v>
      </c>
      <c r="L103" s="380">
        <v>7479.78</v>
      </c>
      <c r="M103" s="356">
        <f t="shared" si="25"/>
        <v>879.78</v>
      </c>
      <c r="N103" s="356">
        <f t="shared" si="27"/>
        <v>6600</v>
      </c>
      <c r="O103" s="356">
        <f t="shared" si="28"/>
        <v>24633.84</v>
      </c>
      <c r="P103" s="356">
        <f t="shared" si="29"/>
        <v>19355.16</v>
      </c>
      <c r="Q103" s="348">
        <v>28</v>
      </c>
      <c r="R103" s="354">
        <f t="shared" si="30"/>
        <v>22</v>
      </c>
      <c r="S103" s="339">
        <f t="shared" si="31"/>
        <v>209433.84</v>
      </c>
      <c r="T103" s="339">
        <f t="shared" si="32"/>
        <v>164555.16</v>
      </c>
      <c r="U103" s="337"/>
    </row>
    <row r="104" spans="2:21">
      <c r="B104" s="378"/>
      <c r="C104" s="378"/>
      <c r="D104" s="362" t="s">
        <v>969</v>
      </c>
      <c r="E104" s="367">
        <v>100</v>
      </c>
      <c r="F104" s="337" t="s">
        <v>1437</v>
      </c>
      <c r="G104" s="337" t="s">
        <v>851</v>
      </c>
      <c r="H104" s="346">
        <v>150000</v>
      </c>
      <c r="I104" s="346">
        <v>19995</v>
      </c>
      <c r="J104" s="340">
        <f t="shared" si="26"/>
        <v>169995</v>
      </c>
      <c r="K104" s="348">
        <v>50</v>
      </c>
      <c r="L104" s="380">
        <v>3399.9</v>
      </c>
      <c r="M104" s="356">
        <f t="shared" si="25"/>
        <v>399.9</v>
      </c>
      <c r="N104" s="356">
        <f t="shared" si="27"/>
        <v>3000</v>
      </c>
      <c r="O104" s="356">
        <f t="shared" si="28"/>
        <v>3999</v>
      </c>
      <c r="P104" s="356">
        <f t="shared" si="29"/>
        <v>15996</v>
      </c>
      <c r="Q104" s="348">
        <v>10</v>
      </c>
      <c r="R104" s="354">
        <f t="shared" si="30"/>
        <v>40</v>
      </c>
      <c r="S104" s="339">
        <f t="shared" si="31"/>
        <v>33999</v>
      </c>
      <c r="T104" s="339">
        <f t="shared" si="32"/>
        <v>135996</v>
      </c>
      <c r="U104" s="337"/>
    </row>
    <row r="105" spans="2:21">
      <c r="B105" s="378"/>
      <c r="C105" s="378"/>
      <c r="D105" s="363" t="s">
        <v>1341</v>
      </c>
      <c r="E105" s="367">
        <v>101</v>
      </c>
      <c r="F105" s="337" t="s">
        <v>1437</v>
      </c>
      <c r="G105" s="337" t="s">
        <v>1139</v>
      </c>
      <c r="H105" s="346">
        <v>500000</v>
      </c>
      <c r="I105" s="346">
        <v>66650</v>
      </c>
      <c r="J105" s="340">
        <f t="shared" si="26"/>
        <v>566650</v>
      </c>
      <c r="K105" s="348">
        <v>50</v>
      </c>
      <c r="L105" s="380">
        <v>11333</v>
      </c>
      <c r="M105" s="356">
        <f t="shared" si="25"/>
        <v>1333</v>
      </c>
      <c r="N105" s="356">
        <f t="shared" si="27"/>
        <v>10000</v>
      </c>
      <c r="O105" s="356">
        <f t="shared" si="28"/>
        <v>29326</v>
      </c>
      <c r="P105" s="356">
        <f t="shared" si="29"/>
        <v>37324</v>
      </c>
      <c r="Q105" s="348">
        <v>22</v>
      </c>
      <c r="R105" s="354">
        <f t="shared" si="30"/>
        <v>28</v>
      </c>
      <c r="S105" s="339">
        <f t="shared" si="31"/>
        <v>249326</v>
      </c>
      <c r="T105" s="339">
        <f t="shared" si="32"/>
        <v>317324</v>
      </c>
      <c r="U105" s="337"/>
    </row>
    <row r="106" spans="2:21">
      <c r="B106" s="378"/>
      <c r="C106" s="378"/>
      <c r="D106" s="362" t="s">
        <v>1398</v>
      </c>
      <c r="E106" s="367">
        <v>102</v>
      </c>
      <c r="F106" s="337" t="s">
        <v>1437</v>
      </c>
      <c r="G106" s="337" t="s">
        <v>1399</v>
      </c>
      <c r="H106" s="346">
        <v>150000</v>
      </c>
      <c r="I106" s="346">
        <v>19995</v>
      </c>
      <c r="J106" s="340">
        <f t="shared" si="26"/>
        <v>169995</v>
      </c>
      <c r="K106" s="348">
        <v>50</v>
      </c>
      <c r="L106" s="380">
        <v>3399.9</v>
      </c>
      <c r="M106" s="356">
        <f t="shared" si="25"/>
        <v>399.9</v>
      </c>
      <c r="N106" s="356">
        <f t="shared" si="27"/>
        <v>3000</v>
      </c>
      <c r="O106" s="356">
        <f t="shared" si="28"/>
        <v>3999</v>
      </c>
      <c r="P106" s="356">
        <f t="shared" si="29"/>
        <v>15996</v>
      </c>
      <c r="Q106" s="348">
        <v>10</v>
      </c>
      <c r="R106" s="354">
        <f t="shared" si="30"/>
        <v>40</v>
      </c>
      <c r="S106" s="339">
        <f t="shared" si="31"/>
        <v>33999</v>
      </c>
      <c r="T106" s="339">
        <f t="shared" si="32"/>
        <v>135996</v>
      </c>
      <c r="U106" s="337"/>
    </row>
    <row r="107" spans="2:21">
      <c r="B107" s="378"/>
      <c r="C107" s="378"/>
      <c r="D107" s="362" t="s">
        <v>1118</v>
      </c>
      <c r="E107" s="367">
        <v>103</v>
      </c>
      <c r="F107" s="337" t="s">
        <v>1437</v>
      </c>
      <c r="G107" s="337" t="s">
        <v>1119</v>
      </c>
      <c r="H107" s="346">
        <v>500000</v>
      </c>
      <c r="I107" s="346">
        <v>66650</v>
      </c>
      <c r="J107" s="340">
        <f t="shared" si="26"/>
        <v>566650</v>
      </c>
      <c r="K107" s="348">
        <v>50</v>
      </c>
      <c r="L107" s="380">
        <v>11333</v>
      </c>
      <c r="M107" s="356">
        <f t="shared" si="25"/>
        <v>1333</v>
      </c>
      <c r="N107" s="356">
        <f t="shared" si="27"/>
        <v>10000</v>
      </c>
      <c r="O107" s="356">
        <f t="shared" si="28"/>
        <v>30659</v>
      </c>
      <c r="P107" s="356">
        <f t="shared" si="29"/>
        <v>35991</v>
      </c>
      <c r="Q107" s="348">
        <v>23</v>
      </c>
      <c r="R107" s="354">
        <f t="shared" si="30"/>
        <v>27</v>
      </c>
      <c r="S107" s="339">
        <f t="shared" si="31"/>
        <v>260659</v>
      </c>
      <c r="T107" s="339">
        <f t="shared" si="32"/>
        <v>305991</v>
      </c>
      <c r="U107" s="337"/>
    </row>
    <row r="108" spans="2:21">
      <c r="B108" s="378"/>
      <c r="C108" s="378"/>
      <c r="D108" s="363" t="s">
        <v>1123</v>
      </c>
      <c r="E108" s="367">
        <v>104</v>
      </c>
      <c r="F108" s="337" t="s">
        <v>1437</v>
      </c>
      <c r="G108" s="337" t="s">
        <v>439</v>
      </c>
      <c r="H108" s="346">
        <v>330000</v>
      </c>
      <c r="I108" s="346">
        <v>43989</v>
      </c>
      <c r="J108" s="340">
        <f t="shared" si="26"/>
        <v>373989</v>
      </c>
      <c r="K108" s="348">
        <v>50</v>
      </c>
      <c r="L108" s="380">
        <v>7479.78</v>
      </c>
      <c r="M108" s="356">
        <f t="shared" si="25"/>
        <v>879.78</v>
      </c>
      <c r="N108" s="356">
        <f t="shared" si="27"/>
        <v>6600</v>
      </c>
      <c r="O108" s="356">
        <f t="shared" si="28"/>
        <v>20234.939999999999</v>
      </c>
      <c r="P108" s="356">
        <f t="shared" si="29"/>
        <v>23754.059999999998</v>
      </c>
      <c r="Q108" s="348">
        <v>23</v>
      </c>
      <c r="R108" s="354">
        <f t="shared" si="30"/>
        <v>27</v>
      </c>
      <c r="S108" s="339">
        <f t="shared" si="31"/>
        <v>172034.94</v>
      </c>
      <c r="T108" s="339">
        <f t="shared" si="32"/>
        <v>201954.06</v>
      </c>
      <c r="U108" s="337"/>
    </row>
    <row r="109" spans="2:21">
      <c r="B109" s="378"/>
      <c r="C109" s="378"/>
      <c r="D109" s="361" t="s">
        <v>1365</v>
      </c>
      <c r="E109" s="367">
        <v>105</v>
      </c>
      <c r="F109" s="337" t="s">
        <v>1437</v>
      </c>
      <c r="G109" s="337" t="s">
        <v>449</v>
      </c>
      <c r="H109" s="346">
        <v>450000</v>
      </c>
      <c r="I109" s="346">
        <v>59985</v>
      </c>
      <c r="J109" s="340">
        <f t="shared" si="26"/>
        <v>509985</v>
      </c>
      <c r="K109" s="348">
        <v>50</v>
      </c>
      <c r="L109" s="380">
        <v>10199.700000000001</v>
      </c>
      <c r="M109" s="356">
        <f t="shared" si="25"/>
        <v>1199.7</v>
      </c>
      <c r="N109" s="356">
        <f t="shared" si="27"/>
        <v>9000</v>
      </c>
      <c r="O109" s="356">
        <f t="shared" si="28"/>
        <v>17995.5</v>
      </c>
      <c r="P109" s="356">
        <f t="shared" si="29"/>
        <v>41989.5</v>
      </c>
      <c r="Q109" s="348">
        <v>15</v>
      </c>
      <c r="R109" s="354">
        <f t="shared" si="30"/>
        <v>35</v>
      </c>
      <c r="S109" s="339">
        <f t="shared" si="31"/>
        <v>152995.5</v>
      </c>
      <c r="T109" s="339">
        <f t="shared" si="32"/>
        <v>356989.5</v>
      </c>
      <c r="U109" s="337"/>
    </row>
    <row r="110" spans="2:21">
      <c r="B110" s="378"/>
      <c r="C110" s="378"/>
      <c r="D110" s="363" t="s">
        <v>987</v>
      </c>
      <c r="E110" s="367">
        <v>106</v>
      </c>
      <c r="F110" s="337" t="s">
        <v>1437</v>
      </c>
      <c r="G110" s="337" t="s">
        <v>866</v>
      </c>
      <c r="H110" s="346">
        <v>500000</v>
      </c>
      <c r="I110" s="346">
        <v>66650</v>
      </c>
      <c r="J110" s="340">
        <f t="shared" si="26"/>
        <v>566650</v>
      </c>
      <c r="K110" s="348">
        <v>50</v>
      </c>
      <c r="L110" s="380">
        <v>11333</v>
      </c>
      <c r="M110" s="356">
        <f t="shared" si="25"/>
        <v>1333</v>
      </c>
      <c r="N110" s="356">
        <f t="shared" si="27"/>
        <v>10000</v>
      </c>
      <c r="O110" s="356">
        <f t="shared" si="28"/>
        <v>19995</v>
      </c>
      <c r="P110" s="356">
        <f t="shared" si="29"/>
        <v>46655</v>
      </c>
      <c r="Q110" s="348">
        <v>15</v>
      </c>
      <c r="R110" s="354">
        <f t="shared" si="30"/>
        <v>35</v>
      </c>
      <c r="S110" s="339">
        <f t="shared" si="31"/>
        <v>169995</v>
      </c>
      <c r="T110" s="339">
        <f t="shared" si="32"/>
        <v>396655</v>
      </c>
      <c r="U110" s="337"/>
    </row>
    <row r="111" spans="2:21">
      <c r="B111" s="378"/>
      <c r="C111" s="378"/>
      <c r="D111" s="364" t="s">
        <v>1321</v>
      </c>
      <c r="E111" s="367">
        <v>107</v>
      </c>
      <c r="F111" s="337" t="s">
        <v>1437</v>
      </c>
      <c r="G111" s="337" t="s">
        <v>403</v>
      </c>
      <c r="H111" s="346">
        <v>500000</v>
      </c>
      <c r="I111" s="346">
        <v>66650</v>
      </c>
      <c r="J111" s="340">
        <f t="shared" si="26"/>
        <v>566650</v>
      </c>
      <c r="K111" s="348">
        <v>50</v>
      </c>
      <c r="L111" s="380">
        <v>11333</v>
      </c>
      <c r="M111" s="356">
        <f t="shared" si="25"/>
        <v>1333</v>
      </c>
      <c r="N111" s="356">
        <f t="shared" si="27"/>
        <v>10000</v>
      </c>
      <c r="O111" s="356">
        <f t="shared" si="28"/>
        <v>17329</v>
      </c>
      <c r="P111" s="356">
        <f t="shared" si="29"/>
        <v>49321</v>
      </c>
      <c r="Q111" s="348">
        <v>13</v>
      </c>
      <c r="R111" s="354">
        <f t="shared" si="30"/>
        <v>37</v>
      </c>
      <c r="S111" s="339">
        <f t="shared" si="31"/>
        <v>147329</v>
      </c>
      <c r="T111" s="339">
        <f t="shared" si="32"/>
        <v>419321</v>
      </c>
      <c r="U111" s="337"/>
    </row>
    <row r="112" spans="2:21">
      <c r="B112" s="378"/>
      <c r="C112" s="378"/>
      <c r="D112" s="337" t="s">
        <v>1467</v>
      </c>
      <c r="E112" s="367">
        <v>108</v>
      </c>
      <c r="F112" s="337" t="s">
        <v>1437</v>
      </c>
      <c r="G112" s="337" t="s">
        <v>1468</v>
      </c>
      <c r="H112" s="346">
        <v>500000</v>
      </c>
      <c r="I112" s="346">
        <v>66650</v>
      </c>
      <c r="J112" s="340">
        <f t="shared" si="26"/>
        <v>566650</v>
      </c>
      <c r="K112" s="348">
        <v>50</v>
      </c>
      <c r="L112" s="381">
        <v>11333</v>
      </c>
      <c r="M112" s="356">
        <f t="shared" si="25"/>
        <v>1333</v>
      </c>
      <c r="N112" s="356">
        <f t="shared" si="27"/>
        <v>10000</v>
      </c>
      <c r="O112" s="356">
        <f t="shared" si="28"/>
        <v>3999</v>
      </c>
      <c r="P112" s="356">
        <f t="shared" si="29"/>
        <v>62651</v>
      </c>
      <c r="Q112" s="358">
        <v>3</v>
      </c>
      <c r="R112" s="354">
        <f t="shared" si="30"/>
        <v>47</v>
      </c>
      <c r="S112" s="339">
        <f t="shared" si="31"/>
        <v>33999</v>
      </c>
      <c r="T112" s="339">
        <f t="shared" si="32"/>
        <v>532651</v>
      </c>
      <c r="U112" s="337"/>
    </row>
    <row r="113" spans="2:21">
      <c r="B113" s="378"/>
      <c r="C113" s="378"/>
      <c r="D113" s="366" t="s">
        <v>1093</v>
      </c>
      <c r="E113" s="367">
        <v>109</v>
      </c>
      <c r="F113" s="337" t="s">
        <v>1437</v>
      </c>
      <c r="G113" s="337" t="s">
        <v>364</v>
      </c>
      <c r="H113" s="346">
        <v>450000</v>
      </c>
      <c r="I113" s="346">
        <v>59985</v>
      </c>
      <c r="J113" s="340">
        <f t="shared" si="26"/>
        <v>509985</v>
      </c>
      <c r="K113" s="348">
        <v>50</v>
      </c>
      <c r="L113" s="380">
        <v>10199.700000000001</v>
      </c>
      <c r="M113" s="356">
        <f t="shared" si="25"/>
        <v>1199.7</v>
      </c>
      <c r="N113" s="356">
        <f t="shared" si="27"/>
        <v>9000</v>
      </c>
      <c r="O113" s="356">
        <f t="shared" si="28"/>
        <v>55186.200000000004</v>
      </c>
      <c r="P113" s="356">
        <f t="shared" si="29"/>
        <v>4798.8</v>
      </c>
      <c r="Q113" s="348">
        <v>46</v>
      </c>
      <c r="R113" s="354">
        <f t="shared" si="30"/>
        <v>4</v>
      </c>
      <c r="S113" s="339">
        <f t="shared" si="31"/>
        <v>469186.2</v>
      </c>
      <c r="T113" s="339">
        <f t="shared" si="32"/>
        <v>40798.799999999988</v>
      </c>
      <c r="U113" s="337"/>
    </row>
    <row r="114" spans="2:21">
      <c r="B114" s="378"/>
      <c r="C114" s="378"/>
      <c r="D114" s="337" t="s">
        <v>1486</v>
      </c>
      <c r="E114" s="367">
        <v>110</v>
      </c>
      <c r="F114" s="337" t="s">
        <v>1437</v>
      </c>
      <c r="G114" s="337" t="s">
        <v>1487</v>
      </c>
      <c r="H114" s="346">
        <v>150000</v>
      </c>
      <c r="I114" s="346">
        <v>19995</v>
      </c>
      <c r="J114" s="340">
        <f t="shared" si="26"/>
        <v>169995</v>
      </c>
      <c r="K114" s="348">
        <v>50</v>
      </c>
      <c r="L114" s="380">
        <v>3399.9</v>
      </c>
      <c r="M114" s="356">
        <f t="shared" si="25"/>
        <v>399.9</v>
      </c>
      <c r="N114" s="356">
        <f t="shared" si="27"/>
        <v>3000</v>
      </c>
      <c r="O114" s="356">
        <f t="shared" si="28"/>
        <v>17995.5</v>
      </c>
      <c r="P114" s="356">
        <f t="shared" si="29"/>
        <v>1999.5</v>
      </c>
      <c r="Q114" s="358">
        <v>45</v>
      </c>
      <c r="R114" s="354">
        <f t="shared" si="30"/>
        <v>5</v>
      </c>
      <c r="S114" s="339">
        <f t="shared" si="31"/>
        <v>152995.5</v>
      </c>
      <c r="T114" s="339">
        <f t="shared" si="32"/>
        <v>16999.5</v>
      </c>
      <c r="U114" s="337"/>
    </row>
    <row r="115" spans="2:21">
      <c r="B115" s="378"/>
      <c r="C115" s="378"/>
      <c r="D115" s="361" t="s">
        <v>1105</v>
      </c>
      <c r="E115" s="367">
        <v>111</v>
      </c>
      <c r="F115" s="337" t="s">
        <v>1437</v>
      </c>
      <c r="G115" s="337" t="s">
        <v>861</v>
      </c>
      <c r="H115" s="346">
        <v>500000</v>
      </c>
      <c r="I115" s="346">
        <v>66650</v>
      </c>
      <c r="J115" s="340">
        <f t="shared" si="26"/>
        <v>566650</v>
      </c>
      <c r="K115" s="348">
        <v>50</v>
      </c>
      <c r="L115" s="380">
        <v>11333</v>
      </c>
      <c r="M115" s="356">
        <f t="shared" si="25"/>
        <v>1333</v>
      </c>
      <c r="N115" s="356">
        <f t="shared" si="27"/>
        <v>10000</v>
      </c>
      <c r="O115" s="356">
        <f t="shared" si="28"/>
        <v>37324</v>
      </c>
      <c r="P115" s="356">
        <f t="shared" si="29"/>
        <v>29326</v>
      </c>
      <c r="Q115" s="348">
        <v>28</v>
      </c>
      <c r="R115" s="354">
        <f t="shared" si="30"/>
        <v>22</v>
      </c>
      <c r="S115" s="339">
        <f t="shared" si="31"/>
        <v>317324</v>
      </c>
      <c r="T115" s="339">
        <f t="shared" si="32"/>
        <v>249326</v>
      </c>
      <c r="U115" s="337"/>
    </row>
    <row r="116" spans="2:21">
      <c r="B116" s="378"/>
      <c r="C116" s="378"/>
      <c r="D116" s="364" t="s">
        <v>999</v>
      </c>
      <c r="E116" s="367">
        <v>112</v>
      </c>
      <c r="F116" s="337" t="s">
        <v>1437</v>
      </c>
      <c r="G116" s="337" t="s">
        <v>441</v>
      </c>
      <c r="H116" s="346">
        <v>500000</v>
      </c>
      <c r="I116" s="346">
        <v>66650</v>
      </c>
      <c r="J116" s="340">
        <f t="shared" si="26"/>
        <v>566650</v>
      </c>
      <c r="K116" s="348">
        <v>50</v>
      </c>
      <c r="L116" s="380">
        <v>11333</v>
      </c>
      <c r="M116" s="356">
        <f t="shared" si="25"/>
        <v>1333</v>
      </c>
      <c r="N116" s="356">
        <f t="shared" si="27"/>
        <v>10000</v>
      </c>
      <c r="O116" s="356">
        <f t="shared" si="28"/>
        <v>46655</v>
      </c>
      <c r="P116" s="356">
        <f t="shared" si="29"/>
        <v>19995</v>
      </c>
      <c r="Q116" s="348">
        <v>35</v>
      </c>
      <c r="R116" s="354">
        <f t="shared" si="30"/>
        <v>15</v>
      </c>
      <c r="S116" s="339">
        <f t="shared" si="31"/>
        <v>396655</v>
      </c>
      <c r="T116" s="339">
        <f t="shared" si="32"/>
        <v>169995</v>
      </c>
      <c r="U116" s="337"/>
    </row>
    <row r="117" spans="2:21">
      <c r="B117" s="378"/>
      <c r="C117" s="378"/>
      <c r="D117" s="337" t="s">
        <v>1479</v>
      </c>
      <c r="E117" s="367">
        <v>113</v>
      </c>
      <c r="F117" s="337" t="s">
        <v>1437</v>
      </c>
      <c r="G117" s="337" t="s">
        <v>1480</v>
      </c>
      <c r="H117" s="346">
        <v>330000</v>
      </c>
      <c r="I117" s="346">
        <v>43989</v>
      </c>
      <c r="J117" s="340">
        <f t="shared" si="26"/>
        <v>373989</v>
      </c>
      <c r="K117" s="348">
        <v>50</v>
      </c>
      <c r="L117" s="381">
        <v>7479.78</v>
      </c>
      <c r="M117" s="356">
        <f t="shared" si="25"/>
        <v>879.78</v>
      </c>
      <c r="N117" s="356">
        <f t="shared" si="27"/>
        <v>6600</v>
      </c>
      <c r="O117" s="356">
        <f t="shared" si="28"/>
        <v>2639.34</v>
      </c>
      <c r="P117" s="356">
        <f t="shared" si="29"/>
        <v>41349.659999999996</v>
      </c>
      <c r="Q117" s="358">
        <v>3</v>
      </c>
      <c r="R117" s="354">
        <f t="shared" si="30"/>
        <v>47</v>
      </c>
      <c r="S117" s="339">
        <f t="shared" si="31"/>
        <v>22439.34</v>
      </c>
      <c r="T117" s="339">
        <f t="shared" si="32"/>
        <v>351549.66</v>
      </c>
      <c r="U117" s="337"/>
    </row>
    <row r="118" spans="2:21">
      <c r="B118" s="378"/>
      <c r="C118" s="378"/>
      <c r="D118" s="362" t="s">
        <v>1053</v>
      </c>
      <c r="E118" s="367">
        <v>114</v>
      </c>
      <c r="F118" s="337" t="s">
        <v>1437</v>
      </c>
      <c r="G118" s="337" t="s">
        <v>845</v>
      </c>
      <c r="H118" s="346">
        <v>150000</v>
      </c>
      <c r="I118" s="346">
        <v>19995</v>
      </c>
      <c r="J118" s="340">
        <f t="shared" si="26"/>
        <v>169995</v>
      </c>
      <c r="K118" s="348">
        <v>50</v>
      </c>
      <c r="L118" s="380">
        <v>3399.9</v>
      </c>
      <c r="M118" s="356">
        <f t="shared" si="25"/>
        <v>399.9</v>
      </c>
      <c r="N118" s="356">
        <f t="shared" si="27"/>
        <v>3000</v>
      </c>
      <c r="O118" s="356">
        <f t="shared" si="28"/>
        <v>18795.3</v>
      </c>
      <c r="P118" s="356">
        <f t="shared" si="29"/>
        <v>1199.6999999999998</v>
      </c>
      <c r="Q118" s="348">
        <v>47</v>
      </c>
      <c r="R118" s="354">
        <f t="shared" si="30"/>
        <v>3</v>
      </c>
      <c r="S118" s="339">
        <f t="shared" si="31"/>
        <v>159795.30000000002</v>
      </c>
      <c r="T118" s="339">
        <f t="shared" si="32"/>
        <v>10199.699999999983</v>
      </c>
      <c r="U118" s="337"/>
    </row>
    <row r="119" spans="2:21">
      <c r="B119" s="378"/>
      <c r="C119" s="378"/>
      <c r="D119" s="364" t="s">
        <v>1332</v>
      </c>
      <c r="E119" s="367">
        <v>115</v>
      </c>
      <c r="F119" s="337" t="s">
        <v>1437</v>
      </c>
      <c r="G119" s="337" t="s">
        <v>1284</v>
      </c>
      <c r="H119" s="346">
        <v>500000</v>
      </c>
      <c r="I119" s="346">
        <v>66650</v>
      </c>
      <c r="J119" s="340">
        <f t="shared" si="26"/>
        <v>566650</v>
      </c>
      <c r="K119" s="348">
        <v>50</v>
      </c>
      <c r="L119" s="380">
        <v>11333</v>
      </c>
      <c r="M119" s="356">
        <f t="shared" si="25"/>
        <v>1333</v>
      </c>
      <c r="N119" s="356">
        <f t="shared" si="27"/>
        <v>10000</v>
      </c>
      <c r="O119" s="356">
        <f t="shared" si="28"/>
        <v>39990</v>
      </c>
      <c r="P119" s="356">
        <f t="shared" si="29"/>
        <v>26660</v>
      </c>
      <c r="Q119" s="348">
        <v>30</v>
      </c>
      <c r="R119" s="354">
        <f t="shared" si="30"/>
        <v>20</v>
      </c>
      <c r="S119" s="339">
        <f t="shared" si="31"/>
        <v>339990</v>
      </c>
      <c r="T119" s="339">
        <f t="shared" si="32"/>
        <v>226660</v>
      </c>
      <c r="U119" s="337"/>
    </row>
    <row r="120" spans="2:21">
      <c r="B120" s="378"/>
      <c r="C120" s="378"/>
      <c r="D120" s="337" t="s">
        <v>1411</v>
      </c>
      <c r="E120" s="367">
        <v>116</v>
      </c>
      <c r="F120" s="337" t="s">
        <v>1437</v>
      </c>
      <c r="G120" s="337" t="s">
        <v>473</v>
      </c>
      <c r="H120" s="346">
        <v>500000</v>
      </c>
      <c r="I120" s="346">
        <v>66650</v>
      </c>
      <c r="J120" s="340">
        <f t="shared" si="26"/>
        <v>566650</v>
      </c>
      <c r="K120" s="348">
        <v>40</v>
      </c>
      <c r="L120" s="380">
        <v>13833</v>
      </c>
      <c r="M120" s="356">
        <f t="shared" si="25"/>
        <v>1333</v>
      </c>
      <c r="N120" s="356">
        <f t="shared" si="27"/>
        <v>10000</v>
      </c>
      <c r="O120" s="356">
        <f t="shared" si="28"/>
        <v>10664</v>
      </c>
      <c r="P120" s="356">
        <f t="shared" si="29"/>
        <v>42656</v>
      </c>
      <c r="Q120" s="348">
        <v>8</v>
      </c>
      <c r="R120" s="354">
        <f t="shared" si="30"/>
        <v>32</v>
      </c>
      <c r="S120" s="339">
        <f t="shared" si="31"/>
        <v>110664</v>
      </c>
      <c r="T120" s="339">
        <f t="shared" si="32"/>
        <v>455986</v>
      </c>
      <c r="U120" s="337"/>
    </row>
    <row r="121" spans="2:21">
      <c r="B121" s="378"/>
      <c r="C121" s="378"/>
      <c r="D121" s="363" t="s">
        <v>1329</v>
      </c>
      <c r="E121" s="367">
        <v>117</v>
      </c>
      <c r="F121" s="337" t="s">
        <v>1437</v>
      </c>
      <c r="G121" s="337" t="s">
        <v>463</v>
      </c>
      <c r="H121" s="346">
        <v>500000</v>
      </c>
      <c r="I121" s="346">
        <v>66650</v>
      </c>
      <c r="J121" s="340">
        <f t="shared" si="26"/>
        <v>566650</v>
      </c>
      <c r="K121" s="348">
        <v>50</v>
      </c>
      <c r="L121" s="380">
        <v>11333</v>
      </c>
      <c r="M121" s="356">
        <f t="shared" si="25"/>
        <v>1333</v>
      </c>
      <c r="N121" s="356">
        <f t="shared" si="27"/>
        <v>10000</v>
      </c>
      <c r="O121" s="356">
        <f t="shared" si="28"/>
        <v>26660</v>
      </c>
      <c r="P121" s="356">
        <f t="shared" si="29"/>
        <v>39990</v>
      </c>
      <c r="Q121" s="348">
        <v>20</v>
      </c>
      <c r="R121" s="354">
        <f t="shared" si="30"/>
        <v>30</v>
      </c>
      <c r="S121" s="339">
        <f t="shared" si="31"/>
        <v>226660</v>
      </c>
      <c r="T121" s="339">
        <f t="shared" si="32"/>
        <v>339990</v>
      </c>
      <c r="U121" s="337"/>
    </row>
    <row r="122" spans="2:21">
      <c r="B122" s="378"/>
      <c r="C122" s="378"/>
      <c r="D122" s="365" t="s">
        <v>1358</v>
      </c>
      <c r="E122" s="367">
        <v>118</v>
      </c>
      <c r="F122" s="337" t="s">
        <v>1437</v>
      </c>
      <c r="G122" s="337" t="s">
        <v>1359</v>
      </c>
      <c r="H122" s="346">
        <v>450000</v>
      </c>
      <c r="I122" s="346">
        <v>59985</v>
      </c>
      <c r="J122" s="340">
        <f t="shared" si="26"/>
        <v>509985</v>
      </c>
      <c r="K122" s="348">
        <v>50</v>
      </c>
      <c r="L122" s="380">
        <v>10199.700000000001</v>
      </c>
      <c r="M122" s="356">
        <f t="shared" si="25"/>
        <v>1199.7</v>
      </c>
      <c r="N122" s="356">
        <f t="shared" si="27"/>
        <v>9000</v>
      </c>
      <c r="O122" s="356">
        <f t="shared" si="28"/>
        <v>11997</v>
      </c>
      <c r="P122" s="356">
        <f t="shared" si="29"/>
        <v>47988</v>
      </c>
      <c r="Q122" s="348">
        <v>10</v>
      </c>
      <c r="R122" s="354">
        <f t="shared" si="30"/>
        <v>40</v>
      </c>
      <c r="S122" s="339">
        <f t="shared" si="31"/>
        <v>101997</v>
      </c>
      <c r="T122" s="339">
        <f t="shared" si="32"/>
        <v>407988</v>
      </c>
      <c r="U122" s="337"/>
    </row>
    <row r="123" spans="2:21">
      <c r="B123" s="378"/>
      <c r="C123" s="378"/>
      <c r="D123" s="361" t="s">
        <v>1319</v>
      </c>
      <c r="E123" s="367">
        <v>119</v>
      </c>
      <c r="F123" s="337" t="s">
        <v>1437</v>
      </c>
      <c r="G123" s="337" t="s">
        <v>305</v>
      </c>
      <c r="H123" s="346">
        <v>500000</v>
      </c>
      <c r="I123" s="346">
        <v>66650</v>
      </c>
      <c r="J123" s="340">
        <f t="shared" si="26"/>
        <v>566650</v>
      </c>
      <c r="K123" s="348">
        <v>40</v>
      </c>
      <c r="L123" s="380">
        <v>13833</v>
      </c>
      <c r="M123" s="356">
        <f t="shared" si="25"/>
        <v>1333</v>
      </c>
      <c r="N123" s="356">
        <f t="shared" si="27"/>
        <v>10000</v>
      </c>
      <c r="O123" s="356">
        <f t="shared" si="28"/>
        <v>13330</v>
      </c>
      <c r="P123" s="356">
        <f t="shared" si="29"/>
        <v>39990</v>
      </c>
      <c r="Q123" s="348">
        <v>10</v>
      </c>
      <c r="R123" s="354">
        <f t="shared" si="30"/>
        <v>30</v>
      </c>
      <c r="S123" s="339">
        <f t="shared" si="31"/>
        <v>138330</v>
      </c>
      <c r="T123" s="339">
        <f t="shared" si="32"/>
        <v>428320</v>
      </c>
      <c r="U123" s="337"/>
    </row>
    <row r="124" spans="2:21">
      <c r="B124" s="378"/>
      <c r="C124" s="378"/>
      <c r="D124" s="337" t="s">
        <v>988</v>
      </c>
      <c r="E124" s="367">
        <v>120</v>
      </c>
      <c r="F124" s="337" t="s">
        <v>1437</v>
      </c>
      <c r="G124" s="337" t="s">
        <v>296</v>
      </c>
      <c r="H124" s="346">
        <v>450000</v>
      </c>
      <c r="I124" s="346">
        <v>59985</v>
      </c>
      <c r="J124" s="340">
        <f t="shared" si="26"/>
        <v>509985</v>
      </c>
      <c r="K124" s="348">
        <v>50</v>
      </c>
      <c r="L124" s="381">
        <v>10199.700000000001</v>
      </c>
      <c r="M124" s="356">
        <f t="shared" si="25"/>
        <v>1199.7</v>
      </c>
      <c r="N124" s="356">
        <f t="shared" si="27"/>
        <v>9000</v>
      </c>
      <c r="O124" s="356">
        <f t="shared" si="28"/>
        <v>3599.1000000000004</v>
      </c>
      <c r="P124" s="356">
        <f t="shared" si="29"/>
        <v>56385.9</v>
      </c>
      <c r="Q124" s="358">
        <v>3</v>
      </c>
      <c r="R124" s="354">
        <f t="shared" si="30"/>
        <v>47</v>
      </c>
      <c r="S124" s="339">
        <f t="shared" si="31"/>
        <v>30599.100000000002</v>
      </c>
      <c r="T124" s="339">
        <f t="shared" si="32"/>
        <v>479385.9</v>
      </c>
      <c r="U124" s="337"/>
    </row>
    <row r="125" spans="2:21">
      <c r="B125" s="378"/>
      <c r="C125" s="378"/>
      <c r="D125" s="361" t="s">
        <v>1388</v>
      </c>
      <c r="E125" s="367">
        <v>121</v>
      </c>
      <c r="F125" s="337" t="s">
        <v>1437</v>
      </c>
      <c r="G125" s="337" t="s">
        <v>1389</v>
      </c>
      <c r="H125" s="346">
        <v>330000</v>
      </c>
      <c r="I125" s="346">
        <v>43989</v>
      </c>
      <c r="J125" s="340">
        <f t="shared" si="26"/>
        <v>373989</v>
      </c>
      <c r="K125" s="348">
        <v>50</v>
      </c>
      <c r="L125" s="380">
        <v>7479.78</v>
      </c>
      <c r="M125" s="356">
        <f t="shared" si="25"/>
        <v>879.78</v>
      </c>
      <c r="N125" s="356">
        <f t="shared" si="27"/>
        <v>6600</v>
      </c>
      <c r="O125" s="356">
        <f t="shared" si="28"/>
        <v>10557.36</v>
      </c>
      <c r="P125" s="356">
        <f t="shared" si="29"/>
        <v>33431.64</v>
      </c>
      <c r="Q125" s="348">
        <v>12</v>
      </c>
      <c r="R125" s="354">
        <f t="shared" si="30"/>
        <v>38</v>
      </c>
      <c r="S125" s="339">
        <f t="shared" si="31"/>
        <v>89757.36</v>
      </c>
      <c r="T125" s="339">
        <f t="shared" si="32"/>
        <v>284231.64</v>
      </c>
      <c r="U125" s="337"/>
    </row>
    <row r="126" spans="2:21">
      <c r="B126" s="378"/>
      <c r="C126" s="378"/>
      <c r="D126" s="362" t="s">
        <v>1317</v>
      </c>
      <c r="E126" s="367">
        <v>122</v>
      </c>
      <c r="F126" s="337" t="s">
        <v>1437</v>
      </c>
      <c r="G126" s="337" t="s">
        <v>1318</v>
      </c>
      <c r="H126" s="346">
        <v>450000</v>
      </c>
      <c r="I126" s="346">
        <v>43189.2</v>
      </c>
      <c r="J126" s="340">
        <f t="shared" si="26"/>
        <v>493189.2</v>
      </c>
      <c r="K126" s="348">
        <v>36</v>
      </c>
      <c r="L126" s="380">
        <v>14153.05</v>
      </c>
      <c r="M126" s="356">
        <f>I126/36</f>
        <v>1199.6999999999998</v>
      </c>
      <c r="N126" s="356">
        <f t="shared" si="27"/>
        <v>9000</v>
      </c>
      <c r="O126" s="356">
        <f t="shared" si="28"/>
        <v>34791.299999999996</v>
      </c>
      <c r="P126" s="356">
        <f t="shared" si="29"/>
        <v>8397.8999999999978</v>
      </c>
      <c r="Q126" s="348">
        <v>29</v>
      </c>
      <c r="R126" s="354">
        <f t="shared" si="30"/>
        <v>7</v>
      </c>
      <c r="S126" s="339">
        <f t="shared" si="31"/>
        <v>410438.44999999995</v>
      </c>
      <c r="T126" s="339">
        <f t="shared" si="32"/>
        <v>82750.750000000058</v>
      </c>
      <c r="U126" s="337"/>
    </row>
    <row r="127" spans="2:21">
      <c r="B127" s="378"/>
      <c r="C127" s="378"/>
      <c r="D127" s="363" t="s">
        <v>1360</v>
      </c>
      <c r="E127" s="367">
        <v>123</v>
      </c>
      <c r="F127" s="337" t="s">
        <v>1437</v>
      </c>
      <c r="G127" s="337" t="s">
        <v>293</v>
      </c>
      <c r="H127" s="346">
        <v>450000</v>
      </c>
      <c r="I127" s="346">
        <v>59985</v>
      </c>
      <c r="J127" s="340">
        <f t="shared" si="26"/>
        <v>509985</v>
      </c>
      <c r="K127" s="348">
        <v>50</v>
      </c>
      <c r="L127" s="380">
        <v>10199.700000000001</v>
      </c>
      <c r="M127" s="356">
        <f t="shared" ref="M127:M170" si="33">I127/50</f>
        <v>1199.7</v>
      </c>
      <c r="N127" s="356">
        <f t="shared" si="27"/>
        <v>9000</v>
      </c>
      <c r="O127" s="356">
        <f t="shared" si="28"/>
        <v>26393.4</v>
      </c>
      <c r="P127" s="356">
        <f t="shared" si="29"/>
        <v>33591.599999999999</v>
      </c>
      <c r="Q127" s="348">
        <v>22</v>
      </c>
      <c r="R127" s="354">
        <f t="shared" si="30"/>
        <v>28</v>
      </c>
      <c r="S127" s="339">
        <f t="shared" si="31"/>
        <v>224393.40000000002</v>
      </c>
      <c r="T127" s="339">
        <f t="shared" si="32"/>
        <v>285591.59999999998</v>
      </c>
      <c r="U127" s="337"/>
    </row>
    <row r="128" spans="2:21">
      <c r="B128" s="378"/>
      <c r="C128" s="378"/>
      <c r="D128" s="337" t="s">
        <v>1450</v>
      </c>
      <c r="E128" s="367">
        <v>124</v>
      </c>
      <c r="F128" s="337" t="s">
        <v>1437</v>
      </c>
      <c r="G128" s="337" t="s">
        <v>1451</v>
      </c>
      <c r="H128" s="346">
        <v>450000</v>
      </c>
      <c r="I128" s="346">
        <v>59985</v>
      </c>
      <c r="J128" s="340">
        <f t="shared" si="26"/>
        <v>509985</v>
      </c>
      <c r="K128" s="348">
        <v>50</v>
      </c>
      <c r="L128" s="381">
        <v>10199.700000000001</v>
      </c>
      <c r="M128" s="356">
        <f t="shared" si="33"/>
        <v>1199.7</v>
      </c>
      <c r="N128" s="356">
        <f t="shared" si="27"/>
        <v>9000</v>
      </c>
      <c r="O128" s="356">
        <f t="shared" si="28"/>
        <v>7198.2000000000007</v>
      </c>
      <c r="P128" s="356">
        <f t="shared" si="29"/>
        <v>52786.8</v>
      </c>
      <c r="Q128" s="358">
        <v>6</v>
      </c>
      <c r="R128" s="354">
        <f t="shared" si="30"/>
        <v>44</v>
      </c>
      <c r="S128" s="339">
        <f t="shared" si="31"/>
        <v>61198.200000000004</v>
      </c>
      <c r="T128" s="339">
        <f t="shared" si="32"/>
        <v>448786.8</v>
      </c>
      <c r="U128" s="337"/>
    </row>
    <row r="129" spans="2:21">
      <c r="B129" s="378"/>
      <c r="C129" s="378"/>
      <c r="D129" s="362" t="s">
        <v>1094</v>
      </c>
      <c r="E129" s="367">
        <v>125</v>
      </c>
      <c r="F129" s="337" t="s">
        <v>1437</v>
      </c>
      <c r="G129" s="337" t="s">
        <v>1095</v>
      </c>
      <c r="H129" s="346">
        <v>500000</v>
      </c>
      <c r="I129" s="346">
        <v>66650</v>
      </c>
      <c r="J129" s="340">
        <f t="shared" si="26"/>
        <v>566650</v>
      </c>
      <c r="K129" s="348">
        <v>50</v>
      </c>
      <c r="L129" s="380">
        <v>11333</v>
      </c>
      <c r="M129" s="356">
        <f t="shared" si="33"/>
        <v>1333</v>
      </c>
      <c r="N129" s="356">
        <f t="shared" si="27"/>
        <v>10000</v>
      </c>
      <c r="O129" s="356">
        <f t="shared" si="28"/>
        <v>35991</v>
      </c>
      <c r="P129" s="356">
        <f t="shared" si="29"/>
        <v>30659</v>
      </c>
      <c r="Q129" s="348">
        <v>27</v>
      </c>
      <c r="R129" s="354">
        <f t="shared" si="30"/>
        <v>23</v>
      </c>
      <c r="S129" s="339">
        <f t="shared" si="31"/>
        <v>305991</v>
      </c>
      <c r="T129" s="339">
        <f t="shared" si="32"/>
        <v>260659</v>
      </c>
      <c r="U129" s="337"/>
    </row>
    <row r="130" spans="2:21">
      <c r="B130" s="378"/>
      <c r="C130" s="378"/>
      <c r="D130" s="365" t="s">
        <v>1330</v>
      </c>
      <c r="E130" s="367">
        <v>126</v>
      </c>
      <c r="F130" s="337" t="s">
        <v>1437</v>
      </c>
      <c r="G130" s="337" t="s">
        <v>1331</v>
      </c>
      <c r="H130" s="346">
        <v>500000</v>
      </c>
      <c r="I130" s="346">
        <v>66650</v>
      </c>
      <c r="J130" s="340">
        <f t="shared" si="26"/>
        <v>566650</v>
      </c>
      <c r="K130" s="348">
        <v>50</v>
      </c>
      <c r="L130" s="380">
        <v>11333</v>
      </c>
      <c r="M130" s="356">
        <f t="shared" si="33"/>
        <v>1333</v>
      </c>
      <c r="N130" s="356">
        <f t="shared" si="27"/>
        <v>10000</v>
      </c>
      <c r="O130" s="356">
        <f t="shared" si="28"/>
        <v>29326</v>
      </c>
      <c r="P130" s="356">
        <f t="shared" si="29"/>
        <v>37324</v>
      </c>
      <c r="Q130" s="348">
        <v>22</v>
      </c>
      <c r="R130" s="354">
        <f t="shared" si="30"/>
        <v>28</v>
      </c>
      <c r="S130" s="339">
        <f t="shared" si="31"/>
        <v>249326</v>
      </c>
      <c r="T130" s="339">
        <f t="shared" si="32"/>
        <v>317324</v>
      </c>
      <c r="U130" s="337"/>
    </row>
    <row r="131" spans="2:21">
      <c r="B131" s="378"/>
      <c r="C131" s="378"/>
      <c r="D131" s="364" t="s">
        <v>1368</v>
      </c>
      <c r="E131" s="367">
        <v>127</v>
      </c>
      <c r="F131" s="337" t="s">
        <v>1437</v>
      </c>
      <c r="G131" s="337" t="s">
        <v>443</v>
      </c>
      <c r="H131" s="346">
        <v>330000</v>
      </c>
      <c r="I131" s="346">
        <v>43989</v>
      </c>
      <c r="J131" s="340">
        <f t="shared" si="26"/>
        <v>373989</v>
      </c>
      <c r="K131" s="348">
        <v>50</v>
      </c>
      <c r="L131" s="380">
        <v>7479.78</v>
      </c>
      <c r="M131" s="356">
        <f t="shared" si="33"/>
        <v>879.78</v>
      </c>
      <c r="N131" s="356">
        <f t="shared" si="27"/>
        <v>6600</v>
      </c>
      <c r="O131" s="356">
        <f t="shared" si="28"/>
        <v>13196.699999999999</v>
      </c>
      <c r="P131" s="356">
        <f t="shared" si="29"/>
        <v>30792.3</v>
      </c>
      <c r="Q131" s="348">
        <v>15</v>
      </c>
      <c r="R131" s="354">
        <f t="shared" si="30"/>
        <v>35</v>
      </c>
      <c r="S131" s="339">
        <f t="shared" si="31"/>
        <v>112196.7</v>
      </c>
      <c r="T131" s="339">
        <f t="shared" si="32"/>
        <v>261792.3</v>
      </c>
      <c r="U131" s="337"/>
    </row>
    <row r="132" spans="2:21">
      <c r="B132" s="378"/>
      <c r="C132" s="378"/>
      <c r="D132" s="337" t="s">
        <v>1469</v>
      </c>
      <c r="E132" s="367">
        <v>128</v>
      </c>
      <c r="F132" s="337" t="s">
        <v>1437</v>
      </c>
      <c r="G132" s="337" t="s">
        <v>1470</v>
      </c>
      <c r="H132" s="346">
        <v>500000</v>
      </c>
      <c r="I132" s="346">
        <v>66650</v>
      </c>
      <c r="J132" s="340">
        <f t="shared" si="26"/>
        <v>566650</v>
      </c>
      <c r="K132" s="348">
        <v>50</v>
      </c>
      <c r="L132" s="381">
        <v>11333</v>
      </c>
      <c r="M132" s="356">
        <f t="shared" si="33"/>
        <v>1333</v>
      </c>
      <c r="N132" s="356">
        <f t="shared" si="27"/>
        <v>10000</v>
      </c>
      <c r="O132" s="356">
        <f t="shared" si="28"/>
        <v>3999</v>
      </c>
      <c r="P132" s="356">
        <f t="shared" si="29"/>
        <v>62651</v>
      </c>
      <c r="Q132" s="358">
        <v>3</v>
      </c>
      <c r="R132" s="354">
        <f t="shared" si="30"/>
        <v>47</v>
      </c>
      <c r="S132" s="339">
        <f t="shared" si="31"/>
        <v>33999</v>
      </c>
      <c r="T132" s="339">
        <f t="shared" si="32"/>
        <v>532651</v>
      </c>
      <c r="U132" s="337"/>
    </row>
    <row r="133" spans="2:21">
      <c r="B133" s="378"/>
      <c r="C133" s="378"/>
      <c r="D133" s="364" t="s">
        <v>1006</v>
      </c>
      <c r="E133" s="367">
        <v>129</v>
      </c>
      <c r="F133" s="337" t="s">
        <v>1437</v>
      </c>
      <c r="G133" s="337" t="s">
        <v>865</v>
      </c>
      <c r="H133" s="346">
        <v>500000</v>
      </c>
      <c r="I133" s="346">
        <v>66650</v>
      </c>
      <c r="J133" s="340">
        <f t="shared" ref="J133:J164" si="34">SUM(H133:I133)</f>
        <v>566650</v>
      </c>
      <c r="K133" s="348">
        <v>50</v>
      </c>
      <c r="L133" s="380">
        <v>11333</v>
      </c>
      <c r="M133" s="356">
        <f t="shared" si="33"/>
        <v>1333</v>
      </c>
      <c r="N133" s="356">
        <f t="shared" ref="N133:N164" si="35">H133/50</f>
        <v>10000</v>
      </c>
      <c r="O133" s="356">
        <f t="shared" ref="O133:O164" si="36">M133*Q133</f>
        <v>81313</v>
      </c>
      <c r="P133" s="356">
        <f t="shared" ref="P133:P164" si="37">M133*R133</f>
        <v>-14663</v>
      </c>
      <c r="Q133" s="348">
        <v>61</v>
      </c>
      <c r="R133" s="354">
        <f t="shared" ref="R133:R164" si="38">K133-Q133</f>
        <v>-11</v>
      </c>
      <c r="S133" s="339">
        <f t="shared" ref="S133:S164" si="39">L133*Q133</f>
        <v>691313</v>
      </c>
      <c r="T133" s="339">
        <f t="shared" ref="T133:T164" si="40">J133-S133</f>
        <v>-124663</v>
      </c>
      <c r="U133" s="337"/>
    </row>
    <row r="134" spans="2:21">
      <c r="B134" s="378"/>
      <c r="C134" s="378"/>
      <c r="D134" s="337" t="s">
        <v>1414</v>
      </c>
      <c r="E134" s="367">
        <v>130</v>
      </c>
      <c r="F134" s="337" t="s">
        <v>1437</v>
      </c>
      <c r="G134" s="337" t="s">
        <v>459</v>
      </c>
      <c r="H134" s="346">
        <v>500000</v>
      </c>
      <c r="I134" s="346">
        <v>66650</v>
      </c>
      <c r="J134" s="340">
        <f t="shared" si="34"/>
        <v>566650</v>
      </c>
      <c r="K134" s="348">
        <v>50</v>
      </c>
      <c r="L134" s="380">
        <v>11333</v>
      </c>
      <c r="M134" s="356">
        <f t="shared" si="33"/>
        <v>1333</v>
      </c>
      <c r="N134" s="356">
        <f t="shared" si="35"/>
        <v>10000</v>
      </c>
      <c r="O134" s="356">
        <f t="shared" si="36"/>
        <v>10664</v>
      </c>
      <c r="P134" s="356">
        <f t="shared" si="37"/>
        <v>55986</v>
      </c>
      <c r="Q134" s="348">
        <v>8</v>
      </c>
      <c r="R134" s="354">
        <f t="shared" si="38"/>
        <v>42</v>
      </c>
      <c r="S134" s="339">
        <f t="shared" si="39"/>
        <v>90664</v>
      </c>
      <c r="T134" s="339">
        <f t="shared" si="40"/>
        <v>475986</v>
      </c>
      <c r="U134" s="337"/>
    </row>
    <row r="135" spans="2:21">
      <c r="B135" s="378"/>
      <c r="C135" s="378"/>
      <c r="D135" s="364" t="s">
        <v>1080</v>
      </c>
      <c r="E135" s="367">
        <v>131</v>
      </c>
      <c r="F135" s="337" t="s">
        <v>1437</v>
      </c>
      <c r="G135" s="337" t="s">
        <v>315</v>
      </c>
      <c r="H135" s="346">
        <v>500000</v>
      </c>
      <c r="I135" s="346">
        <v>66650</v>
      </c>
      <c r="J135" s="340">
        <f t="shared" si="34"/>
        <v>566650</v>
      </c>
      <c r="K135" s="348">
        <v>50</v>
      </c>
      <c r="L135" s="380">
        <v>11333</v>
      </c>
      <c r="M135" s="356">
        <f t="shared" si="33"/>
        <v>1333</v>
      </c>
      <c r="N135" s="356">
        <f t="shared" si="35"/>
        <v>10000</v>
      </c>
      <c r="O135" s="356">
        <f t="shared" si="36"/>
        <v>62651</v>
      </c>
      <c r="P135" s="356">
        <f t="shared" si="37"/>
        <v>3999</v>
      </c>
      <c r="Q135" s="348">
        <v>47</v>
      </c>
      <c r="R135" s="354">
        <f t="shared" si="38"/>
        <v>3</v>
      </c>
      <c r="S135" s="339">
        <f t="shared" si="39"/>
        <v>532651</v>
      </c>
      <c r="T135" s="339">
        <f t="shared" si="40"/>
        <v>33999</v>
      </c>
      <c r="U135" s="337"/>
    </row>
    <row r="136" spans="2:21">
      <c r="B136" s="378"/>
      <c r="C136" s="378"/>
      <c r="D136" s="364" t="s">
        <v>1084</v>
      </c>
      <c r="E136" s="367">
        <v>132</v>
      </c>
      <c r="F136" s="337" t="s">
        <v>1437</v>
      </c>
      <c r="G136" s="337" t="s">
        <v>353</v>
      </c>
      <c r="H136" s="346">
        <v>500000</v>
      </c>
      <c r="I136" s="346">
        <v>66650</v>
      </c>
      <c r="J136" s="340">
        <f t="shared" si="34"/>
        <v>566650</v>
      </c>
      <c r="K136" s="348">
        <v>50</v>
      </c>
      <c r="L136" s="380">
        <v>11333</v>
      </c>
      <c r="M136" s="356">
        <f t="shared" si="33"/>
        <v>1333</v>
      </c>
      <c r="N136" s="356">
        <f t="shared" si="35"/>
        <v>10000</v>
      </c>
      <c r="O136" s="356">
        <f t="shared" si="36"/>
        <v>62651</v>
      </c>
      <c r="P136" s="356">
        <f t="shared" si="37"/>
        <v>3999</v>
      </c>
      <c r="Q136" s="348">
        <v>47</v>
      </c>
      <c r="R136" s="354">
        <f t="shared" si="38"/>
        <v>3</v>
      </c>
      <c r="S136" s="339">
        <f t="shared" si="39"/>
        <v>532651</v>
      </c>
      <c r="T136" s="339">
        <f t="shared" si="40"/>
        <v>33999</v>
      </c>
      <c r="U136" s="337"/>
    </row>
    <row r="137" spans="2:21">
      <c r="B137" s="378"/>
      <c r="C137" s="378"/>
      <c r="D137" s="361" t="s">
        <v>1108</v>
      </c>
      <c r="E137" s="367">
        <v>133</v>
      </c>
      <c r="F137" s="337" t="s">
        <v>1437</v>
      </c>
      <c r="G137" s="337" t="s">
        <v>802</v>
      </c>
      <c r="H137" s="346">
        <v>500000</v>
      </c>
      <c r="I137" s="346">
        <v>66650</v>
      </c>
      <c r="J137" s="340">
        <f t="shared" si="34"/>
        <v>566650</v>
      </c>
      <c r="K137" s="348">
        <v>50</v>
      </c>
      <c r="L137" s="380">
        <v>11333</v>
      </c>
      <c r="M137" s="356">
        <f t="shared" si="33"/>
        <v>1333</v>
      </c>
      <c r="N137" s="356">
        <f t="shared" si="35"/>
        <v>10000</v>
      </c>
      <c r="O137" s="356">
        <f t="shared" si="36"/>
        <v>49321</v>
      </c>
      <c r="P137" s="356">
        <f t="shared" si="37"/>
        <v>17329</v>
      </c>
      <c r="Q137" s="348">
        <v>37</v>
      </c>
      <c r="R137" s="354">
        <f t="shared" si="38"/>
        <v>13</v>
      </c>
      <c r="S137" s="339">
        <f t="shared" si="39"/>
        <v>419321</v>
      </c>
      <c r="T137" s="339">
        <f t="shared" si="40"/>
        <v>147329</v>
      </c>
      <c r="U137" s="337"/>
    </row>
    <row r="138" spans="2:21">
      <c r="B138" s="378"/>
      <c r="C138" s="378"/>
      <c r="D138" s="362" t="s">
        <v>1333</v>
      </c>
      <c r="E138" s="367">
        <v>134</v>
      </c>
      <c r="F138" s="337" t="s">
        <v>1437</v>
      </c>
      <c r="G138" s="337" t="s">
        <v>1281</v>
      </c>
      <c r="H138" s="346">
        <v>500000</v>
      </c>
      <c r="I138" s="346">
        <v>66650</v>
      </c>
      <c r="J138" s="340">
        <f t="shared" si="34"/>
        <v>566650</v>
      </c>
      <c r="K138" s="348">
        <v>50</v>
      </c>
      <c r="L138" s="380">
        <v>11333</v>
      </c>
      <c r="M138" s="356">
        <f t="shared" si="33"/>
        <v>1333</v>
      </c>
      <c r="N138" s="356">
        <f t="shared" si="35"/>
        <v>10000</v>
      </c>
      <c r="O138" s="356">
        <f t="shared" si="36"/>
        <v>19995</v>
      </c>
      <c r="P138" s="356">
        <f t="shared" si="37"/>
        <v>46655</v>
      </c>
      <c r="Q138" s="348">
        <v>15</v>
      </c>
      <c r="R138" s="354">
        <f t="shared" si="38"/>
        <v>35</v>
      </c>
      <c r="S138" s="339">
        <f t="shared" si="39"/>
        <v>169995</v>
      </c>
      <c r="T138" s="339">
        <f t="shared" si="40"/>
        <v>396655</v>
      </c>
      <c r="U138" s="337"/>
    </row>
    <row r="139" spans="2:21">
      <c r="B139" s="378"/>
      <c r="C139" s="378"/>
      <c r="D139" s="364" t="s">
        <v>1057</v>
      </c>
      <c r="E139" s="367">
        <v>135</v>
      </c>
      <c r="F139" s="337" t="s">
        <v>1437</v>
      </c>
      <c r="G139" s="337" t="s">
        <v>412</v>
      </c>
      <c r="H139" s="346">
        <v>500000</v>
      </c>
      <c r="I139" s="346">
        <v>66650</v>
      </c>
      <c r="J139" s="340">
        <f t="shared" si="34"/>
        <v>566650</v>
      </c>
      <c r="K139" s="348">
        <v>50</v>
      </c>
      <c r="L139" s="380">
        <v>11333</v>
      </c>
      <c r="M139" s="356">
        <f t="shared" si="33"/>
        <v>1333</v>
      </c>
      <c r="N139" s="356">
        <f t="shared" si="35"/>
        <v>10000</v>
      </c>
      <c r="O139" s="356">
        <f t="shared" si="36"/>
        <v>39990</v>
      </c>
      <c r="P139" s="356">
        <f t="shared" si="37"/>
        <v>26660</v>
      </c>
      <c r="Q139" s="348">
        <v>30</v>
      </c>
      <c r="R139" s="354">
        <f t="shared" si="38"/>
        <v>20</v>
      </c>
      <c r="S139" s="339">
        <f t="shared" si="39"/>
        <v>339990</v>
      </c>
      <c r="T139" s="339">
        <f t="shared" si="40"/>
        <v>226660</v>
      </c>
      <c r="U139" s="337"/>
    </row>
    <row r="140" spans="2:21">
      <c r="B140" s="378"/>
      <c r="C140" s="378"/>
      <c r="D140" s="337" t="s">
        <v>1471</v>
      </c>
      <c r="E140" s="367">
        <v>136</v>
      </c>
      <c r="F140" s="337" t="s">
        <v>1437</v>
      </c>
      <c r="G140" s="337" t="s">
        <v>1472</v>
      </c>
      <c r="H140" s="346">
        <v>500000</v>
      </c>
      <c r="I140" s="346">
        <v>66650</v>
      </c>
      <c r="J140" s="340">
        <f t="shared" si="34"/>
        <v>566650</v>
      </c>
      <c r="K140" s="348">
        <v>50</v>
      </c>
      <c r="L140" s="381">
        <v>11333</v>
      </c>
      <c r="M140" s="356">
        <f t="shared" si="33"/>
        <v>1333</v>
      </c>
      <c r="N140" s="356">
        <f t="shared" si="35"/>
        <v>10000</v>
      </c>
      <c r="O140" s="356">
        <f t="shared" si="36"/>
        <v>3999</v>
      </c>
      <c r="P140" s="356">
        <f t="shared" si="37"/>
        <v>62651</v>
      </c>
      <c r="Q140" s="358">
        <v>3</v>
      </c>
      <c r="R140" s="354">
        <f t="shared" si="38"/>
        <v>47</v>
      </c>
      <c r="S140" s="339">
        <f t="shared" si="39"/>
        <v>33999</v>
      </c>
      <c r="T140" s="339">
        <f t="shared" si="40"/>
        <v>532651</v>
      </c>
      <c r="U140" s="337"/>
    </row>
    <row r="141" spans="2:21">
      <c r="B141" s="378"/>
      <c r="C141" s="378"/>
      <c r="D141" s="364" t="s">
        <v>1091</v>
      </c>
      <c r="E141" s="367">
        <v>137</v>
      </c>
      <c r="F141" s="337" t="s">
        <v>1437</v>
      </c>
      <c r="G141" s="337" t="s">
        <v>1092</v>
      </c>
      <c r="H141" s="346">
        <v>500000</v>
      </c>
      <c r="I141" s="346">
        <v>66650</v>
      </c>
      <c r="J141" s="340">
        <f t="shared" si="34"/>
        <v>566650</v>
      </c>
      <c r="K141" s="348">
        <v>50</v>
      </c>
      <c r="L141" s="380">
        <v>11333</v>
      </c>
      <c r="M141" s="356">
        <f t="shared" si="33"/>
        <v>1333</v>
      </c>
      <c r="N141" s="356">
        <f t="shared" si="35"/>
        <v>10000</v>
      </c>
      <c r="O141" s="356">
        <f t="shared" si="36"/>
        <v>79980</v>
      </c>
      <c r="P141" s="356">
        <f t="shared" si="37"/>
        <v>-13330</v>
      </c>
      <c r="Q141" s="348">
        <v>60</v>
      </c>
      <c r="R141" s="354">
        <f t="shared" si="38"/>
        <v>-10</v>
      </c>
      <c r="S141" s="339">
        <f t="shared" si="39"/>
        <v>679980</v>
      </c>
      <c r="T141" s="339">
        <f t="shared" si="40"/>
        <v>-113330</v>
      </c>
      <c r="U141" s="337"/>
    </row>
    <row r="142" spans="2:21">
      <c r="B142" s="378"/>
      <c r="C142" s="378"/>
      <c r="D142" s="363" t="s">
        <v>1324</v>
      </c>
      <c r="E142" s="367">
        <v>138</v>
      </c>
      <c r="F142" s="337" t="s">
        <v>1437</v>
      </c>
      <c r="G142" s="337" t="s">
        <v>1325</v>
      </c>
      <c r="H142" s="346">
        <v>500000</v>
      </c>
      <c r="I142" s="346">
        <v>66650</v>
      </c>
      <c r="J142" s="340">
        <f t="shared" si="34"/>
        <v>566650</v>
      </c>
      <c r="K142" s="348">
        <v>50</v>
      </c>
      <c r="L142" s="380">
        <v>11333</v>
      </c>
      <c r="M142" s="356">
        <f t="shared" si="33"/>
        <v>1333</v>
      </c>
      <c r="N142" s="356">
        <f t="shared" si="35"/>
        <v>10000</v>
      </c>
      <c r="O142" s="356">
        <f t="shared" si="36"/>
        <v>17329</v>
      </c>
      <c r="P142" s="356">
        <f t="shared" si="37"/>
        <v>49321</v>
      </c>
      <c r="Q142" s="348">
        <v>13</v>
      </c>
      <c r="R142" s="354">
        <f t="shared" si="38"/>
        <v>37</v>
      </c>
      <c r="S142" s="339">
        <f t="shared" si="39"/>
        <v>147329</v>
      </c>
      <c r="T142" s="339">
        <f t="shared" si="40"/>
        <v>419321</v>
      </c>
      <c r="U142" s="337"/>
    </row>
    <row r="143" spans="2:21">
      <c r="B143" s="378"/>
      <c r="C143" s="378"/>
      <c r="D143" s="363" t="s">
        <v>1340</v>
      </c>
      <c r="E143" s="367">
        <v>139</v>
      </c>
      <c r="F143" s="337" t="s">
        <v>1437</v>
      </c>
      <c r="G143" s="337" t="s">
        <v>410</v>
      </c>
      <c r="H143" s="346">
        <v>500000</v>
      </c>
      <c r="I143" s="346">
        <v>66650</v>
      </c>
      <c r="J143" s="340">
        <f t="shared" si="34"/>
        <v>566650</v>
      </c>
      <c r="K143" s="348">
        <v>50</v>
      </c>
      <c r="L143" s="380">
        <v>11333</v>
      </c>
      <c r="M143" s="356">
        <f t="shared" si="33"/>
        <v>1333</v>
      </c>
      <c r="N143" s="356">
        <f t="shared" si="35"/>
        <v>10000</v>
      </c>
      <c r="O143" s="356">
        <f t="shared" si="36"/>
        <v>17329</v>
      </c>
      <c r="P143" s="356">
        <f t="shared" si="37"/>
        <v>49321</v>
      </c>
      <c r="Q143" s="348">
        <v>13</v>
      </c>
      <c r="R143" s="354">
        <f t="shared" si="38"/>
        <v>37</v>
      </c>
      <c r="S143" s="339">
        <f t="shared" si="39"/>
        <v>147329</v>
      </c>
      <c r="T143" s="339">
        <f t="shared" si="40"/>
        <v>419321</v>
      </c>
      <c r="U143" s="337"/>
    </row>
    <row r="144" spans="2:21">
      <c r="B144" s="378"/>
      <c r="C144" s="378"/>
      <c r="D144" s="363" t="s">
        <v>1021</v>
      </c>
      <c r="E144" s="367">
        <v>140</v>
      </c>
      <c r="F144" s="337" t="s">
        <v>1437</v>
      </c>
      <c r="G144" s="337" t="s">
        <v>1022</v>
      </c>
      <c r="H144" s="346">
        <v>330000</v>
      </c>
      <c r="I144" s="346">
        <v>43989</v>
      </c>
      <c r="J144" s="340">
        <f t="shared" si="34"/>
        <v>373989</v>
      </c>
      <c r="K144" s="348">
        <v>50</v>
      </c>
      <c r="L144" s="380">
        <v>7479.78</v>
      </c>
      <c r="M144" s="356">
        <f t="shared" si="33"/>
        <v>879.78</v>
      </c>
      <c r="N144" s="356">
        <f t="shared" si="35"/>
        <v>6600</v>
      </c>
      <c r="O144" s="356">
        <f t="shared" si="36"/>
        <v>23754.059999999998</v>
      </c>
      <c r="P144" s="356">
        <f t="shared" si="37"/>
        <v>20234.939999999999</v>
      </c>
      <c r="Q144" s="348">
        <v>27</v>
      </c>
      <c r="R144" s="354">
        <f t="shared" si="38"/>
        <v>23</v>
      </c>
      <c r="S144" s="339">
        <f t="shared" si="39"/>
        <v>201954.06</v>
      </c>
      <c r="T144" s="339">
        <f t="shared" si="40"/>
        <v>172034.94</v>
      </c>
      <c r="U144" s="337"/>
    </row>
    <row r="145" spans="2:21">
      <c r="B145" s="378"/>
      <c r="C145" s="378"/>
      <c r="D145" s="337" t="s">
        <v>1481</v>
      </c>
      <c r="E145" s="367">
        <v>141</v>
      </c>
      <c r="F145" s="337" t="s">
        <v>1437</v>
      </c>
      <c r="G145" s="337" t="s">
        <v>1482</v>
      </c>
      <c r="H145" s="346">
        <v>330000</v>
      </c>
      <c r="I145" s="346">
        <v>43989</v>
      </c>
      <c r="J145" s="340">
        <f t="shared" si="34"/>
        <v>373989</v>
      </c>
      <c r="K145" s="348">
        <v>50</v>
      </c>
      <c r="L145" s="381">
        <v>7479.78</v>
      </c>
      <c r="M145" s="356">
        <f t="shared" si="33"/>
        <v>879.78</v>
      </c>
      <c r="N145" s="356">
        <f t="shared" si="35"/>
        <v>6600</v>
      </c>
      <c r="O145" s="356">
        <f t="shared" si="36"/>
        <v>2639.34</v>
      </c>
      <c r="P145" s="356">
        <f t="shared" si="37"/>
        <v>41349.659999999996</v>
      </c>
      <c r="Q145" s="358">
        <v>3</v>
      </c>
      <c r="R145" s="354">
        <f t="shared" si="38"/>
        <v>47</v>
      </c>
      <c r="S145" s="339">
        <f t="shared" si="39"/>
        <v>22439.34</v>
      </c>
      <c r="T145" s="339">
        <f t="shared" si="40"/>
        <v>351549.66</v>
      </c>
      <c r="U145" s="337"/>
    </row>
    <row r="146" spans="2:21">
      <c r="B146" s="378"/>
      <c r="C146" s="378"/>
      <c r="D146" s="362" t="s">
        <v>1385</v>
      </c>
      <c r="E146" s="367">
        <v>142</v>
      </c>
      <c r="F146" s="337" t="s">
        <v>1437</v>
      </c>
      <c r="G146" s="337" t="s">
        <v>1295</v>
      </c>
      <c r="H146" s="346">
        <v>330000</v>
      </c>
      <c r="I146" s="346">
        <v>43989</v>
      </c>
      <c r="J146" s="340">
        <f t="shared" si="34"/>
        <v>373989</v>
      </c>
      <c r="K146" s="348">
        <v>50</v>
      </c>
      <c r="L146" s="380">
        <v>7479.78</v>
      </c>
      <c r="M146" s="356">
        <f t="shared" si="33"/>
        <v>879.78</v>
      </c>
      <c r="N146" s="356">
        <f t="shared" si="35"/>
        <v>6600</v>
      </c>
      <c r="O146" s="356">
        <f t="shared" si="36"/>
        <v>13196.699999999999</v>
      </c>
      <c r="P146" s="356">
        <f t="shared" si="37"/>
        <v>30792.3</v>
      </c>
      <c r="Q146" s="348">
        <v>15</v>
      </c>
      <c r="R146" s="354">
        <f t="shared" si="38"/>
        <v>35</v>
      </c>
      <c r="S146" s="339">
        <f t="shared" si="39"/>
        <v>112196.7</v>
      </c>
      <c r="T146" s="339">
        <f t="shared" si="40"/>
        <v>261792.3</v>
      </c>
      <c r="U146" s="337"/>
    </row>
    <row r="147" spans="2:21">
      <c r="B147" s="378"/>
      <c r="C147" s="378"/>
      <c r="D147" s="337" t="s">
        <v>1128</v>
      </c>
      <c r="E147" s="367">
        <v>143</v>
      </c>
      <c r="F147" s="337" t="s">
        <v>1437</v>
      </c>
      <c r="G147" s="337" t="s">
        <v>462</v>
      </c>
      <c r="H147" s="346">
        <v>450000</v>
      </c>
      <c r="I147" s="346">
        <v>59985</v>
      </c>
      <c r="J147" s="340">
        <f t="shared" si="34"/>
        <v>509985</v>
      </c>
      <c r="K147" s="348">
        <v>50</v>
      </c>
      <c r="L147" s="381">
        <v>10199.700000000001</v>
      </c>
      <c r="M147" s="356">
        <f t="shared" si="33"/>
        <v>1199.7</v>
      </c>
      <c r="N147" s="356">
        <f t="shared" si="35"/>
        <v>9000</v>
      </c>
      <c r="O147" s="356">
        <f t="shared" si="36"/>
        <v>7198.2000000000007</v>
      </c>
      <c r="P147" s="356">
        <f t="shared" si="37"/>
        <v>52786.8</v>
      </c>
      <c r="Q147" s="358">
        <v>6</v>
      </c>
      <c r="R147" s="354">
        <f t="shared" si="38"/>
        <v>44</v>
      </c>
      <c r="S147" s="339">
        <f t="shared" si="39"/>
        <v>61198.200000000004</v>
      </c>
      <c r="T147" s="339">
        <f t="shared" si="40"/>
        <v>448786.8</v>
      </c>
      <c r="U147" s="337"/>
    </row>
    <row r="148" spans="2:21">
      <c r="B148" s="378"/>
      <c r="C148" s="378"/>
      <c r="D148" s="362" t="s">
        <v>1004</v>
      </c>
      <c r="E148" s="367">
        <v>144</v>
      </c>
      <c r="F148" s="337" t="s">
        <v>1437</v>
      </c>
      <c r="G148" s="337" t="s">
        <v>107</v>
      </c>
      <c r="H148" s="346">
        <v>450000</v>
      </c>
      <c r="I148" s="346">
        <v>59985</v>
      </c>
      <c r="J148" s="340">
        <f t="shared" si="34"/>
        <v>509985</v>
      </c>
      <c r="K148" s="348">
        <v>50</v>
      </c>
      <c r="L148" s="380">
        <v>10199.700000000001</v>
      </c>
      <c r="M148" s="356">
        <f t="shared" si="33"/>
        <v>1199.7</v>
      </c>
      <c r="N148" s="356">
        <f t="shared" si="35"/>
        <v>9000</v>
      </c>
      <c r="O148" s="356">
        <f t="shared" si="36"/>
        <v>27593.100000000002</v>
      </c>
      <c r="P148" s="356">
        <f t="shared" si="37"/>
        <v>32391.9</v>
      </c>
      <c r="Q148" s="348">
        <v>23</v>
      </c>
      <c r="R148" s="354">
        <f t="shared" si="38"/>
        <v>27</v>
      </c>
      <c r="S148" s="339">
        <f t="shared" si="39"/>
        <v>234593.1</v>
      </c>
      <c r="T148" s="339">
        <f t="shared" si="40"/>
        <v>275391.90000000002</v>
      </c>
      <c r="U148" s="337"/>
    </row>
    <row r="149" spans="2:21">
      <c r="B149" s="378"/>
      <c r="C149" s="378"/>
      <c r="D149" s="362" t="s">
        <v>1136</v>
      </c>
      <c r="E149" s="367">
        <v>145</v>
      </c>
      <c r="F149" s="337" t="s">
        <v>1437</v>
      </c>
      <c r="G149" s="337" t="s">
        <v>1137</v>
      </c>
      <c r="H149" s="346">
        <v>330000</v>
      </c>
      <c r="I149" s="346">
        <v>43989</v>
      </c>
      <c r="J149" s="340">
        <f t="shared" si="34"/>
        <v>373989</v>
      </c>
      <c r="K149" s="348">
        <v>50</v>
      </c>
      <c r="L149" s="380">
        <v>7479.78</v>
      </c>
      <c r="M149" s="356">
        <f t="shared" si="33"/>
        <v>879.78</v>
      </c>
      <c r="N149" s="356">
        <f t="shared" si="35"/>
        <v>6600</v>
      </c>
      <c r="O149" s="356">
        <f t="shared" si="36"/>
        <v>20234.939999999999</v>
      </c>
      <c r="P149" s="356">
        <f t="shared" si="37"/>
        <v>23754.059999999998</v>
      </c>
      <c r="Q149" s="348">
        <v>23</v>
      </c>
      <c r="R149" s="354">
        <f t="shared" si="38"/>
        <v>27</v>
      </c>
      <c r="S149" s="339">
        <f t="shared" si="39"/>
        <v>172034.94</v>
      </c>
      <c r="T149" s="339">
        <f t="shared" si="40"/>
        <v>201954.06</v>
      </c>
      <c r="U149" s="337"/>
    </row>
    <row r="150" spans="2:21">
      <c r="B150" s="378"/>
      <c r="C150" s="378"/>
      <c r="D150" s="337" t="s">
        <v>1452</v>
      </c>
      <c r="E150" s="367">
        <v>146</v>
      </c>
      <c r="F150" s="337" t="s">
        <v>1437</v>
      </c>
      <c r="G150" s="337" t="s">
        <v>1453</v>
      </c>
      <c r="H150" s="346">
        <v>500000</v>
      </c>
      <c r="I150" s="346">
        <v>66650</v>
      </c>
      <c r="J150" s="340">
        <f t="shared" si="34"/>
        <v>566650</v>
      </c>
      <c r="K150" s="348">
        <v>50</v>
      </c>
      <c r="L150" s="381">
        <v>11333</v>
      </c>
      <c r="M150" s="356">
        <f t="shared" si="33"/>
        <v>1333</v>
      </c>
      <c r="N150" s="356">
        <f t="shared" si="35"/>
        <v>10000</v>
      </c>
      <c r="O150" s="356">
        <f t="shared" si="36"/>
        <v>7998</v>
      </c>
      <c r="P150" s="356">
        <f t="shared" si="37"/>
        <v>58652</v>
      </c>
      <c r="Q150" s="358">
        <v>6</v>
      </c>
      <c r="R150" s="354">
        <f t="shared" si="38"/>
        <v>44</v>
      </c>
      <c r="S150" s="339">
        <f t="shared" si="39"/>
        <v>67998</v>
      </c>
      <c r="T150" s="339">
        <f t="shared" si="40"/>
        <v>498652</v>
      </c>
      <c r="U150" s="337"/>
    </row>
    <row r="151" spans="2:21">
      <c r="B151" s="378"/>
      <c r="C151" s="378"/>
      <c r="D151" s="362" t="s">
        <v>1115</v>
      </c>
      <c r="E151" s="367">
        <v>147</v>
      </c>
      <c r="F151" s="337" t="s">
        <v>1437</v>
      </c>
      <c r="G151" s="337" t="s">
        <v>1116</v>
      </c>
      <c r="H151" s="346">
        <v>200000</v>
      </c>
      <c r="I151" s="346">
        <v>26660</v>
      </c>
      <c r="J151" s="340">
        <f t="shared" si="34"/>
        <v>226660</v>
      </c>
      <c r="K151" s="348">
        <v>50</v>
      </c>
      <c r="L151" s="380">
        <v>5099.8500000000004</v>
      </c>
      <c r="M151" s="356">
        <f t="shared" si="33"/>
        <v>533.20000000000005</v>
      </c>
      <c r="N151" s="356">
        <f t="shared" si="35"/>
        <v>4000</v>
      </c>
      <c r="O151" s="356">
        <f t="shared" si="36"/>
        <v>12263.6</v>
      </c>
      <c r="P151" s="356">
        <f t="shared" si="37"/>
        <v>14396.400000000001</v>
      </c>
      <c r="Q151" s="348">
        <v>23</v>
      </c>
      <c r="R151" s="354">
        <f t="shared" si="38"/>
        <v>27</v>
      </c>
      <c r="S151" s="339">
        <f t="shared" si="39"/>
        <v>117296.55</v>
      </c>
      <c r="T151" s="339">
        <f t="shared" si="40"/>
        <v>109363.45</v>
      </c>
      <c r="U151" s="337"/>
    </row>
    <row r="152" spans="2:21">
      <c r="B152" s="378"/>
      <c r="C152" s="378"/>
      <c r="D152" s="366" t="s">
        <v>1408</v>
      </c>
      <c r="E152" s="367">
        <v>148</v>
      </c>
      <c r="F152" s="337" t="s">
        <v>1437</v>
      </c>
      <c r="G152" s="337" t="s">
        <v>406</v>
      </c>
      <c r="H152" s="346">
        <v>500000</v>
      </c>
      <c r="I152" s="346">
        <v>66650</v>
      </c>
      <c r="J152" s="340">
        <f t="shared" si="34"/>
        <v>566650</v>
      </c>
      <c r="K152" s="348">
        <v>40</v>
      </c>
      <c r="L152" s="380">
        <v>13833</v>
      </c>
      <c r="M152" s="356">
        <f t="shared" si="33"/>
        <v>1333</v>
      </c>
      <c r="N152" s="356">
        <f t="shared" si="35"/>
        <v>10000</v>
      </c>
      <c r="O152" s="356">
        <f t="shared" si="36"/>
        <v>11997</v>
      </c>
      <c r="P152" s="356">
        <f t="shared" si="37"/>
        <v>41323</v>
      </c>
      <c r="Q152" s="348">
        <v>9</v>
      </c>
      <c r="R152" s="354">
        <f t="shared" si="38"/>
        <v>31</v>
      </c>
      <c r="S152" s="339">
        <f t="shared" si="39"/>
        <v>124497</v>
      </c>
      <c r="T152" s="339">
        <f t="shared" si="40"/>
        <v>442153</v>
      </c>
      <c r="U152" s="337"/>
    </row>
    <row r="153" spans="2:21">
      <c r="B153" s="378"/>
      <c r="C153" s="378"/>
      <c r="D153" s="364" t="s">
        <v>1134</v>
      </c>
      <c r="E153" s="367">
        <v>149</v>
      </c>
      <c r="F153" s="337" t="s">
        <v>1437</v>
      </c>
      <c r="G153" s="337" t="s">
        <v>1135</v>
      </c>
      <c r="H153" s="346">
        <v>500000</v>
      </c>
      <c r="I153" s="346">
        <v>66650</v>
      </c>
      <c r="J153" s="340">
        <f t="shared" si="34"/>
        <v>566650</v>
      </c>
      <c r="K153" s="348">
        <v>50</v>
      </c>
      <c r="L153" s="380">
        <v>11333</v>
      </c>
      <c r="M153" s="356">
        <f t="shared" si="33"/>
        <v>1333</v>
      </c>
      <c r="N153" s="356">
        <f t="shared" si="35"/>
        <v>10000</v>
      </c>
      <c r="O153" s="356">
        <f t="shared" si="36"/>
        <v>30659</v>
      </c>
      <c r="P153" s="356">
        <f t="shared" si="37"/>
        <v>35991</v>
      </c>
      <c r="Q153" s="348">
        <v>23</v>
      </c>
      <c r="R153" s="354">
        <f t="shared" si="38"/>
        <v>27</v>
      </c>
      <c r="S153" s="339">
        <f t="shared" si="39"/>
        <v>260659</v>
      </c>
      <c r="T153" s="339">
        <f t="shared" si="40"/>
        <v>305991</v>
      </c>
      <c r="U153" s="337"/>
    </row>
    <row r="154" spans="2:21">
      <c r="B154" s="378"/>
      <c r="C154" s="378"/>
      <c r="D154" s="365" t="s">
        <v>1048</v>
      </c>
      <c r="E154" s="367">
        <v>150</v>
      </c>
      <c r="F154" s="337" t="s">
        <v>1437</v>
      </c>
      <c r="G154" s="337" t="s">
        <v>1049</v>
      </c>
      <c r="H154" s="346">
        <v>450000</v>
      </c>
      <c r="I154" s="346">
        <v>59985</v>
      </c>
      <c r="J154" s="340">
        <f t="shared" si="34"/>
        <v>509985</v>
      </c>
      <c r="K154" s="348">
        <v>50</v>
      </c>
      <c r="L154" s="380">
        <v>10199.700000000001</v>
      </c>
      <c r="M154" s="356">
        <f t="shared" si="33"/>
        <v>1199.7</v>
      </c>
      <c r="N154" s="356">
        <f t="shared" si="35"/>
        <v>9000</v>
      </c>
      <c r="O154" s="356">
        <f t="shared" si="36"/>
        <v>55186.200000000004</v>
      </c>
      <c r="P154" s="356">
        <f t="shared" si="37"/>
        <v>4798.8</v>
      </c>
      <c r="Q154" s="348">
        <v>46</v>
      </c>
      <c r="R154" s="354">
        <f t="shared" si="38"/>
        <v>4</v>
      </c>
      <c r="S154" s="339">
        <f t="shared" si="39"/>
        <v>469186.2</v>
      </c>
      <c r="T154" s="339">
        <f t="shared" si="40"/>
        <v>40798.799999999988</v>
      </c>
      <c r="U154" s="337"/>
    </row>
    <row r="155" spans="2:21">
      <c r="B155" s="378"/>
      <c r="C155" s="378"/>
      <c r="D155" s="364" t="s">
        <v>1090</v>
      </c>
      <c r="E155" s="367">
        <v>151</v>
      </c>
      <c r="F155" s="337" t="s">
        <v>1437</v>
      </c>
      <c r="G155" s="337" t="s">
        <v>295</v>
      </c>
      <c r="H155" s="346">
        <v>500000</v>
      </c>
      <c r="I155" s="346">
        <v>66650</v>
      </c>
      <c r="J155" s="340">
        <f t="shared" si="34"/>
        <v>566650</v>
      </c>
      <c r="K155" s="348">
        <v>50</v>
      </c>
      <c r="L155" s="380">
        <v>11333</v>
      </c>
      <c r="M155" s="356">
        <f t="shared" si="33"/>
        <v>1333</v>
      </c>
      <c r="N155" s="356">
        <f t="shared" si="35"/>
        <v>10000</v>
      </c>
      <c r="O155" s="356">
        <f t="shared" si="36"/>
        <v>39990</v>
      </c>
      <c r="P155" s="356">
        <f t="shared" si="37"/>
        <v>26660</v>
      </c>
      <c r="Q155" s="348">
        <v>30</v>
      </c>
      <c r="R155" s="354">
        <f t="shared" si="38"/>
        <v>20</v>
      </c>
      <c r="S155" s="339">
        <f t="shared" si="39"/>
        <v>339990</v>
      </c>
      <c r="T155" s="339">
        <f t="shared" si="40"/>
        <v>226660</v>
      </c>
      <c r="U155" s="337"/>
    </row>
    <row r="156" spans="2:21">
      <c r="B156" s="378"/>
      <c r="C156" s="378"/>
      <c r="D156" s="362" t="s">
        <v>1337</v>
      </c>
      <c r="E156" s="367">
        <v>152</v>
      </c>
      <c r="F156" s="337" t="s">
        <v>1437</v>
      </c>
      <c r="G156" s="337" t="s">
        <v>1280</v>
      </c>
      <c r="H156" s="346">
        <v>500000</v>
      </c>
      <c r="I156" s="346">
        <v>66650</v>
      </c>
      <c r="J156" s="340">
        <f t="shared" si="34"/>
        <v>566650</v>
      </c>
      <c r="K156" s="348">
        <v>50</v>
      </c>
      <c r="L156" s="380">
        <v>11333</v>
      </c>
      <c r="M156" s="356">
        <f t="shared" si="33"/>
        <v>1333</v>
      </c>
      <c r="N156" s="356">
        <f t="shared" si="35"/>
        <v>10000</v>
      </c>
      <c r="O156" s="356">
        <f t="shared" si="36"/>
        <v>19995</v>
      </c>
      <c r="P156" s="356">
        <f t="shared" si="37"/>
        <v>46655</v>
      </c>
      <c r="Q156" s="348">
        <v>15</v>
      </c>
      <c r="R156" s="354">
        <f t="shared" si="38"/>
        <v>35</v>
      </c>
      <c r="S156" s="339">
        <f t="shared" si="39"/>
        <v>169995</v>
      </c>
      <c r="T156" s="339">
        <f t="shared" si="40"/>
        <v>396655</v>
      </c>
      <c r="U156" s="337"/>
    </row>
    <row r="157" spans="2:21">
      <c r="B157" s="378"/>
      <c r="C157" s="378"/>
      <c r="D157" s="337" t="s">
        <v>1415</v>
      </c>
      <c r="E157" s="367">
        <v>153</v>
      </c>
      <c r="F157" s="337" t="s">
        <v>1437</v>
      </c>
      <c r="G157" s="337" t="s">
        <v>1416</v>
      </c>
      <c r="H157" s="346">
        <v>500000</v>
      </c>
      <c r="I157" s="346">
        <v>66650</v>
      </c>
      <c r="J157" s="340">
        <f t="shared" si="34"/>
        <v>566650</v>
      </c>
      <c r="K157" s="358">
        <v>50</v>
      </c>
      <c r="L157" s="381">
        <v>11333</v>
      </c>
      <c r="M157" s="356">
        <f t="shared" si="33"/>
        <v>1333</v>
      </c>
      <c r="N157" s="356">
        <f t="shared" si="35"/>
        <v>10000</v>
      </c>
      <c r="O157" s="356">
        <f t="shared" si="36"/>
        <v>10664</v>
      </c>
      <c r="P157" s="356">
        <f t="shared" si="37"/>
        <v>55986</v>
      </c>
      <c r="Q157" s="358">
        <v>8</v>
      </c>
      <c r="R157" s="354">
        <f t="shared" si="38"/>
        <v>42</v>
      </c>
      <c r="S157" s="339">
        <f t="shared" si="39"/>
        <v>90664</v>
      </c>
      <c r="T157" s="339">
        <f t="shared" si="40"/>
        <v>475986</v>
      </c>
      <c r="U157" s="337"/>
    </row>
    <row r="158" spans="2:21">
      <c r="B158" s="378"/>
      <c r="C158" s="378"/>
      <c r="D158" s="364" t="s">
        <v>1354</v>
      </c>
      <c r="E158" s="367">
        <v>154</v>
      </c>
      <c r="F158" s="337" t="s">
        <v>1437</v>
      </c>
      <c r="G158" s="337" t="s">
        <v>450</v>
      </c>
      <c r="H158" s="346">
        <v>450000</v>
      </c>
      <c r="I158" s="346">
        <v>59985</v>
      </c>
      <c r="J158" s="340">
        <f t="shared" si="34"/>
        <v>509985</v>
      </c>
      <c r="K158" s="348">
        <v>50</v>
      </c>
      <c r="L158" s="380">
        <v>10199.700000000001</v>
      </c>
      <c r="M158" s="356">
        <f t="shared" si="33"/>
        <v>1199.7</v>
      </c>
      <c r="N158" s="356">
        <f t="shared" si="35"/>
        <v>9000</v>
      </c>
      <c r="O158" s="356">
        <f t="shared" si="36"/>
        <v>26393.4</v>
      </c>
      <c r="P158" s="356">
        <f t="shared" si="37"/>
        <v>33591.599999999999</v>
      </c>
      <c r="Q158" s="348">
        <v>22</v>
      </c>
      <c r="R158" s="354">
        <f t="shared" si="38"/>
        <v>28</v>
      </c>
      <c r="S158" s="339">
        <f t="shared" si="39"/>
        <v>224393.40000000002</v>
      </c>
      <c r="T158" s="339">
        <f t="shared" si="40"/>
        <v>285591.59999999998</v>
      </c>
      <c r="U158" s="337"/>
    </row>
    <row r="159" spans="2:21">
      <c r="B159" s="378"/>
      <c r="C159" s="378"/>
      <c r="D159" s="364" t="s">
        <v>1394</v>
      </c>
      <c r="E159" s="367">
        <v>155</v>
      </c>
      <c r="F159" s="337" t="s">
        <v>1437</v>
      </c>
      <c r="G159" s="337" t="s">
        <v>1395</v>
      </c>
      <c r="H159" s="346">
        <v>150000</v>
      </c>
      <c r="I159" s="346">
        <v>19995</v>
      </c>
      <c r="J159" s="340">
        <f t="shared" si="34"/>
        <v>169995</v>
      </c>
      <c r="K159" s="348">
        <v>40</v>
      </c>
      <c r="L159" s="380">
        <v>4149.8999999999996</v>
      </c>
      <c r="M159" s="356">
        <f t="shared" si="33"/>
        <v>399.9</v>
      </c>
      <c r="N159" s="356">
        <f t="shared" si="35"/>
        <v>3000</v>
      </c>
      <c r="O159" s="356">
        <f t="shared" si="36"/>
        <v>3999</v>
      </c>
      <c r="P159" s="356">
        <f t="shared" si="37"/>
        <v>11997</v>
      </c>
      <c r="Q159" s="348">
        <v>10</v>
      </c>
      <c r="R159" s="354">
        <f t="shared" si="38"/>
        <v>30</v>
      </c>
      <c r="S159" s="339">
        <f t="shared" si="39"/>
        <v>41499</v>
      </c>
      <c r="T159" s="339">
        <f t="shared" si="40"/>
        <v>128496</v>
      </c>
      <c r="U159" s="337"/>
    </row>
    <row r="160" spans="2:21">
      <c r="B160" s="378"/>
      <c r="C160" s="378"/>
      <c r="D160" s="363" t="s">
        <v>968</v>
      </c>
      <c r="E160" s="367">
        <v>156</v>
      </c>
      <c r="F160" s="337" t="s">
        <v>1437</v>
      </c>
      <c r="G160" s="337" t="s">
        <v>490</v>
      </c>
      <c r="H160" s="346">
        <v>330000</v>
      </c>
      <c r="I160" s="346">
        <v>43989</v>
      </c>
      <c r="J160" s="340">
        <f t="shared" si="34"/>
        <v>373989</v>
      </c>
      <c r="K160" s="348">
        <v>50</v>
      </c>
      <c r="L160" s="380">
        <v>7479.78</v>
      </c>
      <c r="M160" s="356">
        <f t="shared" si="33"/>
        <v>879.78</v>
      </c>
      <c r="N160" s="356">
        <f t="shared" si="35"/>
        <v>6600</v>
      </c>
      <c r="O160" s="356">
        <f t="shared" si="36"/>
        <v>30792.3</v>
      </c>
      <c r="P160" s="356">
        <f t="shared" si="37"/>
        <v>13196.699999999999</v>
      </c>
      <c r="Q160" s="348">
        <v>35</v>
      </c>
      <c r="R160" s="354">
        <f t="shared" si="38"/>
        <v>15</v>
      </c>
      <c r="S160" s="339">
        <f t="shared" si="39"/>
        <v>261792.3</v>
      </c>
      <c r="T160" s="339">
        <f t="shared" si="40"/>
        <v>112196.70000000001</v>
      </c>
      <c r="U160" s="337"/>
    </row>
    <row r="161" spans="1:21">
      <c r="A161" s="392"/>
      <c r="B161" s="378"/>
      <c r="C161" s="378"/>
      <c r="D161" s="365" t="s">
        <v>1036</v>
      </c>
      <c r="E161" s="367">
        <v>157</v>
      </c>
      <c r="F161" s="337" t="s">
        <v>1437</v>
      </c>
      <c r="G161" s="337" t="s">
        <v>216</v>
      </c>
      <c r="H161" s="346">
        <v>60000</v>
      </c>
      <c r="I161" s="346">
        <v>7998</v>
      </c>
      <c r="J161" s="340">
        <f t="shared" si="34"/>
        <v>67998</v>
      </c>
      <c r="K161" s="348">
        <v>40</v>
      </c>
      <c r="L161" s="380">
        <v>1699.95</v>
      </c>
      <c r="M161" s="356">
        <f t="shared" si="33"/>
        <v>159.96</v>
      </c>
      <c r="N161" s="356">
        <f t="shared" si="35"/>
        <v>1200</v>
      </c>
      <c r="O161" s="356">
        <f t="shared" si="36"/>
        <v>5758.56</v>
      </c>
      <c r="P161" s="356">
        <f t="shared" si="37"/>
        <v>639.84</v>
      </c>
      <c r="Q161" s="348">
        <v>36</v>
      </c>
      <c r="R161" s="354">
        <f t="shared" si="38"/>
        <v>4</v>
      </c>
      <c r="S161" s="339">
        <f t="shared" si="39"/>
        <v>61198.200000000004</v>
      </c>
      <c r="T161" s="339">
        <f t="shared" si="40"/>
        <v>6799.7999999999956</v>
      </c>
      <c r="U161" s="337"/>
    </row>
    <row r="162" spans="1:21" s="392" customFormat="1">
      <c r="A162" s="336"/>
      <c r="B162" s="378"/>
      <c r="D162" s="363" t="s">
        <v>1379</v>
      </c>
      <c r="E162" s="367">
        <v>158</v>
      </c>
      <c r="F162" s="337" t="s">
        <v>1437</v>
      </c>
      <c r="G162" s="337" t="s">
        <v>1380</v>
      </c>
      <c r="H162" s="346">
        <v>330000</v>
      </c>
      <c r="I162" s="346">
        <v>43989</v>
      </c>
      <c r="J162" s="340">
        <f t="shared" si="34"/>
        <v>373989</v>
      </c>
      <c r="K162" s="348">
        <v>50</v>
      </c>
      <c r="L162" s="380">
        <v>7479.78</v>
      </c>
      <c r="M162" s="356">
        <f t="shared" si="33"/>
        <v>879.78</v>
      </c>
      <c r="N162" s="356">
        <f t="shared" si="35"/>
        <v>6600</v>
      </c>
      <c r="O162" s="356">
        <f t="shared" si="36"/>
        <v>8797.7999999999993</v>
      </c>
      <c r="P162" s="356">
        <f t="shared" si="37"/>
        <v>35191.199999999997</v>
      </c>
      <c r="Q162" s="348">
        <v>10</v>
      </c>
      <c r="R162" s="354">
        <f t="shared" si="38"/>
        <v>40</v>
      </c>
      <c r="S162" s="339">
        <f t="shared" si="39"/>
        <v>74797.8</v>
      </c>
      <c r="T162" s="339">
        <f t="shared" si="40"/>
        <v>299191.2</v>
      </c>
      <c r="U162" s="337"/>
    </row>
    <row r="163" spans="1:21">
      <c r="B163" s="378"/>
      <c r="D163" s="362" t="s">
        <v>1372</v>
      </c>
      <c r="E163" s="367">
        <v>159</v>
      </c>
      <c r="F163" s="337" t="s">
        <v>1437</v>
      </c>
      <c r="G163" s="337" t="s">
        <v>1297</v>
      </c>
      <c r="H163" s="346">
        <v>330000</v>
      </c>
      <c r="I163" s="346">
        <v>43989</v>
      </c>
      <c r="J163" s="340">
        <f t="shared" si="34"/>
        <v>373989</v>
      </c>
      <c r="K163" s="348">
        <v>50</v>
      </c>
      <c r="L163" s="380">
        <v>7479.78</v>
      </c>
      <c r="M163" s="356">
        <f t="shared" si="33"/>
        <v>879.78</v>
      </c>
      <c r="N163" s="356">
        <f t="shared" si="35"/>
        <v>6600</v>
      </c>
      <c r="O163" s="356">
        <f t="shared" si="36"/>
        <v>18475.38</v>
      </c>
      <c r="P163" s="356">
        <f t="shared" si="37"/>
        <v>25513.62</v>
      </c>
      <c r="Q163" s="348">
        <v>21</v>
      </c>
      <c r="R163" s="354">
        <f t="shared" si="38"/>
        <v>29</v>
      </c>
      <c r="S163" s="339">
        <f t="shared" si="39"/>
        <v>157075.38</v>
      </c>
      <c r="T163" s="339">
        <f t="shared" si="40"/>
        <v>216913.62</v>
      </c>
      <c r="U163" s="337"/>
    </row>
    <row r="164" spans="1:21">
      <c r="B164" s="378"/>
      <c r="D164" s="337" t="s">
        <v>1447</v>
      </c>
      <c r="E164" s="367">
        <v>160</v>
      </c>
      <c r="F164" s="337" t="s">
        <v>1437</v>
      </c>
      <c r="G164" s="337" t="s">
        <v>1448</v>
      </c>
      <c r="H164" s="346">
        <v>450000</v>
      </c>
      <c r="I164" s="346">
        <v>59985</v>
      </c>
      <c r="J164" s="340">
        <f t="shared" si="34"/>
        <v>509985</v>
      </c>
      <c r="K164" s="348">
        <v>50</v>
      </c>
      <c r="L164" s="381">
        <v>10199.700000000001</v>
      </c>
      <c r="M164" s="356">
        <f t="shared" si="33"/>
        <v>1199.7</v>
      </c>
      <c r="N164" s="356">
        <f t="shared" si="35"/>
        <v>9000</v>
      </c>
      <c r="O164" s="356">
        <f t="shared" si="36"/>
        <v>7198.2000000000007</v>
      </c>
      <c r="P164" s="356">
        <f t="shared" si="37"/>
        <v>52786.8</v>
      </c>
      <c r="Q164" s="358">
        <v>6</v>
      </c>
      <c r="R164" s="354">
        <f t="shared" si="38"/>
        <v>44</v>
      </c>
      <c r="S164" s="339">
        <f t="shared" si="39"/>
        <v>61198.200000000004</v>
      </c>
      <c r="T164" s="339">
        <f t="shared" si="40"/>
        <v>448786.8</v>
      </c>
      <c r="U164" s="337"/>
    </row>
    <row r="165" spans="1:21">
      <c r="B165" s="378"/>
      <c r="D165" s="365" t="s">
        <v>1373</v>
      </c>
      <c r="E165" s="367">
        <v>161</v>
      </c>
      <c r="F165" s="337" t="s">
        <v>1437</v>
      </c>
      <c r="G165" s="337" t="s">
        <v>1374</v>
      </c>
      <c r="H165" s="346">
        <v>330000</v>
      </c>
      <c r="I165" s="346">
        <v>43989</v>
      </c>
      <c r="J165" s="340">
        <f t="shared" ref="J165:J170" si="41">SUM(H165:I165)</f>
        <v>373989</v>
      </c>
      <c r="K165" s="348">
        <v>50</v>
      </c>
      <c r="L165" s="380">
        <v>7479.78</v>
      </c>
      <c r="M165" s="356">
        <f t="shared" si="33"/>
        <v>879.78</v>
      </c>
      <c r="N165" s="356">
        <f t="shared" ref="N165:N170" si="42">H165/50</f>
        <v>6600</v>
      </c>
      <c r="O165" s="356">
        <f t="shared" ref="O165:O170" si="43">M165*Q165</f>
        <v>8797.7999999999993</v>
      </c>
      <c r="P165" s="356">
        <f t="shared" ref="P165:P170" si="44">M165*R165</f>
        <v>35191.199999999997</v>
      </c>
      <c r="Q165" s="348">
        <v>10</v>
      </c>
      <c r="R165" s="354">
        <f t="shared" ref="R165:R170" si="45">K165-Q165</f>
        <v>40</v>
      </c>
      <c r="S165" s="339">
        <f t="shared" ref="S165:S170" si="46">L165*Q165</f>
        <v>74797.8</v>
      </c>
      <c r="T165" s="339">
        <f t="shared" ref="T165:T170" si="47">J165-S165</f>
        <v>299191.2</v>
      </c>
      <c r="U165" s="337"/>
    </row>
    <row r="166" spans="1:21">
      <c r="B166" s="378"/>
      <c r="D166" s="365" t="s">
        <v>1367</v>
      </c>
      <c r="E166" s="367">
        <v>162</v>
      </c>
      <c r="F166" s="337" t="s">
        <v>1437</v>
      </c>
      <c r="G166" s="337" t="s">
        <v>465</v>
      </c>
      <c r="H166" s="346">
        <v>450000</v>
      </c>
      <c r="I166" s="346">
        <v>59985</v>
      </c>
      <c r="J166" s="340">
        <f t="shared" si="41"/>
        <v>509985</v>
      </c>
      <c r="K166" s="348">
        <v>50</v>
      </c>
      <c r="L166" s="380">
        <v>10199.700000000001</v>
      </c>
      <c r="M166" s="356">
        <f t="shared" si="33"/>
        <v>1199.7</v>
      </c>
      <c r="N166" s="356">
        <f t="shared" si="42"/>
        <v>9000</v>
      </c>
      <c r="O166" s="356">
        <f t="shared" si="43"/>
        <v>35991</v>
      </c>
      <c r="P166" s="356">
        <f t="shared" si="44"/>
        <v>23994</v>
      </c>
      <c r="Q166" s="348">
        <v>30</v>
      </c>
      <c r="R166" s="354">
        <f t="shared" si="45"/>
        <v>20</v>
      </c>
      <c r="S166" s="339">
        <f t="shared" si="46"/>
        <v>305991</v>
      </c>
      <c r="T166" s="339">
        <f t="shared" si="47"/>
        <v>203994</v>
      </c>
      <c r="U166" s="337"/>
    </row>
    <row r="167" spans="1:21">
      <c r="B167" s="378"/>
      <c r="D167" s="337" t="s">
        <v>1489</v>
      </c>
      <c r="E167" s="367">
        <v>163</v>
      </c>
      <c r="F167" s="337" t="s">
        <v>1437</v>
      </c>
      <c r="G167" s="337" t="s">
        <v>1490</v>
      </c>
      <c r="H167" s="346">
        <v>330000</v>
      </c>
      <c r="I167" s="346">
        <v>43989</v>
      </c>
      <c r="J167" s="340">
        <f t="shared" si="41"/>
        <v>373989</v>
      </c>
      <c r="K167" s="348">
        <v>50</v>
      </c>
      <c r="L167" s="346">
        <v>7479.78</v>
      </c>
      <c r="M167" s="356">
        <f t="shared" si="33"/>
        <v>879.78</v>
      </c>
      <c r="N167" s="356">
        <f t="shared" si="42"/>
        <v>6600</v>
      </c>
      <c r="O167" s="356">
        <f t="shared" si="43"/>
        <v>879.78</v>
      </c>
      <c r="P167" s="356">
        <f t="shared" si="44"/>
        <v>43109.22</v>
      </c>
      <c r="Q167" s="358">
        <v>1</v>
      </c>
      <c r="R167" s="354">
        <f t="shared" si="45"/>
        <v>49</v>
      </c>
      <c r="S167" s="339">
        <f t="shared" si="46"/>
        <v>7479.78</v>
      </c>
      <c r="T167" s="339">
        <f t="shared" si="47"/>
        <v>366509.22</v>
      </c>
      <c r="U167" s="337"/>
    </row>
    <row r="168" spans="1:21">
      <c r="B168" s="378"/>
      <c r="D168" s="337"/>
      <c r="E168" s="367">
        <v>164</v>
      </c>
      <c r="F168" s="337" t="s">
        <v>1437</v>
      </c>
      <c r="G168" s="337" t="s">
        <v>1270</v>
      </c>
      <c r="H168" s="346">
        <v>150000</v>
      </c>
      <c r="I168" s="346">
        <v>19995</v>
      </c>
      <c r="J168" s="340">
        <f t="shared" si="41"/>
        <v>169995</v>
      </c>
      <c r="K168" s="358">
        <v>50</v>
      </c>
      <c r="L168" s="381">
        <v>3399.9</v>
      </c>
      <c r="M168" s="356">
        <f t="shared" si="33"/>
        <v>399.9</v>
      </c>
      <c r="N168" s="356">
        <f t="shared" si="42"/>
        <v>3000</v>
      </c>
      <c r="O168" s="356">
        <f t="shared" si="43"/>
        <v>18395.399999999998</v>
      </c>
      <c r="P168" s="356">
        <f t="shared" si="44"/>
        <v>1599.6</v>
      </c>
      <c r="Q168" s="358">
        <v>46</v>
      </c>
      <c r="R168" s="354">
        <f t="shared" si="45"/>
        <v>4</v>
      </c>
      <c r="S168" s="339">
        <f t="shared" si="46"/>
        <v>156395.4</v>
      </c>
      <c r="T168" s="339">
        <f t="shared" si="47"/>
        <v>13599.600000000006</v>
      </c>
      <c r="U168" s="337"/>
    </row>
    <row r="169" spans="1:21">
      <c r="B169" s="378"/>
      <c r="D169" s="337"/>
      <c r="E169" s="367">
        <v>165</v>
      </c>
      <c r="F169" s="337" t="s">
        <v>1437</v>
      </c>
      <c r="G169" s="337" t="s">
        <v>1268</v>
      </c>
      <c r="H169" s="346">
        <v>500000</v>
      </c>
      <c r="I169" s="346">
        <v>66650</v>
      </c>
      <c r="J169" s="340">
        <f t="shared" si="41"/>
        <v>566650</v>
      </c>
      <c r="K169" s="358">
        <v>50</v>
      </c>
      <c r="L169" s="381">
        <v>11749.67</v>
      </c>
      <c r="M169" s="356">
        <f t="shared" si="33"/>
        <v>1333</v>
      </c>
      <c r="N169" s="356">
        <f t="shared" si="42"/>
        <v>10000</v>
      </c>
      <c r="O169" s="356">
        <f t="shared" si="43"/>
        <v>46655</v>
      </c>
      <c r="P169" s="356">
        <f t="shared" si="44"/>
        <v>19995</v>
      </c>
      <c r="Q169" s="358">
        <v>35</v>
      </c>
      <c r="R169" s="354">
        <f t="shared" si="45"/>
        <v>15</v>
      </c>
      <c r="S169" s="339">
        <f t="shared" si="46"/>
        <v>411238.45</v>
      </c>
      <c r="T169" s="339">
        <f t="shared" si="47"/>
        <v>155411.54999999999</v>
      </c>
      <c r="U169" s="337"/>
    </row>
    <row r="170" spans="1:21">
      <c r="B170" s="378"/>
      <c r="D170" s="337"/>
      <c r="E170" s="367">
        <v>166</v>
      </c>
      <c r="F170" s="337" t="s">
        <v>1437</v>
      </c>
      <c r="G170" s="337" t="s">
        <v>1420</v>
      </c>
      <c r="H170" s="346">
        <v>450000</v>
      </c>
      <c r="I170" s="346">
        <v>59985</v>
      </c>
      <c r="J170" s="340">
        <f t="shared" si="41"/>
        <v>509985</v>
      </c>
      <c r="K170" s="358">
        <v>50</v>
      </c>
      <c r="L170" s="381">
        <v>10199.700000000001</v>
      </c>
      <c r="M170" s="356">
        <f t="shared" si="33"/>
        <v>1199.7</v>
      </c>
      <c r="N170" s="356">
        <f t="shared" si="42"/>
        <v>9000</v>
      </c>
      <c r="O170" s="356">
        <f t="shared" si="43"/>
        <v>11997</v>
      </c>
      <c r="P170" s="356">
        <f t="shared" si="44"/>
        <v>47988</v>
      </c>
      <c r="Q170" s="358">
        <v>10</v>
      </c>
      <c r="R170" s="354">
        <f t="shared" si="45"/>
        <v>40</v>
      </c>
      <c r="S170" s="339">
        <f t="shared" si="46"/>
        <v>101997</v>
      </c>
      <c r="T170" s="339">
        <f t="shared" si="47"/>
        <v>407988</v>
      </c>
      <c r="U170" s="337"/>
    </row>
    <row r="171" spans="1:21">
      <c r="B171" s="378"/>
      <c r="D171" s="337"/>
      <c r="E171" s="337"/>
      <c r="F171" s="337"/>
      <c r="G171" s="337"/>
      <c r="H171" s="386">
        <f>SUM(H5:H170)</f>
        <v>69430000</v>
      </c>
      <c r="I171" s="346">
        <f>SUM(I5:I170)</f>
        <v>9123585.1999999993</v>
      </c>
      <c r="J171" s="346">
        <f>SUM(J5:J170)</f>
        <v>78553585.200000003</v>
      </c>
      <c r="K171" s="346"/>
      <c r="L171" s="346">
        <f>SUM(L5:L170)</f>
        <v>1638459.9799999997</v>
      </c>
      <c r="M171" s="346">
        <f>SUM(M5:M170)</f>
        <v>185100.37999999998</v>
      </c>
      <c r="N171" s="346">
        <f>SUM(N5:N170)</f>
        <v>1388600</v>
      </c>
      <c r="O171" s="346">
        <f>SUM(O5:O170)</f>
        <v>4087404.5599999996</v>
      </c>
      <c r="P171" s="346">
        <f>SUM(P5:P170)</f>
        <v>4922609.04</v>
      </c>
      <c r="Q171" s="358"/>
      <c r="R171" s="358"/>
      <c r="S171" s="346">
        <f>SUM(S5:S170)</f>
        <v>35507973.270000003</v>
      </c>
      <c r="T171" s="397">
        <f>SUM(T5:T170)</f>
        <v>43045611.929999985</v>
      </c>
      <c r="U171" s="337"/>
    </row>
    <row r="172" spans="1:21">
      <c r="B172" s="378"/>
    </row>
  </sheetData>
  <sortState ref="D5:U173">
    <sortCondition ref="D5:D173"/>
  </sortState>
  <mergeCells count="3">
    <mergeCell ref="E1:U1"/>
    <mergeCell ref="E2:U2"/>
    <mergeCell ref="E3:U3"/>
  </mergeCells>
  <conditionalFormatting sqref="D91">
    <cfRule type="duplicateValues" dxfId="15" priority="6"/>
  </conditionalFormatting>
  <conditionalFormatting sqref="D118:D129 D105:D111 D97:D100 D4:D84 D90:D91">
    <cfRule type="duplicateValues" dxfId="14" priority="7"/>
  </conditionalFormatting>
  <pageMargins left="0.2" right="0.2" top="0.25" bottom="0.25" header="0.3" footer="0.3"/>
  <pageSetup paperSize="9" scale="5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189"/>
  <sheetViews>
    <sheetView topLeftCell="G169" zoomScale="90" zoomScaleNormal="90" workbookViewId="0">
      <selection activeCell="C184" sqref="A184:XFD184"/>
    </sheetView>
  </sheetViews>
  <sheetFormatPr defaultRowHeight="15.75"/>
  <cols>
    <col min="1" max="3" width="14.5703125" style="336" customWidth="1"/>
    <col min="4" max="4" width="18.7109375" style="392" customWidth="1"/>
    <col min="5" max="5" width="5.42578125" style="392" customWidth="1"/>
    <col min="6" max="6" width="13.5703125" style="392" customWidth="1"/>
    <col min="7" max="7" width="36.5703125" style="392" customWidth="1"/>
    <col min="8" max="8" width="16.85546875" style="406" customWidth="1"/>
    <col min="9" max="9" width="16" style="406" customWidth="1"/>
    <col min="10" max="10" width="17.42578125" style="406" customWidth="1"/>
    <col min="11" max="11" width="8.28515625" style="407" customWidth="1"/>
    <col min="12" max="12" width="16.5703125" style="406" customWidth="1"/>
    <col min="13" max="13" width="14.140625" style="408" customWidth="1"/>
    <col min="14" max="14" width="16.85546875" style="408" customWidth="1"/>
    <col min="15" max="15" width="16.5703125" style="408" customWidth="1"/>
    <col min="16" max="16" width="15.85546875" style="408" customWidth="1"/>
    <col min="17" max="17" width="10.140625" style="396" customWidth="1"/>
    <col min="18" max="18" width="12.140625" style="396" customWidth="1"/>
    <col min="19" max="19" width="17" style="406" customWidth="1"/>
    <col min="20" max="20" width="16.85546875" style="406" customWidth="1"/>
    <col min="21" max="21" width="9.5703125" style="392" customWidth="1"/>
    <col min="22" max="16384" width="9.140625" style="336"/>
  </cols>
  <sheetData>
    <row r="1" spans="1:21" ht="22.5">
      <c r="E1" s="427" t="s">
        <v>1421</v>
      </c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</row>
    <row r="2" spans="1:21" customFormat="1" ht="20.25">
      <c r="D2" s="398"/>
      <c r="E2" s="428" t="s">
        <v>245</v>
      </c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  <c r="U2" s="428"/>
    </row>
    <row r="3" spans="1:21" customFormat="1" ht="18">
      <c r="D3" s="398"/>
      <c r="E3" s="429" t="s">
        <v>1492</v>
      </c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  <c r="U3" s="429"/>
    </row>
    <row r="4" spans="1:21" s="372" customFormat="1" ht="68.25" customHeight="1">
      <c r="D4" s="117" t="s">
        <v>869</v>
      </c>
      <c r="E4" s="369" t="s">
        <v>0</v>
      </c>
      <c r="F4" s="370" t="s">
        <v>1422</v>
      </c>
      <c r="G4" s="370" t="s">
        <v>292</v>
      </c>
      <c r="H4" s="370" t="s">
        <v>1423</v>
      </c>
      <c r="I4" s="370" t="s">
        <v>1424</v>
      </c>
      <c r="J4" s="370" t="s">
        <v>1425</v>
      </c>
      <c r="K4" s="370" t="s">
        <v>1426</v>
      </c>
      <c r="L4" s="370" t="s">
        <v>1427</v>
      </c>
      <c r="M4" s="371" t="s">
        <v>1428</v>
      </c>
      <c r="N4" s="371" t="s">
        <v>1429</v>
      </c>
      <c r="O4" s="371" t="s">
        <v>1430</v>
      </c>
      <c r="P4" s="371" t="s">
        <v>1431</v>
      </c>
      <c r="Q4" s="368" t="s">
        <v>1432</v>
      </c>
      <c r="R4" s="373" t="s">
        <v>1433</v>
      </c>
      <c r="S4" s="370" t="s">
        <v>1434</v>
      </c>
      <c r="T4" s="370" t="s">
        <v>1435</v>
      </c>
      <c r="U4" s="383" t="s">
        <v>1436</v>
      </c>
    </row>
    <row r="5" spans="1:21">
      <c r="A5" s="378"/>
      <c r="B5" s="378"/>
      <c r="C5" s="378"/>
      <c r="D5" s="116" t="s">
        <v>1369</v>
      </c>
      <c r="E5" s="367">
        <v>1</v>
      </c>
      <c r="F5" s="393" t="s">
        <v>1437</v>
      </c>
      <c r="G5" s="399" t="s">
        <v>1282</v>
      </c>
      <c r="H5" s="350">
        <v>330000</v>
      </c>
      <c r="I5" s="350">
        <v>43989</v>
      </c>
      <c r="J5" s="349">
        <f t="shared" ref="J5:J36" si="0">SUM(H5:I5)</f>
        <v>373989</v>
      </c>
      <c r="K5" s="347">
        <v>50</v>
      </c>
      <c r="L5" s="379">
        <v>7479.78</v>
      </c>
      <c r="M5" s="394">
        <f t="shared" ref="M5:M23" si="1">I5/50</f>
        <v>879.78</v>
      </c>
      <c r="N5" s="394">
        <f t="shared" ref="N5:N36" si="2">H5/50</f>
        <v>6600</v>
      </c>
      <c r="O5" s="394">
        <f t="shared" ref="O5:O36" si="3">M5*Q5</f>
        <v>14076.48</v>
      </c>
      <c r="P5" s="394">
        <f t="shared" ref="P5:P36" si="4">M5*R5</f>
        <v>29912.52</v>
      </c>
      <c r="Q5" s="352">
        <v>16</v>
      </c>
      <c r="R5" s="354">
        <f t="shared" ref="R5:R36" si="5">K5-Q5</f>
        <v>34</v>
      </c>
      <c r="S5" s="350">
        <f t="shared" ref="S5:S36" si="6">L5*Q5</f>
        <v>119676.48</v>
      </c>
      <c r="T5" s="350">
        <f t="shared" ref="T5:T36" si="7">J5-S5</f>
        <v>254312.52000000002</v>
      </c>
      <c r="U5" s="400"/>
    </row>
    <row r="6" spans="1:21">
      <c r="A6" s="378"/>
      <c r="B6" s="378"/>
      <c r="C6" s="378"/>
      <c r="D6" s="116" t="s">
        <v>1396</v>
      </c>
      <c r="E6" s="367">
        <v>2</v>
      </c>
      <c r="F6" s="393" t="s">
        <v>1437</v>
      </c>
      <c r="G6" s="400" t="s">
        <v>1397</v>
      </c>
      <c r="H6" s="350">
        <v>150000</v>
      </c>
      <c r="I6" s="350">
        <v>19995</v>
      </c>
      <c r="J6" s="349">
        <f t="shared" si="0"/>
        <v>169995</v>
      </c>
      <c r="K6" s="347">
        <v>50</v>
      </c>
      <c r="L6" s="379">
        <v>3399.9</v>
      </c>
      <c r="M6" s="394">
        <f t="shared" si="1"/>
        <v>399.9</v>
      </c>
      <c r="N6" s="394">
        <f t="shared" si="2"/>
        <v>3000</v>
      </c>
      <c r="O6" s="394">
        <f t="shared" si="3"/>
        <v>7198.2</v>
      </c>
      <c r="P6" s="394">
        <f t="shared" si="4"/>
        <v>12796.8</v>
      </c>
      <c r="Q6" s="352">
        <v>18</v>
      </c>
      <c r="R6" s="354">
        <f t="shared" si="5"/>
        <v>32</v>
      </c>
      <c r="S6" s="350">
        <f t="shared" si="6"/>
        <v>61198.200000000004</v>
      </c>
      <c r="T6" s="350">
        <f t="shared" si="7"/>
        <v>108796.79999999999</v>
      </c>
      <c r="U6" s="400"/>
    </row>
    <row r="7" spans="1:21">
      <c r="A7" s="378"/>
      <c r="B7" s="378"/>
      <c r="C7" s="378"/>
      <c r="D7" s="393" t="s">
        <v>1412</v>
      </c>
      <c r="E7" s="367">
        <v>3</v>
      </c>
      <c r="F7" s="393" t="s">
        <v>1437</v>
      </c>
      <c r="G7" s="393" t="s">
        <v>468</v>
      </c>
      <c r="H7" s="351">
        <v>500000</v>
      </c>
      <c r="I7" s="351">
        <v>66650</v>
      </c>
      <c r="J7" s="349">
        <f t="shared" si="0"/>
        <v>566650</v>
      </c>
      <c r="K7" s="348">
        <v>50</v>
      </c>
      <c r="L7" s="380">
        <v>11333</v>
      </c>
      <c r="M7" s="394">
        <f t="shared" si="1"/>
        <v>1333</v>
      </c>
      <c r="N7" s="394">
        <f t="shared" si="2"/>
        <v>10000</v>
      </c>
      <c r="O7" s="394">
        <f t="shared" si="3"/>
        <v>11997</v>
      </c>
      <c r="P7" s="394">
        <f t="shared" si="4"/>
        <v>54653</v>
      </c>
      <c r="Q7" s="348">
        <v>9</v>
      </c>
      <c r="R7" s="354">
        <f t="shared" si="5"/>
        <v>41</v>
      </c>
      <c r="S7" s="350">
        <f t="shared" si="6"/>
        <v>101997</v>
      </c>
      <c r="T7" s="350">
        <f t="shared" si="7"/>
        <v>464653</v>
      </c>
      <c r="U7" s="393"/>
    </row>
    <row r="8" spans="1:21">
      <c r="A8" s="378"/>
      <c r="B8" s="378"/>
      <c r="C8" s="378"/>
      <c r="D8" s="393" t="s">
        <v>1489</v>
      </c>
      <c r="E8" s="367">
        <v>4</v>
      </c>
      <c r="F8" s="393" t="s">
        <v>1437</v>
      </c>
      <c r="G8" s="393" t="s">
        <v>1490</v>
      </c>
      <c r="H8" s="351">
        <v>330000</v>
      </c>
      <c r="I8" s="351">
        <v>43989</v>
      </c>
      <c r="J8" s="349">
        <f t="shared" si="0"/>
        <v>373989</v>
      </c>
      <c r="K8" s="348">
        <v>50</v>
      </c>
      <c r="L8" s="351">
        <v>7479.78</v>
      </c>
      <c r="M8" s="394">
        <f t="shared" si="1"/>
        <v>879.78</v>
      </c>
      <c r="N8" s="394">
        <f t="shared" si="2"/>
        <v>6600</v>
      </c>
      <c r="O8" s="394">
        <f t="shared" si="3"/>
        <v>1759.56</v>
      </c>
      <c r="P8" s="394">
        <f t="shared" si="4"/>
        <v>42229.440000000002</v>
      </c>
      <c r="Q8" s="348">
        <v>2</v>
      </c>
      <c r="R8" s="354">
        <f t="shared" si="5"/>
        <v>48</v>
      </c>
      <c r="S8" s="350">
        <f t="shared" si="6"/>
        <v>14959.56</v>
      </c>
      <c r="T8" s="350">
        <f t="shared" si="7"/>
        <v>359029.44</v>
      </c>
      <c r="U8" s="393"/>
    </row>
    <row r="9" spans="1:21" ht="21">
      <c r="A9" s="378"/>
      <c r="B9" s="378"/>
      <c r="C9" s="378"/>
      <c r="D9" s="393" t="s">
        <v>1460</v>
      </c>
      <c r="E9" s="367">
        <v>5</v>
      </c>
      <c r="F9" s="393" t="s">
        <v>1437</v>
      </c>
      <c r="G9" s="393" t="s">
        <v>1461</v>
      </c>
      <c r="H9" s="351">
        <v>500000</v>
      </c>
      <c r="I9" s="351">
        <v>66650</v>
      </c>
      <c r="J9" s="349">
        <f t="shared" si="0"/>
        <v>566650</v>
      </c>
      <c r="K9" s="348">
        <v>50</v>
      </c>
      <c r="L9" s="380">
        <v>11333</v>
      </c>
      <c r="M9" s="394">
        <f t="shared" si="1"/>
        <v>1333</v>
      </c>
      <c r="N9" s="394">
        <f t="shared" si="2"/>
        <v>10000</v>
      </c>
      <c r="O9" s="394">
        <f t="shared" si="3"/>
        <v>5332</v>
      </c>
      <c r="P9" s="394">
        <f t="shared" si="4"/>
        <v>61318</v>
      </c>
      <c r="Q9" s="348">
        <v>4</v>
      </c>
      <c r="R9" s="354">
        <f t="shared" si="5"/>
        <v>46</v>
      </c>
      <c r="S9" s="350">
        <f t="shared" si="6"/>
        <v>45332</v>
      </c>
      <c r="T9" s="350">
        <f t="shared" si="7"/>
        <v>521318</v>
      </c>
      <c r="U9" s="401" t="s">
        <v>1458</v>
      </c>
    </row>
    <row r="10" spans="1:21">
      <c r="A10" s="378"/>
      <c r="B10" s="378"/>
      <c r="C10" s="378"/>
      <c r="D10" s="364" t="s">
        <v>1047</v>
      </c>
      <c r="E10" s="367">
        <v>6</v>
      </c>
      <c r="F10" s="393" t="s">
        <v>1437</v>
      </c>
      <c r="G10" s="399" t="s">
        <v>873</v>
      </c>
      <c r="H10" s="350">
        <v>450000</v>
      </c>
      <c r="I10" s="350">
        <v>59985</v>
      </c>
      <c r="J10" s="349">
        <f t="shared" si="0"/>
        <v>509985</v>
      </c>
      <c r="K10" s="347">
        <v>50</v>
      </c>
      <c r="L10" s="379">
        <v>10199.700000000001</v>
      </c>
      <c r="M10" s="394">
        <f t="shared" si="1"/>
        <v>1199.7</v>
      </c>
      <c r="N10" s="394">
        <f t="shared" si="2"/>
        <v>9000</v>
      </c>
      <c r="O10" s="394">
        <f t="shared" si="3"/>
        <v>37190.700000000004</v>
      </c>
      <c r="P10" s="394">
        <f t="shared" si="4"/>
        <v>22794.3</v>
      </c>
      <c r="Q10" s="352">
        <v>31</v>
      </c>
      <c r="R10" s="354">
        <f t="shared" si="5"/>
        <v>19</v>
      </c>
      <c r="S10" s="350">
        <f t="shared" si="6"/>
        <v>316190.7</v>
      </c>
      <c r="T10" s="350">
        <f t="shared" si="7"/>
        <v>193794.3</v>
      </c>
      <c r="U10" s="400"/>
    </row>
    <row r="11" spans="1:21">
      <c r="A11" s="378"/>
      <c r="B11" s="378"/>
      <c r="C11" s="378"/>
      <c r="D11" s="393" t="s">
        <v>1418</v>
      </c>
      <c r="E11" s="367">
        <v>7</v>
      </c>
      <c r="F11" s="393" t="s">
        <v>1437</v>
      </c>
      <c r="G11" s="393" t="s">
        <v>455</v>
      </c>
      <c r="H11" s="351">
        <v>150000</v>
      </c>
      <c r="I11" s="351">
        <v>19995</v>
      </c>
      <c r="J11" s="349">
        <f t="shared" si="0"/>
        <v>169995</v>
      </c>
      <c r="K11" s="348">
        <v>50</v>
      </c>
      <c r="L11" s="380">
        <v>3399.9</v>
      </c>
      <c r="M11" s="394">
        <f t="shared" si="1"/>
        <v>399.9</v>
      </c>
      <c r="N11" s="394">
        <f t="shared" si="2"/>
        <v>3000</v>
      </c>
      <c r="O11" s="394">
        <f t="shared" si="3"/>
        <v>3599.1</v>
      </c>
      <c r="P11" s="394">
        <f t="shared" si="4"/>
        <v>16395.899999999998</v>
      </c>
      <c r="Q11" s="348">
        <v>9</v>
      </c>
      <c r="R11" s="354">
        <f t="shared" si="5"/>
        <v>41</v>
      </c>
      <c r="S11" s="350">
        <f t="shared" si="6"/>
        <v>30599.100000000002</v>
      </c>
      <c r="T11" s="350">
        <f t="shared" si="7"/>
        <v>139395.9</v>
      </c>
      <c r="U11" s="393"/>
    </row>
    <row r="12" spans="1:21">
      <c r="A12" s="378"/>
      <c r="B12" s="378"/>
      <c r="C12" s="378"/>
      <c r="D12" s="363" t="s">
        <v>1034</v>
      </c>
      <c r="E12" s="367">
        <v>8</v>
      </c>
      <c r="F12" s="393" t="s">
        <v>1437</v>
      </c>
      <c r="G12" s="400" t="s">
        <v>1035</v>
      </c>
      <c r="H12" s="350">
        <v>500000</v>
      </c>
      <c r="I12" s="350">
        <v>66650</v>
      </c>
      <c r="J12" s="349">
        <f t="shared" si="0"/>
        <v>566650</v>
      </c>
      <c r="K12" s="347">
        <v>50</v>
      </c>
      <c r="L12" s="379">
        <v>11333</v>
      </c>
      <c r="M12" s="394">
        <f t="shared" si="1"/>
        <v>1333</v>
      </c>
      <c r="N12" s="394">
        <f t="shared" si="2"/>
        <v>10000</v>
      </c>
      <c r="O12" s="394">
        <f t="shared" si="3"/>
        <v>41323</v>
      </c>
      <c r="P12" s="394">
        <f t="shared" si="4"/>
        <v>25327</v>
      </c>
      <c r="Q12" s="347">
        <v>31</v>
      </c>
      <c r="R12" s="354">
        <f t="shared" si="5"/>
        <v>19</v>
      </c>
      <c r="S12" s="350">
        <f t="shared" si="6"/>
        <v>351323</v>
      </c>
      <c r="T12" s="350">
        <f t="shared" si="7"/>
        <v>215327</v>
      </c>
      <c r="U12" s="400"/>
    </row>
    <row r="13" spans="1:21">
      <c r="A13" s="378"/>
      <c r="B13" s="378"/>
      <c r="C13" s="378"/>
      <c r="D13" s="393" t="s">
        <v>1462</v>
      </c>
      <c r="E13" s="367">
        <v>9</v>
      </c>
      <c r="F13" s="393" t="s">
        <v>1437</v>
      </c>
      <c r="G13" s="393" t="s">
        <v>458</v>
      </c>
      <c r="H13" s="351">
        <v>500000</v>
      </c>
      <c r="I13" s="351">
        <v>66650</v>
      </c>
      <c r="J13" s="349">
        <f t="shared" si="0"/>
        <v>566650</v>
      </c>
      <c r="K13" s="348">
        <v>50</v>
      </c>
      <c r="L13" s="380">
        <v>11333</v>
      </c>
      <c r="M13" s="394">
        <f t="shared" si="1"/>
        <v>1333</v>
      </c>
      <c r="N13" s="394">
        <f t="shared" si="2"/>
        <v>10000</v>
      </c>
      <c r="O13" s="394">
        <f t="shared" si="3"/>
        <v>5332</v>
      </c>
      <c r="P13" s="394">
        <f t="shared" si="4"/>
        <v>61318</v>
      </c>
      <c r="Q13" s="348">
        <v>4</v>
      </c>
      <c r="R13" s="354">
        <f t="shared" si="5"/>
        <v>46</v>
      </c>
      <c r="S13" s="350">
        <f t="shared" si="6"/>
        <v>45332</v>
      </c>
      <c r="T13" s="350">
        <f t="shared" si="7"/>
        <v>521318</v>
      </c>
      <c r="U13" s="393"/>
    </row>
    <row r="14" spans="1:21">
      <c r="A14" s="378"/>
      <c r="B14" s="378"/>
      <c r="C14" s="378"/>
      <c r="D14" s="393" t="s">
        <v>1101</v>
      </c>
      <c r="E14" s="367">
        <v>10</v>
      </c>
      <c r="F14" s="393" t="s">
        <v>1437</v>
      </c>
      <c r="G14" s="393" t="s">
        <v>290</v>
      </c>
      <c r="H14" s="351">
        <v>330000</v>
      </c>
      <c r="I14" s="351">
        <v>43989</v>
      </c>
      <c r="J14" s="349">
        <f t="shared" si="0"/>
        <v>373989</v>
      </c>
      <c r="K14" s="348">
        <v>50</v>
      </c>
      <c r="L14" s="380">
        <v>7479.78</v>
      </c>
      <c r="M14" s="394">
        <f t="shared" si="1"/>
        <v>879.78</v>
      </c>
      <c r="N14" s="394">
        <f t="shared" si="2"/>
        <v>6600</v>
      </c>
      <c r="O14" s="394">
        <f t="shared" si="3"/>
        <v>3519.12</v>
      </c>
      <c r="P14" s="394">
        <f t="shared" si="4"/>
        <v>40469.879999999997</v>
      </c>
      <c r="Q14" s="348">
        <v>4</v>
      </c>
      <c r="R14" s="354">
        <f t="shared" si="5"/>
        <v>46</v>
      </c>
      <c r="S14" s="350">
        <f t="shared" si="6"/>
        <v>29919.119999999999</v>
      </c>
      <c r="T14" s="350">
        <f t="shared" si="7"/>
        <v>344069.88</v>
      </c>
      <c r="U14" s="393"/>
    </row>
    <row r="15" spans="1:21">
      <c r="A15" s="378"/>
      <c r="B15" s="378"/>
      <c r="C15" s="378"/>
      <c r="D15" s="364" t="s">
        <v>1382</v>
      </c>
      <c r="E15" s="367">
        <v>11</v>
      </c>
      <c r="F15" s="393" t="s">
        <v>1437</v>
      </c>
      <c r="G15" s="400" t="s">
        <v>1130</v>
      </c>
      <c r="H15" s="350">
        <v>330000</v>
      </c>
      <c r="I15" s="350">
        <v>43989</v>
      </c>
      <c r="J15" s="349">
        <f t="shared" si="0"/>
        <v>373989</v>
      </c>
      <c r="K15" s="347">
        <v>50</v>
      </c>
      <c r="L15" s="379">
        <v>7479.78</v>
      </c>
      <c r="M15" s="394">
        <f t="shared" si="1"/>
        <v>879.78</v>
      </c>
      <c r="N15" s="394">
        <f t="shared" si="2"/>
        <v>6600</v>
      </c>
      <c r="O15" s="394">
        <f t="shared" si="3"/>
        <v>20234.939999999999</v>
      </c>
      <c r="P15" s="394">
        <f t="shared" si="4"/>
        <v>23754.059999999998</v>
      </c>
      <c r="Q15" s="353">
        <v>23</v>
      </c>
      <c r="R15" s="354">
        <f t="shared" si="5"/>
        <v>27</v>
      </c>
      <c r="S15" s="350">
        <f t="shared" si="6"/>
        <v>172034.94</v>
      </c>
      <c r="T15" s="350">
        <f t="shared" si="7"/>
        <v>201954.06</v>
      </c>
      <c r="U15" s="400"/>
    </row>
    <row r="16" spans="1:21">
      <c r="A16" s="378"/>
      <c r="B16" s="378"/>
      <c r="C16" s="378"/>
      <c r="D16" s="364" t="s">
        <v>1350</v>
      </c>
      <c r="E16" s="367">
        <v>12</v>
      </c>
      <c r="F16" s="393" t="s">
        <v>1437</v>
      </c>
      <c r="G16" s="399" t="s">
        <v>1117</v>
      </c>
      <c r="H16" s="350">
        <v>500000</v>
      </c>
      <c r="I16" s="350">
        <v>66650</v>
      </c>
      <c r="J16" s="349">
        <f t="shared" si="0"/>
        <v>566650</v>
      </c>
      <c r="K16" s="347">
        <v>50</v>
      </c>
      <c r="L16" s="379">
        <v>11333</v>
      </c>
      <c r="M16" s="394">
        <f t="shared" si="1"/>
        <v>1333</v>
      </c>
      <c r="N16" s="394">
        <f t="shared" si="2"/>
        <v>10000</v>
      </c>
      <c r="O16" s="394">
        <f t="shared" si="3"/>
        <v>30659</v>
      </c>
      <c r="P16" s="394">
        <f t="shared" si="4"/>
        <v>35991</v>
      </c>
      <c r="Q16" s="352">
        <v>23</v>
      </c>
      <c r="R16" s="354">
        <f t="shared" si="5"/>
        <v>27</v>
      </c>
      <c r="S16" s="350">
        <f t="shared" si="6"/>
        <v>260659</v>
      </c>
      <c r="T16" s="350">
        <f t="shared" si="7"/>
        <v>305991</v>
      </c>
      <c r="U16" s="400"/>
    </row>
    <row r="17" spans="1:21">
      <c r="A17" s="378"/>
      <c r="B17" s="378"/>
      <c r="C17" s="378"/>
      <c r="D17" s="116" t="s">
        <v>1338</v>
      </c>
      <c r="E17" s="367">
        <v>13</v>
      </c>
      <c r="F17" s="393" t="s">
        <v>1437</v>
      </c>
      <c r="G17" s="400" t="s">
        <v>438</v>
      </c>
      <c r="H17" s="350">
        <v>500000</v>
      </c>
      <c r="I17" s="350">
        <v>66650</v>
      </c>
      <c r="J17" s="349">
        <f t="shared" si="0"/>
        <v>566650</v>
      </c>
      <c r="K17" s="347">
        <v>50</v>
      </c>
      <c r="L17" s="379">
        <v>11333</v>
      </c>
      <c r="M17" s="394">
        <f t="shared" si="1"/>
        <v>1333</v>
      </c>
      <c r="N17" s="394">
        <f t="shared" si="2"/>
        <v>10000</v>
      </c>
      <c r="O17" s="394">
        <f t="shared" si="3"/>
        <v>14663</v>
      </c>
      <c r="P17" s="394">
        <f t="shared" si="4"/>
        <v>51987</v>
      </c>
      <c r="Q17" s="352">
        <v>11</v>
      </c>
      <c r="R17" s="354">
        <f t="shared" si="5"/>
        <v>39</v>
      </c>
      <c r="S17" s="350">
        <f t="shared" si="6"/>
        <v>124663</v>
      </c>
      <c r="T17" s="350">
        <f t="shared" si="7"/>
        <v>441987</v>
      </c>
      <c r="U17" s="400"/>
    </row>
    <row r="18" spans="1:21">
      <c r="A18" s="378"/>
      <c r="B18" s="378"/>
      <c r="C18" s="378"/>
      <c r="D18" s="393" t="s">
        <v>1413</v>
      </c>
      <c r="E18" s="367">
        <v>14</v>
      </c>
      <c r="F18" s="393" t="s">
        <v>1437</v>
      </c>
      <c r="G18" s="393" t="s">
        <v>454</v>
      </c>
      <c r="H18" s="351">
        <v>500000</v>
      </c>
      <c r="I18" s="351">
        <v>66650</v>
      </c>
      <c r="J18" s="349">
        <f t="shared" si="0"/>
        <v>566650</v>
      </c>
      <c r="K18" s="348">
        <v>50</v>
      </c>
      <c r="L18" s="380">
        <v>11333</v>
      </c>
      <c r="M18" s="394">
        <f t="shared" si="1"/>
        <v>1333</v>
      </c>
      <c r="N18" s="394">
        <f t="shared" si="2"/>
        <v>10000</v>
      </c>
      <c r="O18" s="394">
        <f t="shared" si="3"/>
        <v>11997</v>
      </c>
      <c r="P18" s="394">
        <f t="shared" si="4"/>
        <v>54653</v>
      </c>
      <c r="Q18" s="348">
        <v>9</v>
      </c>
      <c r="R18" s="354">
        <f t="shared" si="5"/>
        <v>41</v>
      </c>
      <c r="S18" s="350">
        <f t="shared" si="6"/>
        <v>101997</v>
      </c>
      <c r="T18" s="350">
        <f t="shared" si="7"/>
        <v>464653</v>
      </c>
      <c r="U18" s="393"/>
    </row>
    <row r="19" spans="1:21">
      <c r="A19" s="378"/>
      <c r="B19" s="378"/>
      <c r="C19" s="378"/>
      <c r="D19" s="116" t="s">
        <v>1343</v>
      </c>
      <c r="E19" s="367">
        <v>15</v>
      </c>
      <c r="F19" s="393" t="s">
        <v>1437</v>
      </c>
      <c r="G19" s="400" t="s">
        <v>451</v>
      </c>
      <c r="H19" s="350">
        <v>500000</v>
      </c>
      <c r="I19" s="350">
        <v>66650</v>
      </c>
      <c r="J19" s="349">
        <f t="shared" si="0"/>
        <v>566650</v>
      </c>
      <c r="K19" s="347">
        <v>50</v>
      </c>
      <c r="L19" s="379">
        <v>11333</v>
      </c>
      <c r="M19" s="394">
        <f t="shared" si="1"/>
        <v>1333</v>
      </c>
      <c r="N19" s="394">
        <f t="shared" si="2"/>
        <v>10000</v>
      </c>
      <c r="O19" s="394">
        <f t="shared" si="3"/>
        <v>29326</v>
      </c>
      <c r="P19" s="394">
        <f t="shared" si="4"/>
        <v>37324</v>
      </c>
      <c r="Q19" s="353">
        <v>22</v>
      </c>
      <c r="R19" s="354">
        <f t="shared" si="5"/>
        <v>28</v>
      </c>
      <c r="S19" s="350">
        <f t="shared" si="6"/>
        <v>249326</v>
      </c>
      <c r="T19" s="350">
        <f t="shared" si="7"/>
        <v>317324</v>
      </c>
      <c r="U19" s="400"/>
    </row>
    <row r="20" spans="1:21">
      <c r="A20" s="378"/>
      <c r="B20" s="378"/>
      <c r="C20" s="378"/>
      <c r="D20" s="393" t="s">
        <v>1463</v>
      </c>
      <c r="E20" s="367">
        <v>16</v>
      </c>
      <c r="F20" s="393" t="s">
        <v>1437</v>
      </c>
      <c r="G20" s="393" t="s">
        <v>472</v>
      </c>
      <c r="H20" s="351">
        <v>500000</v>
      </c>
      <c r="I20" s="351">
        <v>66650</v>
      </c>
      <c r="J20" s="349">
        <f t="shared" si="0"/>
        <v>566650</v>
      </c>
      <c r="K20" s="348">
        <v>50</v>
      </c>
      <c r="L20" s="380">
        <v>11333</v>
      </c>
      <c r="M20" s="394">
        <f t="shared" si="1"/>
        <v>1333</v>
      </c>
      <c r="N20" s="394">
        <f t="shared" si="2"/>
        <v>10000</v>
      </c>
      <c r="O20" s="394">
        <f t="shared" si="3"/>
        <v>5332</v>
      </c>
      <c r="P20" s="394">
        <f t="shared" si="4"/>
        <v>61318</v>
      </c>
      <c r="Q20" s="348">
        <v>4</v>
      </c>
      <c r="R20" s="354">
        <f t="shared" si="5"/>
        <v>46</v>
      </c>
      <c r="S20" s="350">
        <f t="shared" si="6"/>
        <v>45332</v>
      </c>
      <c r="T20" s="350">
        <f t="shared" si="7"/>
        <v>521318</v>
      </c>
      <c r="U20" s="393"/>
    </row>
    <row r="21" spans="1:21">
      <c r="A21" s="378"/>
      <c r="B21" s="378"/>
      <c r="C21" s="378"/>
      <c r="D21" s="363" t="s">
        <v>1107</v>
      </c>
      <c r="E21" s="367">
        <v>17</v>
      </c>
      <c r="F21" s="393" t="s">
        <v>1437</v>
      </c>
      <c r="G21" s="400" t="s">
        <v>734</v>
      </c>
      <c r="H21" s="350">
        <v>500000</v>
      </c>
      <c r="I21" s="350">
        <v>66650</v>
      </c>
      <c r="J21" s="349">
        <f t="shared" si="0"/>
        <v>566650</v>
      </c>
      <c r="K21" s="347">
        <v>50</v>
      </c>
      <c r="L21" s="379">
        <v>11333</v>
      </c>
      <c r="M21" s="394">
        <f t="shared" si="1"/>
        <v>1333</v>
      </c>
      <c r="N21" s="394">
        <f t="shared" si="2"/>
        <v>10000</v>
      </c>
      <c r="O21" s="394">
        <f t="shared" si="3"/>
        <v>14663</v>
      </c>
      <c r="P21" s="394">
        <f t="shared" si="4"/>
        <v>51987</v>
      </c>
      <c r="Q21" s="353">
        <v>11</v>
      </c>
      <c r="R21" s="354">
        <f t="shared" si="5"/>
        <v>39</v>
      </c>
      <c r="S21" s="350">
        <f t="shared" si="6"/>
        <v>124663</v>
      </c>
      <c r="T21" s="350">
        <f t="shared" si="7"/>
        <v>441987</v>
      </c>
      <c r="U21" s="400"/>
    </row>
    <row r="22" spans="1:21">
      <c r="A22" s="378"/>
      <c r="B22" s="378"/>
      <c r="C22" s="378"/>
      <c r="D22" s="363" t="s">
        <v>1344</v>
      </c>
      <c r="E22" s="367">
        <v>18</v>
      </c>
      <c r="F22" s="393" t="s">
        <v>1437</v>
      </c>
      <c r="G22" s="400" t="s">
        <v>1345</v>
      </c>
      <c r="H22" s="350">
        <v>500000</v>
      </c>
      <c r="I22" s="350">
        <v>66650</v>
      </c>
      <c r="J22" s="349">
        <f t="shared" si="0"/>
        <v>566650</v>
      </c>
      <c r="K22" s="347">
        <v>50</v>
      </c>
      <c r="L22" s="379">
        <v>11333</v>
      </c>
      <c r="M22" s="394">
        <f t="shared" si="1"/>
        <v>1333</v>
      </c>
      <c r="N22" s="394">
        <f t="shared" si="2"/>
        <v>10000</v>
      </c>
      <c r="O22" s="394">
        <f t="shared" si="3"/>
        <v>18662</v>
      </c>
      <c r="P22" s="394">
        <f t="shared" si="4"/>
        <v>47988</v>
      </c>
      <c r="Q22" s="352">
        <v>14</v>
      </c>
      <c r="R22" s="354">
        <f t="shared" si="5"/>
        <v>36</v>
      </c>
      <c r="S22" s="350">
        <f t="shared" si="6"/>
        <v>158662</v>
      </c>
      <c r="T22" s="350">
        <f t="shared" si="7"/>
        <v>407988</v>
      </c>
      <c r="U22" s="400"/>
    </row>
    <row r="23" spans="1:21">
      <c r="A23" s="378"/>
      <c r="B23" s="378"/>
      <c r="C23" s="378"/>
      <c r="D23" s="364" t="s">
        <v>989</v>
      </c>
      <c r="E23" s="367">
        <v>19</v>
      </c>
      <c r="F23" s="393" t="s">
        <v>1437</v>
      </c>
      <c r="G23" s="399" t="s">
        <v>864</v>
      </c>
      <c r="H23" s="350">
        <v>500000</v>
      </c>
      <c r="I23" s="350">
        <v>66650</v>
      </c>
      <c r="J23" s="349">
        <f t="shared" si="0"/>
        <v>566650</v>
      </c>
      <c r="K23" s="347">
        <v>50</v>
      </c>
      <c r="L23" s="379">
        <v>11333</v>
      </c>
      <c r="M23" s="394">
        <f t="shared" si="1"/>
        <v>1333</v>
      </c>
      <c r="N23" s="394">
        <f t="shared" si="2"/>
        <v>10000</v>
      </c>
      <c r="O23" s="394">
        <f t="shared" si="3"/>
        <v>41323</v>
      </c>
      <c r="P23" s="394">
        <f t="shared" si="4"/>
        <v>25327</v>
      </c>
      <c r="Q23" s="352">
        <v>31</v>
      </c>
      <c r="R23" s="354">
        <f t="shared" si="5"/>
        <v>19</v>
      </c>
      <c r="S23" s="350">
        <f t="shared" si="6"/>
        <v>351323</v>
      </c>
      <c r="T23" s="350">
        <f t="shared" si="7"/>
        <v>215327</v>
      </c>
      <c r="U23" s="400"/>
    </row>
    <row r="24" spans="1:21">
      <c r="A24" s="378"/>
      <c r="B24" s="378"/>
      <c r="C24" s="378"/>
      <c r="D24" s="393" t="s">
        <v>991</v>
      </c>
      <c r="E24" s="367">
        <v>20</v>
      </c>
      <c r="F24" s="393" t="s">
        <v>1437</v>
      </c>
      <c r="G24" s="393" t="s">
        <v>992</v>
      </c>
      <c r="H24" s="351">
        <v>330000</v>
      </c>
      <c r="I24" s="351">
        <v>26393.4</v>
      </c>
      <c r="J24" s="349">
        <f t="shared" si="0"/>
        <v>356393.4</v>
      </c>
      <c r="K24" s="348">
        <v>30</v>
      </c>
      <c r="L24" s="380">
        <v>11879.78</v>
      </c>
      <c r="M24" s="394">
        <f>I24/30</f>
        <v>879.78000000000009</v>
      </c>
      <c r="N24" s="394">
        <f t="shared" si="2"/>
        <v>6600</v>
      </c>
      <c r="O24" s="394">
        <f t="shared" si="3"/>
        <v>3519.1200000000003</v>
      </c>
      <c r="P24" s="394">
        <f t="shared" si="4"/>
        <v>22874.280000000002</v>
      </c>
      <c r="Q24" s="348">
        <v>4</v>
      </c>
      <c r="R24" s="354">
        <f t="shared" si="5"/>
        <v>26</v>
      </c>
      <c r="S24" s="350">
        <f t="shared" si="6"/>
        <v>47519.12</v>
      </c>
      <c r="T24" s="350">
        <f t="shared" si="7"/>
        <v>308874.28000000003</v>
      </c>
      <c r="U24" s="393"/>
    </row>
    <row r="25" spans="1:21">
      <c r="A25" s="378"/>
      <c r="B25" s="378"/>
      <c r="C25" s="378"/>
      <c r="D25" s="393" t="s">
        <v>1038</v>
      </c>
      <c r="E25" s="367">
        <v>21</v>
      </c>
      <c r="F25" s="393" t="s">
        <v>1437</v>
      </c>
      <c r="G25" s="393" t="s">
        <v>375</v>
      </c>
      <c r="H25" s="351">
        <v>450000</v>
      </c>
      <c r="I25" s="351">
        <v>59985</v>
      </c>
      <c r="J25" s="349">
        <f t="shared" si="0"/>
        <v>509985</v>
      </c>
      <c r="K25" s="348">
        <v>50</v>
      </c>
      <c r="L25" s="380">
        <v>10199.700000000001</v>
      </c>
      <c r="M25" s="394">
        <f t="shared" ref="M25:M40" si="8">I25/50</f>
        <v>1199.7</v>
      </c>
      <c r="N25" s="394">
        <f t="shared" si="2"/>
        <v>9000</v>
      </c>
      <c r="O25" s="394">
        <f t="shared" si="3"/>
        <v>8397.9</v>
      </c>
      <c r="P25" s="394">
        <f t="shared" si="4"/>
        <v>51587.1</v>
      </c>
      <c r="Q25" s="348">
        <v>7</v>
      </c>
      <c r="R25" s="354">
        <f t="shared" si="5"/>
        <v>43</v>
      </c>
      <c r="S25" s="350">
        <f t="shared" si="6"/>
        <v>71397.900000000009</v>
      </c>
      <c r="T25" s="350">
        <f t="shared" si="7"/>
        <v>438587.1</v>
      </c>
      <c r="U25" s="393"/>
    </row>
    <row r="26" spans="1:21">
      <c r="A26" s="378"/>
      <c r="B26" s="378"/>
      <c r="C26" s="378"/>
      <c r="D26" s="363" t="s">
        <v>1352</v>
      </c>
      <c r="E26" s="367">
        <v>22</v>
      </c>
      <c r="F26" s="393" t="s">
        <v>1437</v>
      </c>
      <c r="G26" s="400" t="s">
        <v>1353</v>
      </c>
      <c r="H26" s="350">
        <v>500000</v>
      </c>
      <c r="I26" s="350">
        <v>66650</v>
      </c>
      <c r="J26" s="349">
        <f t="shared" si="0"/>
        <v>566650</v>
      </c>
      <c r="K26" s="347">
        <v>50</v>
      </c>
      <c r="L26" s="379">
        <v>11333</v>
      </c>
      <c r="M26" s="394">
        <f t="shared" si="8"/>
        <v>1333</v>
      </c>
      <c r="N26" s="394">
        <f t="shared" si="2"/>
        <v>10000</v>
      </c>
      <c r="O26" s="394">
        <f t="shared" si="3"/>
        <v>14663</v>
      </c>
      <c r="P26" s="394">
        <f t="shared" si="4"/>
        <v>51987</v>
      </c>
      <c r="Q26" s="347">
        <v>11</v>
      </c>
      <c r="R26" s="354">
        <f t="shared" si="5"/>
        <v>39</v>
      </c>
      <c r="S26" s="350">
        <f t="shared" si="6"/>
        <v>124663</v>
      </c>
      <c r="T26" s="350">
        <f t="shared" si="7"/>
        <v>441987</v>
      </c>
      <c r="U26" s="400"/>
    </row>
    <row r="27" spans="1:21">
      <c r="A27" s="378"/>
      <c r="B27" s="378"/>
      <c r="C27" s="378"/>
      <c r="D27" s="364" t="s">
        <v>1141</v>
      </c>
      <c r="E27" s="367">
        <v>23</v>
      </c>
      <c r="F27" s="393" t="s">
        <v>1437</v>
      </c>
      <c r="G27" s="399" t="s">
        <v>1142</v>
      </c>
      <c r="H27" s="350">
        <v>330000</v>
      </c>
      <c r="I27" s="350">
        <v>43989</v>
      </c>
      <c r="J27" s="349">
        <f t="shared" si="0"/>
        <v>373989</v>
      </c>
      <c r="K27" s="347">
        <v>50</v>
      </c>
      <c r="L27" s="379">
        <v>7479.78</v>
      </c>
      <c r="M27" s="394">
        <f t="shared" si="8"/>
        <v>879.78</v>
      </c>
      <c r="N27" s="394">
        <f t="shared" si="2"/>
        <v>6600</v>
      </c>
      <c r="O27" s="394">
        <f t="shared" si="3"/>
        <v>21114.720000000001</v>
      </c>
      <c r="P27" s="394">
        <f t="shared" si="4"/>
        <v>22874.28</v>
      </c>
      <c r="Q27" s="352">
        <v>24</v>
      </c>
      <c r="R27" s="354">
        <f t="shared" si="5"/>
        <v>26</v>
      </c>
      <c r="S27" s="350">
        <f t="shared" si="6"/>
        <v>179514.72</v>
      </c>
      <c r="T27" s="350">
        <f t="shared" si="7"/>
        <v>194474.28</v>
      </c>
      <c r="U27" s="400"/>
    </row>
    <row r="28" spans="1:21">
      <c r="A28" s="378"/>
      <c r="B28" s="378"/>
      <c r="C28" s="378"/>
      <c r="D28" s="364" t="s">
        <v>966</v>
      </c>
      <c r="E28" s="367">
        <v>24</v>
      </c>
      <c r="F28" s="393" t="s">
        <v>1437</v>
      </c>
      <c r="G28" s="393" t="s">
        <v>29</v>
      </c>
      <c r="H28" s="351">
        <v>450000</v>
      </c>
      <c r="I28" s="351">
        <v>59985</v>
      </c>
      <c r="J28" s="349">
        <f t="shared" si="0"/>
        <v>509985</v>
      </c>
      <c r="K28" s="348">
        <v>50</v>
      </c>
      <c r="L28" s="380">
        <v>10199.700000000001</v>
      </c>
      <c r="M28" s="394">
        <f t="shared" si="8"/>
        <v>1199.7</v>
      </c>
      <c r="N28" s="394">
        <f t="shared" si="2"/>
        <v>9000</v>
      </c>
      <c r="O28" s="394">
        <f t="shared" si="3"/>
        <v>57585.600000000006</v>
      </c>
      <c r="P28" s="394">
        <f t="shared" si="4"/>
        <v>2399.4</v>
      </c>
      <c r="Q28" s="348">
        <v>48</v>
      </c>
      <c r="R28" s="354">
        <f t="shared" si="5"/>
        <v>2</v>
      </c>
      <c r="S28" s="350">
        <f t="shared" si="6"/>
        <v>489585.60000000003</v>
      </c>
      <c r="T28" s="350">
        <f t="shared" si="7"/>
        <v>20399.399999999965</v>
      </c>
      <c r="U28" s="393"/>
    </row>
    <row r="29" spans="1:21">
      <c r="A29" s="378"/>
      <c r="B29" s="378"/>
      <c r="C29" s="378"/>
      <c r="D29" s="364" t="s">
        <v>993</v>
      </c>
      <c r="E29" s="367">
        <v>25</v>
      </c>
      <c r="F29" s="393" t="s">
        <v>1437</v>
      </c>
      <c r="G29" s="393" t="s">
        <v>994</v>
      </c>
      <c r="H29" s="351">
        <v>150000</v>
      </c>
      <c r="I29" s="351">
        <v>19995</v>
      </c>
      <c r="J29" s="349">
        <f t="shared" si="0"/>
        <v>169995</v>
      </c>
      <c r="K29" s="348">
        <v>50</v>
      </c>
      <c r="L29" s="380">
        <v>3399.9</v>
      </c>
      <c r="M29" s="394">
        <f t="shared" si="8"/>
        <v>399.9</v>
      </c>
      <c r="N29" s="394">
        <f t="shared" si="2"/>
        <v>3000</v>
      </c>
      <c r="O29" s="394">
        <f t="shared" si="3"/>
        <v>12396.9</v>
      </c>
      <c r="P29" s="394">
        <f t="shared" si="4"/>
        <v>7598.0999999999995</v>
      </c>
      <c r="Q29" s="348">
        <v>31</v>
      </c>
      <c r="R29" s="354">
        <f t="shared" si="5"/>
        <v>19</v>
      </c>
      <c r="S29" s="350">
        <f t="shared" si="6"/>
        <v>105396.90000000001</v>
      </c>
      <c r="T29" s="350">
        <f t="shared" si="7"/>
        <v>64598.099999999991</v>
      </c>
      <c r="U29" s="393"/>
    </row>
    <row r="30" spans="1:21">
      <c r="A30" s="378"/>
      <c r="B30" s="378"/>
      <c r="C30" s="378"/>
      <c r="D30" s="364" t="s">
        <v>1099</v>
      </c>
      <c r="E30" s="367">
        <v>26</v>
      </c>
      <c r="F30" s="393" t="s">
        <v>1437</v>
      </c>
      <c r="G30" s="393" t="s">
        <v>487</v>
      </c>
      <c r="H30" s="351">
        <v>500000</v>
      </c>
      <c r="I30" s="351">
        <v>66650</v>
      </c>
      <c r="J30" s="349">
        <f t="shared" si="0"/>
        <v>566650</v>
      </c>
      <c r="K30" s="348">
        <v>50</v>
      </c>
      <c r="L30" s="380">
        <v>11333</v>
      </c>
      <c r="M30" s="394">
        <f t="shared" si="8"/>
        <v>1333</v>
      </c>
      <c r="N30" s="394">
        <f t="shared" si="2"/>
        <v>10000</v>
      </c>
      <c r="O30" s="394">
        <f t="shared" si="3"/>
        <v>47988</v>
      </c>
      <c r="P30" s="394">
        <f t="shared" si="4"/>
        <v>18662</v>
      </c>
      <c r="Q30" s="348">
        <v>36</v>
      </c>
      <c r="R30" s="354">
        <f t="shared" si="5"/>
        <v>14</v>
      </c>
      <c r="S30" s="350">
        <f t="shared" si="6"/>
        <v>407988</v>
      </c>
      <c r="T30" s="350">
        <f t="shared" si="7"/>
        <v>158662</v>
      </c>
      <c r="U30" s="393"/>
    </row>
    <row r="31" spans="1:21">
      <c r="A31" s="378"/>
      <c r="B31" s="378"/>
      <c r="C31" s="378"/>
      <c r="D31" s="364" t="s">
        <v>1069</v>
      </c>
      <c r="E31" s="367">
        <v>27</v>
      </c>
      <c r="F31" s="393" t="s">
        <v>1437</v>
      </c>
      <c r="G31" s="393" t="s">
        <v>358</v>
      </c>
      <c r="H31" s="351">
        <v>500000</v>
      </c>
      <c r="I31" s="351">
        <v>66650</v>
      </c>
      <c r="J31" s="349">
        <f t="shared" si="0"/>
        <v>566650</v>
      </c>
      <c r="K31" s="348">
        <v>50</v>
      </c>
      <c r="L31" s="380">
        <v>11333</v>
      </c>
      <c r="M31" s="394">
        <f t="shared" si="8"/>
        <v>1333</v>
      </c>
      <c r="N31" s="394">
        <f t="shared" si="2"/>
        <v>10000</v>
      </c>
      <c r="O31" s="394">
        <f t="shared" si="3"/>
        <v>63984</v>
      </c>
      <c r="P31" s="394">
        <f t="shared" si="4"/>
        <v>2666</v>
      </c>
      <c r="Q31" s="348">
        <v>48</v>
      </c>
      <c r="R31" s="354">
        <f t="shared" si="5"/>
        <v>2</v>
      </c>
      <c r="S31" s="350">
        <f t="shared" si="6"/>
        <v>543984</v>
      </c>
      <c r="T31" s="350">
        <f t="shared" si="7"/>
        <v>22666</v>
      </c>
      <c r="U31" s="393"/>
    </row>
    <row r="32" spans="1:21">
      <c r="A32" s="378"/>
      <c r="B32" s="378"/>
      <c r="C32" s="378"/>
      <c r="D32" s="393" t="s">
        <v>1445</v>
      </c>
      <c r="E32" s="367">
        <v>28</v>
      </c>
      <c r="F32" s="393" t="s">
        <v>1437</v>
      </c>
      <c r="G32" s="393" t="s">
        <v>1446</v>
      </c>
      <c r="H32" s="351">
        <v>500000</v>
      </c>
      <c r="I32" s="351">
        <v>66650</v>
      </c>
      <c r="J32" s="349">
        <f t="shared" si="0"/>
        <v>566650</v>
      </c>
      <c r="K32" s="348">
        <v>50</v>
      </c>
      <c r="L32" s="380">
        <v>11333</v>
      </c>
      <c r="M32" s="394">
        <f t="shared" si="8"/>
        <v>1333</v>
      </c>
      <c r="N32" s="394">
        <f t="shared" si="2"/>
        <v>10000</v>
      </c>
      <c r="O32" s="394">
        <f t="shared" si="3"/>
        <v>9331</v>
      </c>
      <c r="P32" s="394">
        <f t="shared" si="4"/>
        <v>57319</v>
      </c>
      <c r="Q32" s="348">
        <v>7</v>
      </c>
      <c r="R32" s="354">
        <f t="shared" si="5"/>
        <v>43</v>
      </c>
      <c r="S32" s="350">
        <f t="shared" si="6"/>
        <v>79331</v>
      </c>
      <c r="T32" s="350">
        <f t="shared" si="7"/>
        <v>487319</v>
      </c>
      <c r="U32" s="393"/>
    </row>
    <row r="33" spans="1:21">
      <c r="A33" s="378"/>
      <c r="B33" s="378"/>
      <c r="C33" s="378"/>
      <c r="D33" s="364" t="s">
        <v>1106</v>
      </c>
      <c r="E33" s="367">
        <v>29</v>
      </c>
      <c r="F33" s="393" t="s">
        <v>1437</v>
      </c>
      <c r="G33" s="393" t="s">
        <v>314</v>
      </c>
      <c r="H33" s="351">
        <v>500000</v>
      </c>
      <c r="I33" s="351">
        <v>66650</v>
      </c>
      <c r="J33" s="349">
        <f t="shared" si="0"/>
        <v>566650</v>
      </c>
      <c r="K33" s="348">
        <v>50</v>
      </c>
      <c r="L33" s="380">
        <v>11333</v>
      </c>
      <c r="M33" s="394">
        <f t="shared" si="8"/>
        <v>1333</v>
      </c>
      <c r="N33" s="394">
        <f t="shared" si="2"/>
        <v>10000</v>
      </c>
      <c r="O33" s="394">
        <f t="shared" si="3"/>
        <v>63984</v>
      </c>
      <c r="P33" s="394">
        <f t="shared" si="4"/>
        <v>2666</v>
      </c>
      <c r="Q33" s="348">
        <v>48</v>
      </c>
      <c r="R33" s="354">
        <f t="shared" si="5"/>
        <v>2</v>
      </c>
      <c r="S33" s="350">
        <f t="shared" si="6"/>
        <v>543984</v>
      </c>
      <c r="T33" s="350">
        <f t="shared" si="7"/>
        <v>22666</v>
      </c>
      <c r="U33" s="393"/>
    </row>
    <row r="34" spans="1:21">
      <c r="A34" s="378"/>
      <c r="B34" s="378"/>
      <c r="C34" s="378"/>
      <c r="D34" s="364" t="s">
        <v>1046</v>
      </c>
      <c r="E34" s="367">
        <v>30</v>
      </c>
      <c r="F34" s="393" t="s">
        <v>1437</v>
      </c>
      <c r="G34" s="393" t="s">
        <v>349</v>
      </c>
      <c r="H34" s="351">
        <v>500000</v>
      </c>
      <c r="I34" s="351">
        <v>66650</v>
      </c>
      <c r="J34" s="349">
        <f t="shared" si="0"/>
        <v>566650</v>
      </c>
      <c r="K34" s="348">
        <v>50</v>
      </c>
      <c r="L34" s="380">
        <v>11333</v>
      </c>
      <c r="M34" s="394">
        <f t="shared" si="8"/>
        <v>1333</v>
      </c>
      <c r="N34" s="394">
        <f t="shared" si="2"/>
        <v>10000</v>
      </c>
      <c r="O34" s="394">
        <f t="shared" si="3"/>
        <v>53320</v>
      </c>
      <c r="P34" s="394">
        <f t="shared" si="4"/>
        <v>13330</v>
      </c>
      <c r="Q34" s="348">
        <v>40</v>
      </c>
      <c r="R34" s="354">
        <f t="shared" si="5"/>
        <v>10</v>
      </c>
      <c r="S34" s="350">
        <f t="shared" si="6"/>
        <v>453320</v>
      </c>
      <c r="T34" s="350">
        <f t="shared" si="7"/>
        <v>113330</v>
      </c>
      <c r="U34" s="393"/>
    </row>
    <row r="35" spans="1:21" ht="21">
      <c r="A35" s="378"/>
      <c r="B35" s="378"/>
      <c r="C35" s="378"/>
      <c r="D35" s="393" t="s">
        <v>1440</v>
      </c>
      <c r="E35" s="367">
        <v>31</v>
      </c>
      <c r="F35" s="393" t="s">
        <v>1437</v>
      </c>
      <c r="G35" s="393" t="s">
        <v>1441</v>
      </c>
      <c r="H35" s="351">
        <v>500000</v>
      </c>
      <c r="I35" s="351">
        <v>66650</v>
      </c>
      <c r="J35" s="349">
        <f t="shared" si="0"/>
        <v>566650</v>
      </c>
      <c r="K35" s="348">
        <v>50</v>
      </c>
      <c r="L35" s="380">
        <v>11333</v>
      </c>
      <c r="M35" s="394">
        <f t="shared" si="8"/>
        <v>1333</v>
      </c>
      <c r="N35" s="394">
        <f t="shared" si="2"/>
        <v>10000</v>
      </c>
      <c r="O35" s="394">
        <f t="shared" si="3"/>
        <v>63984</v>
      </c>
      <c r="P35" s="394">
        <f t="shared" si="4"/>
        <v>2666</v>
      </c>
      <c r="Q35" s="348">
        <v>48</v>
      </c>
      <c r="R35" s="354">
        <f t="shared" si="5"/>
        <v>2</v>
      </c>
      <c r="S35" s="350">
        <f t="shared" si="6"/>
        <v>543984</v>
      </c>
      <c r="T35" s="350">
        <f t="shared" si="7"/>
        <v>22666</v>
      </c>
      <c r="U35" s="401" t="s">
        <v>1444</v>
      </c>
    </row>
    <row r="36" spans="1:21">
      <c r="A36" s="378"/>
      <c r="B36" s="378"/>
      <c r="C36" s="378"/>
      <c r="D36" s="364" t="s">
        <v>1009</v>
      </c>
      <c r="E36" s="367">
        <v>32</v>
      </c>
      <c r="F36" s="393" t="s">
        <v>1437</v>
      </c>
      <c r="G36" s="393" t="s">
        <v>332</v>
      </c>
      <c r="H36" s="351">
        <v>500000</v>
      </c>
      <c r="I36" s="351">
        <v>66650</v>
      </c>
      <c r="J36" s="349">
        <f t="shared" si="0"/>
        <v>566650</v>
      </c>
      <c r="K36" s="348">
        <v>50</v>
      </c>
      <c r="L36" s="380">
        <v>11333</v>
      </c>
      <c r="M36" s="394">
        <f t="shared" si="8"/>
        <v>1333</v>
      </c>
      <c r="N36" s="394">
        <f t="shared" si="2"/>
        <v>10000</v>
      </c>
      <c r="O36" s="394">
        <f t="shared" si="3"/>
        <v>63984</v>
      </c>
      <c r="P36" s="394">
        <f t="shared" si="4"/>
        <v>2666</v>
      </c>
      <c r="Q36" s="348">
        <v>48</v>
      </c>
      <c r="R36" s="354">
        <f t="shared" si="5"/>
        <v>2</v>
      </c>
      <c r="S36" s="350">
        <f t="shared" si="6"/>
        <v>543984</v>
      </c>
      <c r="T36" s="350">
        <f t="shared" si="7"/>
        <v>22666</v>
      </c>
      <c r="U36" s="393"/>
    </row>
    <row r="37" spans="1:21">
      <c r="A37" s="378"/>
      <c r="B37" s="378"/>
      <c r="C37" s="378"/>
      <c r="D37" s="116" t="s">
        <v>1342</v>
      </c>
      <c r="E37" s="367">
        <v>33</v>
      </c>
      <c r="F37" s="393" t="s">
        <v>1437</v>
      </c>
      <c r="G37" s="393" t="s">
        <v>1290</v>
      </c>
      <c r="H37" s="351">
        <v>500000</v>
      </c>
      <c r="I37" s="351">
        <v>66650</v>
      </c>
      <c r="J37" s="349">
        <f t="shared" ref="J37:J68" si="9">SUM(H37:I37)</f>
        <v>566650</v>
      </c>
      <c r="K37" s="348">
        <v>50</v>
      </c>
      <c r="L37" s="380">
        <v>11333</v>
      </c>
      <c r="M37" s="394">
        <f t="shared" si="8"/>
        <v>1333</v>
      </c>
      <c r="N37" s="394">
        <f t="shared" ref="N37:N68" si="10">H37/50</f>
        <v>10000</v>
      </c>
      <c r="O37" s="394">
        <f t="shared" ref="O37:O68" si="11">M37*Q37</f>
        <v>27993</v>
      </c>
      <c r="P37" s="394">
        <f t="shared" ref="P37:P68" si="12">M37*R37</f>
        <v>38657</v>
      </c>
      <c r="Q37" s="348">
        <v>21</v>
      </c>
      <c r="R37" s="354">
        <f t="shared" ref="R37:R68" si="13">K37-Q37</f>
        <v>29</v>
      </c>
      <c r="S37" s="350">
        <f t="shared" ref="S37:S68" si="14">L37*Q37</f>
        <v>237993</v>
      </c>
      <c r="T37" s="350">
        <f t="shared" ref="T37:T68" si="15">J37-S37</f>
        <v>328657</v>
      </c>
      <c r="U37" s="393"/>
    </row>
    <row r="38" spans="1:21">
      <c r="A38" s="378"/>
      <c r="B38" s="378"/>
      <c r="C38" s="378"/>
      <c r="D38" s="364" t="s">
        <v>995</v>
      </c>
      <c r="E38" s="367">
        <v>34</v>
      </c>
      <c r="F38" s="393" t="s">
        <v>1437</v>
      </c>
      <c r="G38" s="393" t="s">
        <v>339</v>
      </c>
      <c r="H38" s="351">
        <v>500000</v>
      </c>
      <c r="I38" s="351">
        <v>66650</v>
      </c>
      <c r="J38" s="349">
        <f t="shared" si="9"/>
        <v>566650</v>
      </c>
      <c r="K38" s="348">
        <v>50</v>
      </c>
      <c r="L38" s="380">
        <v>11333</v>
      </c>
      <c r="M38" s="394">
        <f t="shared" si="8"/>
        <v>1333</v>
      </c>
      <c r="N38" s="394">
        <f t="shared" si="10"/>
        <v>10000</v>
      </c>
      <c r="O38" s="394">
        <f t="shared" si="11"/>
        <v>63984</v>
      </c>
      <c r="P38" s="394">
        <f t="shared" si="12"/>
        <v>2666</v>
      </c>
      <c r="Q38" s="348">
        <v>48</v>
      </c>
      <c r="R38" s="354">
        <f t="shared" si="13"/>
        <v>2</v>
      </c>
      <c r="S38" s="350">
        <f t="shared" si="14"/>
        <v>543984</v>
      </c>
      <c r="T38" s="350">
        <f t="shared" si="15"/>
        <v>22666</v>
      </c>
      <c r="U38" s="393"/>
    </row>
    <row r="39" spans="1:21">
      <c r="A39" s="378"/>
      <c r="B39" s="378"/>
      <c r="C39" s="378"/>
      <c r="D39" s="364" t="s">
        <v>1366</v>
      </c>
      <c r="E39" s="367">
        <v>35</v>
      </c>
      <c r="F39" s="393" t="s">
        <v>1437</v>
      </c>
      <c r="G39" s="393" t="s">
        <v>1138</v>
      </c>
      <c r="H39" s="351">
        <v>450000</v>
      </c>
      <c r="I39" s="351">
        <v>59985</v>
      </c>
      <c r="J39" s="349">
        <f t="shared" si="9"/>
        <v>509985</v>
      </c>
      <c r="K39" s="348">
        <v>50</v>
      </c>
      <c r="L39" s="380">
        <v>10199.700000000001</v>
      </c>
      <c r="M39" s="394">
        <f t="shared" si="8"/>
        <v>1199.7</v>
      </c>
      <c r="N39" s="394">
        <f t="shared" si="10"/>
        <v>9000</v>
      </c>
      <c r="O39" s="394">
        <f t="shared" si="11"/>
        <v>27593.100000000002</v>
      </c>
      <c r="P39" s="394">
        <f t="shared" si="12"/>
        <v>32391.9</v>
      </c>
      <c r="Q39" s="348">
        <v>23</v>
      </c>
      <c r="R39" s="354">
        <f t="shared" si="13"/>
        <v>27</v>
      </c>
      <c r="S39" s="350">
        <f t="shared" si="14"/>
        <v>234593.1</v>
      </c>
      <c r="T39" s="350">
        <f t="shared" si="15"/>
        <v>275391.90000000002</v>
      </c>
      <c r="U39" s="393"/>
    </row>
    <row r="40" spans="1:21">
      <c r="A40" s="378"/>
      <c r="B40" s="378"/>
      <c r="C40" s="378"/>
      <c r="D40" s="364" t="s">
        <v>998</v>
      </c>
      <c r="E40" s="367">
        <v>36</v>
      </c>
      <c r="F40" s="393" t="s">
        <v>1437</v>
      </c>
      <c r="G40" s="393" t="s">
        <v>363</v>
      </c>
      <c r="H40" s="351">
        <v>450000</v>
      </c>
      <c r="I40" s="351">
        <v>59985</v>
      </c>
      <c r="J40" s="349">
        <f t="shared" si="9"/>
        <v>509985</v>
      </c>
      <c r="K40" s="348">
        <v>50</v>
      </c>
      <c r="L40" s="380">
        <v>10199.700000000001</v>
      </c>
      <c r="M40" s="394">
        <f t="shared" si="8"/>
        <v>1199.7</v>
      </c>
      <c r="N40" s="394">
        <f t="shared" si="10"/>
        <v>9000</v>
      </c>
      <c r="O40" s="394">
        <f t="shared" si="11"/>
        <v>47988</v>
      </c>
      <c r="P40" s="394">
        <f t="shared" si="12"/>
        <v>11997</v>
      </c>
      <c r="Q40" s="348">
        <v>40</v>
      </c>
      <c r="R40" s="354">
        <f t="shared" si="13"/>
        <v>10</v>
      </c>
      <c r="S40" s="350">
        <f t="shared" si="14"/>
        <v>407988</v>
      </c>
      <c r="T40" s="350">
        <f t="shared" si="15"/>
        <v>101997</v>
      </c>
      <c r="U40" s="393"/>
    </row>
    <row r="41" spans="1:21">
      <c r="A41" s="378"/>
      <c r="B41" s="378"/>
      <c r="C41" s="378"/>
      <c r="D41" s="393" t="s">
        <v>1079</v>
      </c>
      <c r="E41" s="367">
        <v>37</v>
      </c>
      <c r="F41" s="393" t="s">
        <v>1437</v>
      </c>
      <c r="G41" s="393" t="s">
        <v>302</v>
      </c>
      <c r="H41" s="351">
        <v>500000</v>
      </c>
      <c r="I41" s="351">
        <v>31992</v>
      </c>
      <c r="J41" s="349">
        <f t="shared" si="9"/>
        <v>531992</v>
      </c>
      <c r="K41" s="348">
        <v>24</v>
      </c>
      <c r="L41" s="380">
        <v>22166.34</v>
      </c>
      <c r="M41" s="394">
        <f>I41/24</f>
        <v>1333</v>
      </c>
      <c r="N41" s="394">
        <f t="shared" si="10"/>
        <v>10000</v>
      </c>
      <c r="O41" s="394">
        <f t="shared" si="11"/>
        <v>11997</v>
      </c>
      <c r="P41" s="394">
        <f t="shared" si="12"/>
        <v>19995</v>
      </c>
      <c r="Q41" s="348">
        <v>9</v>
      </c>
      <c r="R41" s="354">
        <f t="shared" si="13"/>
        <v>15</v>
      </c>
      <c r="S41" s="350">
        <f t="shared" si="14"/>
        <v>199497.06</v>
      </c>
      <c r="T41" s="350">
        <f t="shared" si="15"/>
        <v>332494.94</v>
      </c>
      <c r="U41" s="393"/>
    </row>
    <row r="42" spans="1:21">
      <c r="A42" s="378"/>
      <c r="B42" s="378"/>
      <c r="C42" s="378"/>
      <c r="D42" s="116" t="s">
        <v>1320</v>
      </c>
      <c r="E42" s="367">
        <v>38</v>
      </c>
      <c r="F42" s="393" t="s">
        <v>1437</v>
      </c>
      <c r="G42" s="393" t="s">
        <v>464</v>
      </c>
      <c r="H42" s="351">
        <v>500000</v>
      </c>
      <c r="I42" s="351">
        <v>66650</v>
      </c>
      <c r="J42" s="349">
        <f t="shared" si="9"/>
        <v>566650</v>
      </c>
      <c r="K42" s="348">
        <v>40</v>
      </c>
      <c r="L42" s="380">
        <v>13833</v>
      </c>
      <c r="M42" s="394">
        <f t="shared" ref="M42:M53" si="16">I42/50</f>
        <v>1333</v>
      </c>
      <c r="N42" s="394">
        <f t="shared" si="10"/>
        <v>10000</v>
      </c>
      <c r="O42" s="394">
        <f t="shared" si="11"/>
        <v>14663</v>
      </c>
      <c r="P42" s="394">
        <f t="shared" si="12"/>
        <v>38657</v>
      </c>
      <c r="Q42" s="348">
        <v>11</v>
      </c>
      <c r="R42" s="354">
        <f t="shared" si="13"/>
        <v>29</v>
      </c>
      <c r="S42" s="350">
        <f t="shared" si="14"/>
        <v>152163</v>
      </c>
      <c r="T42" s="350">
        <f t="shared" si="15"/>
        <v>414487</v>
      </c>
      <c r="U42" s="393"/>
    </row>
    <row r="43" spans="1:21">
      <c r="A43" s="378"/>
      <c r="B43" s="378"/>
      <c r="C43" s="378"/>
      <c r="D43" s="363" t="s">
        <v>1348</v>
      </c>
      <c r="E43" s="367">
        <v>39</v>
      </c>
      <c r="F43" s="393" t="s">
        <v>1437</v>
      </c>
      <c r="G43" s="393" t="s">
        <v>1349</v>
      </c>
      <c r="H43" s="351">
        <v>500000</v>
      </c>
      <c r="I43" s="351">
        <v>66650</v>
      </c>
      <c r="J43" s="349">
        <f t="shared" si="9"/>
        <v>566650</v>
      </c>
      <c r="K43" s="348">
        <v>50</v>
      </c>
      <c r="L43" s="380">
        <v>11333</v>
      </c>
      <c r="M43" s="394">
        <f t="shared" si="16"/>
        <v>1333</v>
      </c>
      <c r="N43" s="394">
        <f t="shared" si="10"/>
        <v>10000</v>
      </c>
      <c r="O43" s="394">
        <f t="shared" si="11"/>
        <v>18662</v>
      </c>
      <c r="P43" s="394">
        <f t="shared" si="12"/>
        <v>47988</v>
      </c>
      <c r="Q43" s="348">
        <v>14</v>
      </c>
      <c r="R43" s="354">
        <f t="shared" si="13"/>
        <v>36</v>
      </c>
      <c r="S43" s="350">
        <f t="shared" si="14"/>
        <v>158662</v>
      </c>
      <c r="T43" s="350">
        <f t="shared" si="15"/>
        <v>407988</v>
      </c>
      <c r="U43" s="393"/>
    </row>
    <row r="44" spans="1:21">
      <c r="A44" s="378"/>
      <c r="B44" s="378"/>
      <c r="C44" s="378"/>
      <c r="D44" s="364" t="s">
        <v>1012</v>
      </c>
      <c r="E44" s="367">
        <v>40</v>
      </c>
      <c r="F44" s="393" t="s">
        <v>1437</v>
      </c>
      <c r="G44" s="393" t="s">
        <v>852</v>
      </c>
      <c r="H44" s="351">
        <v>330000</v>
      </c>
      <c r="I44" s="351">
        <v>43989</v>
      </c>
      <c r="J44" s="349">
        <f t="shared" si="9"/>
        <v>373989</v>
      </c>
      <c r="K44" s="348">
        <v>50</v>
      </c>
      <c r="L44" s="380">
        <v>7479.78</v>
      </c>
      <c r="M44" s="394">
        <f t="shared" si="16"/>
        <v>879.78</v>
      </c>
      <c r="N44" s="394">
        <f t="shared" si="10"/>
        <v>6600</v>
      </c>
      <c r="O44" s="394">
        <f t="shared" si="11"/>
        <v>27273.18</v>
      </c>
      <c r="P44" s="394">
        <f t="shared" si="12"/>
        <v>16715.82</v>
      </c>
      <c r="Q44" s="348">
        <v>31</v>
      </c>
      <c r="R44" s="354">
        <f t="shared" si="13"/>
        <v>19</v>
      </c>
      <c r="S44" s="350">
        <f t="shared" si="14"/>
        <v>231873.18</v>
      </c>
      <c r="T44" s="350">
        <f t="shared" si="15"/>
        <v>142115.82</v>
      </c>
      <c r="U44" s="393"/>
    </row>
    <row r="45" spans="1:21">
      <c r="A45" s="378"/>
      <c r="B45" s="378"/>
      <c r="C45" s="378"/>
      <c r="D45" s="363" t="s">
        <v>1065</v>
      </c>
      <c r="E45" s="367">
        <v>41</v>
      </c>
      <c r="F45" s="393" t="s">
        <v>1437</v>
      </c>
      <c r="G45" s="393" t="s">
        <v>1066</v>
      </c>
      <c r="H45" s="351">
        <v>330000</v>
      </c>
      <c r="I45" s="351">
        <v>43989</v>
      </c>
      <c r="J45" s="349">
        <f t="shared" si="9"/>
        <v>373989</v>
      </c>
      <c r="K45" s="348">
        <v>50</v>
      </c>
      <c r="L45" s="380">
        <v>7479.78</v>
      </c>
      <c r="M45" s="394">
        <f t="shared" si="16"/>
        <v>879.78</v>
      </c>
      <c r="N45" s="394">
        <f t="shared" si="10"/>
        <v>6600</v>
      </c>
      <c r="O45" s="394">
        <f t="shared" si="11"/>
        <v>24633.84</v>
      </c>
      <c r="P45" s="394">
        <f t="shared" si="12"/>
        <v>19355.16</v>
      </c>
      <c r="Q45" s="348">
        <v>28</v>
      </c>
      <c r="R45" s="354">
        <f t="shared" si="13"/>
        <v>22</v>
      </c>
      <c r="S45" s="350">
        <f t="shared" si="14"/>
        <v>209433.84</v>
      </c>
      <c r="T45" s="350">
        <f t="shared" si="15"/>
        <v>164555.16</v>
      </c>
      <c r="U45" s="393"/>
    </row>
    <row r="46" spans="1:21">
      <c r="A46" s="378"/>
      <c r="B46" s="378"/>
      <c r="C46" s="378"/>
      <c r="D46" s="393" t="s">
        <v>1449</v>
      </c>
      <c r="E46" s="367">
        <v>42</v>
      </c>
      <c r="F46" s="393" t="s">
        <v>1437</v>
      </c>
      <c r="G46" s="393" t="s">
        <v>389</v>
      </c>
      <c r="H46" s="351">
        <v>500000</v>
      </c>
      <c r="I46" s="351">
        <v>66650</v>
      </c>
      <c r="J46" s="349">
        <f t="shared" si="9"/>
        <v>566650</v>
      </c>
      <c r="K46" s="348">
        <v>50</v>
      </c>
      <c r="L46" s="380">
        <v>11333</v>
      </c>
      <c r="M46" s="394">
        <f t="shared" si="16"/>
        <v>1333</v>
      </c>
      <c r="N46" s="394">
        <f t="shared" si="10"/>
        <v>10000</v>
      </c>
      <c r="O46" s="394">
        <f t="shared" si="11"/>
        <v>9331</v>
      </c>
      <c r="P46" s="394">
        <f t="shared" si="12"/>
        <v>57319</v>
      </c>
      <c r="Q46" s="348">
        <v>7</v>
      </c>
      <c r="R46" s="354">
        <f t="shared" si="13"/>
        <v>43</v>
      </c>
      <c r="S46" s="350">
        <f t="shared" si="14"/>
        <v>79331</v>
      </c>
      <c r="T46" s="350">
        <f t="shared" si="15"/>
        <v>487319</v>
      </c>
      <c r="U46" s="393"/>
    </row>
    <row r="47" spans="1:21">
      <c r="A47" s="378"/>
      <c r="B47" s="378"/>
      <c r="C47" s="378"/>
      <c r="D47" s="364" t="s">
        <v>1029</v>
      </c>
      <c r="E47" s="367">
        <v>43</v>
      </c>
      <c r="F47" s="393" t="s">
        <v>1437</v>
      </c>
      <c r="G47" s="393" t="s">
        <v>1030</v>
      </c>
      <c r="H47" s="351">
        <v>450000</v>
      </c>
      <c r="I47" s="351">
        <v>59985</v>
      </c>
      <c r="J47" s="349">
        <f t="shared" si="9"/>
        <v>509985</v>
      </c>
      <c r="K47" s="348">
        <v>50</v>
      </c>
      <c r="L47" s="380">
        <v>10199.700000000001</v>
      </c>
      <c r="M47" s="394">
        <f t="shared" si="16"/>
        <v>1199.7</v>
      </c>
      <c r="N47" s="394">
        <f t="shared" si="10"/>
        <v>9000</v>
      </c>
      <c r="O47" s="394">
        <f t="shared" si="11"/>
        <v>33591.599999999999</v>
      </c>
      <c r="P47" s="394">
        <f t="shared" si="12"/>
        <v>26393.4</v>
      </c>
      <c r="Q47" s="348">
        <v>28</v>
      </c>
      <c r="R47" s="354">
        <f t="shared" si="13"/>
        <v>22</v>
      </c>
      <c r="S47" s="350">
        <f t="shared" si="14"/>
        <v>285591.60000000003</v>
      </c>
      <c r="T47" s="350">
        <f t="shared" si="15"/>
        <v>224393.39999999997</v>
      </c>
      <c r="U47" s="393"/>
    </row>
    <row r="48" spans="1:21">
      <c r="A48" s="378"/>
      <c r="B48" s="378"/>
      <c r="C48" s="378"/>
      <c r="D48" s="116" t="s">
        <v>1377</v>
      </c>
      <c r="E48" s="367">
        <v>44</v>
      </c>
      <c r="F48" s="393" t="s">
        <v>1437</v>
      </c>
      <c r="G48" s="393" t="s">
        <v>1378</v>
      </c>
      <c r="H48" s="351">
        <v>330000</v>
      </c>
      <c r="I48" s="351">
        <v>43989</v>
      </c>
      <c r="J48" s="349">
        <f t="shared" si="9"/>
        <v>373989</v>
      </c>
      <c r="K48" s="348">
        <v>50</v>
      </c>
      <c r="L48" s="380">
        <v>7479.78</v>
      </c>
      <c r="M48" s="394">
        <f t="shared" si="16"/>
        <v>879.78</v>
      </c>
      <c r="N48" s="394">
        <f t="shared" si="10"/>
        <v>6600</v>
      </c>
      <c r="O48" s="394">
        <f t="shared" si="11"/>
        <v>12316.92</v>
      </c>
      <c r="P48" s="394">
        <f t="shared" si="12"/>
        <v>31672.079999999998</v>
      </c>
      <c r="Q48" s="348">
        <v>14</v>
      </c>
      <c r="R48" s="354">
        <f t="shared" si="13"/>
        <v>36</v>
      </c>
      <c r="S48" s="350">
        <f t="shared" si="14"/>
        <v>104716.92</v>
      </c>
      <c r="T48" s="350">
        <f t="shared" si="15"/>
        <v>269272.08</v>
      </c>
      <c r="U48" s="393"/>
    </row>
    <row r="49" spans="1:21">
      <c r="A49" s="378"/>
      <c r="B49" s="378"/>
      <c r="C49" s="378"/>
      <c r="D49" s="116" t="s">
        <v>1339</v>
      </c>
      <c r="E49" s="367">
        <v>45</v>
      </c>
      <c r="F49" s="393" t="s">
        <v>1437</v>
      </c>
      <c r="G49" s="393" t="s">
        <v>408</v>
      </c>
      <c r="H49" s="351">
        <v>500000</v>
      </c>
      <c r="I49" s="351">
        <v>66650</v>
      </c>
      <c r="J49" s="349">
        <f t="shared" si="9"/>
        <v>566650</v>
      </c>
      <c r="K49" s="348">
        <v>50</v>
      </c>
      <c r="L49" s="380">
        <v>11333</v>
      </c>
      <c r="M49" s="394">
        <f t="shared" si="16"/>
        <v>1333</v>
      </c>
      <c r="N49" s="394">
        <f t="shared" si="10"/>
        <v>10000</v>
      </c>
      <c r="O49" s="394">
        <f t="shared" si="11"/>
        <v>14663</v>
      </c>
      <c r="P49" s="394">
        <f t="shared" si="12"/>
        <v>51987</v>
      </c>
      <c r="Q49" s="348">
        <v>11</v>
      </c>
      <c r="R49" s="354">
        <f t="shared" si="13"/>
        <v>39</v>
      </c>
      <c r="S49" s="350">
        <f t="shared" si="14"/>
        <v>124663</v>
      </c>
      <c r="T49" s="350">
        <f t="shared" si="15"/>
        <v>441987</v>
      </c>
      <c r="U49" s="393"/>
    </row>
    <row r="50" spans="1:21">
      <c r="A50" s="378"/>
      <c r="B50" s="378"/>
      <c r="C50" s="378"/>
      <c r="D50" s="393" t="s">
        <v>1473</v>
      </c>
      <c r="E50" s="367">
        <v>46</v>
      </c>
      <c r="F50" s="393" t="s">
        <v>1437</v>
      </c>
      <c r="G50" s="393" t="s">
        <v>1474</v>
      </c>
      <c r="H50" s="351">
        <v>330000</v>
      </c>
      <c r="I50" s="351">
        <v>43989</v>
      </c>
      <c r="J50" s="349">
        <f t="shared" si="9"/>
        <v>373989</v>
      </c>
      <c r="K50" s="348">
        <v>50</v>
      </c>
      <c r="L50" s="380">
        <v>7479.78</v>
      </c>
      <c r="M50" s="394">
        <f t="shared" si="16"/>
        <v>879.78</v>
      </c>
      <c r="N50" s="394">
        <f t="shared" si="10"/>
        <v>6600</v>
      </c>
      <c r="O50" s="394">
        <f t="shared" si="11"/>
        <v>3519.12</v>
      </c>
      <c r="P50" s="394">
        <f t="shared" si="12"/>
        <v>40469.879999999997</v>
      </c>
      <c r="Q50" s="348">
        <v>4</v>
      </c>
      <c r="R50" s="354">
        <f t="shared" si="13"/>
        <v>46</v>
      </c>
      <c r="S50" s="350">
        <f t="shared" si="14"/>
        <v>29919.119999999999</v>
      </c>
      <c r="T50" s="350">
        <f t="shared" si="15"/>
        <v>344069.88</v>
      </c>
      <c r="U50" s="393"/>
    </row>
    <row r="51" spans="1:21">
      <c r="A51" s="378"/>
      <c r="B51" s="378"/>
      <c r="C51" s="378"/>
      <c r="D51" s="393" t="s">
        <v>1475</v>
      </c>
      <c r="E51" s="367">
        <v>47</v>
      </c>
      <c r="F51" s="393" t="s">
        <v>1437</v>
      </c>
      <c r="G51" s="393" t="s">
        <v>1476</v>
      </c>
      <c r="H51" s="351">
        <v>330000</v>
      </c>
      <c r="I51" s="351">
        <v>43989</v>
      </c>
      <c r="J51" s="349">
        <f t="shared" si="9"/>
        <v>373989</v>
      </c>
      <c r="K51" s="348">
        <v>50</v>
      </c>
      <c r="L51" s="380">
        <v>7479.78</v>
      </c>
      <c r="M51" s="394">
        <f t="shared" si="16"/>
        <v>879.78</v>
      </c>
      <c r="N51" s="394">
        <f t="shared" si="10"/>
        <v>6600</v>
      </c>
      <c r="O51" s="394">
        <f t="shared" si="11"/>
        <v>3519.12</v>
      </c>
      <c r="P51" s="394">
        <f t="shared" si="12"/>
        <v>40469.879999999997</v>
      </c>
      <c r="Q51" s="348">
        <v>4</v>
      </c>
      <c r="R51" s="354">
        <f t="shared" si="13"/>
        <v>46</v>
      </c>
      <c r="S51" s="350">
        <f t="shared" si="14"/>
        <v>29919.119999999999</v>
      </c>
      <c r="T51" s="350">
        <f t="shared" si="15"/>
        <v>344069.88</v>
      </c>
      <c r="U51" s="393"/>
    </row>
    <row r="52" spans="1:21">
      <c r="A52" s="378"/>
      <c r="B52" s="378"/>
      <c r="C52" s="378"/>
      <c r="D52" s="363" t="s">
        <v>1383</v>
      </c>
      <c r="E52" s="367">
        <v>48</v>
      </c>
      <c r="F52" s="393" t="s">
        <v>1437</v>
      </c>
      <c r="G52" s="393" t="s">
        <v>1384</v>
      </c>
      <c r="H52" s="351">
        <v>330000</v>
      </c>
      <c r="I52" s="351">
        <v>43989</v>
      </c>
      <c r="J52" s="349">
        <f t="shared" si="9"/>
        <v>373989</v>
      </c>
      <c r="K52" s="348">
        <v>50</v>
      </c>
      <c r="L52" s="380">
        <v>7479.78</v>
      </c>
      <c r="M52" s="394">
        <f t="shared" si="16"/>
        <v>879.78</v>
      </c>
      <c r="N52" s="394">
        <f t="shared" si="10"/>
        <v>6600</v>
      </c>
      <c r="O52" s="394">
        <f t="shared" si="11"/>
        <v>9677.58</v>
      </c>
      <c r="P52" s="394">
        <f t="shared" si="12"/>
        <v>34311.42</v>
      </c>
      <c r="Q52" s="348">
        <v>11</v>
      </c>
      <c r="R52" s="354">
        <f t="shared" si="13"/>
        <v>39</v>
      </c>
      <c r="S52" s="350">
        <f t="shared" si="14"/>
        <v>82277.58</v>
      </c>
      <c r="T52" s="350">
        <f t="shared" si="15"/>
        <v>291711.42</v>
      </c>
      <c r="U52" s="393"/>
    </row>
    <row r="53" spans="1:21">
      <c r="A53" s="378"/>
      <c r="B53" s="378"/>
      <c r="C53" s="378"/>
      <c r="D53" s="363" t="s">
        <v>1370</v>
      </c>
      <c r="E53" s="367">
        <v>49</v>
      </c>
      <c r="F53" s="393" t="s">
        <v>1437</v>
      </c>
      <c r="G53" s="393" t="s">
        <v>1371</v>
      </c>
      <c r="H53" s="351">
        <v>330000</v>
      </c>
      <c r="I53" s="351">
        <v>43989</v>
      </c>
      <c r="J53" s="349">
        <f t="shared" si="9"/>
        <v>373989</v>
      </c>
      <c r="K53" s="348">
        <v>50</v>
      </c>
      <c r="L53" s="380">
        <v>7479.78</v>
      </c>
      <c r="M53" s="394">
        <f t="shared" si="16"/>
        <v>879.78</v>
      </c>
      <c r="N53" s="394">
        <f t="shared" si="10"/>
        <v>6600</v>
      </c>
      <c r="O53" s="394">
        <f t="shared" si="11"/>
        <v>12316.92</v>
      </c>
      <c r="P53" s="394">
        <f t="shared" si="12"/>
        <v>31672.079999999998</v>
      </c>
      <c r="Q53" s="348">
        <v>14</v>
      </c>
      <c r="R53" s="354">
        <f t="shared" si="13"/>
        <v>36</v>
      </c>
      <c r="S53" s="350">
        <f t="shared" si="14"/>
        <v>104716.92</v>
      </c>
      <c r="T53" s="350">
        <f t="shared" si="15"/>
        <v>269272.08</v>
      </c>
      <c r="U53" s="393"/>
    </row>
    <row r="54" spans="1:21">
      <c r="A54" s="378"/>
      <c r="B54" s="378"/>
      <c r="C54" s="378"/>
      <c r="D54" s="116" t="s">
        <v>1313</v>
      </c>
      <c r="E54" s="367">
        <v>50</v>
      </c>
      <c r="F54" s="393" t="s">
        <v>1437</v>
      </c>
      <c r="G54" s="393" t="s">
        <v>1314</v>
      </c>
      <c r="H54" s="351">
        <v>450000</v>
      </c>
      <c r="I54" s="351">
        <v>28792.799999999999</v>
      </c>
      <c r="J54" s="349">
        <f t="shared" si="9"/>
        <v>478792.8</v>
      </c>
      <c r="K54" s="348">
        <v>24</v>
      </c>
      <c r="L54" s="380">
        <v>19949.7</v>
      </c>
      <c r="M54" s="394">
        <f>I54/24</f>
        <v>1199.7</v>
      </c>
      <c r="N54" s="394">
        <f t="shared" si="10"/>
        <v>9000</v>
      </c>
      <c r="O54" s="394">
        <f t="shared" si="11"/>
        <v>13196.7</v>
      </c>
      <c r="P54" s="394">
        <f t="shared" si="12"/>
        <v>15596.1</v>
      </c>
      <c r="Q54" s="348">
        <v>11</v>
      </c>
      <c r="R54" s="354">
        <f t="shared" si="13"/>
        <v>13</v>
      </c>
      <c r="S54" s="350">
        <f t="shared" si="14"/>
        <v>219446.7</v>
      </c>
      <c r="T54" s="350">
        <f t="shared" si="15"/>
        <v>259346.09999999998</v>
      </c>
      <c r="U54" s="393"/>
    </row>
    <row r="55" spans="1:21">
      <c r="A55" s="378"/>
      <c r="B55" s="378"/>
      <c r="C55" s="378"/>
      <c r="D55" s="364" t="s">
        <v>1386</v>
      </c>
      <c r="E55" s="367">
        <v>51</v>
      </c>
      <c r="F55" s="393" t="s">
        <v>1437</v>
      </c>
      <c r="G55" s="393" t="s">
        <v>1387</v>
      </c>
      <c r="H55" s="351">
        <v>330000</v>
      </c>
      <c r="I55" s="351">
        <v>43989</v>
      </c>
      <c r="J55" s="349">
        <f t="shared" si="9"/>
        <v>373989</v>
      </c>
      <c r="K55" s="348">
        <v>50</v>
      </c>
      <c r="L55" s="380">
        <v>7479.78</v>
      </c>
      <c r="M55" s="394">
        <f t="shared" ref="M55:M97" si="17">I55/50</f>
        <v>879.78</v>
      </c>
      <c r="N55" s="394">
        <f t="shared" si="10"/>
        <v>6600</v>
      </c>
      <c r="O55" s="394">
        <f t="shared" si="11"/>
        <v>20234.939999999999</v>
      </c>
      <c r="P55" s="394">
        <f t="shared" si="12"/>
        <v>23754.059999999998</v>
      </c>
      <c r="Q55" s="348">
        <v>23</v>
      </c>
      <c r="R55" s="354">
        <f t="shared" si="13"/>
        <v>27</v>
      </c>
      <c r="S55" s="350">
        <f t="shared" si="14"/>
        <v>172034.94</v>
      </c>
      <c r="T55" s="350">
        <f t="shared" si="15"/>
        <v>201954.06</v>
      </c>
      <c r="U55" s="393"/>
    </row>
    <row r="56" spans="1:21" ht="31.5">
      <c r="A56" s="378"/>
      <c r="B56" s="378"/>
      <c r="C56" s="378"/>
      <c r="D56" s="364" t="s">
        <v>975</v>
      </c>
      <c r="E56" s="367">
        <v>52</v>
      </c>
      <c r="F56" s="393" t="s">
        <v>1437</v>
      </c>
      <c r="G56" s="395" t="s">
        <v>875</v>
      </c>
      <c r="H56" s="351">
        <v>450000</v>
      </c>
      <c r="I56" s="351">
        <v>59985</v>
      </c>
      <c r="J56" s="349">
        <f t="shared" si="9"/>
        <v>509985</v>
      </c>
      <c r="K56" s="348">
        <v>50</v>
      </c>
      <c r="L56" s="380">
        <v>10199.700000000001</v>
      </c>
      <c r="M56" s="394">
        <f t="shared" si="17"/>
        <v>1199.7</v>
      </c>
      <c r="N56" s="394">
        <f t="shared" si="10"/>
        <v>9000</v>
      </c>
      <c r="O56" s="394">
        <f t="shared" si="11"/>
        <v>37190.700000000004</v>
      </c>
      <c r="P56" s="394">
        <f t="shared" si="12"/>
        <v>22794.3</v>
      </c>
      <c r="Q56" s="348">
        <v>31</v>
      </c>
      <c r="R56" s="354">
        <f t="shared" si="13"/>
        <v>19</v>
      </c>
      <c r="S56" s="350">
        <f t="shared" si="14"/>
        <v>316190.7</v>
      </c>
      <c r="T56" s="350">
        <f t="shared" si="15"/>
        <v>193794.3</v>
      </c>
      <c r="U56" s="393"/>
    </row>
    <row r="57" spans="1:21">
      <c r="A57" s="378"/>
      <c r="B57" s="378"/>
      <c r="C57" s="378"/>
      <c r="D57" s="364" t="s">
        <v>1357</v>
      </c>
      <c r="E57" s="367">
        <v>53</v>
      </c>
      <c r="F57" s="393" t="s">
        <v>1437</v>
      </c>
      <c r="G57" s="393" t="s">
        <v>858</v>
      </c>
      <c r="H57" s="351">
        <v>450000</v>
      </c>
      <c r="I57" s="351">
        <v>59985</v>
      </c>
      <c r="J57" s="349">
        <f t="shared" si="9"/>
        <v>509985</v>
      </c>
      <c r="K57" s="348">
        <v>50</v>
      </c>
      <c r="L57" s="380">
        <v>10199.700000000001</v>
      </c>
      <c r="M57" s="394">
        <f t="shared" si="17"/>
        <v>1199.7</v>
      </c>
      <c r="N57" s="394">
        <f t="shared" si="10"/>
        <v>9000</v>
      </c>
      <c r="O57" s="394">
        <f t="shared" si="11"/>
        <v>27593.100000000002</v>
      </c>
      <c r="P57" s="394">
        <f t="shared" si="12"/>
        <v>32391.9</v>
      </c>
      <c r="Q57" s="348">
        <v>23</v>
      </c>
      <c r="R57" s="354">
        <f t="shared" si="13"/>
        <v>27</v>
      </c>
      <c r="S57" s="350">
        <f t="shared" si="14"/>
        <v>234593.1</v>
      </c>
      <c r="T57" s="350">
        <f t="shared" si="15"/>
        <v>275391.90000000002</v>
      </c>
      <c r="U57" s="393"/>
    </row>
    <row r="58" spans="1:21">
      <c r="A58" s="378"/>
      <c r="B58" s="378"/>
      <c r="C58" s="378"/>
      <c r="D58" s="363" t="s">
        <v>1097</v>
      </c>
      <c r="E58" s="367">
        <v>54</v>
      </c>
      <c r="F58" s="393" t="s">
        <v>1437</v>
      </c>
      <c r="G58" s="393" t="s">
        <v>286</v>
      </c>
      <c r="H58" s="351">
        <v>450000</v>
      </c>
      <c r="I58" s="351">
        <v>59985</v>
      </c>
      <c r="J58" s="349">
        <f t="shared" si="9"/>
        <v>509985</v>
      </c>
      <c r="K58" s="348">
        <v>50</v>
      </c>
      <c r="L58" s="380">
        <v>10199.700000000001</v>
      </c>
      <c r="M58" s="394">
        <f t="shared" si="17"/>
        <v>1199.7</v>
      </c>
      <c r="N58" s="394">
        <f t="shared" si="10"/>
        <v>9000</v>
      </c>
      <c r="O58" s="394">
        <f t="shared" si="11"/>
        <v>59985</v>
      </c>
      <c r="P58" s="394">
        <f t="shared" si="12"/>
        <v>0</v>
      </c>
      <c r="Q58" s="348">
        <v>50</v>
      </c>
      <c r="R58" s="354">
        <f t="shared" si="13"/>
        <v>0</v>
      </c>
      <c r="S58" s="350">
        <f t="shared" si="14"/>
        <v>509985.00000000006</v>
      </c>
      <c r="T58" s="350">
        <f t="shared" si="15"/>
        <v>0</v>
      </c>
      <c r="U58" s="393"/>
    </row>
    <row r="59" spans="1:21">
      <c r="A59" s="378"/>
      <c r="B59" s="378"/>
      <c r="C59" s="378"/>
      <c r="D59" s="116" t="s">
        <v>1346</v>
      </c>
      <c r="E59" s="367">
        <v>55</v>
      </c>
      <c r="F59" s="393" t="s">
        <v>1437</v>
      </c>
      <c r="G59" s="393" t="s">
        <v>1347</v>
      </c>
      <c r="H59" s="351">
        <v>500000</v>
      </c>
      <c r="I59" s="351">
        <v>66650</v>
      </c>
      <c r="J59" s="349">
        <f t="shared" si="9"/>
        <v>566650</v>
      </c>
      <c r="K59" s="348">
        <v>50</v>
      </c>
      <c r="L59" s="380">
        <v>11333</v>
      </c>
      <c r="M59" s="394">
        <f t="shared" si="17"/>
        <v>1333</v>
      </c>
      <c r="N59" s="394">
        <f t="shared" si="10"/>
        <v>10000</v>
      </c>
      <c r="O59" s="394">
        <f t="shared" si="11"/>
        <v>21328</v>
      </c>
      <c r="P59" s="394">
        <f t="shared" si="12"/>
        <v>45322</v>
      </c>
      <c r="Q59" s="348">
        <v>16</v>
      </c>
      <c r="R59" s="354">
        <f t="shared" si="13"/>
        <v>34</v>
      </c>
      <c r="S59" s="350">
        <f t="shared" si="14"/>
        <v>181328</v>
      </c>
      <c r="T59" s="350">
        <f t="shared" si="15"/>
        <v>385322</v>
      </c>
      <c r="U59" s="393"/>
    </row>
    <row r="60" spans="1:21">
      <c r="A60" s="378"/>
      <c r="B60" s="378"/>
      <c r="C60" s="378"/>
      <c r="D60" s="364" t="s">
        <v>1356</v>
      </c>
      <c r="E60" s="367">
        <v>56</v>
      </c>
      <c r="F60" s="393" t="s">
        <v>1437</v>
      </c>
      <c r="G60" s="393" t="s">
        <v>1286</v>
      </c>
      <c r="H60" s="351">
        <v>450000</v>
      </c>
      <c r="I60" s="351">
        <v>59985</v>
      </c>
      <c r="J60" s="349">
        <f t="shared" si="9"/>
        <v>509985</v>
      </c>
      <c r="K60" s="348">
        <v>50</v>
      </c>
      <c r="L60" s="380">
        <v>10199.700000000001</v>
      </c>
      <c r="M60" s="394">
        <f t="shared" si="17"/>
        <v>1199.7</v>
      </c>
      <c r="N60" s="394">
        <f t="shared" si="10"/>
        <v>9000</v>
      </c>
      <c r="O60" s="394">
        <f t="shared" si="11"/>
        <v>19195.2</v>
      </c>
      <c r="P60" s="394">
        <f t="shared" si="12"/>
        <v>40789.800000000003</v>
      </c>
      <c r="Q60" s="348">
        <v>16</v>
      </c>
      <c r="R60" s="354">
        <f t="shared" si="13"/>
        <v>34</v>
      </c>
      <c r="S60" s="350">
        <f t="shared" si="14"/>
        <v>163195.20000000001</v>
      </c>
      <c r="T60" s="350">
        <f t="shared" si="15"/>
        <v>346789.8</v>
      </c>
      <c r="U60" s="393"/>
    </row>
    <row r="61" spans="1:21">
      <c r="A61" s="378"/>
      <c r="B61" s="378"/>
      <c r="C61" s="378"/>
      <c r="D61" s="364" t="s">
        <v>964</v>
      </c>
      <c r="E61" s="367">
        <v>57</v>
      </c>
      <c r="F61" s="393" t="s">
        <v>1437</v>
      </c>
      <c r="G61" s="393" t="s">
        <v>341</v>
      </c>
      <c r="H61" s="351">
        <v>500000</v>
      </c>
      <c r="I61" s="351">
        <v>66650</v>
      </c>
      <c r="J61" s="349">
        <f t="shared" si="9"/>
        <v>566650</v>
      </c>
      <c r="K61" s="348">
        <v>50</v>
      </c>
      <c r="L61" s="380">
        <v>11333</v>
      </c>
      <c r="M61" s="394">
        <f t="shared" si="17"/>
        <v>1333</v>
      </c>
      <c r="N61" s="394">
        <f t="shared" si="10"/>
        <v>10000</v>
      </c>
      <c r="O61" s="394">
        <f t="shared" si="11"/>
        <v>63984</v>
      </c>
      <c r="P61" s="394">
        <f t="shared" si="12"/>
        <v>2666</v>
      </c>
      <c r="Q61" s="348">
        <v>48</v>
      </c>
      <c r="R61" s="354">
        <f t="shared" si="13"/>
        <v>2</v>
      </c>
      <c r="S61" s="350">
        <f t="shared" si="14"/>
        <v>543984</v>
      </c>
      <c r="T61" s="350">
        <f t="shared" si="15"/>
        <v>22666</v>
      </c>
      <c r="U61" s="393"/>
    </row>
    <row r="62" spans="1:21">
      <c r="A62" s="378"/>
      <c r="B62" s="378"/>
      <c r="C62" s="378"/>
      <c r="D62" s="364" t="s">
        <v>1103</v>
      </c>
      <c r="E62" s="367">
        <v>58</v>
      </c>
      <c r="F62" s="393" t="s">
        <v>1437</v>
      </c>
      <c r="G62" s="393" t="s">
        <v>310</v>
      </c>
      <c r="H62" s="351">
        <v>500000</v>
      </c>
      <c r="I62" s="351">
        <v>66650</v>
      </c>
      <c r="J62" s="349">
        <f t="shared" si="9"/>
        <v>566650</v>
      </c>
      <c r="K62" s="348">
        <v>50</v>
      </c>
      <c r="L62" s="380">
        <v>11333</v>
      </c>
      <c r="M62" s="394">
        <f t="shared" si="17"/>
        <v>1333</v>
      </c>
      <c r="N62" s="394">
        <f t="shared" si="10"/>
        <v>10000</v>
      </c>
      <c r="O62" s="394">
        <f t="shared" si="11"/>
        <v>63984</v>
      </c>
      <c r="P62" s="394">
        <f t="shared" si="12"/>
        <v>2666</v>
      </c>
      <c r="Q62" s="348">
        <v>48</v>
      </c>
      <c r="R62" s="354">
        <f t="shared" si="13"/>
        <v>2</v>
      </c>
      <c r="S62" s="350">
        <f t="shared" si="14"/>
        <v>543984</v>
      </c>
      <c r="T62" s="350">
        <f t="shared" si="15"/>
        <v>22666</v>
      </c>
      <c r="U62" s="393"/>
    </row>
    <row r="63" spans="1:21">
      <c r="A63" s="378"/>
      <c r="B63" s="378"/>
      <c r="C63" s="378"/>
      <c r="D63" s="364" t="s">
        <v>1043</v>
      </c>
      <c r="E63" s="367">
        <v>59</v>
      </c>
      <c r="F63" s="393" t="s">
        <v>1437</v>
      </c>
      <c r="G63" s="393" t="s">
        <v>444</v>
      </c>
      <c r="H63" s="351">
        <v>500000</v>
      </c>
      <c r="I63" s="351">
        <v>66650</v>
      </c>
      <c r="J63" s="349">
        <f t="shared" si="9"/>
        <v>566650</v>
      </c>
      <c r="K63" s="348">
        <v>50</v>
      </c>
      <c r="L63" s="380">
        <v>11333</v>
      </c>
      <c r="M63" s="394">
        <f t="shared" si="17"/>
        <v>1333</v>
      </c>
      <c r="N63" s="394">
        <f t="shared" si="10"/>
        <v>10000</v>
      </c>
      <c r="O63" s="394">
        <f t="shared" si="11"/>
        <v>47988</v>
      </c>
      <c r="P63" s="394">
        <f t="shared" si="12"/>
        <v>18662</v>
      </c>
      <c r="Q63" s="348">
        <v>36</v>
      </c>
      <c r="R63" s="354">
        <f t="shared" si="13"/>
        <v>14</v>
      </c>
      <c r="S63" s="350">
        <f t="shared" si="14"/>
        <v>407988</v>
      </c>
      <c r="T63" s="350">
        <f t="shared" si="15"/>
        <v>158662</v>
      </c>
      <c r="U63" s="393"/>
    </row>
    <row r="64" spans="1:21">
      <c r="A64" s="378"/>
      <c r="B64" s="378"/>
      <c r="C64" s="378"/>
      <c r="D64" s="363" t="s">
        <v>1001</v>
      </c>
      <c r="E64" s="367">
        <v>60</v>
      </c>
      <c r="F64" s="393" t="s">
        <v>1437</v>
      </c>
      <c r="G64" s="393" t="s">
        <v>834</v>
      </c>
      <c r="H64" s="351">
        <v>330000</v>
      </c>
      <c r="I64" s="351">
        <v>43989</v>
      </c>
      <c r="J64" s="349">
        <f t="shared" si="9"/>
        <v>373989</v>
      </c>
      <c r="K64" s="348">
        <v>50</v>
      </c>
      <c r="L64" s="380">
        <v>7479.78</v>
      </c>
      <c r="M64" s="394">
        <f t="shared" si="17"/>
        <v>879.78</v>
      </c>
      <c r="N64" s="394">
        <f t="shared" si="10"/>
        <v>6600</v>
      </c>
      <c r="O64" s="394">
        <f t="shared" si="11"/>
        <v>31672.079999999998</v>
      </c>
      <c r="P64" s="394">
        <f t="shared" si="12"/>
        <v>12316.92</v>
      </c>
      <c r="Q64" s="348">
        <v>36</v>
      </c>
      <c r="R64" s="354">
        <f t="shared" si="13"/>
        <v>14</v>
      </c>
      <c r="S64" s="350">
        <f t="shared" si="14"/>
        <v>269272.08</v>
      </c>
      <c r="T64" s="350">
        <f t="shared" si="15"/>
        <v>104716.91999999998</v>
      </c>
      <c r="U64" s="393"/>
    </row>
    <row r="65" spans="1:21">
      <c r="A65" s="378"/>
      <c r="B65" s="378"/>
      <c r="C65" s="378"/>
      <c r="D65" s="116" t="s">
        <v>996</v>
      </c>
      <c r="E65" s="367">
        <v>61</v>
      </c>
      <c r="F65" s="393" t="s">
        <v>1437</v>
      </c>
      <c r="G65" s="393" t="s">
        <v>338</v>
      </c>
      <c r="H65" s="351">
        <v>500000</v>
      </c>
      <c r="I65" s="351">
        <v>66650</v>
      </c>
      <c r="J65" s="349">
        <f t="shared" si="9"/>
        <v>566650</v>
      </c>
      <c r="K65" s="348">
        <v>40</v>
      </c>
      <c r="L65" s="380">
        <v>13833</v>
      </c>
      <c r="M65" s="394">
        <f t="shared" si="17"/>
        <v>1333</v>
      </c>
      <c r="N65" s="394">
        <f t="shared" si="10"/>
        <v>10000</v>
      </c>
      <c r="O65" s="394">
        <f t="shared" si="11"/>
        <v>14663</v>
      </c>
      <c r="P65" s="394">
        <f t="shared" si="12"/>
        <v>38657</v>
      </c>
      <c r="Q65" s="348">
        <v>11</v>
      </c>
      <c r="R65" s="354">
        <f t="shared" si="13"/>
        <v>29</v>
      </c>
      <c r="S65" s="350">
        <f t="shared" si="14"/>
        <v>152163</v>
      </c>
      <c r="T65" s="350">
        <f t="shared" si="15"/>
        <v>414487</v>
      </c>
      <c r="U65" s="393"/>
    </row>
    <row r="66" spans="1:21">
      <c r="A66" s="378"/>
      <c r="B66" s="378"/>
      <c r="C66" s="378"/>
      <c r="D66" s="116" t="s">
        <v>1335</v>
      </c>
      <c r="E66" s="367">
        <v>62</v>
      </c>
      <c r="F66" s="393" t="s">
        <v>1437</v>
      </c>
      <c r="G66" s="393" t="s">
        <v>1336</v>
      </c>
      <c r="H66" s="351">
        <v>500000</v>
      </c>
      <c r="I66" s="351">
        <v>66650</v>
      </c>
      <c r="J66" s="349">
        <f t="shared" si="9"/>
        <v>566650</v>
      </c>
      <c r="K66" s="348">
        <v>50</v>
      </c>
      <c r="L66" s="380">
        <v>11333</v>
      </c>
      <c r="M66" s="394">
        <f t="shared" si="17"/>
        <v>1333</v>
      </c>
      <c r="N66" s="394">
        <f t="shared" si="10"/>
        <v>10000</v>
      </c>
      <c r="O66" s="394">
        <f t="shared" si="11"/>
        <v>23994</v>
      </c>
      <c r="P66" s="394">
        <f t="shared" si="12"/>
        <v>42656</v>
      </c>
      <c r="Q66" s="348">
        <v>18</v>
      </c>
      <c r="R66" s="354">
        <f t="shared" si="13"/>
        <v>32</v>
      </c>
      <c r="S66" s="350">
        <f t="shared" si="14"/>
        <v>203994</v>
      </c>
      <c r="T66" s="350">
        <f t="shared" si="15"/>
        <v>362656</v>
      </c>
      <c r="U66" s="393"/>
    </row>
    <row r="67" spans="1:21">
      <c r="A67" s="378"/>
      <c r="B67" s="378"/>
      <c r="C67" s="378"/>
      <c r="D67" s="364" t="s">
        <v>1312</v>
      </c>
      <c r="E67" s="367">
        <v>63</v>
      </c>
      <c r="F67" s="393" t="s">
        <v>1437</v>
      </c>
      <c r="G67" s="393" t="s">
        <v>436</v>
      </c>
      <c r="H67" s="351">
        <v>500000</v>
      </c>
      <c r="I67" s="351">
        <v>66650</v>
      </c>
      <c r="J67" s="349">
        <f t="shared" si="9"/>
        <v>566650</v>
      </c>
      <c r="K67" s="348">
        <v>25</v>
      </c>
      <c r="L67" s="380">
        <v>21333</v>
      </c>
      <c r="M67" s="394">
        <f t="shared" si="17"/>
        <v>1333</v>
      </c>
      <c r="N67" s="394">
        <f t="shared" si="10"/>
        <v>10000</v>
      </c>
      <c r="O67" s="394">
        <f t="shared" si="11"/>
        <v>21328</v>
      </c>
      <c r="P67" s="394">
        <f t="shared" si="12"/>
        <v>11997</v>
      </c>
      <c r="Q67" s="348">
        <v>16</v>
      </c>
      <c r="R67" s="354">
        <f t="shared" si="13"/>
        <v>9</v>
      </c>
      <c r="S67" s="350">
        <f t="shared" si="14"/>
        <v>341328</v>
      </c>
      <c r="T67" s="350">
        <f t="shared" si="15"/>
        <v>225322</v>
      </c>
      <c r="U67" s="393"/>
    </row>
    <row r="68" spans="1:21">
      <c r="A68" s="378"/>
      <c r="B68" s="378"/>
      <c r="C68" s="378"/>
      <c r="D68" s="116" t="s">
        <v>1044</v>
      </c>
      <c r="E68" s="367">
        <v>64</v>
      </c>
      <c r="F68" s="393" t="s">
        <v>1437</v>
      </c>
      <c r="G68" s="393" t="s">
        <v>844</v>
      </c>
      <c r="H68" s="351">
        <v>150000</v>
      </c>
      <c r="I68" s="351">
        <v>19995</v>
      </c>
      <c r="J68" s="349">
        <f t="shared" si="9"/>
        <v>169995</v>
      </c>
      <c r="K68" s="348">
        <v>50</v>
      </c>
      <c r="L68" s="380">
        <v>3399.9</v>
      </c>
      <c r="M68" s="394">
        <f t="shared" si="17"/>
        <v>399.9</v>
      </c>
      <c r="N68" s="394">
        <f t="shared" si="10"/>
        <v>3000</v>
      </c>
      <c r="O68" s="394">
        <f t="shared" si="11"/>
        <v>14396.4</v>
      </c>
      <c r="P68" s="394">
        <f t="shared" si="12"/>
        <v>5598.5999999999995</v>
      </c>
      <c r="Q68" s="348">
        <v>36</v>
      </c>
      <c r="R68" s="354">
        <f t="shared" si="13"/>
        <v>14</v>
      </c>
      <c r="S68" s="350">
        <f t="shared" si="14"/>
        <v>122396.40000000001</v>
      </c>
      <c r="T68" s="350">
        <f t="shared" si="15"/>
        <v>47598.599999999991</v>
      </c>
      <c r="U68" s="393"/>
    </row>
    <row r="69" spans="1:21">
      <c r="A69" s="378"/>
      <c r="B69" s="378"/>
      <c r="C69" s="378"/>
      <c r="D69" s="364" t="s">
        <v>1328</v>
      </c>
      <c r="E69" s="367">
        <v>65</v>
      </c>
      <c r="F69" s="393" t="s">
        <v>1437</v>
      </c>
      <c r="G69" s="393" t="s">
        <v>433</v>
      </c>
      <c r="H69" s="351">
        <v>500000</v>
      </c>
      <c r="I69" s="351">
        <v>66650</v>
      </c>
      <c r="J69" s="349">
        <f t="shared" ref="J69:J100" si="18">SUM(H69:I69)</f>
        <v>566650</v>
      </c>
      <c r="K69" s="348">
        <v>50</v>
      </c>
      <c r="L69" s="380">
        <v>11333</v>
      </c>
      <c r="M69" s="394">
        <f t="shared" si="17"/>
        <v>1333</v>
      </c>
      <c r="N69" s="394">
        <f t="shared" ref="N69:N100" si="19">H69/50</f>
        <v>10000</v>
      </c>
      <c r="O69" s="394">
        <f t="shared" ref="O69:O100" si="20">M69*Q69</f>
        <v>29326</v>
      </c>
      <c r="P69" s="394">
        <f t="shared" ref="P69:P100" si="21">M69*R69</f>
        <v>37324</v>
      </c>
      <c r="Q69" s="348">
        <v>22</v>
      </c>
      <c r="R69" s="354">
        <f t="shared" ref="R69:R100" si="22">K69-Q69</f>
        <v>28</v>
      </c>
      <c r="S69" s="350">
        <f t="shared" ref="S69:S100" si="23">L69*Q69</f>
        <v>249326</v>
      </c>
      <c r="T69" s="350">
        <f t="shared" ref="T69:T100" si="24">J69-S69</f>
        <v>317324</v>
      </c>
      <c r="U69" s="393"/>
    </row>
    <row r="70" spans="1:21">
      <c r="A70" s="378"/>
      <c r="B70" s="378"/>
      <c r="C70" s="378"/>
      <c r="D70" s="364" t="s">
        <v>1058</v>
      </c>
      <c r="E70" s="367">
        <v>66</v>
      </c>
      <c r="F70" s="393" t="s">
        <v>1437</v>
      </c>
      <c r="G70" s="393" t="s">
        <v>346</v>
      </c>
      <c r="H70" s="351">
        <v>500000</v>
      </c>
      <c r="I70" s="351">
        <v>66650</v>
      </c>
      <c r="J70" s="349">
        <f t="shared" si="18"/>
        <v>566650</v>
      </c>
      <c r="K70" s="348">
        <v>50</v>
      </c>
      <c r="L70" s="380">
        <v>11333</v>
      </c>
      <c r="M70" s="394">
        <f t="shared" si="17"/>
        <v>1333</v>
      </c>
      <c r="N70" s="394">
        <f t="shared" si="19"/>
        <v>10000</v>
      </c>
      <c r="O70" s="394">
        <f t="shared" si="20"/>
        <v>62651</v>
      </c>
      <c r="P70" s="394">
        <f t="shared" si="21"/>
        <v>3999</v>
      </c>
      <c r="Q70" s="348">
        <v>47</v>
      </c>
      <c r="R70" s="354">
        <f t="shared" si="22"/>
        <v>3</v>
      </c>
      <c r="S70" s="350">
        <f t="shared" si="23"/>
        <v>532651</v>
      </c>
      <c r="T70" s="350">
        <f t="shared" si="24"/>
        <v>33999</v>
      </c>
      <c r="U70" s="393"/>
    </row>
    <row r="71" spans="1:21">
      <c r="A71" s="378"/>
      <c r="B71" s="378"/>
      <c r="C71" s="378"/>
      <c r="D71" s="364" t="s">
        <v>1322</v>
      </c>
      <c r="E71" s="367">
        <v>67</v>
      </c>
      <c r="F71" s="393" t="s">
        <v>1437</v>
      </c>
      <c r="G71" s="393" t="s">
        <v>1122</v>
      </c>
      <c r="H71" s="351">
        <v>500000</v>
      </c>
      <c r="I71" s="351">
        <v>66650</v>
      </c>
      <c r="J71" s="349">
        <f t="shared" si="18"/>
        <v>566650</v>
      </c>
      <c r="K71" s="348">
        <v>50</v>
      </c>
      <c r="L71" s="380">
        <v>11333</v>
      </c>
      <c r="M71" s="394">
        <f t="shared" si="17"/>
        <v>1333</v>
      </c>
      <c r="N71" s="394">
        <f t="shared" si="19"/>
        <v>10000</v>
      </c>
      <c r="O71" s="394">
        <f t="shared" si="20"/>
        <v>30659</v>
      </c>
      <c r="P71" s="394">
        <f t="shared" si="21"/>
        <v>35991</v>
      </c>
      <c r="Q71" s="348">
        <v>23</v>
      </c>
      <c r="R71" s="354">
        <f t="shared" si="22"/>
        <v>27</v>
      </c>
      <c r="S71" s="350">
        <f t="shared" si="23"/>
        <v>260659</v>
      </c>
      <c r="T71" s="350">
        <f t="shared" si="24"/>
        <v>305991</v>
      </c>
      <c r="U71" s="393"/>
    </row>
    <row r="72" spans="1:21">
      <c r="A72" s="378"/>
      <c r="B72" s="378"/>
      <c r="C72" s="378"/>
      <c r="D72" s="364" t="s">
        <v>1098</v>
      </c>
      <c r="E72" s="367">
        <v>68</v>
      </c>
      <c r="F72" s="393" t="s">
        <v>1437</v>
      </c>
      <c r="G72" s="393" t="s">
        <v>345</v>
      </c>
      <c r="H72" s="351">
        <v>500000</v>
      </c>
      <c r="I72" s="351">
        <v>66650</v>
      </c>
      <c r="J72" s="349">
        <f t="shared" si="18"/>
        <v>566650</v>
      </c>
      <c r="K72" s="348">
        <v>50</v>
      </c>
      <c r="L72" s="380">
        <v>11333</v>
      </c>
      <c r="M72" s="394">
        <f t="shared" si="17"/>
        <v>1333</v>
      </c>
      <c r="N72" s="394">
        <f t="shared" si="19"/>
        <v>10000</v>
      </c>
      <c r="O72" s="394">
        <f t="shared" si="20"/>
        <v>63984</v>
      </c>
      <c r="P72" s="394">
        <f t="shared" si="21"/>
        <v>2666</v>
      </c>
      <c r="Q72" s="348">
        <v>48</v>
      </c>
      <c r="R72" s="354">
        <f t="shared" si="22"/>
        <v>2</v>
      </c>
      <c r="S72" s="350">
        <f t="shared" si="23"/>
        <v>543984</v>
      </c>
      <c r="T72" s="350">
        <f t="shared" si="24"/>
        <v>22666</v>
      </c>
      <c r="U72" s="393"/>
    </row>
    <row r="73" spans="1:21">
      <c r="A73" s="378"/>
      <c r="B73" s="378"/>
      <c r="C73" s="378"/>
      <c r="D73" s="393" t="s">
        <v>1464</v>
      </c>
      <c r="E73" s="367">
        <v>69</v>
      </c>
      <c r="F73" s="393" t="s">
        <v>1437</v>
      </c>
      <c r="G73" s="393" t="s">
        <v>445</v>
      </c>
      <c r="H73" s="351">
        <v>500000</v>
      </c>
      <c r="I73" s="351">
        <v>66650</v>
      </c>
      <c r="J73" s="349">
        <f t="shared" si="18"/>
        <v>566650</v>
      </c>
      <c r="K73" s="348">
        <v>50</v>
      </c>
      <c r="L73" s="380">
        <v>11333</v>
      </c>
      <c r="M73" s="394">
        <f t="shared" si="17"/>
        <v>1333</v>
      </c>
      <c r="N73" s="394">
        <f t="shared" si="19"/>
        <v>10000</v>
      </c>
      <c r="O73" s="394">
        <f t="shared" si="20"/>
        <v>5332</v>
      </c>
      <c r="P73" s="394">
        <f t="shared" si="21"/>
        <v>61318</v>
      </c>
      <c r="Q73" s="348">
        <v>4</v>
      </c>
      <c r="R73" s="354">
        <f t="shared" si="22"/>
        <v>46</v>
      </c>
      <c r="S73" s="350">
        <f t="shared" si="23"/>
        <v>45332</v>
      </c>
      <c r="T73" s="350">
        <f t="shared" si="24"/>
        <v>521318</v>
      </c>
      <c r="U73" s="393"/>
    </row>
    <row r="74" spans="1:21">
      <c r="A74" s="378"/>
      <c r="B74" s="378"/>
      <c r="C74" s="378"/>
      <c r="D74" s="364" t="s">
        <v>1125</v>
      </c>
      <c r="E74" s="367">
        <v>70</v>
      </c>
      <c r="F74" s="393" t="s">
        <v>1437</v>
      </c>
      <c r="G74" s="393" t="s">
        <v>452</v>
      </c>
      <c r="H74" s="351">
        <v>500000</v>
      </c>
      <c r="I74" s="351">
        <v>66650</v>
      </c>
      <c r="J74" s="349">
        <f t="shared" si="18"/>
        <v>566650</v>
      </c>
      <c r="K74" s="348">
        <v>50</v>
      </c>
      <c r="L74" s="380">
        <v>11333</v>
      </c>
      <c r="M74" s="394">
        <f t="shared" si="17"/>
        <v>1333</v>
      </c>
      <c r="N74" s="394">
        <f t="shared" si="19"/>
        <v>10000</v>
      </c>
      <c r="O74" s="394">
        <f t="shared" si="20"/>
        <v>31992</v>
      </c>
      <c r="P74" s="394">
        <f t="shared" si="21"/>
        <v>34658</v>
      </c>
      <c r="Q74" s="348">
        <v>24</v>
      </c>
      <c r="R74" s="354">
        <f t="shared" si="22"/>
        <v>26</v>
      </c>
      <c r="S74" s="350">
        <f t="shared" si="23"/>
        <v>271992</v>
      </c>
      <c r="T74" s="350">
        <f t="shared" si="24"/>
        <v>294658</v>
      </c>
      <c r="U74" s="393"/>
    </row>
    <row r="75" spans="1:21">
      <c r="A75" s="378"/>
      <c r="B75" s="378"/>
      <c r="C75" s="378"/>
      <c r="D75" s="364" t="s">
        <v>1390</v>
      </c>
      <c r="E75" s="367">
        <v>71</v>
      </c>
      <c r="F75" s="393" t="s">
        <v>1437</v>
      </c>
      <c r="G75" s="393" t="s">
        <v>1391</v>
      </c>
      <c r="H75" s="351">
        <v>150000</v>
      </c>
      <c r="I75" s="351">
        <v>19995</v>
      </c>
      <c r="J75" s="349">
        <f t="shared" si="18"/>
        <v>169995</v>
      </c>
      <c r="K75" s="348">
        <v>40</v>
      </c>
      <c r="L75" s="380">
        <v>4149.8999999999996</v>
      </c>
      <c r="M75" s="394">
        <f t="shared" si="17"/>
        <v>399.9</v>
      </c>
      <c r="N75" s="394">
        <f t="shared" si="19"/>
        <v>3000</v>
      </c>
      <c r="O75" s="394">
        <f t="shared" si="20"/>
        <v>9197.6999999999989</v>
      </c>
      <c r="P75" s="394">
        <f t="shared" si="21"/>
        <v>6798.2999999999993</v>
      </c>
      <c r="Q75" s="348">
        <v>23</v>
      </c>
      <c r="R75" s="354">
        <f t="shared" si="22"/>
        <v>17</v>
      </c>
      <c r="S75" s="350">
        <f t="shared" si="23"/>
        <v>95447.7</v>
      </c>
      <c r="T75" s="350">
        <f t="shared" si="24"/>
        <v>74547.3</v>
      </c>
      <c r="U75" s="393"/>
    </row>
    <row r="76" spans="1:21">
      <c r="A76" s="378"/>
      <c r="B76" s="378"/>
      <c r="C76" s="378"/>
      <c r="D76" s="393" t="s">
        <v>1477</v>
      </c>
      <c r="E76" s="367">
        <v>72</v>
      </c>
      <c r="F76" s="393" t="s">
        <v>1437</v>
      </c>
      <c r="G76" s="393" t="s">
        <v>1478</v>
      </c>
      <c r="H76" s="351">
        <v>330000</v>
      </c>
      <c r="I76" s="351">
        <v>43989</v>
      </c>
      <c r="J76" s="349">
        <f t="shared" si="18"/>
        <v>373989</v>
      </c>
      <c r="K76" s="348">
        <v>50</v>
      </c>
      <c r="L76" s="380">
        <v>7479.78</v>
      </c>
      <c r="M76" s="394">
        <f t="shared" si="17"/>
        <v>879.78</v>
      </c>
      <c r="N76" s="394">
        <f t="shared" si="19"/>
        <v>6600</v>
      </c>
      <c r="O76" s="394">
        <f t="shared" si="20"/>
        <v>3519.12</v>
      </c>
      <c r="P76" s="394">
        <f t="shared" si="21"/>
        <v>40469.879999999997</v>
      </c>
      <c r="Q76" s="348">
        <v>4</v>
      </c>
      <c r="R76" s="354">
        <f t="shared" si="22"/>
        <v>46</v>
      </c>
      <c r="S76" s="350">
        <f t="shared" si="23"/>
        <v>29919.119999999999</v>
      </c>
      <c r="T76" s="350">
        <f t="shared" si="24"/>
        <v>344069.88</v>
      </c>
      <c r="U76" s="393"/>
    </row>
    <row r="77" spans="1:21">
      <c r="A77" s="378"/>
      <c r="B77" s="378"/>
      <c r="C77" s="378"/>
      <c r="D77" s="364" t="s">
        <v>1067</v>
      </c>
      <c r="E77" s="367">
        <v>73</v>
      </c>
      <c r="F77" s="393" t="s">
        <v>1437</v>
      </c>
      <c r="G77" s="393" t="s">
        <v>368</v>
      </c>
      <c r="H77" s="351">
        <v>450000</v>
      </c>
      <c r="I77" s="351">
        <v>59985</v>
      </c>
      <c r="J77" s="349">
        <f t="shared" si="18"/>
        <v>509985</v>
      </c>
      <c r="K77" s="348">
        <v>50</v>
      </c>
      <c r="L77" s="380">
        <v>10199.700000000001</v>
      </c>
      <c r="M77" s="394">
        <f t="shared" si="17"/>
        <v>1199.7</v>
      </c>
      <c r="N77" s="394">
        <f t="shared" si="19"/>
        <v>9000</v>
      </c>
      <c r="O77" s="394">
        <f t="shared" si="20"/>
        <v>56385.9</v>
      </c>
      <c r="P77" s="394">
        <f t="shared" si="21"/>
        <v>3599.1000000000004</v>
      </c>
      <c r="Q77" s="348">
        <v>47</v>
      </c>
      <c r="R77" s="354">
        <f t="shared" si="22"/>
        <v>3</v>
      </c>
      <c r="S77" s="350">
        <f t="shared" si="23"/>
        <v>479385.9</v>
      </c>
      <c r="T77" s="350">
        <f t="shared" si="24"/>
        <v>30599.099999999977</v>
      </c>
      <c r="U77" s="393"/>
    </row>
    <row r="78" spans="1:21">
      <c r="A78" s="378"/>
      <c r="B78" s="378"/>
      <c r="C78" s="378"/>
      <c r="D78" s="364" t="s">
        <v>1078</v>
      </c>
      <c r="E78" s="367">
        <v>74</v>
      </c>
      <c r="F78" s="393" t="s">
        <v>1437</v>
      </c>
      <c r="G78" s="393" t="s">
        <v>446</v>
      </c>
      <c r="H78" s="351">
        <v>330000</v>
      </c>
      <c r="I78" s="351">
        <v>43989</v>
      </c>
      <c r="J78" s="349">
        <f t="shared" si="18"/>
        <v>373989</v>
      </c>
      <c r="K78" s="348">
        <v>50</v>
      </c>
      <c r="L78" s="380">
        <v>7479.78</v>
      </c>
      <c r="M78" s="394">
        <f t="shared" si="17"/>
        <v>879.78</v>
      </c>
      <c r="N78" s="394">
        <f t="shared" si="19"/>
        <v>6600</v>
      </c>
      <c r="O78" s="394">
        <f t="shared" si="20"/>
        <v>27273.18</v>
      </c>
      <c r="P78" s="394">
        <f t="shared" si="21"/>
        <v>16715.82</v>
      </c>
      <c r="Q78" s="348">
        <v>31</v>
      </c>
      <c r="R78" s="354">
        <f t="shared" si="22"/>
        <v>19</v>
      </c>
      <c r="S78" s="350">
        <f t="shared" si="23"/>
        <v>231873.18</v>
      </c>
      <c r="T78" s="350">
        <f t="shared" si="24"/>
        <v>142115.82</v>
      </c>
      <c r="U78" s="393"/>
    </row>
    <row r="79" spans="1:21">
      <c r="A79" s="378"/>
      <c r="B79" s="378"/>
      <c r="C79" s="378"/>
      <c r="D79" s="393" t="s">
        <v>971</v>
      </c>
      <c r="E79" s="367">
        <v>75</v>
      </c>
      <c r="F79" s="393" t="s">
        <v>1437</v>
      </c>
      <c r="G79" s="393" t="s">
        <v>112</v>
      </c>
      <c r="H79" s="351">
        <v>330000</v>
      </c>
      <c r="I79" s="351">
        <v>43989</v>
      </c>
      <c r="J79" s="349">
        <f t="shared" si="18"/>
        <v>373989</v>
      </c>
      <c r="K79" s="348">
        <v>50</v>
      </c>
      <c r="L79" s="380">
        <v>7479.78</v>
      </c>
      <c r="M79" s="394">
        <f t="shared" si="17"/>
        <v>879.78</v>
      </c>
      <c r="N79" s="394">
        <f t="shared" si="19"/>
        <v>6600</v>
      </c>
      <c r="O79" s="394">
        <f t="shared" si="20"/>
        <v>6158.46</v>
      </c>
      <c r="P79" s="394">
        <f t="shared" si="21"/>
        <v>37830.54</v>
      </c>
      <c r="Q79" s="348">
        <v>7</v>
      </c>
      <c r="R79" s="354">
        <f t="shared" si="22"/>
        <v>43</v>
      </c>
      <c r="S79" s="350">
        <f t="shared" si="23"/>
        <v>52358.46</v>
      </c>
      <c r="T79" s="350">
        <f t="shared" si="24"/>
        <v>321630.53999999998</v>
      </c>
      <c r="U79" s="393"/>
    </row>
    <row r="80" spans="1:21">
      <c r="A80" s="378"/>
      <c r="B80" s="378"/>
      <c r="C80" s="378"/>
      <c r="D80" s="364" t="s">
        <v>1375</v>
      </c>
      <c r="E80" s="367">
        <v>76</v>
      </c>
      <c r="F80" s="393" t="s">
        <v>1437</v>
      </c>
      <c r="G80" s="393" t="s">
        <v>1376</v>
      </c>
      <c r="H80" s="351">
        <v>330000</v>
      </c>
      <c r="I80" s="351">
        <v>43989</v>
      </c>
      <c r="J80" s="349">
        <f t="shared" si="18"/>
        <v>373989</v>
      </c>
      <c r="K80" s="348">
        <v>50</v>
      </c>
      <c r="L80" s="380">
        <v>7479.78</v>
      </c>
      <c r="M80" s="394">
        <f t="shared" si="17"/>
        <v>879.78</v>
      </c>
      <c r="N80" s="394">
        <f t="shared" si="19"/>
        <v>6600</v>
      </c>
      <c r="O80" s="394">
        <f t="shared" si="20"/>
        <v>12316.92</v>
      </c>
      <c r="P80" s="394">
        <f t="shared" si="21"/>
        <v>31672.079999999998</v>
      </c>
      <c r="Q80" s="348">
        <v>14</v>
      </c>
      <c r="R80" s="354">
        <f t="shared" si="22"/>
        <v>36</v>
      </c>
      <c r="S80" s="350">
        <f t="shared" si="23"/>
        <v>104716.92</v>
      </c>
      <c r="T80" s="350">
        <f t="shared" si="24"/>
        <v>269272.08</v>
      </c>
      <c r="U80" s="393"/>
    </row>
    <row r="81" spans="1:21">
      <c r="A81" s="378"/>
      <c r="B81" s="378"/>
      <c r="C81" s="378"/>
      <c r="D81" s="364" t="s">
        <v>1392</v>
      </c>
      <c r="E81" s="367">
        <v>77</v>
      </c>
      <c r="F81" s="393" t="s">
        <v>1437</v>
      </c>
      <c r="G81" s="393" t="s">
        <v>1393</v>
      </c>
      <c r="H81" s="351">
        <v>150000</v>
      </c>
      <c r="I81" s="351">
        <v>19995</v>
      </c>
      <c r="J81" s="349">
        <f t="shared" si="18"/>
        <v>169995</v>
      </c>
      <c r="K81" s="348">
        <v>40</v>
      </c>
      <c r="L81" s="380">
        <v>4149.8999999999996</v>
      </c>
      <c r="M81" s="394">
        <f t="shared" si="17"/>
        <v>399.9</v>
      </c>
      <c r="N81" s="394">
        <f t="shared" si="19"/>
        <v>3000</v>
      </c>
      <c r="O81" s="394">
        <f t="shared" si="20"/>
        <v>9197.6999999999989</v>
      </c>
      <c r="P81" s="394">
        <f t="shared" si="21"/>
        <v>6798.2999999999993</v>
      </c>
      <c r="Q81" s="348">
        <v>23</v>
      </c>
      <c r="R81" s="354">
        <f t="shared" si="22"/>
        <v>17</v>
      </c>
      <c r="S81" s="350">
        <f t="shared" si="23"/>
        <v>95447.7</v>
      </c>
      <c r="T81" s="350">
        <f t="shared" si="24"/>
        <v>74547.3</v>
      </c>
      <c r="U81" s="393"/>
    </row>
    <row r="82" spans="1:21">
      <c r="A82" s="378"/>
      <c r="B82" s="378"/>
      <c r="C82" s="378"/>
      <c r="D82" s="393" t="s">
        <v>1438</v>
      </c>
      <c r="E82" s="367">
        <v>78</v>
      </c>
      <c r="F82" s="393" t="s">
        <v>1437</v>
      </c>
      <c r="G82" s="393" t="s">
        <v>1439</v>
      </c>
      <c r="H82" s="351">
        <v>450000</v>
      </c>
      <c r="I82" s="351">
        <v>59985</v>
      </c>
      <c r="J82" s="349">
        <f t="shared" si="18"/>
        <v>509985</v>
      </c>
      <c r="K82" s="348">
        <v>50</v>
      </c>
      <c r="L82" s="380">
        <v>10199.700000000001</v>
      </c>
      <c r="M82" s="394">
        <f t="shared" si="17"/>
        <v>1199.7</v>
      </c>
      <c r="N82" s="394">
        <f t="shared" si="19"/>
        <v>9000</v>
      </c>
      <c r="O82" s="394">
        <f t="shared" si="20"/>
        <v>53986.5</v>
      </c>
      <c r="P82" s="394">
        <f t="shared" si="21"/>
        <v>5998.5</v>
      </c>
      <c r="Q82" s="348">
        <v>45</v>
      </c>
      <c r="R82" s="354">
        <f t="shared" si="22"/>
        <v>5</v>
      </c>
      <c r="S82" s="350">
        <f t="shared" si="23"/>
        <v>458986.50000000006</v>
      </c>
      <c r="T82" s="350">
        <f t="shared" si="24"/>
        <v>50998.499999999942</v>
      </c>
      <c r="U82" s="402"/>
    </row>
    <row r="83" spans="1:21">
      <c r="A83" s="378"/>
      <c r="B83" s="378"/>
      <c r="C83" s="378"/>
      <c r="D83" s="364" t="s">
        <v>982</v>
      </c>
      <c r="E83" s="367">
        <v>79</v>
      </c>
      <c r="F83" s="393" t="s">
        <v>1437</v>
      </c>
      <c r="G83" s="393" t="s">
        <v>350</v>
      </c>
      <c r="H83" s="351">
        <v>500000</v>
      </c>
      <c r="I83" s="351">
        <v>66650</v>
      </c>
      <c r="J83" s="349">
        <f t="shared" si="18"/>
        <v>566650</v>
      </c>
      <c r="K83" s="348">
        <v>50</v>
      </c>
      <c r="L83" s="380">
        <v>11333</v>
      </c>
      <c r="M83" s="394">
        <f t="shared" si="17"/>
        <v>1333</v>
      </c>
      <c r="N83" s="394">
        <f t="shared" si="19"/>
        <v>10000</v>
      </c>
      <c r="O83" s="394">
        <f t="shared" si="20"/>
        <v>53320</v>
      </c>
      <c r="P83" s="394">
        <f t="shared" si="21"/>
        <v>13330</v>
      </c>
      <c r="Q83" s="348">
        <v>40</v>
      </c>
      <c r="R83" s="354">
        <f t="shared" si="22"/>
        <v>10</v>
      </c>
      <c r="S83" s="350">
        <f t="shared" si="23"/>
        <v>453320</v>
      </c>
      <c r="T83" s="350">
        <f t="shared" si="24"/>
        <v>113330</v>
      </c>
      <c r="U83" s="393"/>
    </row>
    <row r="84" spans="1:21">
      <c r="A84" s="378"/>
      <c r="B84" s="378"/>
      <c r="C84" s="378"/>
      <c r="D84" s="363" t="s">
        <v>965</v>
      </c>
      <c r="E84" s="367">
        <v>80</v>
      </c>
      <c r="F84" s="393" t="s">
        <v>1437</v>
      </c>
      <c r="G84" s="393" t="s">
        <v>334</v>
      </c>
      <c r="H84" s="351">
        <v>500000</v>
      </c>
      <c r="I84" s="351">
        <v>66650</v>
      </c>
      <c r="J84" s="349">
        <f t="shared" si="18"/>
        <v>566650</v>
      </c>
      <c r="K84" s="348">
        <v>50</v>
      </c>
      <c r="L84" s="380">
        <v>11333</v>
      </c>
      <c r="M84" s="394">
        <f t="shared" si="17"/>
        <v>1333</v>
      </c>
      <c r="N84" s="394">
        <f t="shared" si="19"/>
        <v>10000</v>
      </c>
      <c r="O84" s="394">
        <f t="shared" si="20"/>
        <v>63984</v>
      </c>
      <c r="P84" s="394">
        <f t="shared" si="21"/>
        <v>2666</v>
      </c>
      <c r="Q84" s="348">
        <v>48</v>
      </c>
      <c r="R84" s="354">
        <f t="shared" si="22"/>
        <v>2</v>
      </c>
      <c r="S84" s="350">
        <f t="shared" si="23"/>
        <v>543984</v>
      </c>
      <c r="T84" s="350">
        <f t="shared" si="24"/>
        <v>22666</v>
      </c>
      <c r="U84" s="393"/>
    </row>
    <row r="85" spans="1:21">
      <c r="A85" s="378"/>
      <c r="B85" s="378"/>
      <c r="C85" s="378"/>
      <c r="D85" s="115" t="s">
        <v>1402</v>
      </c>
      <c r="E85" s="367">
        <v>81</v>
      </c>
      <c r="F85" s="393" t="s">
        <v>1437</v>
      </c>
      <c r="G85" s="393" t="s">
        <v>1403</v>
      </c>
      <c r="H85" s="351">
        <v>150000</v>
      </c>
      <c r="I85" s="351">
        <v>19995</v>
      </c>
      <c r="J85" s="349">
        <f t="shared" si="18"/>
        <v>169995</v>
      </c>
      <c r="K85" s="348">
        <v>50</v>
      </c>
      <c r="L85" s="380">
        <v>3399.9</v>
      </c>
      <c r="M85" s="394">
        <f t="shared" si="17"/>
        <v>399.9</v>
      </c>
      <c r="N85" s="394">
        <f t="shared" si="19"/>
        <v>3000</v>
      </c>
      <c r="O85" s="394">
        <f t="shared" si="20"/>
        <v>4398.8999999999996</v>
      </c>
      <c r="P85" s="394">
        <f t="shared" si="21"/>
        <v>15596.099999999999</v>
      </c>
      <c r="Q85" s="348">
        <v>11</v>
      </c>
      <c r="R85" s="354">
        <f t="shared" si="22"/>
        <v>39</v>
      </c>
      <c r="S85" s="350">
        <f t="shared" si="23"/>
        <v>37398.9</v>
      </c>
      <c r="T85" s="350">
        <f t="shared" si="24"/>
        <v>132596.1</v>
      </c>
      <c r="U85" s="393"/>
    </row>
    <row r="86" spans="1:21">
      <c r="A86" s="378"/>
      <c r="B86" s="378"/>
      <c r="C86" s="378"/>
      <c r="D86" s="116" t="s">
        <v>1355</v>
      </c>
      <c r="E86" s="367">
        <v>82</v>
      </c>
      <c r="F86" s="393" t="s">
        <v>1437</v>
      </c>
      <c r="G86" s="393" t="s">
        <v>1287</v>
      </c>
      <c r="H86" s="351">
        <v>450000</v>
      </c>
      <c r="I86" s="351">
        <v>59985</v>
      </c>
      <c r="J86" s="349">
        <f t="shared" si="18"/>
        <v>509985</v>
      </c>
      <c r="K86" s="348">
        <v>50</v>
      </c>
      <c r="L86" s="380">
        <v>10199.700000000001</v>
      </c>
      <c r="M86" s="394">
        <f t="shared" si="17"/>
        <v>1199.7</v>
      </c>
      <c r="N86" s="394">
        <f t="shared" si="19"/>
        <v>9000</v>
      </c>
      <c r="O86" s="394">
        <f t="shared" si="20"/>
        <v>19195.2</v>
      </c>
      <c r="P86" s="394">
        <f t="shared" si="21"/>
        <v>40789.800000000003</v>
      </c>
      <c r="Q86" s="348">
        <v>16</v>
      </c>
      <c r="R86" s="354">
        <f t="shared" si="22"/>
        <v>34</v>
      </c>
      <c r="S86" s="350">
        <f t="shared" si="23"/>
        <v>163195.20000000001</v>
      </c>
      <c r="T86" s="350">
        <f t="shared" si="24"/>
        <v>346789.8</v>
      </c>
      <c r="U86" s="393"/>
    </row>
    <row r="87" spans="1:21">
      <c r="A87" s="378"/>
      <c r="B87" s="378"/>
      <c r="C87" s="378"/>
      <c r="D87" s="393" t="s">
        <v>1025</v>
      </c>
      <c r="E87" s="367">
        <v>83</v>
      </c>
      <c r="F87" s="393" t="s">
        <v>1437</v>
      </c>
      <c r="G87" s="393" t="s">
        <v>333</v>
      </c>
      <c r="H87" s="351">
        <v>500000</v>
      </c>
      <c r="I87" s="351">
        <v>66650</v>
      </c>
      <c r="J87" s="349">
        <f t="shared" si="18"/>
        <v>566650</v>
      </c>
      <c r="K87" s="348">
        <v>50</v>
      </c>
      <c r="L87" s="380">
        <v>11333</v>
      </c>
      <c r="M87" s="394">
        <f t="shared" si="17"/>
        <v>1333</v>
      </c>
      <c r="N87" s="394">
        <f t="shared" si="19"/>
        <v>10000</v>
      </c>
      <c r="O87" s="394">
        <f t="shared" si="20"/>
        <v>5332</v>
      </c>
      <c r="P87" s="394">
        <f t="shared" si="21"/>
        <v>61318</v>
      </c>
      <c r="Q87" s="348">
        <v>4</v>
      </c>
      <c r="R87" s="354">
        <f t="shared" si="22"/>
        <v>46</v>
      </c>
      <c r="S87" s="350">
        <f t="shared" si="23"/>
        <v>45332</v>
      </c>
      <c r="T87" s="350">
        <f t="shared" si="24"/>
        <v>521318</v>
      </c>
      <c r="U87" s="393"/>
    </row>
    <row r="88" spans="1:21">
      <c r="A88" s="378"/>
      <c r="B88" s="378"/>
      <c r="C88" s="378"/>
      <c r="D88" s="393" t="s">
        <v>1465</v>
      </c>
      <c r="E88" s="367">
        <v>84</v>
      </c>
      <c r="F88" s="393" t="s">
        <v>1437</v>
      </c>
      <c r="G88" s="393" t="s">
        <v>1466</v>
      </c>
      <c r="H88" s="351">
        <v>500000</v>
      </c>
      <c r="I88" s="351">
        <v>66650</v>
      </c>
      <c r="J88" s="349">
        <f t="shared" si="18"/>
        <v>566650</v>
      </c>
      <c r="K88" s="348">
        <v>50</v>
      </c>
      <c r="L88" s="380">
        <v>11333</v>
      </c>
      <c r="M88" s="394">
        <f t="shared" si="17"/>
        <v>1333</v>
      </c>
      <c r="N88" s="394">
        <f t="shared" si="19"/>
        <v>10000</v>
      </c>
      <c r="O88" s="394">
        <f t="shared" si="20"/>
        <v>5332</v>
      </c>
      <c r="P88" s="394">
        <f t="shared" si="21"/>
        <v>61318</v>
      </c>
      <c r="Q88" s="348">
        <v>4</v>
      </c>
      <c r="R88" s="354">
        <f t="shared" si="22"/>
        <v>46</v>
      </c>
      <c r="S88" s="350">
        <f t="shared" si="23"/>
        <v>45332</v>
      </c>
      <c r="T88" s="350">
        <f t="shared" si="24"/>
        <v>521318</v>
      </c>
      <c r="U88" s="393"/>
    </row>
    <row r="89" spans="1:21">
      <c r="A89" s="378"/>
      <c r="B89" s="378"/>
      <c r="C89" s="378"/>
      <c r="D89" s="364" t="s">
        <v>1351</v>
      </c>
      <c r="E89" s="367">
        <v>85</v>
      </c>
      <c r="F89" s="393" t="s">
        <v>1437</v>
      </c>
      <c r="G89" s="393" t="s">
        <v>1285</v>
      </c>
      <c r="H89" s="351">
        <v>500000</v>
      </c>
      <c r="I89" s="351">
        <v>66650</v>
      </c>
      <c r="J89" s="349">
        <f t="shared" si="18"/>
        <v>566650</v>
      </c>
      <c r="K89" s="348">
        <v>50</v>
      </c>
      <c r="L89" s="380">
        <v>11333</v>
      </c>
      <c r="M89" s="394">
        <f t="shared" si="17"/>
        <v>1333</v>
      </c>
      <c r="N89" s="394">
        <f t="shared" si="19"/>
        <v>10000</v>
      </c>
      <c r="O89" s="394">
        <f t="shared" si="20"/>
        <v>21328</v>
      </c>
      <c r="P89" s="394">
        <f t="shared" si="21"/>
        <v>45322</v>
      </c>
      <c r="Q89" s="348">
        <v>16</v>
      </c>
      <c r="R89" s="354">
        <f t="shared" si="22"/>
        <v>34</v>
      </c>
      <c r="S89" s="350">
        <f t="shared" si="23"/>
        <v>181328</v>
      </c>
      <c r="T89" s="350">
        <f t="shared" si="24"/>
        <v>385322</v>
      </c>
      <c r="U89" s="393"/>
    </row>
    <row r="90" spans="1:21">
      <c r="A90" s="378"/>
      <c r="B90" s="378"/>
      <c r="C90" s="378"/>
      <c r="D90" s="364" t="s">
        <v>960</v>
      </c>
      <c r="E90" s="367">
        <v>86</v>
      </c>
      <c r="F90" s="393" t="s">
        <v>1437</v>
      </c>
      <c r="G90" s="393" t="s">
        <v>488</v>
      </c>
      <c r="H90" s="351">
        <v>500000</v>
      </c>
      <c r="I90" s="351">
        <v>66650</v>
      </c>
      <c r="J90" s="349">
        <f t="shared" si="18"/>
        <v>566650</v>
      </c>
      <c r="K90" s="348">
        <v>50</v>
      </c>
      <c r="L90" s="380">
        <v>11333</v>
      </c>
      <c r="M90" s="394">
        <f t="shared" si="17"/>
        <v>1333</v>
      </c>
      <c r="N90" s="394">
        <f t="shared" si="19"/>
        <v>10000</v>
      </c>
      <c r="O90" s="394">
        <f t="shared" si="20"/>
        <v>47988</v>
      </c>
      <c r="P90" s="394">
        <f t="shared" si="21"/>
        <v>18662</v>
      </c>
      <c r="Q90" s="348">
        <v>36</v>
      </c>
      <c r="R90" s="354">
        <f t="shared" si="22"/>
        <v>14</v>
      </c>
      <c r="S90" s="350">
        <f t="shared" si="23"/>
        <v>407988</v>
      </c>
      <c r="T90" s="350">
        <f t="shared" si="24"/>
        <v>158662</v>
      </c>
      <c r="U90" s="393"/>
    </row>
    <row r="91" spans="1:21">
      <c r="A91" s="378"/>
      <c r="B91" s="378"/>
      <c r="C91" s="378"/>
      <c r="D91" s="363" t="s">
        <v>1011</v>
      </c>
      <c r="E91" s="367">
        <v>87</v>
      </c>
      <c r="F91" s="393" t="s">
        <v>1437</v>
      </c>
      <c r="G91" s="393" t="s">
        <v>863</v>
      </c>
      <c r="H91" s="351">
        <v>500000</v>
      </c>
      <c r="I91" s="351">
        <v>66650</v>
      </c>
      <c r="J91" s="349">
        <f t="shared" si="18"/>
        <v>566650</v>
      </c>
      <c r="K91" s="348">
        <v>50</v>
      </c>
      <c r="L91" s="380">
        <v>11333</v>
      </c>
      <c r="M91" s="394">
        <f t="shared" si="17"/>
        <v>1333</v>
      </c>
      <c r="N91" s="394">
        <f t="shared" si="19"/>
        <v>10000</v>
      </c>
      <c r="O91" s="394">
        <f t="shared" si="20"/>
        <v>41323</v>
      </c>
      <c r="P91" s="394">
        <f t="shared" si="21"/>
        <v>25327</v>
      </c>
      <c r="Q91" s="348">
        <v>31</v>
      </c>
      <c r="R91" s="354">
        <f t="shared" si="22"/>
        <v>19</v>
      </c>
      <c r="S91" s="350">
        <f t="shared" si="23"/>
        <v>351323</v>
      </c>
      <c r="T91" s="350">
        <f t="shared" si="24"/>
        <v>215327</v>
      </c>
      <c r="U91" s="393"/>
    </row>
    <row r="92" spans="1:21">
      <c r="A92" s="378"/>
      <c r="B92" s="378"/>
      <c r="C92" s="378"/>
      <c r="D92" s="364" t="s">
        <v>1042</v>
      </c>
      <c r="E92" s="367">
        <v>88</v>
      </c>
      <c r="F92" s="393" t="s">
        <v>1437</v>
      </c>
      <c r="G92" s="393" t="s">
        <v>359</v>
      </c>
      <c r="H92" s="351">
        <v>500000</v>
      </c>
      <c r="I92" s="351">
        <v>66650</v>
      </c>
      <c r="J92" s="349">
        <f t="shared" si="18"/>
        <v>566650</v>
      </c>
      <c r="K92" s="348">
        <v>50</v>
      </c>
      <c r="L92" s="380">
        <v>11333</v>
      </c>
      <c r="M92" s="394">
        <f t="shared" si="17"/>
        <v>1333</v>
      </c>
      <c r="N92" s="394">
        <f t="shared" si="19"/>
        <v>10000</v>
      </c>
      <c r="O92" s="394">
        <f t="shared" si="20"/>
        <v>14663</v>
      </c>
      <c r="P92" s="394">
        <f t="shared" si="21"/>
        <v>51987</v>
      </c>
      <c r="Q92" s="348">
        <v>11</v>
      </c>
      <c r="R92" s="354">
        <f t="shared" si="22"/>
        <v>39</v>
      </c>
      <c r="S92" s="350">
        <f t="shared" si="23"/>
        <v>124663</v>
      </c>
      <c r="T92" s="350">
        <f t="shared" si="24"/>
        <v>441987</v>
      </c>
      <c r="U92" s="393"/>
    </row>
    <row r="93" spans="1:21">
      <c r="A93" s="378"/>
      <c r="B93" s="378"/>
      <c r="C93" s="378"/>
      <c r="D93" s="116" t="s">
        <v>1045</v>
      </c>
      <c r="E93" s="367">
        <v>89</v>
      </c>
      <c r="F93" s="393" t="s">
        <v>1437</v>
      </c>
      <c r="G93" s="393" t="s">
        <v>867</v>
      </c>
      <c r="H93" s="351">
        <v>500000</v>
      </c>
      <c r="I93" s="351">
        <v>66650</v>
      </c>
      <c r="J93" s="349">
        <f t="shared" si="18"/>
        <v>566650</v>
      </c>
      <c r="K93" s="348">
        <v>50</v>
      </c>
      <c r="L93" s="380">
        <v>11333</v>
      </c>
      <c r="M93" s="394">
        <f t="shared" si="17"/>
        <v>1333</v>
      </c>
      <c r="N93" s="394">
        <f t="shared" si="19"/>
        <v>10000</v>
      </c>
      <c r="O93" s="394">
        <f t="shared" si="20"/>
        <v>42656</v>
      </c>
      <c r="P93" s="394">
        <f t="shared" si="21"/>
        <v>23994</v>
      </c>
      <c r="Q93" s="348">
        <v>32</v>
      </c>
      <c r="R93" s="354">
        <f t="shared" si="22"/>
        <v>18</v>
      </c>
      <c r="S93" s="350">
        <f t="shared" si="23"/>
        <v>362656</v>
      </c>
      <c r="T93" s="350">
        <f t="shared" si="24"/>
        <v>203994</v>
      </c>
      <c r="U93" s="393"/>
    </row>
    <row r="94" spans="1:21">
      <c r="A94" s="378"/>
      <c r="B94" s="378"/>
      <c r="C94" s="378"/>
      <c r="D94" s="364" t="s">
        <v>1323</v>
      </c>
      <c r="E94" s="367">
        <v>90</v>
      </c>
      <c r="F94" s="393" t="s">
        <v>1437</v>
      </c>
      <c r="G94" s="393" t="s">
        <v>448</v>
      </c>
      <c r="H94" s="351">
        <v>500000</v>
      </c>
      <c r="I94" s="351">
        <v>66650</v>
      </c>
      <c r="J94" s="349">
        <f t="shared" si="18"/>
        <v>566650</v>
      </c>
      <c r="K94" s="348">
        <v>50</v>
      </c>
      <c r="L94" s="380">
        <v>11333</v>
      </c>
      <c r="M94" s="394">
        <f t="shared" si="17"/>
        <v>1333</v>
      </c>
      <c r="N94" s="394">
        <f t="shared" si="19"/>
        <v>10000</v>
      </c>
      <c r="O94" s="394">
        <f t="shared" si="20"/>
        <v>29326</v>
      </c>
      <c r="P94" s="394">
        <f t="shared" si="21"/>
        <v>37324</v>
      </c>
      <c r="Q94" s="348">
        <v>22</v>
      </c>
      <c r="R94" s="354">
        <f t="shared" si="22"/>
        <v>28</v>
      </c>
      <c r="S94" s="350">
        <f t="shared" si="23"/>
        <v>249326</v>
      </c>
      <c r="T94" s="350">
        <f t="shared" si="24"/>
        <v>317324</v>
      </c>
      <c r="U94" s="393"/>
    </row>
    <row r="95" spans="1:21" ht="21">
      <c r="A95" s="378"/>
      <c r="B95" s="378"/>
      <c r="C95" s="378"/>
      <c r="D95" s="393" t="s">
        <v>1483</v>
      </c>
      <c r="E95" s="367">
        <v>91</v>
      </c>
      <c r="F95" s="393" t="s">
        <v>1437</v>
      </c>
      <c r="G95" s="393" t="s">
        <v>1484</v>
      </c>
      <c r="H95" s="351">
        <v>150000</v>
      </c>
      <c r="I95" s="351">
        <v>19995</v>
      </c>
      <c r="J95" s="349">
        <f t="shared" si="18"/>
        <v>169995</v>
      </c>
      <c r="K95" s="348">
        <v>50</v>
      </c>
      <c r="L95" s="380">
        <v>3399.5</v>
      </c>
      <c r="M95" s="394">
        <f t="shared" si="17"/>
        <v>399.9</v>
      </c>
      <c r="N95" s="394">
        <f t="shared" si="19"/>
        <v>3000</v>
      </c>
      <c r="O95" s="394">
        <f t="shared" si="20"/>
        <v>7998</v>
      </c>
      <c r="P95" s="394">
        <f t="shared" si="21"/>
        <v>11997</v>
      </c>
      <c r="Q95" s="348">
        <v>20</v>
      </c>
      <c r="R95" s="354">
        <f t="shared" si="22"/>
        <v>30</v>
      </c>
      <c r="S95" s="350">
        <f t="shared" si="23"/>
        <v>67990</v>
      </c>
      <c r="T95" s="350">
        <f t="shared" si="24"/>
        <v>102005</v>
      </c>
      <c r="U95" s="401" t="s">
        <v>1444</v>
      </c>
    </row>
    <row r="96" spans="1:21">
      <c r="A96" s="378"/>
      <c r="B96" s="378"/>
      <c r="C96" s="378"/>
      <c r="D96" s="363" t="s">
        <v>1037</v>
      </c>
      <c r="E96" s="367">
        <v>92</v>
      </c>
      <c r="F96" s="393" t="s">
        <v>1437</v>
      </c>
      <c r="G96" s="393" t="s">
        <v>326</v>
      </c>
      <c r="H96" s="351">
        <v>500000</v>
      </c>
      <c r="I96" s="351">
        <v>66650</v>
      </c>
      <c r="J96" s="349">
        <f t="shared" si="18"/>
        <v>566650</v>
      </c>
      <c r="K96" s="348">
        <v>50</v>
      </c>
      <c r="L96" s="380">
        <v>11333</v>
      </c>
      <c r="M96" s="394">
        <f t="shared" si="17"/>
        <v>1333</v>
      </c>
      <c r="N96" s="394">
        <f t="shared" si="19"/>
        <v>10000</v>
      </c>
      <c r="O96" s="394">
        <f t="shared" si="20"/>
        <v>62651</v>
      </c>
      <c r="P96" s="394">
        <f t="shared" si="21"/>
        <v>3999</v>
      </c>
      <c r="Q96" s="348">
        <v>47</v>
      </c>
      <c r="R96" s="354">
        <f t="shared" si="22"/>
        <v>3</v>
      </c>
      <c r="S96" s="350">
        <f t="shared" si="23"/>
        <v>532651</v>
      </c>
      <c r="T96" s="350">
        <f t="shared" si="24"/>
        <v>33999</v>
      </c>
      <c r="U96" s="393"/>
    </row>
    <row r="97" spans="1:21">
      <c r="A97" s="378"/>
      <c r="B97" s="378"/>
      <c r="C97" s="378"/>
      <c r="D97" s="363" t="s">
        <v>1002</v>
      </c>
      <c r="E97" s="367">
        <v>93</v>
      </c>
      <c r="F97" s="393" t="s">
        <v>1437</v>
      </c>
      <c r="G97" s="393" t="s">
        <v>1003</v>
      </c>
      <c r="H97" s="351">
        <v>150000</v>
      </c>
      <c r="I97" s="351">
        <v>19995</v>
      </c>
      <c r="J97" s="349">
        <f t="shared" si="18"/>
        <v>169995</v>
      </c>
      <c r="K97" s="348">
        <v>50</v>
      </c>
      <c r="L97" s="380">
        <v>3399.9</v>
      </c>
      <c r="M97" s="394">
        <f t="shared" si="17"/>
        <v>399.9</v>
      </c>
      <c r="N97" s="394">
        <f t="shared" si="19"/>
        <v>3000</v>
      </c>
      <c r="O97" s="394">
        <f t="shared" si="20"/>
        <v>11197.199999999999</v>
      </c>
      <c r="P97" s="394">
        <f t="shared" si="21"/>
        <v>8797.7999999999993</v>
      </c>
      <c r="Q97" s="348">
        <v>28</v>
      </c>
      <c r="R97" s="354">
        <f t="shared" si="22"/>
        <v>22</v>
      </c>
      <c r="S97" s="350">
        <f t="shared" si="23"/>
        <v>95197.2</v>
      </c>
      <c r="T97" s="350">
        <f t="shared" si="24"/>
        <v>74797.8</v>
      </c>
      <c r="U97" s="393"/>
    </row>
    <row r="98" spans="1:21">
      <c r="A98" s="378"/>
      <c r="B98" s="378"/>
      <c r="C98" s="378"/>
      <c r="D98" s="363" t="s">
        <v>1315</v>
      </c>
      <c r="E98" s="367">
        <v>94</v>
      </c>
      <c r="F98" s="393" t="s">
        <v>1437</v>
      </c>
      <c r="G98" s="393" t="s">
        <v>1316</v>
      </c>
      <c r="H98" s="351">
        <v>450000</v>
      </c>
      <c r="I98" s="351">
        <v>28792.799999999999</v>
      </c>
      <c r="J98" s="349">
        <f t="shared" si="18"/>
        <v>478792.8</v>
      </c>
      <c r="K98" s="348">
        <v>24</v>
      </c>
      <c r="L98" s="380">
        <v>19949.7</v>
      </c>
      <c r="M98" s="394">
        <f>I98/24</f>
        <v>1199.7</v>
      </c>
      <c r="N98" s="394">
        <f t="shared" si="19"/>
        <v>9000</v>
      </c>
      <c r="O98" s="394">
        <f t="shared" si="20"/>
        <v>13196.7</v>
      </c>
      <c r="P98" s="394">
        <f t="shared" si="21"/>
        <v>15596.1</v>
      </c>
      <c r="Q98" s="348">
        <v>11</v>
      </c>
      <c r="R98" s="354">
        <f t="shared" si="22"/>
        <v>13</v>
      </c>
      <c r="S98" s="350">
        <f t="shared" si="23"/>
        <v>219446.7</v>
      </c>
      <c r="T98" s="350">
        <f t="shared" si="24"/>
        <v>259346.09999999998</v>
      </c>
      <c r="U98" s="393"/>
    </row>
    <row r="99" spans="1:21">
      <c r="A99" s="378"/>
      <c r="B99" s="378"/>
      <c r="C99" s="378"/>
      <c r="D99" s="364" t="s">
        <v>1404</v>
      </c>
      <c r="E99" s="367">
        <v>95</v>
      </c>
      <c r="F99" s="393" t="s">
        <v>1437</v>
      </c>
      <c r="G99" s="393" t="s">
        <v>1405</v>
      </c>
      <c r="H99" s="351">
        <v>150000</v>
      </c>
      <c r="I99" s="351">
        <v>19995</v>
      </c>
      <c r="J99" s="349">
        <f t="shared" si="18"/>
        <v>169995</v>
      </c>
      <c r="K99" s="348">
        <v>50</v>
      </c>
      <c r="L99" s="380">
        <v>3399.9</v>
      </c>
      <c r="M99" s="394">
        <f t="shared" ref="M99:M130" si="25">I99/50</f>
        <v>399.9</v>
      </c>
      <c r="N99" s="394">
        <f t="shared" si="19"/>
        <v>3000</v>
      </c>
      <c r="O99" s="394">
        <f t="shared" si="20"/>
        <v>4398.8999999999996</v>
      </c>
      <c r="P99" s="394">
        <f t="shared" si="21"/>
        <v>15596.099999999999</v>
      </c>
      <c r="Q99" s="348">
        <v>11</v>
      </c>
      <c r="R99" s="354">
        <f t="shared" si="22"/>
        <v>39</v>
      </c>
      <c r="S99" s="350">
        <f t="shared" si="23"/>
        <v>37398.9</v>
      </c>
      <c r="T99" s="350">
        <f t="shared" si="24"/>
        <v>132596.1</v>
      </c>
      <c r="U99" s="393"/>
    </row>
    <row r="100" spans="1:21">
      <c r="A100" s="378"/>
      <c r="B100" s="378"/>
      <c r="C100" s="378"/>
      <c r="D100" s="363" t="s">
        <v>1381</v>
      </c>
      <c r="E100" s="367">
        <v>96</v>
      </c>
      <c r="F100" s="393" t="s">
        <v>1437</v>
      </c>
      <c r="G100" s="393" t="s">
        <v>1129</v>
      </c>
      <c r="H100" s="351">
        <v>330000</v>
      </c>
      <c r="I100" s="351">
        <v>43989</v>
      </c>
      <c r="J100" s="349">
        <f t="shared" si="18"/>
        <v>373989</v>
      </c>
      <c r="K100" s="348">
        <v>50</v>
      </c>
      <c r="L100" s="380">
        <v>7479.78</v>
      </c>
      <c r="M100" s="394">
        <f t="shared" si="25"/>
        <v>879.78</v>
      </c>
      <c r="N100" s="394">
        <f t="shared" si="19"/>
        <v>6600</v>
      </c>
      <c r="O100" s="394">
        <f t="shared" si="20"/>
        <v>20234.939999999999</v>
      </c>
      <c r="P100" s="394">
        <f t="shared" si="21"/>
        <v>23754.059999999998</v>
      </c>
      <c r="Q100" s="348">
        <v>23</v>
      </c>
      <c r="R100" s="354">
        <f t="shared" si="22"/>
        <v>27</v>
      </c>
      <c r="S100" s="350">
        <f t="shared" si="23"/>
        <v>172034.94</v>
      </c>
      <c r="T100" s="350">
        <f t="shared" si="24"/>
        <v>201954.06</v>
      </c>
      <c r="U100" s="393"/>
    </row>
    <row r="101" spans="1:21">
      <c r="A101" s="378"/>
      <c r="B101" s="378"/>
      <c r="C101" s="378"/>
      <c r="D101" s="393" t="s">
        <v>1417</v>
      </c>
      <c r="E101" s="367">
        <v>97</v>
      </c>
      <c r="F101" s="393" t="s">
        <v>1437</v>
      </c>
      <c r="G101" s="393" t="s">
        <v>477</v>
      </c>
      <c r="H101" s="351">
        <v>330000</v>
      </c>
      <c r="I101" s="351">
        <v>43989</v>
      </c>
      <c r="J101" s="349">
        <f t="shared" ref="J101:J132" si="26">SUM(H101:I101)</f>
        <v>373989</v>
      </c>
      <c r="K101" s="348">
        <v>50</v>
      </c>
      <c r="L101" s="380">
        <v>7479.78</v>
      </c>
      <c r="M101" s="394">
        <f t="shared" si="25"/>
        <v>879.78</v>
      </c>
      <c r="N101" s="394">
        <f t="shared" ref="N101:N132" si="27">H101/50</f>
        <v>6600</v>
      </c>
      <c r="O101" s="394">
        <f t="shared" ref="O101:O132" si="28">M101*Q101</f>
        <v>7918.0199999999995</v>
      </c>
      <c r="P101" s="394">
        <f t="shared" ref="P101:P132" si="29">M101*R101</f>
        <v>36070.979999999996</v>
      </c>
      <c r="Q101" s="348">
        <v>9</v>
      </c>
      <c r="R101" s="354">
        <f t="shared" ref="R101:R132" si="30">K101-Q101</f>
        <v>41</v>
      </c>
      <c r="S101" s="350">
        <f t="shared" ref="S101:S132" si="31">L101*Q101</f>
        <v>67318.02</v>
      </c>
      <c r="T101" s="350">
        <f t="shared" ref="T101:T132" si="32">J101-S101</f>
        <v>306670.98</v>
      </c>
      <c r="U101" s="393"/>
    </row>
    <row r="102" spans="1:21">
      <c r="A102" s="378"/>
      <c r="B102" s="378"/>
      <c r="C102" s="378"/>
      <c r="D102" s="363" t="s">
        <v>1061</v>
      </c>
      <c r="E102" s="367">
        <v>98</v>
      </c>
      <c r="F102" s="393" t="s">
        <v>1437</v>
      </c>
      <c r="G102" s="393" t="s">
        <v>854</v>
      </c>
      <c r="H102" s="351">
        <v>330000</v>
      </c>
      <c r="I102" s="351">
        <v>43989</v>
      </c>
      <c r="J102" s="349">
        <f t="shared" si="26"/>
        <v>373989</v>
      </c>
      <c r="K102" s="348">
        <v>50</v>
      </c>
      <c r="L102" s="380">
        <v>7479.78</v>
      </c>
      <c r="M102" s="394">
        <f t="shared" si="25"/>
        <v>879.78</v>
      </c>
      <c r="N102" s="394">
        <f t="shared" si="27"/>
        <v>6600</v>
      </c>
      <c r="O102" s="394">
        <f t="shared" si="28"/>
        <v>25513.62</v>
      </c>
      <c r="P102" s="394">
        <f t="shared" si="29"/>
        <v>18475.38</v>
      </c>
      <c r="Q102" s="348">
        <v>29</v>
      </c>
      <c r="R102" s="354">
        <f t="shared" si="30"/>
        <v>21</v>
      </c>
      <c r="S102" s="350">
        <f t="shared" si="31"/>
        <v>216913.62</v>
      </c>
      <c r="T102" s="350">
        <f t="shared" si="32"/>
        <v>157075.38</v>
      </c>
      <c r="U102" s="393"/>
    </row>
    <row r="103" spans="1:21">
      <c r="A103" s="378"/>
      <c r="B103" s="378"/>
      <c r="C103" s="378"/>
      <c r="D103" s="364" t="s">
        <v>969</v>
      </c>
      <c r="E103" s="367">
        <v>99</v>
      </c>
      <c r="F103" s="393" t="s">
        <v>1437</v>
      </c>
      <c r="G103" s="393" t="s">
        <v>851</v>
      </c>
      <c r="H103" s="351">
        <v>150000</v>
      </c>
      <c r="I103" s="351">
        <v>19995</v>
      </c>
      <c r="J103" s="349">
        <f t="shared" si="26"/>
        <v>169995</v>
      </c>
      <c r="K103" s="348">
        <v>50</v>
      </c>
      <c r="L103" s="380">
        <v>3399.9</v>
      </c>
      <c r="M103" s="394">
        <f t="shared" si="25"/>
        <v>399.9</v>
      </c>
      <c r="N103" s="394">
        <f t="shared" si="27"/>
        <v>3000</v>
      </c>
      <c r="O103" s="394">
        <f t="shared" si="28"/>
        <v>4398.8999999999996</v>
      </c>
      <c r="P103" s="394">
        <f t="shared" si="29"/>
        <v>15596.099999999999</v>
      </c>
      <c r="Q103" s="348">
        <v>11</v>
      </c>
      <c r="R103" s="354">
        <f t="shared" si="30"/>
        <v>39</v>
      </c>
      <c r="S103" s="350">
        <f t="shared" si="31"/>
        <v>37398.9</v>
      </c>
      <c r="T103" s="350">
        <f t="shared" si="32"/>
        <v>132596.1</v>
      </c>
      <c r="U103" s="393"/>
    </row>
    <row r="104" spans="1:21">
      <c r="A104" s="378"/>
      <c r="B104" s="378"/>
      <c r="C104" s="378"/>
      <c r="D104" s="363" t="s">
        <v>1341</v>
      </c>
      <c r="E104" s="367">
        <v>100</v>
      </c>
      <c r="F104" s="393" t="s">
        <v>1437</v>
      </c>
      <c r="G104" s="393" t="s">
        <v>1139</v>
      </c>
      <c r="H104" s="351">
        <v>500000</v>
      </c>
      <c r="I104" s="351">
        <v>66650</v>
      </c>
      <c r="J104" s="349">
        <f t="shared" si="26"/>
        <v>566650</v>
      </c>
      <c r="K104" s="348">
        <v>50</v>
      </c>
      <c r="L104" s="380">
        <v>11333</v>
      </c>
      <c r="M104" s="394">
        <f t="shared" si="25"/>
        <v>1333</v>
      </c>
      <c r="N104" s="394">
        <f t="shared" si="27"/>
        <v>10000</v>
      </c>
      <c r="O104" s="394">
        <f t="shared" si="28"/>
        <v>30659</v>
      </c>
      <c r="P104" s="394">
        <f t="shared" si="29"/>
        <v>35991</v>
      </c>
      <c r="Q104" s="348">
        <v>23</v>
      </c>
      <c r="R104" s="354">
        <f t="shared" si="30"/>
        <v>27</v>
      </c>
      <c r="S104" s="350">
        <f t="shared" si="31"/>
        <v>260659</v>
      </c>
      <c r="T104" s="350">
        <f t="shared" si="32"/>
        <v>305991</v>
      </c>
      <c r="U104" s="393"/>
    </row>
    <row r="105" spans="1:21">
      <c r="A105" s="378"/>
      <c r="B105" s="378"/>
      <c r="C105" s="378"/>
      <c r="D105" s="364" t="s">
        <v>1398</v>
      </c>
      <c r="E105" s="367">
        <v>101</v>
      </c>
      <c r="F105" s="393" t="s">
        <v>1437</v>
      </c>
      <c r="G105" s="393" t="s">
        <v>1399</v>
      </c>
      <c r="H105" s="351">
        <v>150000</v>
      </c>
      <c r="I105" s="351">
        <v>19995</v>
      </c>
      <c r="J105" s="349">
        <f t="shared" si="26"/>
        <v>169995</v>
      </c>
      <c r="K105" s="348">
        <v>50</v>
      </c>
      <c r="L105" s="380">
        <v>3399.9</v>
      </c>
      <c r="M105" s="394">
        <f t="shared" si="25"/>
        <v>399.9</v>
      </c>
      <c r="N105" s="394">
        <f t="shared" si="27"/>
        <v>3000</v>
      </c>
      <c r="O105" s="394">
        <f t="shared" si="28"/>
        <v>4398.8999999999996</v>
      </c>
      <c r="P105" s="394">
        <f t="shared" si="29"/>
        <v>15596.099999999999</v>
      </c>
      <c r="Q105" s="348">
        <v>11</v>
      </c>
      <c r="R105" s="354">
        <f t="shared" si="30"/>
        <v>39</v>
      </c>
      <c r="S105" s="350">
        <f t="shared" si="31"/>
        <v>37398.9</v>
      </c>
      <c r="T105" s="350">
        <f t="shared" si="32"/>
        <v>132596.1</v>
      </c>
      <c r="U105" s="393"/>
    </row>
    <row r="106" spans="1:21">
      <c r="A106" s="378"/>
      <c r="B106" s="378"/>
      <c r="C106" s="378"/>
      <c r="D106" s="363" t="s">
        <v>1123</v>
      </c>
      <c r="E106" s="367">
        <v>102</v>
      </c>
      <c r="F106" s="393" t="s">
        <v>1437</v>
      </c>
      <c r="G106" s="393" t="s">
        <v>439</v>
      </c>
      <c r="H106" s="351">
        <v>330000</v>
      </c>
      <c r="I106" s="351">
        <v>43989</v>
      </c>
      <c r="J106" s="349">
        <f t="shared" si="26"/>
        <v>373989</v>
      </c>
      <c r="K106" s="348">
        <v>50</v>
      </c>
      <c r="L106" s="380">
        <v>7479.78</v>
      </c>
      <c r="M106" s="394">
        <f t="shared" si="25"/>
        <v>879.78</v>
      </c>
      <c r="N106" s="394">
        <f t="shared" si="27"/>
        <v>6600</v>
      </c>
      <c r="O106" s="394">
        <f t="shared" si="28"/>
        <v>21114.720000000001</v>
      </c>
      <c r="P106" s="394">
        <f t="shared" si="29"/>
        <v>22874.28</v>
      </c>
      <c r="Q106" s="348">
        <v>24</v>
      </c>
      <c r="R106" s="354">
        <f t="shared" si="30"/>
        <v>26</v>
      </c>
      <c r="S106" s="350">
        <f t="shared" si="31"/>
        <v>179514.72</v>
      </c>
      <c r="T106" s="350">
        <f t="shared" si="32"/>
        <v>194474.28</v>
      </c>
      <c r="U106" s="393"/>
    </row>
    <row r="107" spans="1:21">
      <c r="A107" s="378"/>
      <c r="B107" s="378"/>
      <c r="C107" s="378"/>
      <c r="D107" s="116" t="s">
        <v>1365</v>
      </c>
      <c r="E107" s="367">
        <v>103</v>
      </c>
      <c r="F107" s="393" t="s">
        <v>1437</v>
      </c>
      <c r="G107" s="393" t="s">
        <v>449</v>
      </c>
      <c r="H107" s="351">
        <v>450000</v>
      </c>
      <c r="I107" s="351">
        <v>59985</v>
      </c>
      <c r="J107" s="349">
        <f t="shared" si="26"/>
        <v>509985</v>
      </c>
      <c r="K107" s="348">
        <v>50</v>
      </c>
      <c r="L107" s="380">
        <v>10199.700000000001</v>
      </c>
      <c r="M107" s="394">
        <f t="shared" si="25"/>
        <v>1199.7</v>
      </c>
      <c r="N107" s="394">
        <f t="shared" si="27"/>
        <v>9000</v>
      </c>
      <c r="O107" s="394">
        <f t="shared" si="28"/>
        <v>19195.2</v>
      </c>
      <c r="P107" s="394">
        <f t="shared" si="29"/>
        <v>40789.800000000003</v>
      </c>
      <c r="Q107" s="348">
        <v>16</v>
      </c>
      <c r="R107" s="354">
        <f t="shared" si="30"/>
        <v>34</v>
      </c>
      <c r="S107" s="350">
        <f t="shared" si="31"/>
        <v>163195.20000000001</v>
      </c>
      <c r="T107" s="350">
        <f t="shared" si="32"/>
        <v>346789.8</v>
      </c>
      <c r="U107" s="393"/>
    </row>
    <row r="108" spans="1:21">
      <c r="A108" s="378"/>
      <c r="B108" s="378"/>
      <c r="C108" s="378"/>
      <c r="D108" s="363" t="s">
        <v>987</v>
      </c>
      <c r="E108" s="367">
        <v>104</v>
      </c>
      <c r="F108" s="393" t="s">
        <v>1437</v>
      </c>
      <c r="G108" s="393" t="s">
        <v>866</v>
      </c>
      <c r="H108" s="351">
        <v>500000</v>
      </c>
      <c r="I108" s="351">
        <v>66650</v>
      </c>
      <c r="J108" s="349">
        <f t="shared" si="26"/>
        <v>566650</v>
      </c>
      <c r="K108" s="348">
        <v>50</v>
      </c>
      <c r="L108" s="380">
        <v>11333</v>
      </c>
      <c r="M108" s="394">
        <f t="shared" si="25"/>
        <v>1333</v>
      </c>
      <c r="N108" s="394">
        <f t="shared" si="27"/>
        <v>10000</v>
      </c>
      <c r="O108" s="394">
        <f t="shared" si="28"/>
        <v>21328</v>
      </c>
      <c r="P108" s="394">
        <f t="shared" si="29"/>
        <v>45322</v>
      </c>
      <c r="Q108" s="348">
        <v>16</v>
      </c>
      <c r="R108" s="354">
        <f t="shared" si="30"/>
        <v>34</v>
      </c>
      <c r="S108" s="350">
        <f t="shared" si="31"/>
        <v>181328</v>
      </c>
      <c r="T108" s="350">
        <f t="shared" si="32"/>
        <v>385322</v>
      </c>
      <c r="U108" s="393"/>
    </row>
    <row r="109" spans="1:21">
      <c r="A109" s="378"/>
      <c r="B109" s="378"/>
      <c r="C109" s="378"/>
      <c r="D109" s="364" t="s">
        <v>1321</v>
      </c>
      <c r="E109" s="367">
        <v>105</v>
      </c>
      <c r="F109" s="393" t="s">
        <v>1437</v>
      </c>
      <c r="G109" s="393" t="s">
        <v>403</v>
      </c>
      <c r="H109" s="351">
        <v>500000</v>
      </c>
      <c r="I109" s="351">
        <v>66650</v>
      </c>
      <c r="J109" s="349">
        <f t="shared" si="26"/>
        <v>566650</v>
      </c>
      <c r="K109" s="348">
        <v>50</v>
      </c>
      <c r="L109" s="380">
        <v>11333</v>
      </c>
      <c r="M109" s="394">
        <f t="shared" si="25"/>
        <v>1333</v>
      </c>
      <c r="N109" s="394">
        <f t="shared" si="27"/>
        <v>10000</v>
      </c>
      <c r="O109" s="394">
        <f t="shared" si="28"/>
        <v>18662</v>
      </c>
      <c r="P109" s="394">
        <f t="shared" si="29"/>
        <v>47988</v>
      </c>
      <c r="Q109" s="348">
        <v>14</v>
      </c>
      <c r="R109" s="354">
        <f t="shared" si="30"/>
        <v>36</v>
      </c>
      <c r="S109" s="350">
        <f t="shared" si="31"/>
        <v>158662</v>
      </c>
      <c r="T109" s="350">
        <f t="shared" si="32"/>
        <v>407988</v>
      </c>
      <c r="U109" s="393"/>
    </row>
    <row r="110" spans="1:21">
      <c r="A110" s="378"/>
      <c r="B110" s="378"/>
      <c r="C110" s="378"/>
      <c r="D110" s="393" t="s">
        <v>1467</v>
      </c>
      <c r="E110" s="367">
        <v>106</v>
      </c>
      <c r="F110" s="393" t="s">
        <v>1437</v>
      </c>
      <c r="G110" s="393" t="s">
        <v>1468</v>
      </c>
      <c r="H110" s="351">
        <v>500000</v>
      </c>
      <c r="I110" s="351">
        <v>66650</v>
      </c>
      <c r="J110" s="349">
        <f t="shared" si="26"/>
        <v>566650</v>
      </c>
      <c r="K110" s="348">
        <v>50</v>
      </c>
      <c r="L110" s="380">
        <v>11333</v>
      </c>
      <c r="M110" s="394">
        <f t="shared" si="25"/>
        <v>1333</v>
      </c>
      <c r="N110" s="394">
        <f t="shared" si="27"/>
        <v>10000</v>
      </c>
      <c r="O110" s="394">
        <f t="shared" si="28"/>
        <v>5332</v>
      </c>
      <c r="P110" s="394">
        <f t="shared" si="29"/>
        <v>61318</v>
      </c>
      <c r="Q110" s="348">
        <v>4</v>
      </c>
      <c r="R110" s="354">
        <f t="shared" si="30"/>
        <v>46</v>
      </c>
      <c r="S110" s="350">
        <f t="shared" si="31"/>
        <v>45332</v>
      </c>
      <c r="T110" s="350">
        <f t="shared" si="32"/>
        <v>521318</v>
      </c>
      <c r="U110" s="393"/>
    </row>
    <row r="111" spans="1:21">
      <c r="A111" s="378"/>
      <c r="B111" s="378"/>
      <c r="C111" s="378"/>
      <c r="D111" s="363" t="s">
        <v>1093</v>
      </c>
      <c r="E111" s="367">
        <v>107</v>
      </c>
      <c r="F111" s="393" t="s">
        <v>1437</v>
      </c>
      <c r="G111" s="393" t="s">
        <v>364</v>
      </c>
      <c r="H111" s="351">
        <v>450000</v>
      </c>
      <c r="I111" s="351">
        <v>59985</v>
      </c>
      <c r="J111" s="349">
        <f t="shared" si="26"/>
        <v>509985</v>
      </c>
      <c r="K111" s="348">
        <v>50</v>
      </c>
      <c r="L111" s="380">
        <v>10199.700000000001</v>
      </c>
      <c r="M111" s="394">
        <f t="shared" si="25"/>
        <v>1199.7</v>
      </c>
      <c r="N111" s="394">
        <f t="shared" si="27"/>
        <v>9000</v>
      </c>
      <c r="O111" s="394">
        <f t="shared" si="28"/>
        <v>56385.9</v>
      </c>
      <c r="P111" s="394">
        <f t="shared" si="29"/>
        <v>3599.1000000000004</v>
      </c>
      <c r="Q111" s="348">
        <v>47</v>
      </c>
      <c r="R111" s="354">
        <f t="shared" si="30"/>
        <v>3</v>
      </c>
      <c r="S111" s="350">
        <f t="shared" si="31"/>
        <v>479385.9</v>
      </c>
      <c r="T111" s="350">
        <f t="shared" si="32"/>
        <v>30599.099999999977</v>
      </c>
      <c r="U111" s="393"/>
    </row>
    <row r="112" spans="1:21">
      <c r="A112" s="378"/>
      <c r="B112" s="378"/>
      <c r="C112" s="378"/>
      <c r="D112" s="393" t="s">
        <v>1486</v>
      </c>
      <c r="E112" s="367">
        <v>108</v>
      </c>
      <c r="F112" s="393" t="s">
        <v>1437</v>
      </c>
      <c r="G112" s="393" t="s">
        <v>1487</v>
      </c>
      <c r="H112" s="351">
        <v>150000</v>
      </c>
      <c r="I112" s="351">
        <v>19995</v>
      </c>
      <c r="J112" s="349">
        <f t="shared" si="26"/>
        <v>169995</v>
      </c>
      <c r="K112" s="348">
        <v>50</v>
      </c>
      <c r="L112" s="380">
        <v>3399.9</v>
      </c>
      <c r="M112" s="394">
        <f t="shared" si="25"/>
        <v>399.9</v>
      </c>
      <c r="N112" s="394">
        <f t="shared" si="27"/>
        <v>3000</v>
      </c>
      <c r="O112" s="394">
        <f t="shared" si="28"/>
        <v>18395.399999999998</v>
      </c>
      <c r="P112" s="394">
        <f t="shared" si="29"/>
        <v>1599.6</v>
      </c>
      <c r="Q112" s="348">
        <v>46</v>
      </c>
      <c r="R112" s="354">
        <f t="shared" si="30"/>
        <v>4</v>
      </c>
      <c r="S112" s="350">
        <f t="shared" si="31"/>
        <v>156395.4</v>
      </c>
      <c r="T112" s="350">
        <f t="shared" si="32"/>
        <v>13599.600000000006</v>
      </c>
      <c r="U112" s="393"/>
    </row>
    <row r="113" spans="1:21">
      <c r="A113" s="378"/>
      <c r="B113" s="378"/>
      <c r="C113" s="378"/>
      <c r="D113" s="116" t="s">
        <v>1105</v>
      </c>
      <c r="E113" s="367">
        <v>109</v>
      </c>
      <c r="F113" s="393" t="s">
        <v>1437</v>
      </c>
      <c r="G113" s="393" t="s">
        <v>861</v>
      </c>
      <c r="H113" s="351">
        <v>500000</v>
      </c>
      <c r="I113" s="351">
        <v>66650</v>
      </c>
      <c r="J113" s="349">
        <f t="shared" si="26"/>
        <v>566650</v>
      </c>
      <c r="K113" s="348">
        <v>50</v>
      </c>
      <c r="L113" s="380">
        <v>11333</v>
      </c>
      <c r="M113" s="394">
        <f t="shared" si="25"/>
        <v>1333</v>
      </c>
      <c r="N113" s="394">
        <f t="shared" si="27"/>
        <v>10000</v>
      </c>
      <c r="O113" s="394">
        <f t="shared" si="28"/>
        <v>38657</v>
      </c>
      <c r="P113" s="394">
        <f t="shared" si="29"/>
        <v>27993</v>
      </c>
      <c r="Q113" s="348">
        <v>29</v>
      </c>
      <c r="R113" s="354">
        <f t="shared" si="30"/>
        <v>21</v>
      </c>
      <c r="S113" s="350">
        <f t="shared" si="31"/>
        <v>328657</v>
      </c>
      <c r="T113" s="350">
        <f t="shared" si="32"/>
        <v>237993</v>
      </c>
      <c r="U113" s="393"/>
    </row>
    <row r="114" spans="1:21">
      <c r="A114" s="378"/>
      <c r="B114" s="378"/>
      <c r="C114" s="378"/>
      <c r="D114" s="364" t="s">
        <v>999</v>
      </c>
      <c r="E114" s="367">
        <v>110</v>
      </c>
      <c r="F114" s="393" t="s">
        <v>1437</v>
      </c>
      <c r="G114" s="393" t="s">
        <v>441</v>
      </c>
      <c r="H114" s="351">
        <v>500000</v>
      </c>
      <c r="I114" s="351">
        <v>66650</v>
      </c>
      <c r="J114" s="349">
        <f t="shared" si="26"/>
        <v>566650</v>
      </c>
      <c r="K114" s="348">
        <v>50</v>
      </c>
      <c r="L114" s="380">
        <v>11333</v>
      </c>
      <c r="M114" s="394">
        <f t="shared" si="25"/>
        <v>1333</v>
      </c>
      <c r="N114" s="394">
        <f t="shared" si="27"/>
        <v>10000</v>
      </c>
      <c r="O114" s="394">
        <f t="shared" si="28"/>
        <v>47988</v>
      </c>
      <c r="P114" s="394">
        <f t="shared" si="29"/>
        <v>18662</v>
      </c>
      <c r="Q114" s="348">
        <v>36</v>
      </c>
      <c r="R114" s="354">
        <f t="shared" si="30"/>
        <v>14</v>
      </c>
      <c r="S114" s="350">
        <f t="shared" si="31"/>
        <v>407988</v>
      </c>
      <c r="T114" s="350">
        <f t="shared" si="32"/>
        <v>158662</v>
      </c>
      <c r="U114" s="393"/>
    </row>
    <row r="115" spans="1:21">
      <c r="A115" s="378"/>
      <c r="B115" s="378"/>
      <c r="C115" s="378"/>
      <c r="D115" s="393" t="s">
        <v>1479</v>
      </c>
      <c r="E115" s="367">
        <v>111</v>
      </c>
      <c r="F115" s="393" t="s">
        <v>1437</v>
      </c>
      <c r="G115" s="393" t="s">
        <v>1480</v>
      </c>
      <c r="H115" s="351">
        <v>330000</v>
      </c>
      <c r="I115" s="351">
        <v>43989</v>
      </c>
      <c r="J115" s="349">
        <f t="shared" si="26"/>
        <v>373989</v>
      </c>
      <c r="K115" s="348">
        <v>50</v>
      </c>
      <c r="L115" s="380">
        <v>7479.78</v>
      </c>
      <c r="M115" s="394">
        <f t="shared" si="25"/>
        <v>879.78</v>
      </c>
      <c r="N115" s="394">
        <f t="shared" si="27"/>
        <v>6600</v>
      </c>
      <c r="O115" s="394">
        <f t="shared" si="28"/>
        <v>3519.12</v>
      </c>
      <c r="P115" s="394">
        <f t="shared" si="29"/>
        <v>40469.879999999997</v>
      </c>
      <c r="Q115" s="348">
        <v>4</v>
      </c>
      <c r="R115" s="354">
        <f t="shared" si="30"/>
        <v>46</v>
      </c>
      <c r="S115" s="350">
        <f t="shared" si="31"/>
        <v>29919.119999999999</v>
      </c>
      <c r="T115" s="350">
        <f t="shared" si="32"/>
        <v>344069.88</v>
      </c>
      <c r="U115" s="393"/>
    </row>
    <row r="116" spans="1:21">
      <c r="A116" s="378"/>
      <c r="B116" s="378"/>
      <c r="C116" s="378"/>
      <c r="D116" s="364" t="s">
        <v>1053</v>
      </c>
      <c r="E116" s="367">
        <v>112</v>
      </c>
      <c r="F116" s="393" t="s">
        <v>1437</v>
      </c>
      <c r="G116" s="393" t="s">
        <v>845</v>
      </c>
      <c r="H116" s="351">
        <v>150000</v>
      </c>
      <c r="I116" s="351">
        <v>19995</v>
      </c>
      <c r="J116" s="349">
        <f t="shared" si="26"/>
        <v>169995</v>
      </c>
      <c r="K116" s="348">
        <v>50</v>
      </c>
      <c r="L116" s="380">
        <v>3399.9</v>
      </c>
      <c r="M116" s="394">
        <f t="shared" si="25"/>
        <v>399.9</v>
      </c>
      <c r="N116" s="394">
        <f t="shared" si="27"/>
        <v>3000</v>
      </c>
      <c r="O116" s="394">
        <f t="shared" si="28"/>
        <v>19195.199999999997</v>
      </c>
      <c r="P116" s="394">
        <f t="shared" si="29"/>
        <v>799.8</v>
      </c>
      <c r="Q116" s="348">
        <v>48</v>
      </c>
      <c r="R116" s="354">
        <f t="shared" si="30"/>
        <v>2</v>
      </c>
      <c r="S116" s="350">
        <f t="shared" si="31"/>
        <v>163195.20000000001</v>
      </c>
      <c r="T116" s="350">
        <f t="shared" si="32"/>
        <v>6799.7999999999884</v>
      </c>
      <c r="U116" s="393"/>
    </row>
    <row r="117" spans="1:21">
      <c r="A117" s="378"/>
      <c r="B117" s="378"/>
      <c r="C117" s="378"/>
      <c r="D117" s="364" t="s">
        <v>1332</v>
      </c>
      <c r="E117" s="367">
        <v>113</v>
      </c>
      <c r="F117" s="393" t="s">
        <v>1437</v>
      </c>
      <c r="G117" s="393" t="s">
        <v>1284</v>
      </c>
      <c r="H117" s="351">
        <v>500000</v>
      </c>
      <c r="I117" s="351">
        <v>66650</v>
      </c>
      <c r="J117" s="349">
        <f t="shared" si="26"/>
        <v>566650</v>
      </c>
      <c r="K117" s="348">
        <v>50</v>
      </c>
      <c r="L117" s="380">
        <v>11333</v>
      </c>
      <c r="M117" s="394">
        <f t="shared" si="25"/>
        <v>1333</v>
      </c>
      <c r="N117" s="394">
        <f t="shared" si="27"/>
        <v>10000</v>
      </c>
      <c r="O117" s="394">
        <f t="shared" si="28"/>
        <v>41323</v>
      </c>
      <c r="P117" s="394">
        <f t="shared" si="29"/>
        <v>25327</v>
      </c>
      <c r="Q117" s="348">
        <v>31</v>
      </c>
      <c r="R117" s="354">
        <f t="shared" si="30"/>
        <v>19</v>
      </c>
      <c r="S117" s="350">
        <f t="shared" si="31"/>
        <v>351323</v>
      </c>
      <c r="T117" s="350">
        <f t="shared" si="32"/>
        <v>215327</v>
      </c>
      <c r="U117" s="393"/>
    </row>
    <row r="118" spans="1:21">
      <c r="A118" s="378"/>
      <c r="B118" s="378"/>
      <c r="C118" s="378"/>
      <c r="D118" s="393" t="s">
        <v>1411</v>
      </c>
      <c r="E118" s="367">
        <v>114</v>
      </c>
      <c r="F118" s="393" t="s">
        <v>1437</v>
      </c>
      <c r="G118" s="393" t="s">
        <v>473</v>
      </c>
      <c r="H118" s="351">
        <v>500000</v>
      </c>
      <c r="I118" s="351">
        <v>66650</v>
      </c>
      <c r="J118" s="349">
        <f t="shared" si="26"/>
        <v>566650</v>
      </c>
      <c r="K118" s="348">
        <v>40</v>
      </c>
      <c r="L118" s="380">
        <v>13833</v>
      </c>
      <c r="M118" s="394">
        <f t="shared" si="25"/>
        <v>1333</v>
      </c>
      <c r="N118" s="394">
        <f t="shared" si="27"/>
        <v>10000</v>
      </c>
      <c r="O118" s="394">
        <f t="shared" si="28"/>
        <v>11997</v>
      </c>
      <c r="P118" s="394">
        <f t="shared" si="29"/>
        <v>41323</v>
      </c>
      <c r="Q118" s="348">
        <v>9</v>
      </c>
      <c r="R118" s="354">
        <f t="shared" si="30"/>
        <v>31</v>
      </c>
      <c r="S118" s="350">
        <f t="shared" si="31"/>
        <v>124497</v>
      </c>
      <c r="T118" s="350">
        <f t="shared" si="32"/>
        <v>442153</v>
      </c>
      <c r="U118" s="393"/>
    </row>
    <row r="119" spans="1:21">
      <c r="A119" s="378"/>
      <c r="B119" s="378"/>
      <c r="C119" s="378"/>
      <c r="D119" s="363" t="s">
        <v>1329</v>
      </c>
      <c r="E119" s="367">
        <v>115</v>
      </c>
      <c r="F119" s="393" t="s">
        <v>1437</v>
      </c>
      <c r="G119" s="393" t="s">
        <v>463</v>
      </c>
      <c r="H119" s="351">
        <v>500000</v>
      </c>
      <c r="I119" s="351">
        <v>66650</v>
      </c>
      <c r="J119" s="349">
        <f t="shared" si="26"/>
        <v>566650</v>
      </c>
      <c r="K119" s="348">
        <v>50</v>
      </c>
      <c r="L119" s="380">
        <v>11333</v>
      </c>
      <c r="M119" s="394">
        <f t="shared" si="25"/>
        <v>1333</v>
      </c>
      <c r="N119" s="394">
        <f t="shared" si="27"/>
        <v>10000</v>
      </c>
      <c r="O119" s="394">
        <f t="shared" si="28"/>
        <v>27993</v>
      </c>
      <c r="P119" s="394">
        <f t="shared" si="29"/>
        <v>38657</v>
      </c>
      <c r="Q119" s="348">
        <v>21</v>
      </c>
      <c r="R119" s="354">
        <f t="shared" si="30"/>
        <v>29</v>
      </c>
      <c r="S119" s="350">
        <f t="shared" si="31"/>
        <v>237993</v>
      </c>
      <c r="T119" s="350">
        <f t="shared" si="32"/>
        <v>328657</v>
      </c>
      <c r="U119" s="393"/>
    </row>
    <row r="120" spans="1:21">
      <c r="A120" s="378"/>
      <c r="B120" s="378"/>
      <c r="C120" s="378"/>
      <c r="D120" s="115" t="s">
        <v>1358</v>
      </c>
      <c r="E120" s="367">
        <v>116</v>
      </c>
      <c r="F120" s="393" t="s">
        <v>1437</v>
      </c>
      <c r="G120" s="393" t="s">
        <v>1359</v>
      </c>
      <c r="H120" s="351">
        <v>450000</v>
      </c>
      <c r="I120" s="351">
        <v>59985</v>
      </c>
      <c r="J120" s="349">
        <f t="shared" si="26"/>
        <v>509985</v>
      </c>
      <c r="K120" s="348">
        <v>50</v>
      </c>
      <c r="L120" s="380">
        <v>10199.700000000001</v>
      </c>
      <c r="M120" s="394">
        <f t="shared" si="25"/>
        <v>1199.7</v>
      </c>
      <c r="N120" s="394">
        <f t="shared" si="27"/>
        <v>9000</v>
      </c>
      <c r="O120" s="394">
        <f t="shared" si="28"/>
        <v>13196.7</v>
      </c>
      <c r="P120" s="394">
        <f t="shared" si="29"/>
        <v>46788.3</v>
      </c>
      <c r="Q120" s="348">
        <v>11</v>
      </c>
      <c r="R120" s="354">
        <f t="shared" si="30"/>
        <v>39</v>
      </c>
      <c r="S120" s="350">
        <f t="shared" si="31"/>
        <v>112196.70000000001</v>
      </c>
      <c r="T120" s="350">
        <f t="shared" si="32"/>
        <v>397788.3</v>
      </c>
      <c r="U120" s="393"/>
    </row>
    <row r="121" spans="1:21">
      <c r="A121" s="378"/>
      <c r="B121" s="378"/>
      <c r="C121" s="378"/>
      <c r="D121" s="116" t="s">
        <v>1319</v>
      </c>
      <c r="E121" s="367">
        <v>117</v>
      </c>
      <c r="F121" s="393" t="s">
        <v>1437</v>
      </c>
      <c r="G121" s="393" t="s">
        <v>305</v>
      </c>
      <c r="H121" s="351">
        <v>500000</v>
      </c>
      <c r="I121" s="351">
        <v>66650</v>
      </c>
      <c r="J121" s="349">
        <f t="shared" si="26"/>
        <v>566650</v>
      </c>
      <c r="K121" s="348">
        <v>40</v>
      </c>
      <c r="L121" s="380">
        <v>13833</v>
      </c>
      <c r="M121" s="394">
        <f t="shared" si="25"/>
        <v>1333</v>
      </c>
      <c r="N121" s="394">
        <f t="shared" si="27"/>
        <v>10000</v>
      </c>
      <c r="O121" s="394">
        <f t="shared" si="28"/>
        <v>14663</v>
      </c>
      <c r="P121" s="394">
        <f t="shared" si="29"/>
        <v>38657</v>
      </c>
      <c r="Q121" s="348">
        <v>11</v>
      </c>
      <c r="R121" s="354">
        <f t="shared" si="30"/>
        <v>29</v>
      </c>
      <c r="S121" s="350">
        <f t="shared" si="31"/>
        <v>152163</v>
      </c>
      <c r="T121" s="350">
        <f t="shared" si="32"/>
        <v>414487</v>
      </c>
      <c r="U121" s="393"/>
    </row>
    <row r="122" spans="1:21">
      <c r="A122" s="378"/>
      <c r="B122" s="378"/>
      <c r="C122" s="378"/>
      <c r="D122" s="393" t="s">
        <v>988</v>
      </c>
      <c r="E122" s="367">
        <v>118</v>
      </c>
      <c r="F122" s="393" t="s">
        <v>1437</v>
      </c>
      <c r="G122" s="393" t="s">
        <v>296</v>
      </c>
      <c r="H122" s="351">
        <v>450000</v>
      </c>
      <c r="I122" s="351">
        <v>59985</v>
      </c>
      <c r="J122" s="349">
        <f t="shared" si="26"/>
        <v>509985</v>
      </c>
      <c r="K122" s="348">
        <v>50</v>
      </c>
      <c r="L122" s="380">
        <v>10199.700000000001</v>
      </c>
      <c r="M122" s="394">
        <f t="shared" si="25"/>
        <v>1199.7</v>
      </c>
      <c r="N122" s="394">
        <f t="shared" si="27"/>
        <v>9000</v>
      </c>
      <c r="O122" s="394">
        <f t="shared" si="28"/>
        <v>4798.8</v>
      </c>
      <c r="P122" s="394">
        <f t="shared" si="29"/>
        <v>55186.200000000004</v>
      </c>
      <c r="Q122" s="348">
        <v>4</v>
      </c>
      <c r="R122" s="354">
        <f t="shared" si="30"/>
        <v>46</v>
      </c>
      <c r="S122" s="350">
        <f t="shared" si="31"/>
        <v>40798.800000000003</v>
      </c>
      <c r="T122" s="350">
        <f t="shared" si="32"/>
        <v>469186.2</v>
      </c>
      <c r="U122" s="393"/>
    </row>
    <row r="123" spans="1:21">
      <c r="A123" s="378"/>
      <c r="B123" s="378"/>
      <c r="C123" s="378"/>
      <c r="D123" s="116" t="s">
        <v>1388</v>
      </c>
      <c r="E123" s="367">
        <v>119</v>
      </c>
      <c r="F123" s="393" t="s">
        <v>1437</v>
      </c>
      <c r="G123" s="393" t="s">
        <v>1389</v>
      </c>
      <c r="H123" s="351">
        <v>330000</v>
      </c>
      <c r="I123" s="351">
        <v>43989</v>
      </c>
      <c r="J123" s="349">
        <f t="shared" si="26"/>
        <v>373989</v>
      </c>
      <c r="K123" s="348">
        <v>50</v>
      </c>
      <c r="L123" s="380">
        <v>7479.78</v>
      </c>
      <c r="M123" s="394">
        <f t="shared" si="25"/>
        <v>879.78</v>
      </c>
      <c r="N123" s="394">
        <f t="shared" si="27"/>
        <v>6600</v>
      </c>
      <c r="O123" s="394">
        <f t="shared" si="28"/>
        <v>11437.14</v>
      </c>
      <c r="P123" s="394">
        <f t="shared" si="29"/>
        <v>32551.86</v>
      </c>
      <c r="Q123" s="348">
        <v>13</v>
      </c>
      <c r="R123" s="354">
        <f t="shared" si="30"/>
        <v>37</v>
      </c>
      <c r="S123" s="350">
        <f t="shared" si="31"/>
        <v>97237.14</v>
      </c>
      <c r="T123" s="350">
        <f t="shared" si="32"/>
        <v>276751.86</v>
      </c>
      <c r="U123" s="393"/>
    </row>
    <row r="124" spans="1:21">
      <c r="A124" s="378"/>
      <c r="B124" s="378"/>
      <c r="C124" s="378"/>
      <c r="D124" s="363" t="s">
        <v>1360</v>
      </c>
      <c r="E124" s="367">
        <v>120</v>
      </c>
      <c r="F124" s="393" t="s">
        <v>1437</v>
      </c>
      <c r="G124" s="393" t="s">
        <v>293</v>
      </c>
      <c r="H124" s="351">
        <v>450000</v>
      </c>
      <c r="I124" s="351">
        <v>59985</v>
      </c>
      <c r="J124" s="349">
        <f t="shared" si="26"/>
        <v>509985</v>
      </c>
      <c r="K124" s="348">
        <v>50</v>
      </c>
      <c r="L124" s="380">
        <v>10199.700000000001</v>
      </c>
      <c r="M124" s="394">
        <f t="shared" si="25"/>
        <v>1199.7</v>
      </c>
      <c r="N124" s="394">
        <f t="shared" si="27"/>
        <v>9000</v>
      </c>
      <c r="O124" s="394">
        <f t="shared" si="28"/>
        <v>27593.100000000002</v>
      </c>
      <c r="P124" s="394">
        <f t="shared" si="29"/>
        <v>32391.9</v>
      </c>
      <c r="Q124" s="348">
        <v>23</v>
      </c>
      <c r="R124" s="354">
        <f t="shared" si="30"/>
        <v>27</v>
      </c>
      <c r="S124" s="350">
        <f t="shared" si="31"/>
        <v>234593.1</v>
      </c>
      <c r="T124" s="350">
        <f t="shared" si="32"/>
        <v>275391.90000000002</v>
      </c>
      <c r="U124" s="393"/>
    </row>
    <row r="125" spans="1:21">
      <c r="A125" s="378"/>
      <c r="B125" s="378"/>
      <c r="C125" s="378"/>
      <c r="D125" s="393" t="s">
        <v>1450</v>
      </c>
      <c r="E125" s="367">
        <v>121</v>
      </c>
      <c r="F125" s="393" t="s">
        <v>1437</v>
      </c>
      <c r="G125" s="393" t="s">
        <v>1451</v>
      </c>
      <c r="H125" s="351">
        <v>450000</v>
      </c>
      <c r="I125" s="351">
        <v>59985</v>
      </c>
      <c r="J125" s="349">
        <f t="shared" si="26"/>
        <v>509985</v>
      </c>
      <c r="K125" s="348">
        <v>50</v>
      </c>
      <c r="L125" s="380">
        <v>10199.700000000001</v>
      </c>
      <c r="M125" s="394">
        <f t="shared" si="25"/>
        <v>1199.7</v>
      </c>
      <c r="N125" s="394">
        <f t="shared" si="27"/>
        <v>9000</v>
      </c>
      <c r="O125" s="394">
        <f t="shared" si="28"/>
        <v>8397.9</v>
      </c>
      <c r="P125" s="394">
        <f t="shared" si="29"/>
        <v>51587.1</v>
      </c>
      <c r="Q125" s="348">
        <v>7</v>
      </c>
      <c r="R125" s="354">
        <f t="shared" si="30"/>
        <v>43</v>
      </c>
      <c r="S125" s="350">
        <f t="shared" si="31"/>
        <v>71397.900000000009</v>
      </c>
      <c r="T125" s="350">
        <f t="shared" si="32"/>
        <v>438587.1</v>
      </c>
      <c r="U125" s="393"/>
    </row>
    <row r="126" spans="1:21">
      <c r="A126" s="378"/>
      <c r="B126" s="378"/>
      <c r="C126" s="378"/>
      <c r="D126" s="364" t="s">
        <v>1094</v>
      </c>
      <c r="E126" s="367">
        <v>122</v>
      </c>
      <c r="F126" s="393" t="s">
        <v>1437</v>
      </c>
      <c r="G126" s="393" t="s">
        <v>1095</v>
      </c>
      <c r="H126" s="351">
        <v>500000</v>
      </c>
      <c r="I126" s="351">
        <v>66650</v>
      </c>
      <c r="J126" s="349">
        <f t="shared" si="26"/>
        <v>566650</v>
      </c>
      <c r="K126" s="348">
        <v>50</v>
      </c>
      <c r="L126" s="380">
        <v>11333</v>
      </c>
      <c r="M126" s="394">
        <f t="shared" si="25"/>
        <v>1333</v>
      </c>
      <c r="N126" s="394">
        <f t="shared" si="27"/>
        <v>10000</v>
      </c>
      <c r="O126" s="394">
        <f t="shared" si="28"/>
        <v>37324</v>
      </c>
      <c r="P126" s="394">
        <f t="shared" si="29"/>
        <v>29326</v>
      </c>
      <c r="Q126" s="348">
        <v>28</v>
      </c>
      <c r="R126" s="354">
        <f t="shared" si="30"/>
        <v>22</v>
      </c>
      <c r="S126" s="350">
        <f t="shared" si="31"/>
        <v>317324</v>
      </c>
      <c r="T126" s="350">
        <f t="shared" si="32"/>
        <v>249326</v>
      </c>
      <c r="U126" s="393"/>
    </row>
    <row r="127" spans="1:21">
      <c r="A127" s="378"/>
      <c r="B127" s="378"/>
      <c r="C127" s="378"/>
      <c r="D127" s="115" t="s">
        <v>1330</v>
      </c>
      <c r="E127" s="367">
        <v>123</v>
      </c>
      <c r="F127" s="393" t="s">
        <v>1437</v>
      </c>
      <c r="G127" s="393" t="s">
        <v>1331</v>
      </c>
      <c r="H127" s="351">
        <v>500000</v>
      </c>
      <c r="I127" s="351">
        <v>66650</v>
      </c>
      <c r="J127" s="349">
        <f t="shared" si="26"/>
        <v>566650</v>
      </c>
      <c r="K127" s="348">
        <v>50</v>
      </c>
      <c r="L127" s="380">
        <v>11333</v>
      </c>
      <c r="M127" s="394">
        <f t="shared" si="25"/>
        <v>1333</v>
      </c>
      <c r="N127" s="394">
        <f t="shared" si="27"/>
        <v>10000</v>
      </c>
      <c r="O127" s="394">
        <f t="shared" si="28"/>
        <v>30659</v>
      </c>
      <c r="P127" s="394">
        <f t="shared" si="29"/>
        <v>35991</v>
      </c>
      <c r="Q127" s="348">
        <v>23</v>
      </c>
      <c r="R127" s="354">
        <f t="shared" si="30"/>
        <v>27</v>
      </c>
      <c r="S127" s="350">
        <f t="shared" si="31"/>
        <v>260659</v>
      </c>
      <c r="T127" s="350">
        <f t="shared" si="32"/>
        <v>305991</v>
      </c>
      <c r="U127" s="393"/>
    </row>
    <row r="128" spans="1:21">
      <c r="A128" s="378"/>
      <c r="B128" s="378"/>
      <c r="C128" s="378"/>
      <c r="D128" s="364" t="s">
        <v>1368</v>
      </c>
      <c r="E128" s="367">
        <v>124</v>
      </c>
      <c r="F128" s="393" t="s">
        <v>1437</v>
      </c>
      <c r="G128" s="393" t="s">
        <v>443</v>
      </c>
      <c r="H128" s="351">
        <v>330000</v>
      </c>
      <c r="I128" s="351">
        <v>43989</v>
      </c>
      <c r="J128" s="349">
        <f t="shared" si="26"/>
        <v>373989</v>
      </c>
      <c r="K128" s="348">
        <v>50</v>
      </c>
      <c r="L128" s="380">
        <v>7479.78</v>
      </c>
      <c r="M128" s="394">
        <f t="shared" si="25"/>
        <v>879.78</v>
      </c>
      <c r="N128" s="394">
        <f t="shared" si="27"/>
        <v>6600</v>
      </c>
      <c r="O128" s="394">
        <f t="shared" si="28"/>
        <v>14076.48</v>
      </c>
      <c r="P128" s="394">
        <f t="shared" si="29"/>
        <v>29912.52</v>
      </c>
      <c r="Q128" s="348">
        <v>16</v>
      </c>
      <c r="R128" s="354">
        <f t="shared" si="30"/>
        <v>34</v>
      </c>
      <c r="S128" s="350">
        <f t="shared" si="31"/>
        <v>119676.48</v>
      </c>
      <c r="T128" s="350">
        <f t="shared" si="32"/>
        <v>254312.52000000002</v>
      </c>
      <c r="U128" s="393"/>
    </row>
    <row r="129" spans="1:21">
      <c r="A129" s="378"/>
      <c r="B129" s="378"/>
      <c r="C129" s="378"/>
      <c r="D129" s="393" t="s">
        <v>1469</v>
      </c>
      <c r="E129" s="367">
        <v>125</v>
      </c>
      <c r="F129" s="393" t="s">
        <v>1437</v>
      </c>
      <c r="G129" s="393" t="s">
        <v>1470</v>
      </c>
      <c r="H129" s="351">
        <v>500000</v>
      </c>
      <c r="I129" s="351">
        <v>66650</v>
      </c>
      <c r="J129" s="349">
        <f t="shared" si="26"/>
        <v>566650</v>
      </c>
      <c r="K129" s="348">
        <v>50</v>
      </c>
      <c r="L129" s="380">
        <v>11333</v>
      </c>
      <c r="M129" s="394">
        <f t="shared" si="25"/>
        <v>1333</v>
      </c>
      <c r="N129" s="394">
        <f t="shared" si="27"/>
        <v>10000</v>
      </c>
      <c r="O129" s="394">
        <f t="shared" si="28"/>
        <v>5332</v>
      </c>
      <c r="P129" s="394">
        <f t="shared" si="29"/>
        <v>61318</v>
      </c>
      <c r="Q129" s="348">
        <v>4</v>
      </c>
      <c r="R129" s="354">
        <f t="shared" si="30"/>
        <v>46</v>
      </c>
      <c r="S129" s="350">
        <f t="shared" si="31"/>
        <v>45332</v>
      </c>
      <c r="T129" s="350">
        <f t="shared" si="32"/>
        <v>521318</v>
      </c>
      <c r="U129" s="393"/>
    </row>
    <row r="130" spans="1:21">
      <c r="A130" s="378"/>
      <c r="B130" s="378"/>
      <c r="C130" s="378"/>
      <c r="D130" s="364" t="s">
        <v>1006</v>
      </c>
      <c r="E130" s="367">
        <v>126</v>
      </c>
      <c r="F130" s="393" t="s">
        <v>1437</v>
      </c>
      <c r="G130" s="393" t="s">
        <v>865</v>
      </c>
      <c r="H130" s="351">
        <v>500000</v>
      </c>
      <c r="I130" s="351">
        <v>66650</v>
      </c>
      <c r="J130" s="349">
        <f t="shared" si="26"/>
        <v>566650</v>
      </c>
      <c r="K130" s="348">
        <v>50</v>
      </c>
      <c r="L130" s="380">
        <v>11333</v>
      </c>
      <c r="M130" s="394">
        <f t="shared" si="25"/>
        <v>1333</v>
      </c>
      <c r="N130" s="394">
        <f t="shared" si="27"/>
        <v>10000</v>
      </c>
      <c r="O130" s="394">
        <f t="shared" si="28"/>
        <v>82646</v>
      </c>
      <c r="P130" s="394">
        <f t="shared" si="29"/>
        <v>-15996</v>
      </c>
      <c r="Q130" s="348">
        <v>62</v>
      </c>
      <c r="R130" s="354">
        <f t="shared" si="30"/>
        <v>-12</v>
      </c>
      <c r="S130" s="350">
        <f t="shared" si="31"/>
        <v>702646</v>
      </c>
      <c r="T130" s="350">
        <f t="shared" si="32"/>
        <v>-135996</v>
      </c>
      <c r="U130" s="393"/>
    </row>
    <row r="131" spans="1:21">
      <c r="A131" s="378"/>
      <c r="B131" s="378"/>
      <c r="C131" s="378"/>
      <c r="D131" s="393" t="s">
        <v>1414</v>
      </c>
      <c r="E131" s="367">
        <v>127</v>
      </c>
      <c r="F131" s="393" t="s">
        <v>1437</v>
      </c>
      <c r="G131" s="393" t="s">
        <v>459</v>
      </c>
      <c r="H131" s="351">
        <v>500000</v>
      </c>
      <c r="I131" s="351">
        <v>66650</v>
      </c>
      <c r="J131" s="349">
        <f t="shared" si="26"/>
        <v>566650</v>
      </c>
      <c r="K131" s="348">
        <v>50</v>
      </c>
      <c r="L131" s="380">
        <v>11333</v>
      </c>
      <c r="M131" s="394">
        <f t="shared" ref="M131:M162" si="33">I131/50</f>
        <v>1333</v>
      </c>
      <c r="N131" s="394">
        <f t="shared" si="27"/>
        <v>10000</v>
      </c>
      <c r="O131" s="394">
        <f t="shared" si="28"/>
        <v>11997</v>
      </c>
      <c r="P131" s="394">
        <f t="shared" si="29"/>
        <v>54653</v>
      </c>
      <c r="Q131" s="348">
        <v>9</v>
      </c>
      <c r="R131" s="354">
        <f t="shared" si="30"/>
        <v>41</v>
      </c>
      <c r="S131" s="350">
        <f t="shared" si="31"/>
        <v>101997</v>
      </c>
      <c r="T131" s="350">
        <f t="shared" si="32"/>
        <v>464653</v>
      </c>
      <c r="U131" s="393"/>
    </row>
    <row r="132" spans="1:21">
      <c r="A132" s="378"/>
      <c r="B132" s="378"/>
      <c r="C132" s="378"/>
      <c r="D132" s="364" t="s">
        <v>1080</v>
      </c>
      <c r="E132" s="367">
        <v>128</v>
      </c>
      <c r="F132" s="393" t="s">
        <v>1437</v>
      </c>
      <c r="G132" s="393" t="s">
        <v>315</v>
      </c>
      <c r="H132" s="351">
        <v>500000</v>
      </c>
      <c r="I132" s="351">
        <v>66650</v>
      </c>
      <c r="J132" s="349">
        <f t="shared" si="26"/>
        <v>566650</v>
      </c>
      <c r="K132" s="348">
        <v>50</v>
      </c>
      <c r="L132" s="380">
        <v>11333</v>
      </c>
      <c r="M132" s="394">
        <f t="shared" si="33"/>
        <v>1333</v>
      </c>
      <c r="N132" s="394">
        <f t="shared" si="27"/>
        <v>10000</v>
      </c>
      <c r="O132" s="394">
        <f t="shared" si="28"/>
        <v>63984</v>
      </c>
      <c r="P132" s="394">
        <f t="shared" si="29"/>
        <v>2666</v>
      </c>
      <c r="Q132" s="348">
        <v>48</v>
      </c>
      <c r="R132" s="354">
        <f t="shared" si="30"/>
        <v>2</v>
      </c>
      <c r="S132" s="350">
        <f t="shared" si="31"/>
        <v>543984</v>
      </c>
      <c r="T132" s="350">
        <f t="shared" si="32"/>
        <v>22666</v>
      </c>
      <c r="U132" s="393"/>
    </row>
    <row r="133" spans="1:21">
      <c r="A133" s="378"/>
      <c r="B133" s="378"/>
      <c r="C133" s="378"/>
      <c r="D133" s="364" t="s">
        <v>1084</v>
      </c>
      <c r="E133" s="367">
        <v>129</v>
      </c>
      <c r="F133" s="393" t="s">
        <v>1437</v>
      </c>
      <c r="G133" s="393" t="s">
        <v>353</v>
      </c>
      <c r="H133" s="351">
        <v>500000</v>
      </c>
      <c r="I133" s="351">
        <v>66650</v>
      </c>
      <c r="J133" s="349">
        <f t="shared" ref="J133:J163" si="34">SUM(H133:I133)</f>
        <v>566650</v>
      </c>
      <c r="K133" s="348">
        <v>50</v>
      </c>
      <c r="L133" s="380">
        <v>11333</v>
      </c>
      <c r="M133" s="394">
        <f t="shared" si="33"/>
        <v>1333</v>
      </c>
      <c r="N133" s="394">
        <f t="shared" ref="N133:N162" si="35">H133/50</f>
        <v>10000</v>
      </c>
      <c r="O133" s="394">
        <f t="shared" ref="O133:O164" si="36">M133*Q133</f>
        <v>63984</v>
      </c>
      <c r="P133" s="394">
        <f t="shared" ref="P133:P164" si="37">M133*R133</f>
        <v>2666</v>
      </c>
      <c r="Q133" s="348">
        <v>48</v>
      </c>
      <c r="R133" s="354">
        <f t="shared" ref="R133:R163" si="38">K133-Q133</f>
        <v>2</v>
      </c>
      <c r="S133" s="350">
        <f t="shared" ref="S133:S163" si="39">L133*Q133</f>
        <v>543984</v>
      </c>
      <c r="T133" s="350">
        <f t="shared" ref="T133:T163" si="40">J133-S133</f>
        <v>22666</v>
      </c>
      <c r="U133" s="393"/>
    </row>
    <row r="134" spans="1:21">
      <c r="A134" s="378"/>
      <c r="B134" s="378"/>
      <c r="C134" s="378"/>
      <c r="D134" s="116" t="s">
        <v>1108</v>
      </c>
      <c r="E134" s="367">
        <v>130</v>
      </c>
      <c r="F134" s="393" t="s">
        <v>1437</v>
      </c>
      <c r="G134" s="393" t="s">
        <v>802</v>
      </c>
      <c r="H134" s="351">
        <v>500000</v>
      </c>
      <c r="I134" s="351">
        <v>66650</v>
      </c>
      <c r="J134" s="349">
        <f t="shared" si="34"/>
        <v>566650</v>
      </c>
      <c r="K134" s="348">
        <v>50</v>
      </c>
      <c r="L134" s="380">
        <v>11333</v>
      </c>
      <c r="M134" s="394">
        <f t="shared" si="33"/>
        <v>1333</v>
      </c>
      <c r="N134" s="394">
        <f t="shared" si="35"/>
        <v>10000</v>
      </c>
      <c r="O134" s="394">
        <f t="shared" si="36"/>
        <v>50654</v>
      </c>
      <c r="P134" s="394">
        <f t="shared" si="37"/>
        <v>15996</v>
      </c>
      <c r="Q134" s="348">
        <v>38</v>
      </c>
      <c r="R134" s="354">
        <f t="shared" si="38"/>
        <v>12</v>
      </c>
      <c r="S134" s="350">
        <f t="shared" si="39"/>
        <v>430654</v>
      </c>
      <c r="T134" s="350">
        <f t="shared" si="40"/>
        <v>135996</v>
      </c>
      <c r="U134" s="393"/>
    </row>
    <row r="135" spans="1:21">
      <c r="A135" s="378"/>
      <c r="B135" s="378"/>
      <c r="C135" s="378"/>
      <c r="D135" s="364" t="s">
        <v>1333</v>
      </c>
      <c r="E135" s="367">
        <v>131</v>
      </c>
      <c r="F135" s="393" t="s">
        <v>1437</v>
      </c>
      <c r="G135" s="393" t="s">
        <v>1281</v>
      </c>
      <c r="H135" s="351">
        <v>500000</v>
      </c>
      <c r="I135" s="351">
        <v>66650</v>
      </c>
      <c r="J135" s="349">
        <f t="shared" si="34"/>
        <v>566650</v>
      </c>
      <c r="K135" s="348">
        <v>50</v>
      </c>
      <c r="L135" s="380">
        <v>11333</v>
      </c>
      <c r="M135" s="394">
        <f t="shared" si="33"/>
        <v>1333</v>
      </c>
      <c r="N135" s="394">
        <f t="shared" si="35"/>
        <v>10000</v>
      </c>
      <c r="O135" s="394">
        <f t="shared" si="36"/>
        <v>21328</v>
      </c>
      <c r="P135" s="394">
        <f t="shared" si="37"/>
        <v>45322</v>
      </c>
      <c r="Q135" s="348">
        <v>16</v>
      </c>
      <c r="R135" s="354">
        <f t="shared" si="38"/>
        <v>34</v>
      </c>
      <c r="S135" s="350">
        <f t="shared" si="39"/>
        <v>181328</v>
      </c>
      <c r="T135" s="350">
        <f t="shared" si="40"/>
        <v>385322</v>
      </c>
      <c r="U135" s="393"/>
    </row>
    <row r="136" spans="1:21">
      <c r="A136" s="378"/>
      <c r="B136" s="378"/>
      <c r="C136" s="378"/>
      <c r="D136" s="364" t="s">
        <v>1057</v>
      </c>
      <c r="E136" s="367">
        <v>132</v>
      </c>
      <c r="F136" s="393" t="s">
        <v>1437</v>
      </c>
      <c r="G136" s="393" t="s">
        <v>412</v>
      </c>
      <c r="H136" s="351">
        <v>500000</v>
      </c>
      <c r="I136" s="351">
        <v>66650</v>
      </c>
      <c r="J136" s="349">
        <f t="shared" si="34"/>
        <v>566650</v>
      </c>
      <c r="K136" s="348">
        <v>50</v>
      </c>
      <c r="L136" s="380">
        <v>11333</v>
      </c>
      <c r="M136" s="394">
        <f t="shared" si="33"/>
        <v>1333</v>
      </c>
      <c r="N136" s="394">
        <f t="shared" si="35"/>
        <v>10000</v>
      </c>
      <c r="O136" s="394">
        <f t="shared" si="36"/>
        <v>41323</v>
      </c>
      <c r="P136" s="394">
        <f t="shared" si="37"/>
        <v>25327</v>
      </c>
      <c r="Q136" s="348">
        <v>31</v>
      </c>
      <c r="R136" s="354">
        <f t="shared" si="38"/>
        <v>19</v>
      </c>
      <c r="S136" s="350">
        <f t="shared" si="39"/>
        <v>351323</v>
      </c>
      <c r="T136" s="350">
        <f t="shared" si="40"/>
        <v>215327</v>
      </c>
      <c r="U136" s="393"/>
    </row>
    <row r="137" spans="1:21">
      <c r="A137" s="378"/>
      <c r="B137" s="378"/>
      <c r="C137" s="378"/>
      <c r="D137" s="393" t="s">
        <v>1471</v>
      </c>
      <c r="E137" s="367">
        <v>133</v>
      </c>
      <c r="F137" s="393" t="s">
        <v>1437</v>
      </c>
      <c r="G137" s="393" t="s">
        <v>1472</v>
      </c>
      <c r="H137" s="351">
        <v>500000</v>
      </c>
      <c r="I137" s="351">
        <v>66650</v>
      </c>
      <c r="J137" s="349">
        <f t="shared" si="34"/>
        <v>566650</v>
      </c>
      <c r="K137" s="348">
        <v>50</v>
      </c>
      <c r="L137" s="380">
        <v>11333</v>
      </c>
      <c r="M137" s="394">
        <f t="shared" si="33"/>
        <v>1333</v>
      </c>
      <c r="N137" s="394">
        <f t="shared" si="35"/>
        <v>10000</v>
      </c>
      <c r="O137" s="394">
        <f t="shared" si="36"/>
        <v>5332</v>
      </c>
      <c r="P137" s="394">
        <f t="shared" si="37"/>
        <v>61318</v>
      </c>
      <c r="Q137" s="348">
        <v>4</v>
      </c>
      <c r="R137" s="354">
        <f t="shared" si="38"/>
        <v>46</v>
      </c>
      <c r="S137" s="350">
        <f t="shared" si="39"/>
        <v>45332</v>
      </c>
      <c r="T137" s="350">
        <f t="shared" si="40"/>
        <v>521318</v>
      </c>
      <c r="U137" s="393"/>
    </row>
    <row r="138" spans="1:21">
      <c r="A138" s="378"/>
      <c r="B138" s="378"/>
      <c r="C138" s="378"/>
      <c r="D138" s="364" t="s">
        <v>1091</v>
      </c>
      <c r="E138" s="367">
        <v>134</v>
      </c>
      <c r="F138" s="393" t="s">
        <v>1437</v>
      </c>
      <c r="G138" s="393" t="s">
        <v>1092</v>
      </c>
      <c r="H138" s="351">
        <v>500000</v>
      </c>
      <c r="I138" s="351">
        <v>66650</v>
      </c>
      <c r="J138" s="349">
        <f t="shared" si="34"/>
        <v>566650</v>
      </c>
      <c r="K138" s="348">
        <v>50</v>
      </c>
      <c r="L138" s="380">
        <v>11333</v>
      </c>
      <c r="M138" s="394">
        <f t="shared" si="33"/>
        <v>1333</v>
      </c>
      <c r="N138" s="394">
        <f t="shared" si="35"/>
        <v>10000</v>
      </c>
      <c r="O138" s="394">
        <f t="shared" si="36"/>
        <v>81313</v>
      </c>
      <c r="P138" s="394">
        <f t="shared" si="37"/>
        <v>-14663</v>
      </c>
      <c r="Q138" s="348">
        <v>61</v>
      </c>
      <c r="R138" s="354">
        <f t="shared" si="38"/>
        <v>-11</v>
      </c>
      <c r="S138" s="350">
        <f t="shared" si="39"/>
        <v>691313</v>
      </c>
      <c r="T138" s="350">
        <f t="shared" si="40"/>
        <v>-124663</v>
      </c>
      <c r="U138" s="393"/>
    </row>
    <row r="139" spans="1:21">
      <c r="A139" s="378"/>
      <c r="B139" s="378"/>
      <c r="C139" s="378"/>
      <c r="D139" s="363" t="s">
        <v>1324</v>
      </c>
      <c r="E139" s="367">
        <v>135</v>
      </c>
      <c r="F139" s="393" t="s">
        <v>1437</v>
      </c>
      <c r="G139" s="393" t="s">
        <v>1325</v>
      </c>
      <c r="H139" s="351">
        <v>500000</v>
      </c>
      <c r="I139" s="351">
        <v>66650</v>
      </c>
      <c r="J139" s="349">
        <f t="shared" si="34"/>
        <v>566650</v>
      </c>
      <c r="K139" s="348">
        <v>50</v>
      </c>
      <c r="L139" s="380">
        <v>11333</v>
      </c>
      <c r="M139" s="394">
        <f t="shared" si="33"/>
        <v>1333</v>
      </c>
      <c r="N139" s="394">
        <f t="shared" si="35"/>
        <v>10000</v>
      </c>
      <c r="O139" s="394">
        <f t="shared" si="36"/>
        <v>18662</v>
      </c>
      <c r="P139" s="394">
        <f t="shared" si="37"/>
        <v>47988</v>
      </c>
      <c r="Q139" s="348">
        <v>14</v>
      </c>
      <c r="R139" s="354">
        <f t="shared" si="38"/>
        <v>36</v>
      </c>
      <c r="S139" s="350">
        <f t="shared" si="39"/>
        <v>158662</v>
      </c>
      <c r="T139" s="350">
        <f t="shared" si="40"/>
        <v>407988</v>
      </c>
      <c r="U139" s="393"/>
    </row>
    <row r="140" spans="1:21">
      <c r="A140" s="378"/>
      <c r="B140" s="378"/>
      <c r="C140" s="378"/>
      <c r="D140" s="363" t="s">
        <v>1340</v>
      </c>
      <c r="E140" s="367">
        <v>136</v>
      </c>
      <c r="F140" s="393" t="s">
        <v>1437</v>
      </c>
      <c r="G140" s="393" t="s">
        <v>410</v>
      </c>
      <c r="H140" s="351">
        <v>500000</v>
      </c>
      <c r="I140" s="351">
        <v>66650</v>
      </c>
      <c r="J140" s="349">
        <f t="shared" si="34"/>
        <v>566650</v>
      </c>
      <c r="K140" s="348">
        <v>50</v>
      </c>
      <c r="L140" s="380">
        <v>11333</v>
      </c>
      <c r="M140" s="394">
        <f t="shared" si="33"/>
        <v>1333</v>
      </c>
      <c r="N140" s="394">
        <f t="shared" si="35"/>
        <v>10000</v>
      </c>
      <c r="O140" s="394">
        <f t="shared" si="36"/>
        <v>18662</v>
      </c>
      <c r="P140" s="394">
        <f t="shared" si="37"/>
        <v>47988</v>
      </c>
      <c r="Q140" s="348">
        <v>14</v>
      </c>
      <c r="R140" s="354">
        <f t="shared" si="38"/>
        <v>36</v>
      </c>
      <c r="S140" s="350">
        <f t="shared" si="39"/>
        <v>158662</v>
      </c>
      <c r="T140" s="350">
        <f t="shared" si="40"/>
        <v>407988</v>
      </c>
      <c r="U140" s="393"/>
    </row>
    <row r="141" spans="1:21">
      <c r="A141" s="378"/>
      <c r="B141" s="378"/>
      <c r="C141" s="378"/>
      <c r="D141" s="363" t="s">
        <v>1021</v>
      </c>
      <c r="E141" s="367">
        <v>137</v>
      </c>
      <c r="F141" s="393" t="s">
        <v>1437</v>
      </c>
      <c r="G141" s="393" t="s">
        <v>1022</v>
      </c>
      <c r="H141" s="351">
        <v>330000</v>
      </c>
      <c r="I141" s="351">
        <v>43989</v>
      </c>
      <c r="J141" s="349">
        <f t="shared" si="34"/>
        <v>373989</v>
      </c>
      <c r="K141" s="348">
        <v>50</v>
      </c>
      <c r="L141" s="380">
        <v>7479.78</v>
      </c>
      <c r="M141" s="394">
        <f t="shared" si="33"/>
        <v>879.78</v>
      </c>
      <c r="N141" s="394">
        <f t="shared" si="35"/>
        <v>6600</v>
      </c>
      <c r="O141" s="394">
        <f t="shared" si="36"/>
        <v>24633.84</v>
      </c>
      <c r="P141" s="394">
        <f t="shared" si="37"/>
        <v>19355.16</v>
      </c>
      <c r="Q141" s="348">
        <v>28</v>
      </c>
      <c r="R141" s="354">
        <f t="shared" si="38"/>
        <v>22</v>
      </c>
      <c r="S141" s="350">
        <f t="shared" si="39"/>
        <v>209433.84</v>
      </c>
      <c r="T141" s="350">
        <f t="shared" si="40"/>
        <v>164555.16</v>
      </c>
      <c r="U141" s="393"/>
    </row>
    <row r="142" spans="1:21">
      <c r="A142" s="378"/>
      <c r="B142" s="378"/>
      <c r="C142" s="378"/>
      <c r="D142" s="393" t="s">
        <v>1481</v>
      </c>
      <c r="E142" s="367">
        <v>138</v>
      </c>
      <c r="F142" s="393" t="s">
        <v>1437</v>
      </c>
      <c r="G142" s="393" t="s">
        <v>1482</v>
      </c>
      <c r="H142" s="351">
        <v>330000</v>
      </c>
      <c r="I142" s="351">
        <v>43989</v>
      </c>
      <c r="J142" s="349">
        <f t="shared" si="34"/>
        <v>373989</v>
      </c>
      <c r="K142" s="348">
        <v>50</v>
      </c>
      <c r="L142" s="380">
        <v>7479.78</v>
      </c>
      <c r="M142" s="394">
        <f t="shared" si="33"/>
        <v>879.78</v>
      </c>
      <c r="N142" s="394">
        <f t="shared" si="35"/>
        <v>6600</v>
      </c>
      <c r="O142" s="394">
        <f t="shared" si="36"/>
        <v>3519.12</v>
      </c>
      <c r="P142" s="394">
        <f t="shared" si="37"/>
        <v>40469.879999999997</v>
      </c>
      <c r="Q142" s="348">
        <v>4</v>
      </c>
      <c r="R142" s="354">
        <f t="shared" si="38"/>
        <v>46</v>
      </c>
      <c r="S142" s="350">
        <f t="shared" si="39"/>
        <v>29919.119999999999</v>
      </c>
      <c r="T142" s="350">
        <f t="shared" si="40"/>
        <v>344069.88</v>
      </c>
      <c r="U142" s="393"/>
    </row>
    <row r="143" spans="1:21">
      <c r="A143" s="378"/>
      <c r="B143" s="378"/>
      <c r="C143" s="378"/>
      <c r="D143" s="364" t="s">
        <v>1385</v>
      </c>
      <c r="E143" s="367">
        <v>139</v>
      </c>
      <c r="F143" s="393" t="s">
        <v>1437</v>
      </c>
      <c r="G143" s="393" t="s">
        <v>1295</v>
      </c>
      <c r="H143" s="351">
        <v>330000</v>
      </c>
      <c r="I143" s="351">
        <v>43989</v>
      </c>
      <c r="J143" s="349">
        <f t="shared" si="34"/>
        <v>373989</v>
      </c>
      <c r="K143" s="348">
        <v>50</v>
      </c>
      <c r="L143" s="380">
        <v>7479.78</v>
      </c>
      <c r="M143" s="394">
        <f t="shared" si="33"/>
        <v>879.78</v>
      </c>
      <c r="N143" s="394">
        <f t="shared" si="35"/>
        <v>6600</v>
      </c>
      <c r="O143" s="394">
        <f t="shared" si="36"/>
        <v>14076.48</v>
      </c>
      <c r="P143" s="394">
        <f t="shared" si="37"/>
        <v>29912.52</v>
      </c>
      <c r="Q143" s="348">
        <v>16</v>
      </c>
      <c r="R143" s="354">
        <f t="shared" si="38"/>
        <v>34</v>
      </c>
      <c r="S143" s="350">
        <f t="shared" si="39"/>
        <v>119676.48</v>
      </c>
      <c r="T143" s="350">
        <f t="shared" si="40"/>
        <v>254312.52000000002</v>
      </c>
      <c r="U143" s="393"/>
    </row>
    <row r="144" spans="1:21">
      <c r="A144" s="378"/>
      <c r="B144" s="378"/>
      <c r="C144" s="378"/>
      <c r="D144" s="393" t="s">
        <v>1128</v>
      </c>
      <c r="E144" s="367">
        <v>140</v>
      </c>
      <c r="F144" s="393" t="s">
        <v>1437</v>
      </c>
      <c r="G144" s="393" t="s">
        <v>462</v>
      </c>
      <c r="H144" s="351">
        <v>450000</v>
      </c>
      <c r="I144" s="351">
        <v>59985</v>
      </c>
      <c r="J144" s="349">
        <f t="shared" si="34"/>
        <v>509985</v>
      </c>
      <c r="K144" s="348">
        <v>50</v>
      </c>
      <c r="L144" s="380">
        <v>10199.700000000001</v>
      </c>
      <c r="M144" s="394">
        <f t="shared" si="33"/>
        <v>1199.7</v>
      </c>
      <c r="N144" s="394">
        <f t="shared" si="35"/>
        <v>9000</v>
      </c>
      <c r="O144" s="394">
        <f t="shared" si="36"/>
        <v>8397.9</v>
      </c>
      <c r="P144" s="394">
        <f t="shared" si="37"/>
        <v>51587.1</v>
      </c>
      <c r="Q144" s="348">
        <v>7</v>
      </c>
      <c r="R144" s="354">
        <f t="shared" si="38"/>
        <v>43</v>
      </c>
      <c r="S144" s="350">
        <f t="shared" si="39"/>
        <v>71397.900000000009</v>
      </c>
      <c r="T144" s="350">
        <f t="shared" si="40"/>
        <v>438587.1</v>
      </c>
      <c r="U144" s="393"/>
    </row>
    <row r="145" spans="1:21">
      <c r="A145" s="378"/>
      <c r="B145" s="378"/>
      <c r="C145" s="378"/>
      <c r="D145" s="364" t="s">
        <v>1004</v>
      </c>
      <c r="E145" s="367">
        <v>141</v>
      </c>
      <c r="F145" s="393" t="s">
        <v>1437</v>
      </c>
      <c r="G145" s="393" t="s">
        <v>107</v>
      </c>
      <c r="H145" s="351">
        <v>450000</v>
      </c>
      <c r="I145" s="351">
        <v>59985</v>
      </c>
      <c r="J145" s="349">
        <f t="shared" si="34"/>
        <v>509985</v>
      </c>
      <c r="K145" s="348">
        <v>50</v>
      </c>
      <c r="L145" s="380">
        <v>10199.700000000001</v>
      </c>
      <c r="M145" s="394">
        <f t="shared" si="33"/>
        <v>1199.7</v>
      </c>
      <c r="N145" s="394">
        <f t="shared" si="35"/>
        <v>9000</v>
      </c>
      <c r="O145" s="394">
        <f t="shared" si="36"/>
        <v>28792.800000000003</v>
      </c>
      <c r="P145" s="394">
        <f t="shared" si="37"/>
        <v>31192.2</v>
      </c>
      <c r="Q145" s="348">
        <v>24</v>
      </c>
      <c r="R145" s="354">
        <f t="shared" si="38"/>
        <v>26</v>
      </c>
      <c r="S145" s="350">
        <f t="shared" si="39"/>
        <v>244792.80000000002</v>
      </c>
      <c r="T145" s="350">
        <f t="shared" si="40"/>
        <v>265192.19999999995</v>
      </c>
      <c r="U145" s="393"/>
    </row>
    <row r="146" spans="1:21">
      <c r="A146" s="378"/>
      <c r="B146" s="378"/>
      <c r="C146" s="378"/>
      <c r="D146" s="364" t="s">
        <v>1136</v>
      </c>
      <c r="E146" s="367">
        <v>142</v>
      </c>
      <c r="F146" s="393" t="s">
        <v>1437</v>
      </c>
      <c r="G146" s="393" t="s">
        <v>1137</v>
      </c>
      <c r="H146" s="351">
        <v>330000</v>
      </c>
      <c r="I146" s="351">
        <v>43989</v>
      </c>
      <c r="J146" s="349">
        <f t="shared" si="34"/>
        <v>373989</v>
      </c>
      <c r="K146" s="348">
        <v>50</v>
      </c>
      <c r="L146" s="380">
        <v>7479.78</v>
      </c>
      <c r="M146" s="394">
        <f t="shared" si="33"/>
        <v>879.78</v>
      </c>
      <c r="N146" s="394">
        <f t="shared" si="35"/>
        <v>6600</v>
      </c>
      <c r="O146" s="394">
        <f t="shared" si="36"/>
        <v>21114.720000000001</v>
      </c>
      <c r="P146" s="394">
        <f t="shared" si="37"/>
        <v>22874.28</v>
      </c>
      <c r="Q146" s="348">
        <v>24</v>
      </c>
      <c r="R146" s="354">
        <f t="shared" si="38"/>
        <v>26</v>
      </c>
      <c r="S146" s="350">
        <f t="shared" si="39"/>
        <v>179514.72</v>
      </c>
      <c r="T146" s="350">
        <f t="shared" si="40"/>
        <v>194474.28</v>
      </c>
      <c r="U146" s="393"/>
    </row>
    <row r="147" spans="1:21">
      <c r="A147" s="378"/>
      <c r="B147" s="378"/>
      <c r="C147" s="378"/>
      <c r="D147" s="393" t="s">
        <v>1452</v>
      </c>
      <c r="E147" s="367">
        <v>143</v>
      </c>
      <c r="F147" s="393" t="s">
        <v>1437</v>
      </c>
      <c r="G147" s="393" t="s">
        <v>1453</v>
      </c>
      <c r="H147" s="351">
        <v>500000</v>
      </c>
      <c r="I147" s="351">
        <v>66650</v>
      </c>
      <c r="J147" s="349">
        <f t="shared" si="34"/>
        <v>566650</v>
      </c>
      <c r="K147" s="348">
        <v>50</v>
      </c>
      <c r="L147" s="380">
        <v>11333</v>
      </c>
      <c r="M147" s="394">
        <f t="shared" si="33"/>
        <v>1333</v>
      </c>
      <c r="N147" s="394">
        <f t="shared" si="35"/>
        <v>10000</v>
      </c>
      <c r="O147" s="394">
        <f t="shared" si="36"/>
        <v>9331</v>
      </c>
      <c r="P147" s="394">
        <f t="shared" si="37"/>
        <v>57319</v>
      </c>
      <c r="Q147" s="348">
        <v>7</v>
      </c>
      <c r="R147" s="354">
        <f t="shared" si="38"/>
        <v>43</v>
      </c>
      <c r="S147" s="350">
        <f t="shared" si="39"/>
        <v>79331</v>
      </c>
      <c r="T147" s="350">
        <f t="shared" si="40"/>
        <v>487319</v>
      </c>
      <c r="U147" s="393"/>
    </row>
    <row r="148" spans="1:21">
      <c r="A148" s="378"/>
      <c r="B148" s="378"/>
      <c r="C148" s="378"/>
      <c r="D148" s="364" t="s">
        <v>1115</v>
      </c>
      <c r="E148" s="367">
        <v>144</v>
      </c>
      <c r="F148" s="393" t="s">
        <v>1437</v>
      </c>
      <c r="G148" s="393" t="s">
        <v>1116</v>
      </c>
      <c r="H148" s="351">
        <v>200000</v>
      </c>
      <c r="I148" s="351">
        <v>26660</v>
      </c>
      <c r="J148" s="349">
        <f t="shared" si="34"/>
        <v>226660</v>
      </c>
      <c r="K148" s="348">
        <v>50</v>
      </c>
      <c r="L148" s="380">
        <v>5099.8500000000004</v>
      </c>
      <c r="M148" s="394">
        <f t="shared" si="33"/>
        <v>533.20000000000005</v>
      </c>
      <c r="N148" s="394">
        <f t="shared" si="35"/>
        <v>4000</v>
      </c>
      <c r="O148" s="394">
        <f t="shared" si="36"/>
        <v>12796.800000000001</v>
      </c>
      <c r="P148" s="394">
        <f t="shared" si="37"/>
        <v>13863.2</v>
      </c>
      <c r="Q148" s="348">
        <v>24</v>
      </c>
      <c r="R148" s="354">
        <f t="shared" si="38"/>
        <v>26</v>
      </c>
      <c r="S148" s="350">
        <f t="shared" si="39"/>
        <v>122396.40000000001</v>
      </c>
      <c r="T148" s="350">
        <f t="shared" si="40"/>
        <v>104263.59999999999</v>
      </c>
      <c r="U148" s="393"/>
    </row>
    <row r="149" spans="1:21">
      <c r="A149" s="378"/>
      <c r="B149" s="378"/>
      <c r="C149" s="378"/>
      <c r="D149" s="363" t="s">
        <v>1408</v>
      </c>
      <c r="E149" s="367">
        <v>145</v>
      </c>
      <c r="F149" s="393" t="s">
        <v>1437</v>
      </c>
      <c r="G149" s="393" t="s">
        <v>406</v>
      </c>
      <c r="H149" s="351">
        <v>500000</v>
      </c>
      <c r="I149" s="351">
        <v>66650</v>
      </c>
      <c r="J149" s="349">
        <f t="shared" si="34"/>
        <v>566650</v>
      </c>
      <c r="K149" s="348">
        <v>40</v>
      </c>
      <c r="L149" s="380">
        <v>13833</v>
      </c>
      <c r="M149" s="394">
        <f t="shared" si="33"/>
        <v>1333</v>
      </c>
      <c r="N149" s="394">
        <f t="shared" si="35"/>
        <v>10000</v>
      </c>
      <c r="O149" s="394">
        <f t="shared" si="36"/>
        <v>13330</v>
      </c>
      <c r="P149" s="394">
        <f t="shared" si="37"/>
        <v>39990</v>
      </c>
      <c r="Q149" s="348">
        <v>10</v>
      </c>
      <c r="R149" s="354">
        <f t="shared" si="38"/>
        <v>30</v>
      </c>
      <c r="S149" s="350">
        <f t="shared" si="39"/>
        <v>138330</v>
      </c>
      <c r="T149" s="350">
        <f t="shared" si="40"/>
        <v>428320</v>
      </c>
      <c r="U149" s="393"/>
    </row>
    <row r="150" spans="1:21">
      <c r="A150" s="378"/>
      <c r="B150" s="378"/>
      <c r="C150" s="378"/>
      <c r="D150" s="364" t="s">
        <v>1134</v>
      </c>
      <c r="E150" s="367">
        <v>146</v>
      </c>
      <c r="F150" s="393" t="s">
        <v>1437</v>
      </c>
      <c r="G150" s="393" t="s">
        <v>1135</v>
      </c>
      <c r="H150" s="351">
        <v>500000</v>
      </c>
      <c r="I150" s="351">
        <v>66650</v>
      </c>
      <c r="J150" s="349">
        <f t="shared" si="34"/>
        <v>566650</v>
      </c>
      <c r="K150" s="348">
        <v>50</v>
      </c>
      <c r="L150" s="380">
        <v>11333</v>
      </c>
      <c r="M150" s="394">
        <f t="shared" si="33"/>
        <v>1333</v>
      </c>
      <c r="N150" s="394">
        <f t="shared" si="35"/>
        <v>10000</v>
      </c>
      <c r="O150" s="394">
        <f t="shared" si="36"/>
        <v>31992</v>
      </c>
      <c r="P150" s="394">
        <f t="shared" si="37"/>
        <v>34658</v>
      </c>
      <c r="Q150" s="348">
        <v>24</v>
      </c>
      <c r="R150" s="354">
        <f t="shared" si="38"/>
        <v>26</v>
      </c>
      <c r="S150" s="350">
        <f t="shared" si="39"/>
        <v>271992</v>
      </c>
      <c r="T150" s="350">
        <f t="shared" si="40"/>
        <v>294658</v>
      </c>
      <c r="U150" s="393"/>
    </row>
    <row r="151" spans="1:21">
      <c r="A151" s="378"/>
      <c r="B151" s="378"/>
      <c r="C151" s="378"/>
      <c r="D151" s="115" t="s">
        <v>1048</v>
      </c>
      <c r="E151" s="367">
        <v>147</v>
      </c>
      <c r="F151" s="393" t="s">
        <v>1437</v>
      </c>
      <c r="G151" s="393" t="s">
        <v>1049</v>
      </c>
      <c r="H151" s="351">
        <v>450000</v>
      </c>
      <c r="I151" s="351">
        <v>59985</v>
      </c>
      <c r="J151" s="349">
        <f t="shared" si="34"/>
        <v>509985</v>
      </c>
      <c r="K151" s="348">
        <v>50</v>
      </c>
      <c r="L151" s="380">
        <v>10199.700000000001</v>
      </c>
      <c r="M151" s="394">
        <f t="shared" si="33"/>
        <v>1199.7</v>
      </c>
      <c r="N151" s="394">
        <f t="shared" si="35"/>
        <v>9000</v>
      </c>
      <c r="O151" s="394">
        <f t="shared" si="36"/>
        <v>56385.9</v>
      </c>
      <c r="P151" s="394">
        <f t="shared" si="37"/>
        <v>3599.1000000000004</v>
      </c>
      <c r="Q151" s="348">
        <v>47</v>
      </c>
      <c r="R151" s="354">
        <f t="shared" si="38"/>
        <v>3</v>
      </c>
      <c r="S151" s="350">
        <f t="shared" si="39"/>
        <v>479385.9</v>
      </c>
      <c r="T151" s="350">
        <f t="shared" si="40"/>
        <v>30599.099999999977</v>
      </c>
      <c r="U151" s="393"/>
    </row>
    <row r="152" spans="1:21">
      <c r="A152" s="378"/>
      <c r="B152" s="378"/>
      <c r="C152" s="378"/>
      <c r="D152" s="364" t="s">
        <v>1090</v>
      </c>
      <c r="E152" s="367">
        <v>148</v>
      </c>
      <c r="F152" s="393" t="s">
        <v>1437</v>
      </c>
      <c r="G152" s="393" t="s">
        <v>295</v>
      </c>
      <c r="H152" s="351">
        <v>500000</v>
      </c>
      <c r="I152" s="351">
        <v>66650</v>
      </c>
      <c r="J152" s="349">
        <f t="shared" si="34"/>
        <v>566650</v>
      </c>
      <c r="K152" s="348">
        <v>50</v>
      </c>
      <c r="L152" s="380">
        <v>11333</v>
      </c>
      <c r="M152" s="394">
        <f t="shared" si="33"/>
        <v>1333</v>
      </c>
      <c r="N152" s="394">
        <f t="shared" si="35"/>
        <v>10000</v>
      </c>
      <c r="O152" s="394">
        <f t="shared" si="36"/>
        <v>41323</v>
      </c>
      <c r="P152" s="394">
        <f t="shared" si="37"/>
        <v>25327</v>
      </c>
      <c r="Q152" s="348">
        <v>31</v>
      </c>
      <c r="R152" s="354">
        <f t="shared" si="38"/>
        <v>19</v>
      </c>
      <c r="S152" s="350">
        <f t="shared" si="39"/>
        <v>351323</v>
      </c>
      <c r="T152" s="350">
        <f t="shared" si="40"/>
        <v>215327</v>
      </c>
      <c r="U152" s="393"/>
    </row>
    <row r="153" spans="1:21">
      <c r="A153" s="378"/>
      <c r="B153" s="378"/>
      <c r="C153" s="378"/>
      <c r="D153" s="364" t="s">
        <v>1337</v>
      </c>
      <c r="E153" s="367">
        <v>149</v>
      </c>
      <c r="F153" s="393" t="s">
        <v>1437</v>
      </c>
      <c r="G153" s="393" t="s">
        <v>1280</v>
      </c>
      <c r="H153" s="351">
        <v>500000</v>
      </c>
      <c r="I153" s="351">
        <v>66650</v>
      </c>
      <c r="J153" s="349">
        <f t="shared" si="34"/>
        <v>566650</v>
      </c>
      <c r="K153" s="348">
        <v>50</v>
      </c>
      <c r="L153" s="380">
        <v>11333</v>
      </c>
      <c r="M153" s="394">
        <f t="shared" si="33"/>
        <v>1333</v>
      </c>
      <c r="N153" s="394">
        <f t="shared" si="35"/>
        <v>10000</v>
      </c>
      <c r="O153" s="394">
        <f t="shared" si="36"/>
        <v>21328</v>
      </c>
      <c r="P153" s="394">
        <f t="shared" si="37"/>
        <v>45322</v>
      </c>
      <c r="Q153" s="348">
        <v>16</v>
      </c>
      <c r="R153" s="354">
        <f t="shared" si="38"/>
        <v>34</v>
      </c>
      <c r="S153" s="350">
        <f t="shared" si="39"/>
        <v>181328</v>
      </c>
      <c r="T153" s="350">
        <f t="shared" si="40"/>
        <v>385322</v>
      </c>
      <c r="U153" s="393"/>
    </row>
    <row r="154" spans="1:21">
      <c r="A154" s="378"/>
      <c r="B154" s="378"/>
      <c r="C154" s="378"/>
      <c r="D154" s="393" t="s">
        <v>1415</v>
      </c>
      <c r="E154" s="367">
        <v>150</v>
      </c>
      <c r="F154" s="393" t="s">
        <v>1437</v>
      </c>
      <c r="G154" s="393" t="s">
        <v>1416</v>
      </c>
      <c r="H154" s="351">
        <v>500000</v>
      </c>
      <c r="I154" s="351">
        <v>66650</v>
      </c>
      <c r="J154" s="349">
        <f t="shared" si="34"/>
        <v>566650</v>
      </c>
      <c r="K154" s="348">
        <v>50</v>
      </c>
      <c r="L154" s="380">
        <v>11333</v>
      </c>
      <c r="M154" s="394">
        <f t="shared" si="33"/>
        <v>1333</v>
      </c>
      <c r="N154" s="394">
        <f t="shared" si="35"/>
        <v>10000</v>
      </c>
      <c r="O154" s="394">
        <f t="shared" si="36"/>
        <v>11997</v>
      </c>
      <c r="P154" s="394">
        <f t="shared" si="37"/>
        <v>54653</v>
      </c>
      <c r="Q154" s="348">
        <v>9</v>
      </c>
      <c r="R154" s="354">
        <f t="shared" si="38"/>
        <v>41</v>
      </c>
      <c r="S154" s="350">
        <f t="shared" si="39"/>
        <v>101997</v>
      </c>
      <c r="T154" s="350">
        <f t="shared" si="40"/>
        <v>464653</v>
      </c>
      <c r="U154" s="393"/>
    </row>
    <row r="155" spans="1:21">
      <c r="A155" s="378"/>
      <c r="B155" s="378"/>
      <c r="C155" s="378"/>
      <c r="D155" s="364" t="s">
        <v>1354</v>
      </c>
      <c r="E155" s="367">
        <v>151</v>
      </c>
      <c r="F155" s="393" t="s">
        <v>1437</v>
      </c>
      <c r="G155" s="393" t="s">
        <v>450</v>
      </c>
      <c r="H155" s="351">
        <v>450000</v>
      </c>
      <c r="I155" s="351">
        <v>59985</v>
      </c>
      <c r="J155" s="349">
        <f t="shared" si="34"/>
        <v>509985</v>
      </c>
      <c r="K155" s="348">
        <v>50</v>
      </c>
      <c r="L155" s="380">
        <v>10199.700000000001</v>
      </c>
      <c r="M155" s="394">
        <f t="shared" si="33"/>
        <v>1199.7</v>
      </c>
      <c r="N155" s="394">
        <f t="shared" si="35"/>
        <v>9000</v>
      </c>
      <c r="O155" s="394">
        <f t="shared" si="36"/>
        <v>27593.100000000002</v>
      </c>
      <c r="P155" s="394">
        <f t="shared" si="37"/>
        <v>32391.9</v>
      </c>
      <c r="Q155" s="348">
        <v>23</v>
      </c>
      <c r="R155" s="354">
        <f t="shared" si="38"/>
        <v>27</v>
      </c>
      <c r="S155" s="350">
        <f t="shared" si="39"/>
        <v>234593.1</v>
      </c>
      <c r="T155" s="350">
        <f t="shared" si="40"/>
        <v>275391.90000000002</v>
      </c>
      <c r="U155" s="393"/>
    </row>
    <row r="156" spans="1:21">
      <c r="A156" s="378"/>
      <c r="B156" s="378"/>
      <c r="C156" s="378"/>
      <c r="D156" s="363" t="s">
        <v>968</v>
      </c>
      <c r="E156" s="367">
        <v>152</v>
      </c>
      <c r="F156" s="393" t="s">
        <v>1437</v>
      </c>
      <c r="G156" s="393" t="s">
        <v>490</v>
      </c>
      <c r="H156" s="351">
        <v>330000</v>
      </c>
      <c r="I156" s="351">
        <v>43989</v>
      </c>
      <c r="J156" s="349">
        <f t="shared" si="34"/>
        <v>373989</v>
      </c>
      <c r="K156" s="348">
        <v>50</v>
      </c>
      <c r="L156" s="380">
        <v>7479.78</v>
      </c>
      <c r="M156" s="394">
        <f t="shared" si="33"/>
        <v>879.78</v>
      </c>
      <c r="N156" s="394">
        <f t="shared" si="35"/>
        <v>6600</v>
      </c>
      <c r="O156" s="394">
        <f t="shared" si="36"/>
        <v>31672.079999999998</v>
      </c>
      <c r="P156" s="394">
        <f t="shared" si="37"/>
        <v>12316.92</v>
      </c>
      <c r="Q156" s="348">
        <v>36</v>
      </c>
      <c r="R156" s="354">
        <f t="shared" si="38"/>
        <v>14</v>
      </c>
      <c r="S156" s="350">
        <f t="shared" si="39"/>
        <v>269272.08</v>
      </c>
      <c r="T156" s="350">
        <f t="shared" si="40"/>
        <v>104716.91999999998</v>
      </c>
      <c r="U156" s="393"/>
    </row>
    <row r="157" spans="1:21">
      <c r="A157" s="378"/>
      <c r="B157" s="378"/>
      <c r="C157" s="378"/>
      <c r="D157" s="115" t="s">
        <v>1036</v>
      </c>
      <c r="E157" s="367">
        <v>153</v>
      </c>
      <c r="F157" s="393" t="s">
        <v>1437</v>
      </c>
      <c r="G157" s="393" t="s">
        <v>216</v>
      </c>
      <c r="H157" s="351">
        <v>60000</v>
      </c>
      <c r="I157" s="351">
        <v>7998</v>
      </c>
      <c r="J157" s="349">
        <f t="shared" si="34"/>
        <v>67998</v>
      </c>
      <c r="K157" s="348">
        <v>40</v>
      </c>
      <c r="L157" s="380">
        <v>1699.95</v>
      </c>
      <c r="M157" s="394">
        <f t="shared" si="33"/>
        <v>159.96</v>
      </c>
      <c r="N157" s="394">
        <f t="shared" si="35"/>
        <v>1200</v>
      </c>
      <c r="O157" s="394">
        <f t="shared" si="36"/>
        <v>5918.52</v>
      </c>
      <c r="P157" s="394">
        <f t="shared" si="37"/>
        <v>479.88</v>
      </c>
      <c r="Q157" s="348">
        <v>37</v>
      </c>
      <c r="R157" s="354">
        <f t="shared" si="38"/>
        <v>3</v>
      </c>
      <c r="S157" s="350">
        <f t="shared" si="39"/>
        <v>62898.15</v>
      </c>
      <c r="T157" s="350">
        <f t="shared" si="40"/>
        <v>5099.8499999999985</v>
      </c>
      <c r="U157" s="393"/>
    </row>
    <row r="158" spans="1:21">
      <c r="A158" s="378"/>
      <c r="B158" s="378"/>
      <c r="C158" s="378"/>
      <c r="D158" s="363" t="s">
        <v>1379</v>
      </c>
      <c r="E158" s="367">
        <v>154</v>
      </c>
      <c r="F158" s="393" t="s">
        <v>1437</v>
      </c>
      <c r="G158" s="393" t="s">
        <v>1380</v>
      </c>
      <c r="H158" s="351">
        <v>330000</v>
      </c>
      <c r="I158" s="351">
        <v>43989</v>
      </c>
      <c r="J158" s="349">
        <f t="shared" si="34"/>
        <v>373989</v>
      </c>
      <c r="K158" s="348">
        <v>50</v>
      </c>
      <c r="L158" s="380">
        <v>7479.78</v>
      </c>
      <c r="M158" s="394">
        <f t="shared" si="33"/>
        <v>879.78</v>
      </c>
      <c r="N158" s="394">
        <f t="shared" si="35"/>
        <v>6600</v>
      </c>
      <c r="O158" s="394">
        <f t="shared" si="36"/>
        <v>9677.58</v>
      </c>
      <c r="P158" s="394">
        <f t="shared" si="37"/>
        <v>34311.42</v>
      </c>
      <c r="Q158" s="348">
        <v>11</v>
      </c>
      <c r="R158" s="354">
        <f t="shared" si="38"/>
        <v>39</v>
      </c>
      <c r="S158" s="350">
        <f t="shared" si="39"/>
        <v>82277.58</v>
      </c>
      <c r="T158" s="350">
        <f t="shared" si="40"/>
        <v>291711.42</v>
      </c>
      <c r="U158" s="393"/>
    </row>
    <row r="159" spans="1:21">
      <c r="A159" s="378"/>
      <c r="B159" s="378"/>
      <c r="C159" s="378"/>
      <c r="D159" s="364" t="s">
        <v>1372</v>
      </c>
      <c r="E159" s="367">
        <v>155</v>
      </c>
      <c r="F159" s="393" t="s">
        <v>1437</v>
      </c>
      <c r="G159" s="393" t="s">
        <v>1297</v>
      </c>
      <c r="H159" s="351">
        <v>330000</v>
      </c>
      <c r="I159" s="351">
        <v>43989</v>
      </c>
      <c r="J159" s="349">
        <f t="shared" si="34"/>
        <v>373989</v>
      </c>
      <c r="K159" s="348">
        <v>50</v>
      </c>
      <c r="L159" s="380">
        <v>7479.78</v>
      </c>
      <c r="M159" s="394">
        <f t="shared" si="33"/>
        <v>879.78</v>
      </c>
      <c r="N159" s="394">
        <f t="shared" si="35"/>
        <v>6600</v>
      </c>
      <c r="O159" s="394">
        <f t="shared" si="36"/>
        <v>19355.16</v>
      </c>
      <c r="P159" s="394">
        <f t="shared" si="37"/>
        <v>24633.84</v>
      </c>
      <c r="Q159" s="348">
        <v>22</v>
      </c>
      <c r="R159" s="354">
        <f t="shared" si="38"/>
        <v>28</v>
      </c>
      <c r="S159" s="350">
        <f t="shared" si="39"/>
        <v>164555.16</v>
      </c>
      <c r="T159" s="350">
        <f t="shared" si="40"/>
        <v>209433.84</v>
      </c>
      <c r="U159" s="393"/>
    </row>
    <row r="160" spans="1:21">
      <c r="A160" s="378"/>
      <c r="B160" s="378"/>
      <c r="C160" s="378"/>
      <c r="D160" s="393" t="s">
        <v>1447</v>
      </c>
      <c r="E160" s="367">
        <v>156</v>
      </c>
      <c r="F160" s="393" t="s">
        <v>1437</v>
      </c>
      <c r="G160" s="393" t="s">
        <v>1448</v>
      </c>
      <c r="H160" s="351">
        <v>450000</v>
      </c>
      <c r="I160" s="351">
        <v>59985</v>
      </c>
      <c r="J160" s="349">
        <f t="shared" si="34"/>
        <v>509985</v>
      </c>
      <c r="K160" s="348">
        <v>50</v>
      </c>
      <c r="L160" s="380">
        <v>10199.700000000001</v>
      </c>
      <c r="M160" s="394">
        <f t="shared" si="33"/>
        <v>1199.7</v>
      </c>
      <c r="N160" s="394">
        <f t="shared" si="35"/>
        <v>9000</v>
      </c>
      <c r="O160" s="394">
        <f t="shared" si="36"/>
        <v>8397.9</v>
      </c>
      <c r="P160" s="394">
        <f t="shared" si="37"/>
        <v>51587.1</v>
      </c>
      <c r="Q160" s="348">
        <v>7</v>
      </c>
      <c r="R160" s="354">
        <f t="shared" si="38"/>
        <v>43</v>
      </c>
      <c r="S160" s="350">
        <f t="shared" si="39"/>
        <v>71397.900000000009</v>
      </c>
      <c r="T160" s="350">
        <f t="shared" si="40"/>
        <v>438587.1</v>
      </c>
      <c r="U160" s="393"/>
    </row>
    <row r="161" spans="1:21">
      <c r="A161" s="378"/>
      <c r="B161" s="378"/>
      <c r="C161" s="378"/>
      <c r="D161" s="115" t="s">
        <v>1373</v>
      </c>
      <c r="E161" s="367">
        <v>157</v>
      </c>
      <c r="F161" s="393" t="s">
        <v>1437</v>
      </c>
      <c r="G161" s="393" t="s">
        <v>1374</v>
      </c>
      <c r="H161" s="351">
        <v>330000</v>
      </c>
      <c r="I161" s="351">
        <v>43989</v>
      </c>
      <c r="J161" s="349">
        <f t="shared" si="34"/>
        <v>373989</v>
      </c>
      <c r="K161" s="348">
        <v>50</v>
      </c>
      <c r="L161" s="380">
        <v>7479.78</v>
      </c>
      <c r="M161" s="394">
        <f t="shared" si="33"/>
        <v>879.78</v>
      </c>
      <c r="N161" s="394">
        <f t="shared" si="35"/>
        <v>6600</v>
      </c>
      <c r="O161" s="394">
        <f t="shared" si="36"/>
        <v>9677.58</v>
      </c>
      <c r="P161" s="394">
        <f t="shared" si="37"/>
        <v>34311.42</v>
      </c>
      <c r="Q161" s="348">
        <v>11</v>
      </c>
      <c r="R161" s="354">
        <f t="shared" si="38"/>
        <v>39</v>
      </c>
      <c r="S161" s="350">
        <f t="shared" si="39"/>
        <v>82277.58</v>
      </c>
      <c r="T161" s="350">
        <f t="shared" si="40"/>
        <v>291711.42</v>
      </c>
      <c r="U161" s="393"/>
    </row>
    <row r="162" spans="1:21" s="392" customFormat="1">
      <c r="A162" s="378"/>
      <c r="B162" s="378"/>
      <c r="D162" s="115" t="s">
        <v>1367</v>
      </c>
      <c r="E162" s="367">
        <v>158</v>
      </c>
      <c r="F162" s="393" t="s">
        <v>1437</v>
      </c>
      <c r="G162" s="393" t="s">
        <v>465</v>
      </c>
      <c r="H162" s="351">
        <v>450000</v>
      </c>
      <c r="I162" s="351">
        <v>59985</v>
      </c>
      <c r="J162" s="349">
        <f t="shared" si="34"/>
        <v>509985</v>
      </c>
      <c r="K162" s="348">
        <v>50</v>
      </c>
      <c r="L162" s="380">
        <v>10199.700000000001</v>
      </c>
      <c r="M162" s="394">
        <f t="shared" si="33"/>
        <v>1199.7</v>
      </c>
      <c r="N162" s="394">
        <f t="shared" si="35"/>
        <v>9000</v>
      </c>
      <c r="O162" s="394">
        <f t="shared" si="36"/>
        <v>37190.700000000004</v>
      </c>
      <c r="P162" s="394">
        <f t="shared" si="37"/>
        <v>22794.3</v>
      </c>
      <c r="Q162" s="348">
        <v>31</v>
      </c>
      <c r="R162" s="354">
        <f t="shared" si="38"/>
        <v>19</v>
      </c>
      <c r="S162" s="350">
        <f t="shared" si="39"/>
        <v>316190.7</v>
      </c>
      <c r="T162" s="350">
        <f t="shared" si="40"/>
        <v>193794.3</v>
      </c>
      <c r="U162" s="393"/>
    </row>
    <row r="163" spans="1:21">
      <c r="A163" s="378"/>
      <c r="B163" s="378"/>
      <c r="D163" s="393" t="s">
        <v>1493</v>
      </c>
      <c r="E163" s="367">
        <v>159</v>
      </c>
      <c r="F163" s="393" t="s">
        <v>1437</v>
      </c>
      <c r="G163" s="393" t="s">
        <v>461</v>
      </c>
      <c r="H163" s="380">
        <v>750000</v>
      </c>
      <c r="I163" s="380">
        <v>79980</v>
      </c>
      <c r="J163" s="380">
        <f t="shared" si="34"/>
        <v>829980</v>
      </c>
      <c r="K163" s="348">
        <v>48</v>
      </c>
      <c r="L163" s="351">
        <v>17291.25</v>
      </c>
      <c r="M163" s="394">
        <f>I163/48</f>
        <v>1666.25</v>
      </c>
      <c r="N163" s="394">
        <f>H163/48</f>
        <v>15625</v>
      </c>
      <c r="O163" s="394">
        <f t="shared" si="36"/>
        <v>1666.25</v>
      </c>
      <c r="P163" s="394">
        <f t="shared" si="37"/>
        <v>78313.75</v>
      </c>
      <c r="Q163" s="348">
        <v>1</v>
      </c>
      <c r="R163" s="348">
        <f t="shared" si="38"/>
        <v>47</v>
      </c>
      <c r="S163" s="380">
        <f t="shared" si="39"/>
        <v>17291.25</v>
      </c>
      <c r="T163" s="380">
        <f t="shared" si="40"/>
        <v>812688.75</v>
      </c>
      <c r="U163" s="393"/>
    </row>
    <row r="164" spans="1:21">
      <c r="A164" s="378"/>
      <c r="B164" s="378"/>
      <c r="D164" s="393" t="s">
        <v>1494</v>
      </c>
      <c r="E164" s="367">
        <v>160</v>
      </c>
      <c r="F164" s="393" t="s">
        <v>1437</v>
      </c>
      <c r="G164" s="393" t="s">
        <v>1495</v>
      </c>
      <c r="H164" s="380">
        <v>750000</v>
      </c>
      <c r="I164" s="380">
        <v>99925</v>
      </c>
      <c r="J164" s="380">
        <f t="shared" ref="J164:J184" si="41">SUM(H164:I164)</f>
        <v>849925</v>
      </c>
      <c r="K164" s="348">
        <v>60</v>
      </c>
      <c r="L164" s="351">
        <v>14166.25</v>
      </c>
      <c r="M164" s="394">
        <f t="shared" ref="M164:M169" si="42">I164/60</f>
        <v>1665.4166666666667</v>
      </c>
      <c r="N164" s="394">
        <f t="shared" ref="N164:N169" si="43">H164/60</f>
        <v>12500</v>
      </c>
      <c r="O164" s="394">
        <f t="shared" si="36"/>
        <v>1665.4166666666667</v>
      </c>
      <c r="P164" s="394">
        <f t="shared" si="37"/>
        <v>98259.583333333343</v>
      </c>
      <c r="Q164" s="348">
        <v>1</v>
      </c>
      <c r="R164" s="348">
        <f t="shared" ref="R164:R182" si="44">K164-Q164</f>
        <v>59</v>
      </c>
      <c r="S164" s="380">
        <f t="shared" ref="S164:S182" si="45">L164*Q164</f>
        <v>14166.25</v>
      </c>
      <c r="T164" s="380">
        <f t="shared" ref="T164:T182" si="46">J164-S164</f>
        <v>835758.75</v>
      </c>
      <c r="U164" s="393"/>
    </row>
    <row r="165" spans="1:21">
      <c r="A165" s="378"/>
      <c r="B165" s="378"/>
      <c r="D165" s="393" t="s">
        <v>1496</v>
      </c>
      <c r="E165" s="367">
        <v>161</v>
      </c>
      <c r="F165" s="393" t="s">
        <v>1437</v>
      </c>
      <c r="G165" s="393" t="s">
        <v>447</v>
      </c>
      <c r="H165" s="380">
        <v>750000</v>
      </c>
      <c r="I165" s="380">
        <v>99925</v>
      </c>
      <c r="J165" s="380">
        <f t="shared" si="41"/>
        <v>849925</v>
      </c>
      <c r="K165" s="348">
        <v>60</v>
      </c>
      <c r="L165" s="351">
        <v>14166.25</v>
      </c>
      <c r="M165" s="394">
        <f t="shared" si="42"/>
        <v>1665.4166666666667</v>
      </c>
      <c r="N165" s="394">
        <f t="shared" si="43"/>
        <v>12500</v>
      </c>
      <c r="O165" s="394">
        <f>M165*Q165</f>
        <v>1665.4166666666667</v>
      </c>
      <c r="P165" s="394">
        <f>M165*R165</f>
        <v>98259.583333333343</v>
      </c>
      <c r="Q165" s="348">
        <v>1</v>
      </c>
      <c r="R165" s="348">
        <f t="shared" si="44"/>
        <v>59</v>
      </c>
      <c r="S165" s="380">
        <f t="shared" si="45"/>
        <v>14166.25</v>
      </c>
      <c r="T165" s="380">
        <f t="shared" si="46"/>
        <v>835758.75</v>
      </c>
      <c r="U165" s="393"/>
    </row>
    <row r="166" spans="1:21">
      <c r="A166" s="378"/>
      <c r="B166" s="378"/>
      <c r="D166" s="393" t="s">
        <v>1497</v>
      </c>
      <c r="E166" s="367">
        <v>162</v>
      </c>
      <c r="F166" s="393" t="s">
        <v>1437</v>
      </c>
      <c r="G166" s="393" t="s">
        <v>442</v>
      </c>
      <c r="H166" s="380">
        <v>750000</v>
      </c>
      <c r="I166" s="380">
        <v>99925</v>
      </c>
      <c r="J166" s="380">
        <f t="shared" si="41"/>
        <v>849925</v>
      </c>
      <c r="K166" s="348">
        <v>60</v>
      </c>
      <c r="L166" s="351">
        <v>14166.25</v>
      </c>
      <c r="M166" s="394">
        <f t="shared" si="42"/>
        <v>1665.4166666666667</v>
      </c>
      <c r="N166" s="394">
        <f t="shared" si="43"/>
        <v>12500</v>
      </c>
      <c r="O166" s="394">
        <f>M166*Q166</f>
        <v>1665.4166666666667</v>
      </c>
      <c r="P166" s="394">
        <f>M166*R166</f>
        <v>98259.583333333343</v>
      </c>
      <c r="Q166" s="348">
        <v>1</v>
      </c>
      <c r="R166" s="348">
        <f t="shared" si="44"/>
        <v>59</v>
      </c>
      <c r="S166" s="380">
        <f t="shared" si="45"/>
        <v>14166.25</v>
      </c>
      <c r="T166" s="380">
        <f t="shared" si="46"/>
        <v>835758.75</v>
      </c>
      <c r="U166" s="393"/>
    </row>
    <row r="167" spans="1:21" ht="31.5">
      <c r="A167" s="378"/>
      <c r="B167" s="378"/>
      <c r="D167" s="393" t="s">
        <v>972</v>
      </c>
      <c r="E167" s="367">
        <v>163</v>
      </c>
      <c r="F167" s="393" t="s">
        <v>1437</v>
      </c>
      <c r="G167" s="395" t="s">
        <v>312</v>
      </c>
      <c r="H167" s="380">
        <v>750000</v>
      </c>
      <c r="I167" s="380">
        <v>99925</v>
      </c>
      <c r="J167" s="380">
        <f t="shared" si="41"/>
        <v>849925</v>
      </c>
      <c r="K167" s="348">
        <v>60</v>
      </c>
      <c r="L167" s="351">
        <v>14166.25</v>
      </c>
      <c r="M167" s="394">
        <f t="shared" si="42"/>
        <v>1665.4166666666667</v>
      </c>
      <c r="N167" s="394">
        <f t="shared" si="43"/>
        <v>12500</v>
      </c>
      <c r="O167" s="394">
        <f>M167*Q167</f>
        <v>1665.4166666666667</v>
      </c>
      <c r="P167" s="394">
        <f>M167*R167</f>
        <v>98259.583333333343</v>
      </c>
      <c r="Q167" s="348">
        <v>1</v>
      </c>
      <c r="R167" s="348">
        <f t="shared" si="44"/>
        <v>59</v>
      </c>
      <c r="S167" s="380">
        <f t="shared" si="45"/>
        <v>14166.25</v>
      </c>
      <c r="T167" s="380">
        <f t="shared" si="46"/>
        <v>835758.75</v>
      </c>
      <c r="U167" s="393"/>
    </row>
    <row r="168" spans="1:21">
      <c r="A168" s="378"/>
      <c r="B168" s="378"/>
      <c r="D168" s="393" t="s">
        <v>1500</v>
      </c>
      <c r="E168" s="367">
        <v>164</v>
      </c>
      <c r="F168" s="393" t="s">
        <v>1437</v>
      </c>
      <c r="G168" s="393" t="s">
        <v>437</v>
      </c>
      <c r="H168" s="380">
        <v>750000</v>
      </c>
      <c r="I168" s="380">
        <v>99925</v>
      </c>
      <c r="J168" s="380">
        <f t="shared" si="41"/>
        <v>849925</v>
      </c>
      <c r="K168" s="348">
        <v>60</v>
      </c>
      <c r="L168" s="351">
        <v>14166.25</v>
      </c>
      <c r="M168" s="394">
        <f t="shared" si="42"/>
        <v>1665.4166666666667</v>
      </c>
      <c r="N168" s="394">
        <f t="shared" si="43"/>
        <v>12500</v>
      </c>
      <c r="O168" s="394">
        <f>M168*Q168</f>
        <v>1665.4166666666667</v>
      </c>
      <c r="P168" s="394">
        <f>M168*R168</f>
        <v>98259.583333333343</v>
      </c>
      <c r="Q168" s="348">
        <v>1</v>
      </c>
      <c r="R168" s="348">
        <f t="shared" si="44"/>
        <v>59</v>
      </c>
      <c r="S168" s="380">
        <f t="shared" si="45"/>
        <v>14166.25</v>
      </c>
      <c r="T168" s="380">
        <f t="shared" si="46"/>
        <v>835758.75</v>
      </c>
      <c r="U168" s="393"/>
    </row>
    <row r="169" spans="1:21">
      <c r="A169" s="378"/>
      <c r="B169" s="378"/>
      <c r="D169" s="393" t="s">
        <v>1501</v>
      </c>
      <c r="E169" s="367">
        <v>165</v>
      </c>
      <c r="F169" s="393" t="s">
        <v>1437</v>
      </c>
      <c r="G169" s="393" t="s">
        <v>484</v>
      </c>
      <c r="H169" s="380">
        <v>750000</v>
      </c>
      <c r="I169" s="380">
        <v>99925</v>
      </c>
      <c r="J169" s="380">
        <f t="shared" si="41"/>
        <v>849925</v>
      </c>
      <c r="K169" s="348">
        <v>60</v>
      </c>
      <c r="L169" s="351">
        <v>14166.25</v>
      </c>
      <c r="M169" s="394">
        <f t="shared" si="42"/>
        <v>1665.4166666666667</v>
      </c>
      <c r="N169" s="394">
        <f t="shared" si="43"/>
        <v>12500</v>
      </c>
      <c r="O169" s="394">
        <f>M169*Q169</f>
        <v>1665.4166666666667</v>
      </c>
      <c r="P169" s="394">
        <f>M169*R169</f>
        <v>98259.583333333343</v>
      </c>
      <c r="Q169" s="348">
        <v>1</v>
      </c>
      <c r="R169" s="348">
        <f t="shared" si="44"/>
        <v>59</v>
      </c>
      <c r="S169" s="380">
        <f t="shared" si="45"/>
        <v>14166.25</v>
      </c>
      <c r="T169" s="380">
        <f t="shared" si="46"/>
        <v>835758.75</v>
      </c>
      <c r="U169" s="393"/>
    </row>
    <row r="170" spans="1:21">
      <c r="A170" s="378"/>
      <c r="B170" s="378"/>
      <c r="D170" s="393" t="s">
        <v>1334</v>
      </c>
      <c r="E170" s="367">
        <v>166</v>
      </c>
      <c r="F170" s="393" t="s">
        <v>1437</v>
      </c>
      <c r="G170" s="393" t="s">
        <v>1294</v>
      </c>
      <c r="H170" s="380">
        <v>600000</v>
      </c>
      <c r="I170" s="380">
        <v>79980</v>
      </c>
      <c r="J170" s="380">
        <f t="shared" si="41"/>
        <v>679980</v>
      </c>
      <c r="K170" s="348">
        <v>60</v>
      </c>
      <c r="L170" s="351">
        <v>11333</v>
      </c>
      <c r="M170" s="394">
        <f t="shared" ref="M170:M176" si="47">I170/60</f>
        <v>1333</v>
      </c>
      <c r="N170" s="394">
        <f t="shared" ref="N170:N176" si="48">H170/60</f>
        <v>10000</v>
      </c>
      <c r="O170" s="394">
        <f t="shared" ref="O170:O176" si="49">M170*Q170</f>
        <v>1333</v>
      </c>
      <c r="P170" s="394">
        <f t="shared" ref="P170:P176" si="50">M170*R170</f>
        <v>78647</v>
      </c>
      <c r="Q170" s="348">
        <v>1</v>
      </c>
      <c r="R170" s="348">
        <f t="shared" si="44"/>
        <v>59</v>
      </c>
      <c r="S170" s="380">
        <f t="shared" si="45"/>
        <v>11333</v>
      </c>
      <c r="T170" s="380">
        <f t="shared" si="46"/>
        <v>668647</v>
      </c>
      <c r="U170" s="393"/>
    </row>
    <row r="171" spans="1:21">
      <c r="A171" s="378"/>
      <c r="B171" s="378"/>
      <c r="D171" s="393" t="s">
        <v>1507</v>
      </c>
      <c r="E171" s="367">
        <v>167</v>
      </c>
      <c r="F171" s="393" t="s">
        <v>1437</v>
      </c>
      <c r="G171" s="393" t="s">
        <v>1508</v>
      </c>
      <c r="H171" s="380">
        <v>600000</v>
      </c>
      <c r="I171" s="380">
        <v>79980</v>
      </c>
      <c r="J171" s="380">
        <f t="shared" si="41"/>
        <v>679980</v>
      </c>
      <c r="K171" s="348">
        <v>60</v>
      </c>
      <c r="L171" s="351">
        <v>11333</v>
      </c>
      <c r="M171" s="394">
        <f t="shared" si="47"/>
        <v>1333</v>
      </c>
      <c r="N171" s="394">
        <f t="shared" si="48"/>
        <v>10000</v>
      </c>
      <c r="O171" s="394">
        <f t="shared" si="49"/>
        <v>1333</v>
      </c>
      <c r="P171" s="394">
        <f t="shared" si="50"/>
        <v>78647</v>
      </c>
      <c r="Q171" s="348">
        <v>1</v>
      </c>
      <c r="R171" s="348">
        <f t="shared" si="44"/>
        <v>59</v>
      </c>
      <c r="S171" s="380">
        <f t="shared" si="45"/>
        <v>11333</v>
      </c>
      <c r="T171" s="380">
        <f t="shared" si="46"/>
        <v>668647</v>
      </c>
      <c r="U171" s="393"/>
    </row>
    <row r="172" spans="1:21">
      <c r="D172" s="393" t="s">
        <v>1509</v>
      </c>
      <c r="E172" s="367">
        <v>168</v>
      </c>
      <c r="F172" s="393" t="s">
        <v>1437</v>
      </c>
      <c r="G172" s="393" t="s">
        <v>1510</v>
      </c>
      <c r="H172" s="380">
        <v>450000</v>
      </c>
      <c r="I172" s="380">
        <v>59985</v>
      </c>
      <c r="J172" s="380">
        <f t="shared" si="41"/>
        <v>509985</v>
      </c>
      <c r="K172" s="348">
        <v>60</v>
      </c>
      <c r="L172" s="351">
        <v>8499.75</v>
      </c>
      <c r="M172" s="394">
        <f t="shared" si="47"/>
        <v>999.75</v>
      </c>
      <c r="N172" s="394">
        <f t="shared" si="48"/>
        <v>7500</v>
      </c>
      <c r="O172" s="394">
        <f t="shared" si="49"/>
        <v>999.75</v>
      </c>
      <c r="P172" s="394">
        <f t="shared" si="50"/>
        <v>58985.25</v>
      </c>
      <c r="Q172" s="348">
        <v>1</v>
      </c>
      <c r="R172" s="348">
        <f t="shared" si="44"/>
        <v>59</v>
      </c>
      <c r="S172" s="380">
        <f t="shared" si="45"/>
        <v>8499.75</v>
      </c>
      <c r="T172" s="380">
        <f t="shared" si="46"/>
        <v>501485.25</v>
      </c>
      <c r="U172" s="393"/>
    </row>
    <row r="173" spans="1:21">
      <c r="D173" s="393" t="s">
        <v>1511</v>
      </c>
      <c r="E173" s="367">
        <v>169</v>
      </c>
      <c r="F173" s="393" t="s">
        <v>1437</v>
      </c>
      <c r="G173" s="393" t="s">
        <v>1512</v>
      </c>
      <c r="H173" s="380">
        <v>450000</v>
      </c>
      <c r="I173" s="380">
        <v>59985</v>
      </c>
      <c r="J173" s="380">
        <f t="shared" si="41"/>
        <v>509985</v>
      </c>
      <c r="K173" s="348">
        <v>60</v>
      </c>
      <c r="L173" s="351">
        <v>8499.75</v>
      </c>
      <c r="M173" s="394">
        <f t="shared" si="47"/>
        <v>999.75</v>
      </c>
      <c r="N173" s="394">
        <f t="shared" si="48"/>
        <v>7500</v>
      </c>
      <c r="O173" s="394">
        <f t="shared" si="49"/>
        <v>999.75</v>
      </c>
      <c r="P173" s="394">
        <f t="shared" si="50"/>
        <v>58985.25</v>
      </c>
      <c r="Q173" s="348">
        <v>1</v>
      </c>
      <c r="R173" s="348">
        <f t="shared" si="44"/>
        <v>59</v>
      </c>
      <c r="S173" s="380">
        <f t="shared" si="45"/>
        <v>8499.75</v>
      </c>
      <c r="T173" s="380">
        <f t="shared" si="46"/>
        <v>501485.25</v>
      </c>
      <c r="U173" s="393"/>
    </row>
    <row r="174" spans="1:21">
      <c r="D174" s="393" t="s">
        <v>1513</v>
      </c>
      <c r="E174" s="367">
        <v>170</v>
      </c>
      <c r="F174" s="393" t="s">
        <v>1437</v>
      </c>
      <c r="G174" s="393" t="s">
        <v>1514</v>
      </c>
      <c r="H174" s="380">
        <v>450000</v>
      </c>
      <c r="I174" s="380">
        <v>59985</v>
      </c>
      <c r="J174" s="380">
        <f t="shared" si="41"/>
        <v>509985</v>
      </c>
      <c r="K174" s="348">
        <v>60</v>
      </c>
      <c r="L174" s="351">
        <v>8499.75</v>
      </c>
      <c r="M174" s="394">
        <f t="shared" si="47"/>
        <v>999.75</v>
      </c>
      <c r="N174" s="394">
        <f t="shared" si="48"/>
        <v>7500</v>
      </c>
      <c r="O174" s="394">
        <f t="shared" si="49"/>
        <v>999.75</v>
      </c>
      <c r="P174" s="394">
        <f t="shared" si="50"/>
        <v>58985.25</v>
      </c>
      <c r="Q174" s="348">
        <v>1</v>
      </c>
      <c r="R174" s="348">
        <f t="shared" si="44"/>
        <v>59</v>
      </c>
      <c r="S174" s="380">
        <f t="shared" si="45"/>
        <v>8499.75</v>
      </c>
      <c r="T174" s="380">
        <f t="shared" si="46"/>
        <v>501485.25</v>
      </c>
      <c r="U174" s="393"/>
    </row>
    <row r="175" spans="1:21">
      <c r="D175" s="393" t="s">
        <v>1515</v>
      </c>
      <c r="E175" s="367">
        <v>171</v>
      </c>
      <c r="F175" s="393" t="s">
        <v>1437</v>
      </c>
      <c r="G175" s="393" t="s">
        <v>1516</v>
      </c>
      <c r="H175" s="380">
        <v>450000</v>
      </c>
      <c r="I175" s="380">
        <v>59985</v>
      </c>
      <c r="J175" s="380">
        <f t="shared" si="41"/>
        <v>509985</v>
      </c>
      <c r="K175" s="348">
        <v>60</v>
      </c>
      <c r="L175" s="351">
        <v>8499.75</v>
      </c>
      <c r="M175" s="394">
        <f t="shared" si="47"/>
        <v>999.75</v>
      </c>
      <c r="N175" s="394">
        <f t="shared" si="48"/>
        <v>7500</v>
      </c>
      <c r="O175" s="394">
        <f t="shared" si="49"/>
        <v>999.75</v>
      </c>
      <c r="P175" s="394">
        <f t="shared" si="50"/>
        <v>58985.25</v>
      </c>
      <c r="Q175" s="348">
        <v>1</v>
      </c>
      <c r="R175" s="348">
        <f t="shared" si="44"/>
        <v>59</v>
      </c>
      <c r="S175" s="380">
        <f t="shared" si="45"/>
        <v>8499.75</v>
      </c>
      <c r="T175" s="380">
        <f t="shared" si="46"/>
        <v>501485.25</v>
      </c>
      <c r="U175" s="393"/>
    </row>
    <row r="176" spans="1:21">
      <c r="D176" s="393" t="s">
        <v>1517</v>
      </c>
      <c r="E176" s="367">
        <v>172</v>
      </c>
      <c r="F176" s="393" t="s">
        <v>1437</v>
      </c>
      <c r="G176" s="393" t="s">
        <v>1518</v>
      </c>
      <c r="H176" s="380">
        <v>450000</v>
      </c>
      <c r="I176" s="380">
        <v>59985</v>
      </c>
      <c r="J176" s="380">
        <f t="shared" si="41"/>
        <v>509985</v>
      </c>
      <c r="K176" s="348">
        <v>60</v>
      </c>
      <c r="L176" s="351">
        <v>8499.75</v>
      </c>
      <c r="M176" s="394">
        <f t="shared" si="47"/>
        <v>999.75</v>
      </c>
      <c r="N176" s="394">
        <f t="shared" si="48"/>
        <v>7500</v>
      </c>
      <c r="O176" s="394">
        <f t="shared" si="49"/>
        <v>999.75</v>
      </c>
      <c r="P176" s="394">
        <f t="shared" si="50"/>
        <v>58985.25</v>
      </c>
      <c r="Q176" s="348">
        <v>1</v>
      </c>
      <c r="R176" s="348">
        <f t="shared" si="44"/>
        <v>59</v>
      </c>
      <c r="S176" s="380">
        <f t="shared" si="45"/>
        <v>8499.75</v>
      </c>
      <c r="T176" s="380">
        <f t="shared" si="46"/>
        <v>501485.25</v>
      </c>
      <c r="U176" s="393"/>
    </row>
    <row r="177" spans="4:21">
      <c r="D177" s="393" t="s">
        <v>1014</v>
      </c>
      <c r="E177" s="367">
        <v>173</v>
      </c>
      <c r="F177" s="393" t="s">
        <v>1437</v>
      </c>
      <c r="G177" s="393" t="s">
        <v>1015</v>
      </c>
      <c r="H177" s="380">
        <v>750000</v>
      </c>
      <c r="I177" s="380">
        <v>66650</v>
      </c>
      <c r="J177" s="380">
        <f t="shared" si="41"/>
        <v>816650</v>
      </c>
      <c r="K177" s="348">
        <v>40</v>
      </c>
      <c r="L177" s="351">
        <v>20416.25</v>
      </c>
      <c r="M177" s="394">
        <f>I177/40</f>
        <v>1666.25</v>
      </c>
      <c r="N177" s="394">
        <f>H177/40</f>
        <v>18750</v>
      </c>
      <c r="O177" s="394">
        <f t="shared" ref="O177:O188" si="51">M177*Q177</f>
        <v>1666.25</v>
      </c>
      <c r="P177" s="394">
        <f t="shared" ref="P177:P188" si="52">M177*R177</f>
        <v>64983.75</v>
      </c>
      <c r="Q177" s="348">
        <v>1</v>
      </c>
      <c r="R177" s="348">
        <f t="shared" si="44"/>
        <v>39</v>
      </c>
      <c r="S177" s="380">
        <f t="shared" si="45"/>
        <v>20416.25</v>
      </c>
      <c r="T177" s="380">
        <f t="shared" si="46"/>
        <v>796233.75</v>
      </c>
      <c r="U177" s="393"/>
    </row>
    <row r="178" spans="4:21">
      <c r="D178" s="393" t="s">
        <v>1502</v>
      </c>
      <c r="E178" s="367">
        <v>174</v>
      </c>
      <c r="F178" s="393" t="s">
        <v>1437</v>
      </c>
      <c r="G178" s="393" t="s">
        <v>1503</v>
      </c>
      <c r="H178" s="380">
        <v>750000</v>
      </c>
      <c r="I178" s="380">
        <v>99925</v>
      </c>
      <c r="J178" s="380">
        <f t="shared" si="41"/>
        <v>849925</v>
      </c>
      <c r="K178" s="348">
        <v>60</v>
      </c>
      <c r="L178" s="351">
        <v>14166.25</v>
      </c>
      <c r="M178" s="394">
        <f>I178/60</f>
        <v>1665.4166666666667</v>
      </c>
      <c r="N178" s="394">
        <f>H178/60</f>
        <v>12500</v>
      </c>
      <c r="O178" s="394">
        <f t="shared" si="51"/>
        <v>1665.4166666666667</v>
      </c>
      <c r="P178" s="394">
        <f t="shared" si="52"/>
        <v>98259.583333333343</v>
      </c>
      <c r="Q178" s="348">
        <v>1</v>
      </c>
      <c r="R178" s="348">
        <f t="shared" si="44"/>
        <v>59</v>
      </c>
      <c r="S178" s="380">
        <f t="shared" si="45"/>
        <v>14166.25</v>
      </c>
      <c r="T178" s="380">
        <f t="shared" si="46"/>
        <v>835758.75</v>
      </c>
      <c r="U178" s="393"/>
    </row>
    <row r="179" spans="4:21" ht="31.5">
      <c r="D179" s="393" t="s">
        <v>1498</v>
      </c>
      <c r="E179" s="367">
        <v>175</v>
      </c>
      <c r="F179" s="393" t="s">
        <v>1437</v>
      </c>
      <c r="G179" s="395" t="s">
        <v>1499</v>
      </c>
      <c r="H179" s="380">
        <v>750000</v>
      </c>
      <c r="I179" s="380">
        <v>99925</v>
      </c>
      <c r="J179" s="380">
        <f>SUM(H179:I179)</f>
        <v>849925</v>
      </c>
      <c r="K179" s="348">
        <v>60</v>
      </c>
      <c r="L179" s="351">
        <v>14166.25</v>
      </c>
      <c r="M179" s="394">
        <f>I179/60</f>
        <v>1665.4166666666667</v>
      </c>
      <c r="N179" s="394">
        <f>H179/60</f>
        <v>12500</v>
      </c>
      <c r="O179" s="394">
        <f t="shared" si="51"/>
        <v>1665.4166666666667</v>
      </c>
      <c r="P179" s="394">
        <f t="shared" si="52"/>
        <v>98259.583333333343</v>
      </c>
      <c r="Q179" s="348">
        <v>1</v>
      </c>
      <c r="R179" s="348">
        <f t="shared" si="44"/>
        <v>59</v>
      </c>
      <c r="S179" s="380">
        <f t="shared" si="45"/>
        <v>14166.25</v>
      </c>
      <c r="T179" s="380">
        <f t="shared" si="46"/>
        <v>835758.75</v>
      </c>
      <c r="U179" s="393"/>
    </row>
    <row r="180" spans="4:21">
      <c r="D180" s="393" t="s">
        <v>1085</v>
      </c>
      <c r="E180" s="367">
        <v>176</v>
      </c>
      <c r="F180" s="393" t="s">
        <v>1437</v>
      </c>
      <c r="G180" s="393" t="s">
        <v>1086</v>
      </c>
      <c r="H180" s="380">
        <v>750000</v>
      </c>
      <c r="I180" s="380">
        <v>99925</v>
      </c>
      <c r="J180" s="380">
        <f>SUM(H180:I180)</f>
        <v>849925</v>
      </c>
      <c r="K180" s="348">
        <v>60</v>
      </c>
      <c r="L180" s="351">
        <v>14166.25</v>
      </c>
      <c r="M180" s="394">
        <f>I180/60</f>
        <v>1665.4166666666667</v>
      </c>
      <c r="N180" s="394">
        <f>H180/60</f>
        <v>12500</v>
      </c>
      <c r="O180" s="394">
        <f t="shared" si="51"/>
        <v>1665.4166666666667</v>
      </c>
      <c r="P180" s="394">
        <f t="shared" si="52"/>
        <v>98259.583333333343</v>
      </c>
      <c r="Q180" s="348">
        <v>1</v>
      </c>
      <c r="R180" s="348">
        <f t="shared" si="44"/>
        <v>59</v>
      </c>
      <c r="S180" s="380">
        <f t="shared" si="45"/>
        <v>14166.25</v>
      </c>
      <c r="T180" s="380">
        <f t="shared" si="46"/>
        <v>835758.75</v>
      </c>
      <c r="U180" s="393"/>
    </row>
    <row r="181" spans="4:21">
      <c r="D181" s="393" t="s">
        <v>1505</v>
      </c>
      <c r="E181" s="367">
        <v>177</v>
      </c>
      <c r="F181" s="393" t="s">
        <v>1437</v>
      </c>
      <c r="G181" s="393" t="s">
        <v>1506</v>
      </c>
      <c r="H181" s="380">
        <v>600000</v>
      </c>
      <c r="I181" s="380">
        <v>79980</v>
      </c>
      <c r="J181" s="380">
        <f t="shared" si="41"/>
        <v>679980</v>
      </c>
      <c r="K181" s="348">
        <v>60</v>
      </c>
      <c r="L181" s="351">
        <v>11333</v>
      </c>
      <c r="M181" s="394">
        <f>I181/60</f>
        <v>1333</v>
      </c>
      <c r="N181" s="394">
        <f>H181/60</f>
        <v>10000</v>
      </c>
      <c r="O181" s="394">
        <f t="shared" si="51"/>
        <v>1333</v>
      </c>
      <c r="P181" s="394">
        <f t="shared" si="52"/>
        <v>78647</v>
      </c>
      <c r="Q181" s="348">
        <v>1</v>
      </c>
      <c r="R181" s="348">
        <f t="shared" si="44"/>
        <v>59</v>
      </c>
      <c r="S181" s="380">
        <f t="shared" si="45"/>
        <v>11333</v>
      </c>
      <c r="T181" s="380">
        <f t="shared" si="46"/>
        <v>668647</v>
      </c>
      <c r="U181" s="393"/>
    </row>
    <row r="182" spans="4:21">
      <c r="D182" s="393" t="s">
        <v>1063</v>
      </c>
      <c r="E182" s="367">
        <v>178</v>
      </c>
      <c r="F182" s="393" t="s">
        <v>1437</v>
      </c>
      <c r="G182" s="393" t="s">
        <v>1064</v>
      </c>
      <c r="H182" s="380">
        <v>600000</v>
      </c>
      <c r="I182" s="380">
        <v>79980</v>
      </c>
      <c r="J182" s="380">
        <f t="shared" si="41"/>
        <v>679980</v>
      </c>
      <c r="K182" s="348">
        <v>60</v>
      </c>
      <c r="L182" s="351">
        <v>11333</v>
      </c>
      <c r="M182" s="394">
        <f>I182/60</f>
        <v>1333</v>
      </c>
      <c r="N182" s="394">
        <f>H182/60</f>
        <v>10000</v>
      </c>
      <c r="O182" s="394">
        <f t="shared" si="51"/>
        <v>1333</v>
      </c>
      <c r="P182" s="394">
        <f t="shared" si="52"/>
        <v>78647</v>
      </c>
      <c r="Q182" s="348">
        <v>1</v>
      </c>
      <c r="R182" s="348">
        <f t="shared" si="44"/>
        <v>59</v>
      </c>
      <c r="S182" s="380">
        <f t="shared" si="45"/>
        <v>11333</v>
      </c>
      <c r="T182" s="380">
        <f t="shared" si="46"/>
        <v>668647</v>
      </c>
      <c r="U182" s="393"/>
    </row>
    <row r="183" spans="4:21">
      <c r="D183" s="393" t="s">
        <v>1504</v>
      </c>
      <c r="E183" s="367">
        <v>179</v>
      </c>
      <c r="F183" s="393" t="s">
        <v>1437</v>
      </c>
      <c r="G183" s="393" t="s">
        <v>483</v>
      </c>
      <c r="H183" s="351">
        <v>500000</v>
      </c>
      <c r="I183" s="351">
        <v>66650</v>
      </c>
      <c r="J183" s="380">
        <f t="shared" si="41"/>
        <v>566650</v>
      </c>
      <c r="K183" s="348">
        <v>50</v>
      </c>
      <c r="L183" s="380">
        <v>11333</v>
      </c>
      <c r="M183" s="394">
        <f>I183/50</f>
        <v>1333</v>
      </c>
      <c r="N183" s="394">
        <f>H183/50</f>
        <v>10000</v>
      </c>
      <c r="O183" s="394">
        <f t="shared" si="51"/>
        <v>11997</v>
      </c>
      <c r="P183" s="394">
        <f t="shared" si="52"/>
        <v>54653</v>
      </c>
      <c r="Q183" s="348">
        <v>9</v>
      </c>
      <c r="R183" s="354">
        <f t="shared" ref="R183:R188" si="53">K183-Q183</f>
        <v>41</v>
      </c>
      <c r="S183" s="350">
        <f t="shared" ref="S183:S188" si="54">L183*Q183</f>
        <v>101997</v>
      </c>
      <c r="T183" s="350">
        <f t="shared" ref="T183:T188" si="55">J183-S183</f>
        <v>464653</v>
      </c>
      <c r="U183" s="393"/>
    </row>
    <row r="184" spans="4:21">
      <c r="D184" s="393"/>
      <c r="E184" s="367">
        <v>180</v>
      </c>
      <c r="F184" s="393" t="s">
        <v>1437</v>
      </c>
      <c r="G184" s="393" t="s">
        <v>1519</v>
      </c>
      <c r="H184" s="380">
        <v>750000</v>
      </c>
      <c r="I184" s="403">
        <v>49987.5</v>
      </c>
      <c r="J184" s="380">
        <f t="shared" si="41"/>
        <v>799987.5</v>
      </c>
      <c r="K184" s="348">
        <v>30</v>
      </c>
      <c r="L184" s="380">
        <v>26666.25</v>
      </c>
      <c r="M184" s="394">
        <f>I184/30</f>
        <v>1666.25</v>
      </c>
      <c r="N184" s="394">
        <f>H184/30</f>
        <v>25000</v>
      </c>
      <c r="O184" s="394">
        <f t="shared" si="51"/>
        <v>1666.25</v>
      </c>
      <c r="P184" s="394">
        <f t="shared" si="52"/>
        <v>48321.25</v>
      </c>
      <c r="Q184" s="348">
        <v>1</v>
      </c>
      <c r="R184" s="354">
        <f t="shared" si="53"/>
        <v>29</v>
      </c>
      <c r="S184" s="350">
        <f t="shared" si="54"/>
        <v>26666.25</v>
      </c>
      <c r="T184" s="350">
        <f t="shared" si="55"/>
        <v>773321.25</v>
      </c>
      <c r="U184" s="393"/>
    </row>
    <row r="185" spans="4:21">
      <c r="D185" s="393"/>
      <c r="E185" s="367">
        <v>181</v>
      </c>
      <c r="F185" s="393" t="s">
        <v>1437</v>
      </c>
      <c r="G185" s="393" t="s">
        <v>1270</v>
      </c>
      <c r="H185" s="351">
        <v>150000</v>
      </c>
      <c r="I185" s="351">
        <v>19995</v>
      </c>
      <c r="J185" s="349">
        <f>SUM(H185:I185)</f>
        <v>169995</v>
      </c>
      <c r="K185" s="348">
        <v>50</v>
      </c>
      <c r="L185" s="380">
        <v>3399.9</v>
      </c>
      <c r="M185" s="394">
        <f>I185/50</f>
        <v>399.9</v>
      </c>
      <c r="N185" s="394">
        <f>H185/50</f>
        <v>3000</v>
      </c>
      <c r="O185" s="394">
        <f t="shared" si="51"/>
        <v>18795.3</v>
      </c>
      <c r="P185" s="394">
        <f t="shared" si="52"/>
        <v>1199.6999999999998</v>
      </c>
      <c r="Q185" s="348">
        <v>47</v>
      </c>
      <c r="R185" s="354">
        <f t="shared" si="53"/>
        <v>3</v>
      </c>
      <c r="S185" s="350">
        <f t="shared" si="54"/>
        <v>159795.30000000002</v>
      </c>
      <c r="T185" s="350">
        <f t="shared" si="55"/>
        <v>10199.699999999983</v>
      </c>
      <c r="U185" s="393"/>
    </row>
    <row r="186" spans="4:21">
      <c r="D186" s="393"/>
      <c r="E186" s="367">
        <v>182</v>
      </c>
      <c r="F186" s="393" t="s">
        <v>1437</v>
      </c>
      <c r="G186" s="393" t="s">
        <v>1268</v>
      </c>
      <c r="H186" s="351">
        <v>500000</v>
      </c>
      <c r="I186" s="351">
        <v>66650</v>
      </c>
      <c r="J186" s="349">
        <f>SUM(H186:I186)</f>
        <v>566650</v>
      </c>
      <c r="K186" s="348">
        <v>50</v>
      </c>
      <c r="L186" s="380">
        <v>11749.67</v>
      </c>
      <c r="M186" s="394">
        <f>I186/50</f>
        <v>1333</v>
      </c>
      <c r="N186" s="394">
        <f>H186/50</f>
        <v>10000</v>
      </c>
      <c r="O186" s="394">
        <f t="shared" si="51"/>
        <v>47988</v>
      </c>
      <c r="P186" s="394">
        <f t="shared" si="52"/>
        <v>18662</v>
      </c>
      <c r="Q186" s="348">
        <v>36</v>
      </c>
      <c r="R186" s="354">
        <f t="shared" si="53"/>
        <v>14</v>
      </c>
      <c r="S186" s="350">
        <f t="shared" si="54"/>
        <v>422988.12</v>
      </c>
      <c r="T186" s="350">
        <f t="shared" si="55"/>
        <v>143661.88</v>
      </c>
      <c r="U186" s="393"/>
    </row>
    <row r="187" spans="4:21">
      <c r="D187" s="393"/>
      <c r="E187" s="367">
        <v>183</v>
      </c>
      <c r="F187" s="393" t="s">
        <v>1437</v>
      </c>
      <c r="G187" s="393" t="s">
        <v>1420</v>
      </c>
      <c r="H187" s="351">
        <v>450000</v>
      </c>
      <c r="I187" s="351">
        <v>59985</v>
      </c>
      <c r="J187" s="349">
        <f>SUM(H187:I187)</f>
        <v>509985</v>
      </c>
      <c r="K187" s="348">
        <v>50</v>
      </c>
      <c r="L187" s="380">
        <v>10199.700000000001</v>
      </c>
      <c r="M187" s="394">
        <f>I187/50</f>
        <v>1199.7</v>
      </c>
      <c r="N187" s="394">
        <f>H187/50</f>
        <v>9000</v>
      </c>
      <c r="O187" s="394">
        <f t="shared" si="51"/>
        <v>13196.7</v>
      </c>
      <c r="P187" s="394">
        <f t="shared" si="52"/>
        <v>46788.3</v>
      </c>
      <c r="Q187" s="348">
        <v>11</v>
      </c>
      <c r="R187" s="354">
        <f t="shared" si="53"/>
        <v>39</v>
      </c>
      <c r="S187" s="350">
        <f t="shared" si="54"/>
        <v>112196.70000000001</v>
      </c>
      <c r="T187" s="350">
        <f t="shared" si="55"/>
        <v>397788.3</v>
      </c>
      <c r="U187" s="393"/>
    </row>
    <row r="188" spans="4:21">
      <c r="D188" s="393"/>
      <c r="E188" s="367">
        <v>184</v>
      </c>
      <c r="F188" s="393" t="s">
        <v>1437</v>
      </c>
      <c r="G188" s="393" t="s">
        <v>1269</v>
      </c>
      <c r="H188" s="380">
        <v>750000</v>
      </c>
      <c r="I188" s="380">
        <v>99925</v>
      </c>
      <c r="J188" s="380">
        <f>SUM(H188:I188)</f>
        <v>849925</v>
      </c>
      <c r="K188" s="348">
        <v>60</v>
      </c>
      <c r="L188" s="351">
        <v>14166.25</v>
      </c>
      <c r="M188" s="394">
        <f>I188/60</f>
        <v>1665.4166666666667</v>
      </c>
      <c r="N188" s="394">
        <f>H188/60</f>
        <v>12500</v>
      </c>
      <c r="O188" s="394">
        <f t="shared" si="51"/>
        <v>1665.4166666666667</v>
      </c>
      <c r="P188" s="394">
        <f t="shared" si="52"/>
        <v>98259.583333333343</v>
      </c>
      <c r="Q188" s="348">
        <v>1</v>
      </c>
      <c r="R188" s="354">
        <f t="shared" si="53"/>
        <v>59</v>
      </c>
      <c r="S188" s="350">
        <f t="shared" si="54"/>
        <v>14166.25</v>
      </c>
      <c r="T188" s="350">
        <f t="shared" si="55"/>
        <v>835758.75</v>
      </c>
      <c r="U188" s="393"/>
    </row>
    <row r="189" spans="4:21">
      <c r="D189" s="393"/>
      <c r="E189" s="393"/>
      <c r="F189" s="393"/>
      <c r="G189" s="393"/>
      <c r="H189" s="404">
        <f>SUM(H5:H188)</f>
        <v>82230000</v>
      </c>
      <c r="I189" s="404">
        <f>SUM(I5:I188)</f>
        <v>10742813.5</v>
      </c>
      <c r="J189" s="405">
        <f>SUM(J5:J188)</f>
        <v>92972813.5</v>
      </c>
      <c r="K189" s="351"/>
      <c r="L189" s="351">
        <f>SUM(L5:L188)</f>
        <v>1891358.0299999998</v>
      </c>
      <c r="M189" s="351">
        <f>SUM(M5:M188)</f>
        <v>212818.44666666654</v>
      </c>
      <c r="N189" s="351">
        <f>SUM(N5:N188)</f>
        <v>1618475</v>
      </c>
      <c r="O189" s="351">
        <f>SUM(O5:O188)</f>
        <v>4141196.106666666</v>
      </c>
      <c r="P189" s="351">
        <f>SUM(P5:P188)</f>
        <v>6492044.7933333293</v>
      </c>
      <c r="Q189" s="348"/>
      <c r="R189" s="348"/>
      <c r="S189" s="351">
        <f>SUM(S5:S188)</f>
        <v>35925150.849999972</v>
      </c>
      <c r="T189" s="405">
        <f>SUM(T5:T188)</f>
        <v>57047662.650000036</v>
      </c>
      <c r="U189" s="393"/>
    </row>
  </sheetData>
  <sortState ref="D5:U166">
    <sortCondition ref="D5:D166"/>
  </sortState>
  <mergeCells count="3">
    <mergeCell ref="E1:U1"/>
    <mergeCell ref="E2:U2"/>
    <mergeCell ref="E3:U3"/>
  </mergeCells>
  <conditionalFormatting sqref="D89">
    <cfRule type="duplicateValues" dxfId="13" priority="3"/>
  </conditionalFormatting>
  <conditionalFormatting sqref="D115:D125 D103:D108 D95:D98 D4:D83 D89">
    <cfRule type="duplicateValues" dxfId="12" priority="5"/>
  </conditionalFormatting>
  <pageMargins left="0.2" right="0.2" top="0.25" bottom="0.25" header="0.3" footer="0.3"/>
  <pageSetup paperSize="9" scale="5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V187"/>
  <sheetViews>
    <sheetView topLeftCell="J149" zoomScale="90" zoomScaleNormal="90" workbookViewId="0">
      <selection activeCell="P167" sqref="P167"/>
    </sheetView>
  </sheetViews>
  <sheetFormatPr defaultRowHeight="15.75"/>
  <cols>
    <col min="1" max="3" width="14.5703125" style="336" customWidth="1"/>
    <col min="4" max="4" width="18.7109375" style="392" customWidth="1"/>
    <col min="5" max="5" width="5.42578125" style="392" customWidth="1"/>
    <col min="6" max="6" width="13.5703125" style="392" customWidth="1"/>
    <col min="7" max="7" width="36.5703125" style="392" customWidth="1"/>
    <col min="8" max="8" width="16.85546875" style="406" customWidth="1"/>
    <col min="9" max="9" width="16" style="406" customWidth="1"/>
    <col min="10" max="10" width="17.42578125" style="406" customWidth="1"/>
    <col min="11" max="11" width="8.28515625" style="407" customWidth="1"/>
    <col min="12" max="12" width="16.5703125" style="406" customWidth="1"/>
    <col min="13" max="13" width="14.140625" style="408" customWidth="1"/>
    <col min="14" max="14" width="16.85546875" style="408" customWidth="1"/>
    <col min="15" max="15" width="16.5703125" style="408" customWidth="1"/>
    <col min="16" max="16" width="15.85546875" style="408" customWidth="1"/>
    <col min="17" max="17" width="10.140625" style="396" customWidth="1"/>
    <col min="18" max="18" width="12.140625" style="396" customWidth="1"/>
    <col min="19" max="19" width="17" style="406" customWidth="1"/>
    <col min="20" max="20" width="16.85546875" style="406" customWidth="1"/>
    <col min="21" max="21" width="9.5703125" style="392" customWidth="1"/>
    <col min="22" max="16384" width="9.140625" style="336"/>
  </cols>
  <sheetData>
    <row r="1" spans="1:21" ht="22.5">
      <c r="E1" s="427" t="s">
        <v>1421</v>
      </c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</row>
    <row r="2" spans="1:21" customFormat="1" ht="20.25">
      <c r="D2" s="398"/>
      <c r="E2" s="428" t="s">
        <v>245</v>
      </c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  <c r="U2" s="428"/>
    </row>
    <row r="3" spans="1:21" customFormat="1" ht="18">
      <c r="D3" s="398"/>
      <c r="E3" s="429" t="s">
        <v>1520</v>
      </c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  <c r="U3" s="429"/>
    </row>
    <row r="4" spans="1:21" s="372" customFormat="1" ht="68.25" customHeight="1">
      <c r="D4" s="117" t="s">
        <v>869</v>
      </c>
      <c r="E4" s="369" t="s">
        <v>0</v>
      </c>
      <c r="F4" s="370" t="s">
        <v>1422</v>
      </c>
      <c r="G4" s="370" t="s">
        <v>292</v>
      </c>
      <c r="H4" s="370" t="s">
        <v>1423</v>
      </c>
      <c r="I4" s="369" t="s">
        <v>1424</v>
      </c>
      <c r="J4" s="370" t="s">
        <v>1425</v>
      </c>
      <c r="K4" s="370" t="s">
        <v>1426</v>
      </c>
      <c r="L4" s="370" t="s">
        <v>1427</v>
      </c>
      <c r="M4" s="371" t="s">
        <v>1428</v>
      </c>
      <c r="N4" s="371" t="s">
        <v>1429</v>
      </c>
      <c r="O4" s="371" t="s">
        <v>1430</v>
      </c>
      <c r="P4" s="371" t="s">
        <v>1431</v>
      </c>
      <c r="Q4" s="368" t="s">
        <v>1432</v>
      </c>
      <c r="R4" s="373" t="s">
        <v>1433</v>
      </c>
      <c r="S4" s="370" t="s">
        <v>1434</v>
      </c>
      <c r="T4" s="370" t="s">
        <v>1435</v>
      </c>
      <c r="U4" s="383" t="s">
        <v>1436</v>
      </c>
    </row>
    <row r="5" spans="1:21">
      <c r="A5" s="378"/>
      <c r="B5" s="378"/>
      <c r="C5" s="378"/>
      <c r="D5" s="116" t="s">
        <v>1369</v>
      </c>
      <c r="E5" s="367">
        <v>1</v>
      </c>
      <c r="F5" s="393" t="s">
        <v>1437</v>
      </c>
      <c r="G5" s="399" t="s">
        <v>1282</v>
      </c>
      <c r="H5" s="350">
        <v>330000</v>
      </c>
      <c r="I5" s="350">
        <v>43989</v>
      </c>
      <c r="J5" s="349">
        <f t="shared" ref="J5:J36" si="0">SUM(H5:I5)</f>
        <v>373989</v>
      </c>
      <c r="K5" s="347">
        <v>50</v>
      </c>
      <c r="L5" s="379">
        <v>7479.78</v>
      </c>
      <c r="M5" s="394">
        <f>I5/50</f>
        <v>879.78</v>
      </c>
      <c r="N5" s="394">
        <f>H5/50</f>
        <v>6600</v>
      </c>
      <c r="O5" s="394">
        <f t="shared" ref="O5:O36" si="1">M5*Q5</f>
        <v>14956.26</v>
      </c>
      <c r="P5" s="394">
        <f t="shared" ref="P5:P36" si="2">M5*R5</f>
        <v>29032.739999999998</v>
      </c>
      <c r="Q5" s="352">
        <v>17</v>
      </c>
      <c r="R5" s="354">
        <f t="shared" ref="R5:R36" si="3">K5-Q5</f>
        <v>33</v>
      </c>
      <c r="S5" s="350">
        <f t="shared" ref="S5:S36" si="4">L5*Q5</f>
        <v>127156.26</v>
      </c>
      <c r="T5" s="350">
        <f t="shared" ref="T5:T36" si="5">J5-S5</f>
        <v>246832.74</v>
      </c>
      <c r="U5" s="400"/>
    </row>
    <row r="6" spans="1:21">
      <c r="A6" s="378"/>
      <c r="B6" s="378"/>
      <c r="C6" s="378"/>
      <c r="D6" s="116" t="s">
        <v>1396</v>
      </c>
      <c r="E6" s="367">
        <v>2</v>
      </c>
      <c r="F6" s="393" t="s">
        <v>1437</v>
      </c>
      <c r="G6" s="400" t="s">
        <v>1397</v>
      </c>
      <c r="H6" s="350">
        <v>150000</v>
      </c>
      <c r="I6" s="350">
        <v>19995</v>
      </c>
      <c r="J6" s="349">
        <f t="shared" si="0"/>
        <v>169995</v>
      </c>
      <c r="K6" s="347">
        <v>50</v>
      </c>
      <c r="L6" s="379">
        <v>3399.9</v>
      </c>
      <c r="M6" s="394">
        <f>I6/50</f>
        <v>399.9</v>
      </c>
      <c r="N6" s="394">
        <f>H6/50</f>
        <v>3000</v>
      </c>
      <c r="O6" s="394">
        <f t="shared" si="1"/>
        <v>7598.0999999999995</v>
      </c>
      <c r="P6" s="394">
        <f t="shared" si="2"/>
        <v>12396.9</v>
      </c>
      <c r="Q6" s="352">
        <v>19</v>
      </c>
      <c r="R6" s="354">
        <f t="shared" si="3"/>
        <v>31</v>
      </c>
      <c r="S6" s="350">
        <f t="shared" si="4"/>
        <v>64598.1</v>
      </c>
      <c r="T6" s="350">
        <f t="shared" si="5"/>
        <v>105396.9</v>
      </c>
      <c r="U6" s="400"/>
    </row>
    <row r="7" spans="1:21">
      <c r="A7" s="378"/>
      <c r="B7" s="378"/>
      <c r="C7" s="378"/>
      <c r="D7" s="393" t="s">
        <v>1412</v>
      </c>
      <c r="E7" s="367">
        <v>3</v>
      </c>
      <c r="F7" s="393" t="s">
        <v>1437</v>
      </c>
      <c r="G7" s="393" t="s">
        <v>468</v>
      </c>
      <c r="H7" s="351">
        <v>500000</v>
      </c>
      <c r="I7" s="351">
        <v>66650</v>
      </c>
      <c r="J7" s="349">
        <f t="shared" si="0"/>
        <v>566650</v>
      </c>
      <c r="K7" s="348">
        <v>50</v>
      </c>
      <c r="L7" s="380">
        <v>11333</v>
      </c>
      <c r="M7" s="394">
        <f>I7/50</f>
        <v>1333</v>
      </c>
      <c r="N7" s="394">
        <f>H7/50</f>
        <v>10000</v>
      </c>
      <c r="O7" s="394">
        <f t="shared" si="1"/>
        <v>13330</v>
      </c>
      <c r="P7" s="394">
        <f t="shared" si="2"/>
        <v>53320</v>
      </c>
      <c r="Q7" s="348">
        <v>10</v>
      </c>
      <c r="R7" s="354">
        <f t="shared" si="3"/>
        <v>40</v>
      </c>
      <c r="S7" s="350">
        <f t="shared" si="4"/>
        <v>113330</v>
      </c>
      <c r="T7" s="350">
        <f t="shared" si="5"/>
        <v>453320</v>
      </c>
      <c r="U7" s="393"/>
    </row>
    <row r="8" spans="1:21">
      <c r="A8" s="378"/>
      <c r="B8" s="378"/>
      <c r="C8" s="378"/>
      <c r="D8" s="393" t="s">
        <v>1014</v>
      </c>
      <c r="E8" s="367">
        <v>4</v>
      </c>
      <c r="F8" s="393" t="s">
        <v>1437</v>
      </c>
      <c r="G8" s="393" t="s">
        <v>1015</v>
      </c>
      <c r="H8" s="380">
        <v>750000</v>
      </c>
      <c r="I8" s="380">
        <v>66650</v>
      </c>
      <c r="J8" s="380">
        <f t="shared" si="0"/>
        <v>816650</v>
      </c>
      <c r="K8" s="348">
        <v>40</v>
      </c>
      <c r="L8" s="351">
        <v>20416.25</v>
      </c>
      <c r="M8" s="394">
        <f>I8/40</f>
        <v>1666.25</v>
      </c>
      <c r="N8" s="394">
        <f>H8/40</f>
        <v>18750</v>
      </c>
      <c r="O8" s="394">
        <f t="shared" si="1"/>
        <v>3332.5</v>
      </c>
      <c r="P8" s="394">
        <f t="shared" si="2"/>
        <v>63317.5</v>
      </c>
      <c r="Q8" s="348">
        <v>2</v>
      </c>
      <c r="R8" s="348">
        <f t="shared" si="3"/>
        <v>38</v>
      </c>
      <c r="S8" s="380">
        <f t="shared" si="4"/>
        <v>40832.5</v>
      </c>
      <c r="T8" s="380">
        <f t="shared" si="5"/>
        <v>775817.5</v>
      </c>
      <c r="U8" s="393"/>
    </row>
    <row r="9" spans="1:21">
      <c r="A9" s="378"/>
      <c r="B9" s="378"/>
      <c r="C9" s="378"/>
      <c r="D9" s="393" t="s">
        <v>1489</v>
      </c>
      <c r="E9" s="367">
        <v>5</v>
      </c>
      <c r="F9" s="393" t="s">
        <v>1437</v>
      </c>
      <c r="G9" s="393" t="s">
        <v>1490</v>
      </c>
      <c r="H9" s="351">
        <v>330000</v>
      </c>
      <c r="I9" s="351">
        <v>43989</v>
      </c>
      <c r="J9" s="349">
        <f t="shared" si="0"/>
        <v>373989</v>
      </c>
      <c r="K9" s="348">
        <v>50</v>
      </c>
      <c r="L9" s="351">
        <v>7479.78</v>
      </c>
      <c r="M9" s="394">
        <f>I9/50</f>
        <v>879.78</v>
      </c>
      <c r="N9" s="394">
        <f>H9/50</f>
        <v>6600</v>
      </c>
      <c r="O9" s="394">
        <f t="shared" si="1"/>
        <v>2639.34</v>
      </c>
      <c r="P9" s="394">
        <f t="shared" si="2"/>
        <v>41349.659999999996</v>
      </c>
      <c r="Q9" s="348">
        <v>3</v>
      </c>
      <c r="R9" s="354">
        <f t="shared" si="3"/>
        <v>47</v>
      </c>
      <c r="S9" s="350">
        <f t="shared" si="4"/>
        <v>22439.34</v>
      </c>
      <c r="T9" s="350">
        <f t="shared" si="5"/>
        <v>351549.66</v>
      </c>
      <c r="U9" s="393"/>
    </row>
    <row r="10" spans="1:21">
      <c r="A10" s="378"/>
      <c r="B10" s="378"/>
      <c r="C10" s="378"/>
      <c r="D10" s="393" t="s">
        <v>1460</v>
      </c>
      <c r="E10" s="367">
        <v>6</v>
      </c>
      <c r="F10" s="393" t="s">
        <v>1437</v>
      </c>
      <c r="G10" s="393" t="s">
        <v>1461</v>
      </c>
      <c r="H10" s="351">
        <v>500000</v>
      </c>
      <c r="I10" s="351">
        <v>66650</v>
      </c>
      <c r="J10" s="349">
        <f t="shared" si="0"/>
        <v>566650</v>
      </c>
      <c r="K10" s="348">
        <v>50</v>
      </c>
      <c r="L10" s="380">
        <v>11333</v>
      </c>
      <c r="M10" s="394">
        <f>I10/50</f>
        <v>1333</v>
      </c>
      <c r="N10" s="394">
        <f>H10/50</f>
        <v>10000</v>
      </c>
      <c r="O10" s="394">
        <f t="shared" si="1"/>
        <v>6665</v>
      </c>
      <c r="P10" s="394">
        <f t="shared" si="2"/>
        <v>59985</v>
      </c>
      <c r="Q10" s="348">
        <v>5</v>
      </c>
      <c r="R10" s="354">
        <f t="shared" si="3"/>
        <v>45</v>
      </c>
      <c r="S10" s="350">
        <f t="shared" si="4"/>
        <v>56665</v>
      </c>
      <c r="T10" s="350">
        <f t="shared" si="5"/>
        <v>509985</v>
      </c>
      <c r="U10" s="401"/>
    </row>
    <row r="11" spans="1:21">
      <c r="A11" s="378"/>
      <c r="B11" s="378"/>
      <c r="C11" s="378"/>
      <c r="D11" s="364" t="s">
        <v>1047</v>
      </c>
      <c r="E11" s="367">
        <v>7</v>
      </c>
      <c r="F11" s="393" t="s">
        <v>1437</v>
      </c>
      <c r="G11" s="399" t="s">
        <v>873</v>
      </c>
      <c r="H11" s="350">
        <v>450000</v>
      </c>
      <c r="I11" s="350">
        <v>59985</v>
      </c>
      <c r="J11" s="349">
        <f t="shared" si="0"/>
        <v>509985</v>
      </c>
      <c r="K11" s="347">
        <v>50</v>
      </c>
      <c r="L11" s="379">
        <v>10199.700000000001</v>
      </c>
      <c r="M11" s="394">
        <f>I11/50</f>
        <v>1199.7</v>
      </c>
      <c r="N11" s="394">
        <f>H11/50</f>
        <v>9000</v>
      </c>
      <c r="O11" s="394">
        <f t="shared" si="1"/>
        <v>38390.400000000001</v>
      </c>
      <c r="P11" s="394">
        <f t="shared" si="2"/>
        <v>21594.600000000002</v>
      </c>
      <c r="Q11" s="352">
        <v>32</v>
      </c>
      <c r="R11" s="354">
        <f t="shared" si="3"/>
        <v>18</v>
      </c>
      <c r="S11" s="350">
        <f t="shared" si="4"/>
        <v>326390.40000000002</v>
      </c>
      <c r="T11" s="350">
        <f t="shared" si="5"/>
        <v>183594.59999999998</v>
      </c>
      <c r="U11" s="400"/>
    </row>
    <row r="12" spans="1:21">
      <c r="A12" s="378"/>
      <c r="B12" s="378"/>
      <c r="C12" s="378"/>
      <c r="D12" s="393" t="s">
        <v>1511</v>
      </c>
      <c r="E12" s="367">
        <v>8</v>
      </c>
      <c r="F12" s="393" t="s">
        <v>1437</v>
      </c>
      <c r="G12" s="393" t="s">
        <v>1512</v>
      </c>
      <c r="H12" s="380">
        <v>450000</v>
      </c>
      <c r="I12" s="380">
        <v>59985</v>
      </c>
      <c r="J12" s="380">
        <f t="shared" si="0"/>
        <v>509985</v>
      </c>
      <c r="K12" s="348">
        <v>60</v>
      </c>
      <c r="L12" s="351">
        <v>8499.75</v>
      </c>
      <c r="M12" s="394">
        <f>I12/60</f>
        <v>999.75</v>
      </c>
      <c r="N12" s="394">
        <f>H12/60</f>
        <v>7500</v>
      </c>
      <c r="O12" s="394">
        <f t="shared" si="1"/>
        <v>1999.5</v>
      </c>
      <c r="P12" s="394">
        <f t="shared" si="2"/>
        <v>57985.5</v>
      </c>
      <c r="Q12" s="348">
        <v>2</v>
      </c>
      <c r="R12" s="348">
        <f t="shared" si="3"/>
        <v>58</v>
      </c>
      <c r="S12" s="380">
        <f t="shared" si="4"/>
        <v>16999.5</v>
      </c>
      <c r="T12" s="380">
        <f t="shared" si="5"/>
        <v>492985.5</v>
      </c>
      <c r="U12" s="393"/>
    </row>
    <row r="13" spans="1:21">
      <c r="A13" s="378"/>
      <c r="B13" s="378"/>
      <c r="C13" s="378"/>
      <c r="D13" s="393" t="s">
        <v>1418</v>
      </c>
      <c r="E13" s="367">
        <v>9</v>
      </c>
      <c r="F13" s="393" t="s">
        <v>1437</v>
      </c>
      <c r="G13" s="393" t="s">
        <v>455</v>
      </c>
      <c r="H13" s="351">
        <v>150000</v>
      </c>
      <c r="I13" s="351">
        <v>19995</v>
      </c>
      <c r="J13" s="349">
        <f t="shared" si="0"/>
        <v>169995</v>
      </c>
      <c r="K13" s="348">
        <v>50</v>
      </c>
      <c r="L13" s="380">
        <v>3399.9</v>
      </c>
      <c r="M13" s="394">
        <f>I13/50</f>
        <v>399.9</v>
      </c>
      <c r="N13" s="394">
        <f>H13/50</f>
        <v>3000</v>
      </c>
      <c r="O13" s="394">
        <f t="shared" si="1"/>
        <v>3999</v>
      </c>
      <c r="P13" s="394">
        <f t="shared" si="2"/>
        <v>15996</v>
      </c>
      <c r="Q13" s="348">
        <v>10</v>
      </c>
      <c r="R13" s="354">
        <f t="shared" si="3"/>
        <v>40</v>
      </c>
      <c r="S13" s="350">
        <f t="shared" si="4"/>
        <v>33999</v>
      </c>
      <c r="T13" s="350">
        <f t="shared" si="5"/>
        <v>135996</v>
      </c>
      <c r="U13" s="393"/>
    </row>
    <row r="14" spans="1:21">
      <c r="A14" s="378"/>
      <c r="B14" s="378"/>
      <c r="C14" s="378"/>
      <c r="D14" s="363" t="s">
        <v>1034</v>
      </c>
      <c r="E14" s="367">
        <v>10</v>
      </c>
      <c r="F14" s="393" t="s">
        <v>1437</v>
      </c>
      <c r="G14" s="400" t="s">
        <v>1035</v>
      </c>
      <c r="H14" s="350">
        <v>500000</v>
      </c>
      <c r="I14" s="350">
        <v>66650</v>
      </c>
      <c r="J14" s="349">
        <f t="shared" si="0"/>
        <v>566650</v>
      </c>
      <c r="K14" s="347">
        <v>50</v>
      </c>
      <c r="L14" s="379">
        <v>11333</v>
      </c>
      <c r="M14" s="394">
        <f>I14/50</f>
        <v>1333</v>
      </c>
      <c r="N14" s="394">
        <f>H14/50</f>
        <v>10000</v>
      </c>
      <c r="O14" s="394">
        <f t="shared" si="1"/>
        <v>42656</v>
      </c>
      <c r="P14" s="394">
        <f t="shared" si="2"/>
        <v>23994</v>
      </c>
      <c r="Q14" s="347">
        <v>32</v>
      </c>
      <c r="R14" s="354">
        <f t="shared" si="3"/>
        <v>18</v>
      </c>
      <c r="S14" s="350">
        <f t="shared" si="4"/>
        <v>362656</v>
      </c>
      <c r="T14" s="350">
        <f t="shared" si="5"/>
        <v>203994</v>
      </c>
      <c r="U14" s="400"/>
    </row>
    <row r="15" spans="1:21">
      <c r="A15" s="378"/>
      <c r="B15" s="378"/>
      <c r="C15" s="378"/>
      <c r="D15" s="393" t="s">
        <v>1462</v>
      </c>
      <c r="E15" s="367">
        <v>11</v>
      </c>
      <c r="F15" s="393" t="s">
        <v>1437</v>
      </c>
      <c r="G15" s="393" t="s">
        <v>458</v>
      </c>
      <c r="H15" s="351">
        <v>500000</v>
      </c>
      <c r="I15" s="351">
        <v>66650</v>
      </c>
      <c r="J15" s="349">
        <f t="shared" si="0"/>
        <v>566650</v>
      </c>
      <c r="K15" s="348">
        <v>50</v>
      </c>
      <c r="L15" s="380">
        <v>11333</v>
      </c>
      <c r="M15" s="394">
        <f>I15/50</f>
        <v>1333</v>
      </c>
      <c r="N15" s="394">
        <f>H15/50</f>
        <v>10000</v>
      </c>
      <c r="O15" s="394">
        <f t="shared" si="1"/>
        <v>6665</v>
      </c>
      <c r="P15" s="394">
        <f t="shared" si="2"/>
        <v>59985</v>
      </c>
      <c r="Q15" s="348">
        <v>5</v>
      </c>
      <c r="R15" s="354">
        <f t="shared" si="3"/>
        <v>45</v>
      </c>
      <c r="S15" s="350">
        <f t="shared" si="4"/>
        <v>56665</v>
      </c>
      <c r="T15" s="350">
        <f t="shared" si="5"/>
        <v>509985</v>
      </c>
      <c r="U15" s="393"/>
    </row>
    <row r="16" spans="1:21">
      <c r="A16" s="378"/>
      <c r="B16" s="378"/>
      <c r="C16" s="378"/>
      <c r="D16" s="393" t="s">
        <v>1496</v>
      </c>
      <c r="E16" s="367">
        <v>12</v>
      </c>
      <c r="F16" s="393" t="s">
        <v>1437</v>
      </c>
      <c r="G16" s="393" t="s">
        <v>447</v>
      </c>
      <c r="H16" s="380">
        <v>750000</v>
      </c>
      <c r="I16" s="380">
        <v>99925</v>
      </c>
      <c r="J16" s="380">
        <f t="shared" si="0"/>
        <v>849925</v>
      </c>
      <c r="K16" s="348">
        <v>60</v>
      </c>
      <c r="L16" s="351">
        <v>14166.25</v>
      </c>
      <c r="M16" s="394">
        <f>I16/60</f>
        <v>1665.4166666666667</v>
      </c>
      <c r="N16" s="394">
        <f>H16/60</f>
        <v>12500</v>
      </c>
      <c r="O16" s="394">
        <f t="shared" si="1"/>
        <v>3330.8333333333335</v>
      </c>
      <c r="P16" s="394">
        <f t="shared" si="2"/>
        <v>96594.166666666672</v>
      </c>
      <c r="Q16" s="348">
        <v>2</v>
      </c>
      <c r="R16" s="348">
        <f t="shared" si="3"/>
        <v>58</v>
      </c>
      <c r="S16" s="380">
        <f t="shared" si="4"/>
        <v>28332.5</v>
      </c>
      <c r="T16" s="380">
        <f t="shared" si="5"/>
        <v>821592.5</v>
      </c>
      <c r="U16" s="393"/>
    </row>
    <row r="17" spans="1:21">
      <c r="A17" s="378"/>
      <c r="B17" s="378"/>
      <c r="C17" s="378"/>
      <c r="D17" s="393" t="s">
        <v>1101</v>
      </c>
      <c r="E17" s="367">
        <v>13</v>
      </c>
      <c r="F17" s="393" t="s">
        <v>1437</v>
      </c>
      <c r="G17" s="393" t="s">
        <v>290</v>
      </c>
      <c r="H17" s="351">
        <v>330000</v>
      </c>
      <c r="I17" s="351">
        <v>43989</v>
      </c>
      <c r="J17" s="349">
        <f t="shared" si="0"/>
        <v>373989</v>
      </c>
      <c r="K17" s="348">
        <v>50</v>
      </c>
      <c r="L17" s="380">
        <v>7479.78</v>
      </c>
      <c r="M17" s="394">
        <f t="shared" ref="M17:M26" si="6">I17/50</f>
        <v>879.78</v>
      </c>
      <c r="N17" s="394">
        <f t="shared" ref="N17:N28" si="7">H17/50</f>
        <v>6600</v>
      </c>
      <c r="O17" s="394">
        <f t="shared" si="1"/>
        <v>4398.8999999999996</v>
      </c>
      <c r="P17" s="394">
        <f t="shared" si="2"/>
        <v>39590.1</v>
      </c>
      <c r="Q17" s="348">
        <v>5</v>
      </c>
      <c r="R17" s="354">
        <f t="shared" si="3"/>
        <v>45</v>
      </c>
      <c r="S17" s="350">
        <f t="shared" si="4"/>
        <v>37398.9</v>
      </c>
      <c r="T17" s="350">
        <f t="shared" si="5"/>
        <v>336590.1</v>
      </c>
      <c r="U17" s="393"/>
    </row>
    <row r="18" spans="1:21">
      <c r="A18" s="378"/>
      <c r="B18" s="378"/>
      <c r="C18" s="378"/>
      <c r="D18" s="364" t="s">
        <v>1382</v>
      </c>
      <c r="E18" s="367">
        <v>14</v>
      </c>
      <c r="F18" s="393" t="s">
        <v>1437</v>
      </c>
      <c r="G18" s="400" t="s">
        <v>1130</v>
      </c>
      <c r="H18" s="350">
        <v>330000</v>
      </c>
      <c r="I18" s="350">
        <v>43989</v>
      </c>
      <c r="J18" s="349">
        <f t="shared" si="0"/>
        <v>373989</v>
      </c>
      <c r="K18" s="347">
        <v>50</v>
      </c>
      <c r="L18" s="379">
        <v>7479.78</v>
      </c>
      <c r="M18" s="394">
        <f t="shared" si="6"/>
        <v>879.78</v>
      </c>
      <c r="N18" s="394">
        <f t="shared" si="7"/>
        <v>6600</v>
      </c>
      <c r="O18" s="394">
        <f t="shared" si="1"/>
        <v>21114.720000000001</v>
      </c>
      <c r="P18" s="394">
        <f t="shared" si="2"/>
        <v>22874.28</v>
      </c>
      <c r="Q18" s="353">
        <v>24</v>
      </c>
      <c r="R18" s="354">
        <f t="shared" si="3"/>
        <v>26</v>
      </c>
      <c r="S18" s="350">
        <f t="shared" si="4"/>
        <v>179514.72</v>
      </c>
      <c r="T18" s="350">
        <f t="shared" si="5"/>
        <v>194474.28</v>
      </c>
      <c r="U18" s="400"/>
    </row>
    <row r="19" spans="1:21">
      <c r="A19" s="378"/>
      <c r="B19" s="378"/>
      <c r="C19" s="378"/>
      <c r="D19" s="364" t="s">
        <v>1350</v>
      </c>
      <c r="E19" s="367">
        <v>15</v>
      </c>
      <c r="F19" s="393" t="s">
        <v>1437</v>
      </c>
      <c r="G19" s="399" t="s">
        <v>1117</v>
      </c>
      <c r="H19" s="350">
        <v>500000</v>
      </c>
      <c r="I19" s="350">
        <v>66650</v>
      </c>
      <c r="J19" s="349">
        <f t="shared" si="0"/>
        <v>566650</v>
      </c>
      <c r="K19" s="347">
        <v>50</v>
      </c>
      <c r="L19" s="379">
        <v>11333</v>
      </c>
      <c r="M19" s="394">
        <f t="shared" si="6"/>
        <v>1333</v>
      </c>
      <c r="N19" s="394">
        <f t="shared" si="7"/>
        <v>10000</v>
      </c>
      <c r="O19" s="394">
        <f t="shared" si="1"/>
        <v>31992</v>
      </c>
      <c r="P19" s="394">
        <f t="shared" si="2"/>
        <v>34658</v>
      </c>
      <c r="Q19" s="352">
        <v>24</v>
      </c>
      <c r="R19" s="354">
        <f t="shared" si="3"/>
        <v>26</v>
      </c>
      <c r="S19" s="350">
        <f t="shared" si="4"/>
        <v>271992</v>
      </c>
      <c r="T19" s="350">
        <f t="shared" si="5"/>
        <v>294658</v>
      </c>
      <c r="U19" s="400"/>
    </row>
    <row r="20" spans="1:21">
      <c r="A20" s="378"/>
      <c r="B20" s="378"/>
      <c r="C20" s="378"/>
      <c r="D20" s="116" t="s">
        <v>1338</v>
      </c>
      <c r="E20" s="367">
        <v>16</v>
      </c>
      <c r="F20" s="393" t="s">
        <v>1437</v>
      </c>
      <c r="G20" s="400" t="s">
        <v>438</v>
      </c>
      <c r="H20" s="350">
        <v>500000</v>
      </c>
      <c r="I20" s="350">
        <v>66650</v>
      </c>
      <c r="J20" s="349">
        <f t="shared" si="0"/>
        <v>566650</v>
      </c>
      <c r="K20" s="347">
        <v>50</v>
      </c>
      <c r="L20" s="379">
        <v>11333</v>
      </c>
      <c r="M20" s="394">
        <f t="shared" si="6"/>
        <v>1333</v>
      </c>
      <c r="N20" s="394">
        <f t="shared" si="7"/>
        <v>10000</v>
      </c>
      <c r="O20" s="394">
        <f t="shared" si="1"/>
        <v>15996</v>
      </c>
      <c r="P20" s="394">
        <f t="shared" si="2"/>
        <v>50654</v>
      </c>
      <c r="Q20" s="352">
        <v>12</v>
      </c>
      <c r="R20" s="354">
        <f t="shared" si="3"/>
        <v>38</v>
      </c>
      <c r="S20" s="350">
        <f t="shared" si="4"/>
        <v>135996</v>
      </c>
      <c r="T20" s="350">
        <f t="shared" si="5"/>
        <v>430654</v>
      </c>
      <c r="U20" s="400"/>
    </row>
    <row r="21" spans="1:21">
      <c r="A21" s="378"/>
      <c r="B21" s="378"/>
      <c r="C21" s="378"/>
      <c r="D21" s="393" t="s">
        <v>1413</v>
      </c>
      <c r="E21" s="367">
        <v>17</v>
      </c>
      <c r="F21" s="393" t="s">
        <v>1437</v>
      </c>
      <c r="G21" s="393" t="s">
        <v>454</v>
      </c>
      <c r="H21" s="351">
        <v>500000</v>
      </c>
      <c r="I21" s="351">
        <v>66650</v>
      </c>
      <c r="J21" s="349">
        <f t="shared" si="0"/>
        <v>566650</v>
      </c>
      <c r="K21" s="348">
        <v>50</v>
      </c>
      <c r="L21" s="380">
        <v>11333</v>
      </c>
      <c r="M21" s="394">
        <f t="shared" si="6"/>
        <v>1333</v>
      </c>
      <c r="N21" s="394">
        <f t="shared" si="7"/>
        <v>10000</v>
      </c>
      <c r="O21" s="394">
        <f t="shared" si="1"/>
        <v>13330</v>
      </c>
      <c r="P21" s="394">
        <f t="shared" si="2"/>
        <v>53320</v>
      </c>
      <c r="Q21" s="348">
        <v>10</v>
      </c>
      <c r="R21" s="354">
        <f t="shared" si="3"/>
        <v>40</v>
      </c>
      <c r="S21" s="350">
        <f t="shared" si="4"/>
        <v>113330</v>
      </c>
      <c r="T21" s="350">
        <f t="shared" si="5"/>
        <v>453320</v>
      </c>
      <c r="U21" s="393"/>
    </row>
    <row r="22" spans="1:21">
      <c r="A22" s="378"/>
      <c r="B22" s="378"/>
      <c r="C22" s="378"/>
      <c r="D22" s="116" t="s">
        <v>1343</v>
      </c>
      <c r="E22" s="367">
        <v>18</v>
      </c>
      <c r="F22" s="393" t="s">
        <v>1437</v>
      </c>
      <c r="G22" s="400" t="s">
        <v>451</v>
      </c>
      <c r="H22" s="350">
        <v>500000</v>
      </c>
      <c r="I22" s="350">
        <v>66650</v>
      </c>
      <c r="J22" s="349">
        <f t="shared" si="0"/>
        <v>566650</v>
      </c>
      <c r="K22" s="347">
        <v>50</v>
      </c>
      <c r="L22" s="379">
        <v>11333</v>
      </c>
      <c r="M22" s="394">
        <f t="shared" si="6"/>
        <v>1333</v>
      </c>
      <c r="N22" s="394">
        <f t="shared" si="7"/>
        <v>10000</v>
      </c>
      <c r="O22" s="394">
        <f t="shared" si="1"/>
        <v>30659</v>
      </c>
      <c r="P22" s="394">
        <f t="shared" si="2"/>
        <v>35991</v>
      </c>
      <c r="Q22" s="353">
        <v>23</v>
      </c>
      <c r="R22" s="354">
        <f t="shared" si="3"/>
        <v>27</v>
      </c>
      <c r="S22" s="350">
        <f t="shared" si="4"/>
        <v>260659</v>
      </c>
      <c r="T22" s="350">
        <f t="shared" si="5"/>
        <v>305991</v>
      </c>
      <c r="U22" s="400"/>
    </row>
    <row r="23" spans="1:21">
      <c r="A23" s="378"/>
      <c r="B23" s="378"/>
      <c r="C23" s="378"/>
      <c r="D23" s="393" t="s">
        <v>1463</v>
      </c>
      <c r="E23" s="367">
        <v>19</v>
      </c>
      <c r="F23" s="393" t="s">
        <v>1437</v>
      </c>
      <c r="G23" s="393" t="s">
        <v>472</v>
      </c>
      <c r="H23" s="351">
        <v>500000</v>
      </c>
      <c r="I23" s="351">
        <v>66650</v>
      </c>
      <c r="J23" s="349">
        <f t="shared" si="0"/>
        <v>566650</v>
      </c>
      <c r="K23" s="348">
        <v>50</v>
      </c>
      <c r="L23" s="380">
        <v>11333</v>
      </c>
      <c r="M23" s="394">
        <f t="shared" si="6"/>
        <v>1333</v>
      </c>
      <c r="N23" s="394">
        <f t="shared" si="7"/>
        <v>10000</v>
      </c>
      <c r="O23" s="394">
        <f t="shared" si="1"/>
        <v>6665</v>
      </c>
      <c r="P23" s="394">
        <f t="shared" si="2"/>
        <v>59985</v>
      </c>
      <c r="Q23" s="348">
        <v>5</v>
      </c>
      <c r="R23" s="354">
        <f t="shared" si="3"/>
        <v>45</v>
      </c>
      <c r="S23" s="350">
        <f t="shared" si="4"/>
        <v>56665</v>
      </c>
      <c r="T23" s="350">
        <f t="shared" si="5"/>
        <v>509985</v>
      </c>
      <c r="U23" s="393"/>
    </row>
    <row r="24" spans="1:21">
      <c r="A24" s="378"/>
      <c r="B24" s="378"/>
      <c r="C24" s="378"/>
      <c r="D24" s="363" t="s">
        <v>1107</v>
      </c>
      <c r="E24" s="367">
        <v>20</v>
      </c>
      <c r="F24" s="393" t="s">
        <v>1437</v>
      </c>
      <c r="G24" s="400" t="s">
        <v>734</v>
      </c>
      <c r="H24" s="350">
        <v>500000</v>
      </c>
      <c r="I24" s="350">
        <v>66650</v>
      </c>
      <c r="J24" s="349">
        <f t="shared" si="0"/>
        <v>566650</v>
      </c>
      <c r="K24" s="347">
        <v>50</v>
      </c>
      <c r="L24" s="379">
        <v>11333</v>
      </c>
      <c r="M24" s="394">
        <f t="shared" si="6"/>
        <v>1333</v>
      </c>
      <c r="N24" s="394">
        <f t="shared" si="7"/>
        <v>10000</v>
      </c>
      <c r="O24" s="394">
        <f t="shared" si="1"/>
        <v>15996</v>
      </c>
      <c r="P24" s="394">
        <f t="shared" si="2"/>
        <v>50654</v>
      </c>
      <c r="Q24" s="353">
        <v>12</v>
      </c>
      <c r="R24" s="354">
        <f t="shared" si="3"/>
        <v>38</v>
      </c>
      <c r="S24" s="350">
        <f t="shared" si="4"/>
        <v>135996</v>
      </c>
      <c r="T24" s="350">
        <f t="shared" si="5"/>
        <v>430654</v>
      </c>
      <c r="U24" s="400"/>
    </row>
    <row r="25" spans="1:21">
      <c r="A25" s="378"/>
      <c r="B25" s="378"/>
      <c r="C25" s="378"/>
      <c r="D25" s="363" t="s">
        <v>1344</v>
      </c>
      <c r="E25" s="367">
        <v>21</v>
      </c>
      <c r="F25" s="393" t="s">
        <v>1437</v>
      </c>
      <c r="G25" s="400" t="s">
        <v>1345</v>
      </c>
      <c r="H25" s="350">
        <v>500000</v>
      </c>
      <c r="I25" s="350">
        <v>66650</v>
      </c>
      <c r="J25" s="349">
        <f t="shared" si="0"/>
        <v>566650</v>
      </c>
      <c r="K25" s="347">
        <v>50</v>
      </c>
      <c r="L25" s="379">
        <v>11333</v>
      </c>
      <c r="M25" s="394">
        <f t="shared" si="6"/>
        <v>1333</v>
      </c>
      <c r="N25" s="394">
        <f t="shared" si="7"/>
        <v>10000</v>
      </c>
      <c r="O25" s="394">
        <f t="shared" si="1"/>
        <v>19995</v>
      </c>
      <c r="P25" s="394">
        <f t="shared" si="2"/>
        <v>46655</v>
      </c>
      <c r="Q25" s="352">
        <v>15</v>
      </c>
      <c r="R25" s="354">
        <f t="shared" si="3"/>
        <v>35</v>
      </c>
      <c r="S25" s="350">
        <f t="shared" si="4"/>
        <v>169995</v>
      </c>
      <c r="T25" s="350">
        <f t="shared" si="5"/>
        <v>396655</v>
      </c>
      <c r="U25" s="400"/>
    </row>
    <row r="26" spans="1:21">
      <c r="A26" s="378"/>
      <c r="B26" s="378"/>
      <c r="C26" s="378"/>
      <c r="D26" s="364" t="s">
        <v>989</v>
      </c>
      <c r="E26" s="367">
        <v>22</v>
      </c>
      <c r="F26" s="393" t="s">
        <v>1437</v>
      </c>
      <c r="G26" s="399" t="s">
        <v>864</v>
      </c>
      <c r="H26" s="350">
        <v>500000</v>
      </c>
      <c r="I26" s="350">
        <v>66650</v>
      </c>
      <c r="J26" s="349">
        <f t="shared" si="0"/>
        <v>566650</v>
      </c>
      <c r="K26" s="347">
        <v>50</v>
      </c>
      <c r="L26" s="379">
        <v>11333</v>
      </c>
      <c r="M26" s="394">
        <f t="shared" si="6"/>
        <v>1333</v>
      </c>
      <c r="N26" s="394">
        <f t="shared" si="7"/>
        <v>10000</v>
      </c>
      <c r="O26" s="394">
        <f t="shared" si="1"/>
        <v>42656</v>
      </c>
      <c r="P26" s="394">
        <f t="shared" si="2"/>
        <v>23994</v>
      </c>
      <c r="Q26" s="352">
        <v>32</v>
      </c>
      <c r="R26" s="354">
        <f t="shared" si="3"/>
        <v>18</v>
      </c>
      <c r="S26" s="350">
        <f t="shared" si="4"/>
        <v>362656</v>
      </c>
      <c r="T26" s="350">
        <f t="shared" si="5"/>
        <v>203994</v>
      </c>
      <c r="U26" s="400"/>
    </row>
    <row r="27" spans="1:21">
      <c r="A27" s="378"/>
      <c r="B27" s="378"/>
      <c r="C27" s="378"/>
      <c r="D27" s="393" t="s">
        <v>991</v>
      </c>
      <c r="E27" s="367">
        <v>23</v>
      </c>
      <c r="F27" s="393" t="s">
        <v>1437</v>
      </c>
      <c r="G27" s="393" t="s">
        <v>992</v>
      </c>
      <c r="H27" s="351">
        <v>330000</v>
      </c>
      <c r="I27" s="351">
        <v>26393.4</v>
      </c>
      <c r="J27" s="349">
        <f t="shared" si="0"/>
        <v>356393.4</v>
      </c>
      <c r="K27" s="348">
        <v>30</v>
      </c>
      <c r="L27" s="380">
        <v>11879.78</v>
      </c>
      <c r="M27" s="394">
        <f>I27/30</f>
        <v>879.78000000000009</v>
      </c>
      <c r="N27" s="394">
        <f t="shared" si="7"/>
        <v>6600</v>
      </c>
      <c r="O27" s="394">
        <f t="shared" si="1"/>
        <v>4398.9000000000005</v>
      </c>
      <c r="P27" s="394">
        <f t="shared" si="2"/>
        <v>21994.500000000004</v>
      </c>
      <c r="Q27" s="348">
        <v>5</v>
      </c>
      <c r="R27" s="354">
        <f t="shared" si="3"/>
        <v>25</v>
      </c>
      <c r="S27" s="350">
        <f t="shared" si="4"/>
        <v>59398.9</v>
      </c>
      <c r="T27" s="350">
        <f t="shared" si="5"/>
        <v>296994.5</v>
      </c>
      <c r="U27" s="393"/>
    </row>
    <row r="28" spans="1:21">
      <c r="A28" s="378"/>
      <c r="B28" s="378"/>
      <c r="C28" s="378"/>
      <c r="D28" s="393" t="s">
        <v>1038</v>
      </c>
      <c r="E28" s="367">
        <v>24</v>
      </c>
      <c r="F28" s="393" t="s">
        <v>1437</v>
      </c>
      <c r="G28" s="393" t="s">
        <v>375</v>
      </c>
      <c r="H28" s="351">
        <v>450000</v>
      </c>
      <c r="I28" s="351">
        <v>59985</v>
      </c>
      <c r="J28" s="349">
        <f t="shared" si="0"/>
        <v>509985</v>
      </c>
      <c r="K28" s="348">
        <v>50</v>
      </c>
      <c r="L28" s="380">
        <v>10199.700000000001</v>
      </c>
      <c r="M28" s="394">
        <f>I28/50</f>
        <v>1199.7</v>
      </c>
      <c r="N28" s="394">
        <f t="shared" si="7"/>
        <v>9000</v>
      </c>
      <c r="O28" s="394">
        <f t="shared" si="1"/>
        <v>9597.6</v>
      </c>
      <c r="P28" s="394">
        <f t="shared" si="2"/>
        <v>50387.4</v>
      </c>
      <c r="Q28" s="348">
        <v>8</v>
      </c>
      <c r="R28" s="354">
        <f t="shared" si="3"/>
        <v>42</v>
      </c>
      <c r="S28" s="350">
        <f t="shared" si="4"/>
        <v>81597.600000000006</v>
      </c>
      <c r="T28" s="350">
        <f t="shared" si="5"/>
        <v>428387.4</v>
      </c>
      <c r="U28" s="393"/>
    </row>
    <row r="29" spans="1:21">
      <c r="A29" s="378"/>
      <c r="B29" s="378"/>
      <c r="C29" s="378"/>
      <c r="D29" s="393" t="s">
        <v>1505</v>
      </c>
      <c r="E29" s="367">
        <v>25</v>
      </c>
      <c r="F29" s="393" t="s">
        <v>1437</v>
      </c>
      <c r="G29" s="393" t="s">
        <v>1506</v>
      </c>
      <c r="H29" s="380">
        <v>600000</v>
      </c>
      <c r="I29" s="380">
        <v>79980</v>
      </c>
      <c r="J29" s="380">
        <f t="shared" si="0"/>
        <v>679980</v>
      </c>
      <c r="K29" s="348">
        <v>60</v>
      </c>
      <c r="L29" s="351">
        <v>11333</v>
      </c>
      <c r="M29" s="394">
        <f>I29/60</f>
        <v>1333</v>
      </c>
      <c r="N29" s="394">
        <f>H29/60</f>
        <v>10000</v>
      </c>
      <c r="O29" s="394">
        <f t="shared" si="1"/>
        <v>2666</v>
      </c>
      <c r="P29" s="394">
        <f t="shared" si="2"/>
        <v>77314</v>
      </c>
      <c r="Q29" s="348">
        <v>2</v>
      </c>
      <c r="R29" s="348">
        <f t="shared" si="3"/>
        <v>58</v>
      </c>
      <c r="S29" s="380">
        <f t="shared" si="4"/>
        <v>22666</v>
      </c>
      <c r="T29" s="380">
        <f t="shared" si="5"/>
        <v>657314</v>
      </c>
      <c r="U29" s="393"/>
    </row>
    <row r="30" spans="1:21">
      <c r="A30" s="378"/>
      <c r="B30" s="378"/>
      <c r="C30" s="378"/>
      <c r="D30" s="363" t="s">
        <v>1352</v>
      </c>
      <c r="E30" s="367">
        <v>26</v>
      </c>
      <c r="F30" s="393" t="s">
        <v>1437</v>
      </c>
      <c r="G30" s="400" t="s">
        <v>1353</v>
      </c>
      <c r="H30" s="350">
        <v>500000</v>
      </c>
      <c r="I30" s="350">
        <v>66650</v>
      </c>
      <c r="J30" s="349">
        <f t="shared" si="0"/>
        <v>566650</v>
      </c>
      <c r="K30" s="347">
        <v>50</v>
      </c>
      <c r="L30" s="379">
        <v>11333</v>
      </c>
      <c r="M30" s="394">
        <f>I30/50</f>
        <v>1333</v>
      </c>
      <c r="N30" s="394">
        <f>H30/50</f>
        <v>10000</v>
      </c>
      <c r="O30" s="394">
        <f t="shared" si="1"/>
        <v>15996</v>
      </c>
      <c r="P30" s="394">
        <f t="shared" si="2"/>
        <v>50654</v>
      </c>
      <c r="Q30" s="347">
        <v>12</v>
      </c>
      <c r="R30" s="354">
        <f t="shared" si="3"/>
        <v>38</v>
      </c>
      <c r="S30" s="350">
        <f t="shared" si="4"/>
        <v>135996</v>
      </c>
      <c r="T30" s="350">
        <f t="shared" si="5"/>
        <v>430654</v>
      </c>
      <c r="U30" s="400"/>
    </row>
    <row r="31" spans="1:21">
      <c r="A31" s="378"/>
      <c r="B31" s="378"/>
      <c r="C31" s="378"/>
      <c r="D31" s="364" t="s">
        <v>1141</v>
      </c>
      <c r="E31" s="367">
        <v>27</v>
      </c>
      <c r="F31" s="393" t="s">
        <v>1437</v>
      </c>
      <c r="G31" s="399" t="s">
        <v>1142</v>
      </c>
      <c r="H31" s="350">
        <v>330000</v>
      </c>
      <c r="I31" s="350">
        <v>43989</v>
      </c>
      <c r="J31" s="349">
        <f t="shared" si="0"/>
        <v>373989</v>
      </c>
      <c r="K31" s="347">
        <v>50</v>
      </c>
      <c r="L31" s="379">
        <v>7479.78</v>
      </c>
      <c r="M31" s="394">
        <f>I31/50</f>
        <v>879.78</v>
      </c>
      <c r="N31" s="394">
        <f>H31/50</f>
        <v>6600</v>
      </c>
      <c r="O31" s="394">
        <f t="shared" si="1"/>
        <v>21994.5</v>
      </c>
      <c r="P31" s="394">
        <f t="shared" si="2"/>
        <v>21994.5</v>
      </c>
      <c r="Q31" s="352">
        <v>25</v>
      </c>
      <c r="R31" s="354">
        <f t="shared" si="3"/>
        <v>25</v>
      </c>
      <c r="S31" s="350">
        <f t="shared" si="4"/>
        <v>186994.5</v>
      </c>
      <c r="T31" s="350">
        <f t="shared" si="5"/>
        <v>186994.5</v>
      </c>
      <c r="U31" s="400"/>
    </row>
    <row r="32" spans="1:21" ht="31.5">
      <c r="A32" s="378"/>
      <c r="B32" s="378"/>
      <c r="C32" s="378"/>
      <c r="D32" s="393" t="s">
        <v>972</v>
      </c>
      <c r="E32" s="367">
        <v>28</v>
      </c>
      <c r="F32" s="393" t="s">
        <v>1437</v>
      </c>
      <c r="G32" s="395" t="s">
        <v>312</v>
      </c>
      <c r="H32" s="380">
        <v>750000</v>
      </c>
      <c r="I32" s="380">
        <v>99925</v>
      </c>
      <c r="J32" s="380">
        <f t="shared" si="0"/>
        <v>849925</v>
      </c>
      <c r="K32" s="348">
        <v>60</v>
      </c>
      <c r="L32" s="351">
        <v>14166.25</v>
      </c>
      <c r="M32" s="394">
        <f>I32/60</f>
        <v>1665.4166666666667</v>
      </c>
      <c r="N32" s="394">
        <f>H32/60</f>
        <v>12500</v>
      </c>
      <c r="O32" s="394">
        <f t="shared" si="1"/>
        <v>3330.8333333333335</v>
      </c>
      <c r="P32" s="394">
        <f t="shared" si="2"/>
        <v>96594.166666666672</v>
      </c>
      <c r="Q32" s="348">
        <v>2</v>
      </c>
      <c r="R32" s="348">
        <f t="shared" si="3"/>
        <v>58</v>
      </c>
      <c r="S32" s="380">
        <f t="shared" si="4"/>
        <v>28332.5</v>
      </c>
      <c r="T32" s="380">
        <f t="shared" si="5"/>
        <v>821592.5</v>
      </c>
      <c r="U32" s="393"/>
    </row>
    <row r="33" spans="1:21">
      <c r="A33" s="378"/>
      <c r="B33" s="378"/>
      <c r="C33" s="378"/>
      <c r="D33" s="393" t="s">
        <v>1509</v>
      </c>
      <c r="E33" s="367">
        <v>29</v>
      </c>
      <c r="F33" s="393" t="s">
        <v>1437</v>
      </c>
      <c r="G33" s="393" t="s">
        <v>1510</v>
      </c>
      <c r="H33" s="380">
        <v>450000</v>
      </c>
      <c r="I33" s="380">
        <v>59985</v>
      </c>
      <c r="J33" s="380">
        <f t="shared" si="0"/>
        <v>509985</v>
      </c>
      <c r="K33" s="348">
        <v>60</v>
      </c>
      <c r="L33" s="351">
        <v>8499.75</v>
      </c>
      <c r="M33" s="394">
        <f>I33/60</f>
        <v>999.75</v>
      </c>
      <c r="N33" s="394">
        <f>H33/60</f>
        <v>7500</v>
      </c>
      <c r="O33" s="394">
        <f t="shared" si="1"/>
        <v>1999.5</v>
      </c>
      <c r="P33" s="394">
        <f t="shared" si="2"/>
        <v>57985.5</v>
      </c>
      <c r="Q33" s="348">
        <v>2</v>
      </c>
      <c r="R33" s="348">
        <f t="shared" si="3"/>
        <v>58</v>
      </c>
      <c r="S33" s="380">
        <f t="shared" si="4"/>
        <v>16999.5</v>
      </c>
      <c r="T33" s="380">
        <f t="shared" si="5"/>
        <v>492985.5</v>
      </c>
      <c r="U33" s="393"/>
    </row>
    <row r="34" spans="1:21">
      <c r="A34" s="378"/>
      <c r="B34" s="378"/>
      <c r="C34" s="378"/>
      <c r="D34" s="364" t="s">
        <v>966</v>
      </c>
      <c r="E34" s="367">
        <v>30</v>
      </c>
      <c r="F34" s="393" t="s">
        <v>1437</v>
      </c>
      <c r="G34" s="393" t="s">
        <v>29</v>
      </c>
      <c r="H34" s="351">
        <v>450000</v>
      </c>
      <c r="I34" s="351">
        <v>59985</v>
      </c>
      <c r="J34" s="349">
        <f t="shared" si="0"/>
        <v>509985</v>
      </c>
      <c r="K34" s="348">
        <v>50</v>
      </c>
      <c r="L34" s="380">
        <v>10199.700000000001</v>
      </c>
      <c r="M34" s="394">
        <f t="shared" ref="M34:M47" si="8">I34/50</f>
        <v>1199.7</v>
      </c>
      <c r="N34" s="394">
        <f t="shared" ref="N34:N55" si="9">H34/50</f>
        <v>9000</v>
      </c>
      <c r="O34" s="394">
        <f t="shared" si="1"/>
        <v>58785.3</v>
      </c>
      <c r="P34" s="394">
        <f t="shared" si="2"/>
        <v>1199.7</v>
      </c>
      <c r="Q34" s="348">
        <v>49</v>
      </c>
      <c r="R34" s="354">
        <f t="shared" si="3"/>
        <v>1</v>
      </c>
      <c r="S34" s="350">
        <f t="shared" si="4"/>
        <v>499785.30000000005</v>
      </c>
      <c r="T34" s="350">
        <f t="shared" si="5"/>
        <v>10199.699999999953</v>
      </c>
      <c r="U34" s="393"/>
    </row>
    <row r="35" spans="1:21">
      <c r="A35" s="378"/>
      <c r="B35" s="378"/>
      <c r="C35" s="378"/>
      <c r="D35" s="364" t="s">
        <v>993</v>
      </c>
      <c r="E35" s="367">
        <v>31</v>
      </c>
      <c r="F35" s="393" t="s">
        <v>1437</v>
      </c>
      <c r="G35" s="393" t="s">
        <v>994</v>
      </c>
      <c r="H35" s="351">
        <v>150000</v>
      </c>
      <c r="I35" s="351">
        <v>19995</v>
      </c>
      <c r="J35" s="349">
        <f t="shared" si="0"/>
        <v>169995</v>
      </c>
      <c r="K35" s="348">
        <v>50</v>
      </c>
      <c r="L35" s="380">
        <v>3399.9</v>
      </c>
      <c r="M35" s="394">
        <f t="shared" si="8"/>
        <v>399.9</v>
      </c>
      <c r="N35" s="394">
        <f t="shared" si="9"/>
        <v>3000</v>
      </c>
      <c r="O35" s="394">
        <f t="shared" si="1"/>
        <v>12796.8</v>
      </c>
      <c r="P35" s="394">
        <f t="shared" si="2"/>
        <v>7198.2</v>
      </c>
      <c r="Q35" s="348">
        <v>32</v>
      </c>
      <c r="R35" s="354">
        <f t="shared" si="3"/>
        <v>18</v>
      </c>
      <c r="S35" s="350">
        <f t="shared" si="4"/>
        <v>108796.8</v>
      </c>
      <c r="T35" s="350">
        <f t="shared" si="5"/>
        <v>61198.2</v>
      </c>
      <c r="U35" s="393"/>
    </row>
    <row r="36" spans="1:21">
      <c r="A36" s="378"/>
      <c r="B36" s="378"/>
      <c r="C36" s="378"/>
      <c r="D36" s="364" t="s">
        <v>1099</v>
      </c>
      <c r="E36" s="367">
        <v>32</v>
      </c>
      <c r="F36" s="393" t="s">
        <v>1437</v>
      </c>
      <c r="G36" s="393" t="s">
        <v>487</v>
      </c>
      <c r="H36" s="351">
        <v>500000</v>
      </c>
      <c r="I36" s="351">
        <v>66650</v>
      </c>
      <c r="J36" s="349">
        <f t="shared" si="0"/>
        <v>566650</v>
      </c>
      <c r="K36" s="348">
        <v>50</v>
      </c>
      <c r="L36" s="380">
        <v>11333</v>
      </c>
      <c r="M36" s="394">
        <f t="shared" si="8"/>
        <v>1333</v>
      </c>
      <c r="N36" s="394">
        <f t="shared" si="9"/>
        <v>10000</v>
      </c>
      <c r="O36" s="394">
        <f t="shared" si="1"/>
        <v>49321</v>
      </c>
      <c r="P36" s="394">
        <f t="shared" si="2"/>
        <v>17329</v>
      </c>
      <c r="Q36" s="348">
        <v>37</v>
      </c>
      <c r="R36" s="354">
        <f t="shared" si="3"/>
        <v>13</v>
      </c>
      <c r="S36" s="350">
        <f t="shared" si="4"/>
        <v>419321</v>
      </c>
      <c r="T36" s="350">
        <f t="shared" si="5"/>
        <v>147329</v>
      </c>
      <c r="U36" s="393"/>
    </row>
    <row r="37" spans="1:21">
      <c r="A37" s="378"/>
      <c r="B37" s="378"/>
      <c r="C37" s="378"/>
      <c r="D37" s="364" t="s">
        <v>1069</v>
      </c>
      <c r="E37" s="367">
        <v>33</v>
      </c>
      <c r="F37" s="393" t="s">
        <v>1437</v>
      </c>
      <c r="G37" s="393" t="s">
        <v>358</v>
      </c>
      <c r="H37" s="351">
        <v>500000</v>
      </c>
      <c r="I37" s="351">
        <v>66650</v>
      </c>
      <c r="J37" s="349">
        <f t="shared" ref="J37:J68" si="10">SUM(H37:I37)</f>
        <v>566650</v>
      </c>
      <c r="K37" s="348">
        <v>50</v>
      </c>
      <c r="L37" s="380">
        <v>11333</v>
      </c>
      <c r="M37" s="394">
        <f t="shared" si="8"/>
        <v>1333</v>
      </c>
      <c r="N37" s="394">
        <f t="shared" si="9"/>
        <v>10000</v>
      </c>
      <c r="O37" s="394">
        <f t="shared" ref="O37:O68" si="11">M37*Q37</f>
        <v>65317</v>
      </c>
      <c r="P37" s="394">
        <f t="shared" ref="P37:P68" si="12">M37*R37</f>
        <v>1333</v>
      </c>
      <c r="Q37" s="348">
        <v>49</v>
      </c>
      <c r="R37" s="354">
        <f t="shared" ref="R37:R68" si="13">K37-Q37</f>
        <v>1</v>
      </c>
      <c r="S37" s="350">
        <f t="shared" ref="S37:S68" si="14">L37*Q37</f>
        <v>555317</v>
      </c>
      <c r="T37" s="350">
        <f t="shared" ref="T37:T68" si="15">J37-S37</f>
        <v>11333</v>
      </c>
      <c r="U37" s="393"/>
    </row>
    <row r="38" spans="1:21">
      <c r="A38" s="378"/>
      <c r="B38" s="378"/>
      <c r="C38" s="378"/>
      <c r="D38" s="393" t="s">
        <v>1445</v>
      </c>
      <c r="E38" s="367">
        <v>34</v>
      </c>
      <c r="F38" s="393" t="s">
        <v>1437</v>
      </c>
      <c r="G38" s="393" t="s">
        <v>1446</v>
      </c>
      <c r="H38" s="351">
        <v>500000</v>
      </c>
      <c r="I38" s="351">
        <v>66650</v>
      </c>
      <c r="J38" s="349">
        <f t="shared" si="10"/>
        <v>566650</v>
      </c>
      <c r="K38" s="348">
        <v>50</v>
      </c>
      <c r="L38" s="380">
        <v>11333</v>
      </c>
      <c r="M38" s="394">
        <f t="shared" si="8"/>
        <v>1333</v>
      </c>
      <c r="N38" s="394">
        <f t="shared" si="9"/>
        <v>10000</v>
      </c>
      <c r="O38" s="394">
        <f t="shared" si="11"/>
        <v>10664</v>
      </c>
      <c r="P38" s="394">
        <f t="shared" si="12"/>
        <v>55986</v>
      </c>
      <c r="Q38" s="348">
        <v>8</v>
      </c>
      <c r="R38" s="354">
        <f t="shared" si="13"/>
        <v>42</v>
      </c>
      <c r="S38" s="350">
        <f t="shared" si="14"/>
        <v>90664</v>
      </c>
      <c r="T38" s="350">
        <f t="shared" si="15"/>
        <v>475986</v>
      </c>
      <c r="U38" s="393"/>
    </row>
    <row r="39" spans="1:21">
      <c r="A39" s="378"/>
      <c r="B39" s="378"/>
      <c r="C39" s="378"/>
      <c r="D39" s="364" t="s">
        <v>1106</v>
      </c>
      <c r="E39" s="367">
        <v>35</v>
      </c>
      <c r="F39" s="393" t="s">
        <v>1437</v>
      </c>
      <c r="G39" s="393" t="s">
        <v>314</v>
      </c>
      <c r="H39" s="351">
        <v>500000</v>
      </c>
      <c r="I39" s="351">
        <v>66650</v>
      </c>
      <c r="J39" s="349">
        <f t="shared" si="10"/>
        <v>566650</v>
      </c>
      <c r="K39" s="348">
        <v>50</v>
      </c>
      <c r="L39" s="380">
        <v>11333</v>
      </c>
      <c r="M39" s="394">
        <f t="shared" si="8"/>
        <v>1333</v>
      </c>
      <c r="N39" s="394">
        <f t="shared" si="9"/>
        <v>10000</v>
      </c>
      <c r="O39" s="394">
        <f t="shared" si="11"/>
        <v>65317</v>
      </c>
      <c r="P39" s="394">
        <f t="shared" si="12"/>
        <v>1333</v>
      </c>
      <c r="Q39" s="348">
        <v>49</v>
      </c>
      <c r="R39" s="354">
        <f t="shared" si="13"/>
        <v>1</v>
      </c>
      <c r="S39" s="350">
        <f t="shared" si="14"/>
        <v>555317</v>
      </c>
      <c r="T39" s="350">
        <f t="shared" si="15"/>
        <v>11333</v>
      </c>
      <c r="U39" s="393"/>
    </row>
    <row r="40" spans="1:21">
      <c r="A40" s="378"/>
      <c r="B40" s="378"/>
      <c r="C40" s="378"/>
      <c r="D40" s="364" t="s">
        <v>1046</v>
      </c>
      <c r="E40" s="367">
        <v>36</v>
      </c>
      <c r="F40" s="393" t="s">
        <v>1437</v>
      </c>
      <c r="G40" s="393" t="s">
        <v>349</v>
      </c>
      <c r="H40" s="351">
        <v>500000</v>
      </c>
      <c r="I40" s="351">
        <v>66650</v>
      </c>
      <c r="J40" s="349">
        <f t="shared" si="10"/>
        <v>566650</v>
      </c>
      <c r="K40" s="348">
        <v>50</v>
      </c>
      <c r="L40" s="380">
        <v>11333</v>
      </c>
      <c r="M40" s="394">
        <f t="shared" si="8"/>
        <v>1333</v>
      </c>
      <c r="N40" s="394">
        <f t="shared" si="9"/>
        <v>10000</v>
      </c>
      <c r="O40" s="394">
        <f t="shared" si="11"/>
        <v>54653</v>
      </c>
      <c r="P40" s="394">
        <f t="shared" si="12"/>
        <v>11997</v>
      </c>
      <c r="Q40" s="348">
        <v>41</v>
      </c>
      <c r="R40" s="354">
        <f t="shared" si="13"/>
        <v>9</v>
      </c>
      <c r="S40" s="350">
        <f t="shared" si="14"/>
        <v>464653</v>
      </c>
      <c r="T40" s="350">
        <f t="shared" si="15"/>
        <v>101997</v>
      </c>
      <c r="U40" s="393"/>
    </row>
    <row r="41" spans="1:21">
      <c r="A41" s="378"/>
      <c r="B41" s="378"/>
      <c r="C41" s="378"/>
      <c r="D41" s="393" t="s">
        <v>1440</v>
      </c>
      <c r="E41" s="367">
        <v>37</v>
      </c>
      <c r="F41" s="393" t="s">
        <v>1437</v>
      </c>
      <c r="G41" s="393" t="s">
        <v>1441</v>
      </c>
      <c r="H41" s="351">
        <v>500000</v>
      </c>
      <c r="I41" s="351">
        <v>66650</v>
      </c>
      <c r="J41" s="349">
        <f t="shared" si="10"/>
        <v>566650</v>
      </c>
      <c r="K41" s="348">
        <v>50</v>
      </c>
      <c r="L41" s="380">
        <v>11333</v>
      </c>
      <c r="M41" s="394">
        <f t="shared" si="8"/>
        <v>1333</v>
      </c>
      <c r="N41" s="394">
        <f t="shared" si="9"/>
        <v>10000</v>
      </c>
      <c r="O41" s="394">
        <f t="shared" si="11"/>
        <v>65317</v>
      </c>
      <c r="P41" s="394">
        <f t="shared" si="12"/>
        <v>1333</v>
      </c>
      <c r="Q41" s="348">
        <v>49</v>
      </c>
      <c r="R41" s="354">
        <f t="shared" si="13"/>
        <v>1</v>
      </c>
      <c r="S41" s="350">
        <f t="shared" si="14"/>
        <v>555317</v>
      </c>
      <c r="T41" s="350">
        <f t="shared" si="15"/>
        <v>11333</v>
      </c>
      <c r="U41" s="401"/>
    </row>
    <row r="42" spans="1:21">
      <c r="A42" s="378"/>
      <c r="B42" s="378"/>
      <c r="C42" s="378"/>
      <c r="D42" s="364" t="s">
        <v>1009</v>
      </c>
      <c r="E42" s="367">
        <v>38</v>
      </c>
      <c r="F42" s="393" t="s">
        <v>1437</v>
      </c>
      <c r="G42" s="393" t="s">
        <v>332</v>
      </c>
      <c r="H42" s="351">
        <v>500000</v>
      </c>
      <c r="I42" s="351">
        <v>66650</v>
      </c>
      <c r="J42" s="349">
        <f t="shared" si="10"/>
        <v>566650</v>
      </c>
      <c r="K42" s="348">
        <v>50</v>
      </c>
      <c r="L42" s="380">
        <v>11333</v>
      </c>
      <c r="M42" s="394">
        <f t="shared" si="8"/>
        <v>1333</v>
      </c>
      <c r="N42" s="394">
        <f t="shared" si="9"/>
        <v>10000</v>
      </c>
      <c r="O42" s="394">
        <f t="shared" si="11"/>
        <v>65317</v>
      </c>
      <c r="P42" s="394">
        <f t="shared" si="12"/>
        <v>1333</v>
      </c>
      <c r="Q42" s="348">
        <v>49</v>
      </c>
      <c r="R42" s="354">
        <f t="shared" si="13"/>
        <v>1</v>
      </c>
      <c r="S42" s="350">
        <f t="shared" si="14"/>
        <v>555317</v>
      </c>
      <c r="T42" s="350">
        <f t="shared" si="15"/>
        <v>11333</v>
      </c>
      <c r="U42" s="393"/>
    </row>
    <row r="43" spans="1:21">
      <c r="A43" s="378"/>
      <c r="B43" s="378"/>
      <c r="C43" s="378"/>
      <c r="D43" s="393" t="s">
        <v>1504</v>
      </c>
      <c r="E43" s="367">
        <v>39</v>
      </c>
      <c r="F43" s="393" t="s">
        <v>1437</v>
      </c>
      <c r="G43" s="393" t="s">
        <v>483</v>
      </c>
      <c r="H43" s="351">
        <v>500000</v>
      </c>
      <c r="I43" s="351">
        <v>66650</v>
      </c>
      <c r="J43" s="380">
        <f t="shared" si="10"/>
        <v>566650</v>
      </c>
      <c r="K43" s="348">
        <v>50</v>
      </c>
      <c r="L43" s="380">
        <v>11333</v>
      </c>
      <c r="M43" s="394">
        <f t="shared" si="8"/>
        <v>1333</v>
      </c>
      <c r="N43" s="394">
        <f t="shared" si="9"/>
        <v>10000</v>
      </c>
      <c r="O43" s="394">
        <f t="shared" si="11"/>
        <v>13330</v>
      </c>
      <c r="P43" s="394">
        <f t="shared" si="12"/>
        <v>53320</v>
      </c>
      <c r="Q43" s="348">
        <v>10</v>
      </c>
      <c r="R43" s="354">
        <f t="shared" si="13"/>
        <v>40</v>
      </c>
      <c r="S43" s="350">
        <f t="shared" si="14"/>
        <v>113330</v>
      </c>
      <c r="T43" s="350">
        <f t="shared" si="15"/>
        <v>453320</v>
      </c>
      <c r="U43" s="393"/>
    </row>
    <row r="44" spans="1:21">
      <c r="A44" s="378"/>
      <c r="B44" s="378"/>
      <c r="C44" s="378"/>
      <c r="D44" s="116" t="s">
        <v>1342</v>
      </c>
      <c r="E44" s="367">
        <v>40</v>
      </c>
      <c r="F44" s="393" t="s">
        <v>1437</v>
      </c>
      <c r="G44" s="393" t="s">
        <v>1290</v>
      </c>
      <c r="H44" s="351">
        <v>500000</v>
      </c>
      <c r="I44" s="351">
        <v>66650</v>
      </c>
      <c r="J44" s="349">
        <f t="shared" si="10"/>
        <v>566650</v>
      </c>
      <c r="K44" s="348">
        <v>50</v>
      </c>
      <c r="L44" s="380">
        <v>11333</v>
      </c>
      <c r="M44" s="394">
        <f t="shared" si="8"/>
        <v>1333</v>
      </c>
      <c r="N44" s="394">
        <f t="shared" si="9"/>
        <v>10000</v>
      </c>
      <c r="O44" s="394">
        <f t="shared" si="11"/>
        <v>29326</v>
      </c>
      <c r="P44" s="394">
        <f t="shared" si="12"/>
        <v>37324</v>
      </c>
      <c r="Q44" s="348">
        <v>22</v>
      </c>
      <c r="R44" s="354">
        <f t="shared" si="13"/>
        <v>28</v>
      </c>
      <c r="S44" s="350">
        <f t="shared" si="14"/>
        <v>249326</v>
      </c>
      <c r="T44" s="350">
        <f t="shared" si="15"/>
        <v>317324</v>
      </c>
      <c r="U44" s="393"/>
    </row>
    <row r="45" spans="1:21">
      <c r="A45" s="378"/>
      <c r="B45" s="378"/>
      <c r="C45" s="378"/>
      <c r="D45" s="364" t="s">
        <v>995</v>
      </c>
      <c r="E45" s="367">
        <v>41</v>
      </c>
      <c r="F45" s="393" t="s">
        <v>1437</v>
      </c>
      <c r="G45" s="393" t="s">
        <v>339</v>
      </c>
      <c r="H45" s="351">
        <v>500000</v>
      </c>
      <c r="I45" s="351">
        <v>66650</v>
      </c>
      <c r="J45" s="349">
        <f t="shared" si="10"/>
        <v>566650</v>
      </c>
      <c r="K45" s="348">
        <v>50</v>
      </c>
      <c r="L45" s="380">
        <v>11333</v>
      </c>
      <c r="M45" s="394">
        <f t="shared" si="8"/>
        <v>1333</v>
      </c>
      <c r="N45" s="394">
        <f t="shared" si="9"/>
        <v>10000</v>
      </c>
      <c r="O45" s="394">
        <f t="shared" si="11"/>
        <v>65317</v>
      </c>
      <c r="P45" s="394">
        <f t="shared" si="12"/>
        <v>1333</v>
      </c>
      <c r="Q45" s="348">
        <v>49</v>
      </c>
      <c r="R45" s="354">
        <f t="shared" si="13"/>
        <v>1</v>
      </c>
      <c r="S45" s="350">
        <f t="shared" si="14"/>
        <v>555317</v>
      </c>
      <c r="T45" s="350">
        <f t="shared" si="15"/>
        <v>11333</v>
      </c>
      <c r="U45" s="393"/>
    </row>
    <row r="46" spans="1:21">
      <c r="A46" s="378"/>
      <c r="B46" s="378"/>
      <c r="C46" s="378"/>
      <c r="D46" s="364" t="s">
        <v>1366</v>
      </c>
      <c r="E46" s="367">
        <v>42</v>
      </c>
      <c r="F46" s="393" t="s">
        <v>1437</v>
      </c>
      <c r="G46" s="393" t="s">
        <v>1138</v>
      </c>
      <c r="H46" s="351">
        <v>450000</v>
      </c>
      <c r="I46" s="351">
        <v>59985</v>
      </c>
      <c r="J46" s="349">
        <f t="shared" si="10"/>
        <v>509985</v>
      </c>
      <c r="K46" s="348">
        <v>50</v>
      </c>
      <c r="L46" s="380">
        <v>10199.700000000001</v>
      </c>
      <c r="M46" s="394">
        <f t="shared" si="8"/>
        <v>1199.7</v>
      </c>
      <c r="N46" s="394">
        <f t="shared" si="9"/>
        <v>9000</v>
      </c>
      <c r="O46" s="394">
        <f t="shared" si="11"/>
        <v>28792.800000000003</v>
      </c>
      <c r="P46" s="394">
        <f t="shared" si="12"/>
        <v>31192.2</v>
      </c>
      <c r="Q46" s="348">
        <v>24</v>
      </c>
      <c r="R46" s="354">
        <f t="shared" si="13"/>
        <v>26</v>
      </c>
      <c r="S46" s="350">
        <f t="shared" si="14"/>
        <v>244792.80000000002</v>
      </c>
      <c r="T46" s="350">
        <f t="shared" si="15"/>
        <v>265192.19999999995</v>
      </c>
      <c r="U46" s="393"/>
    </row>
    <row r="47" spans="1:21">
      <c r="A47" s="378"/>
      <c r="B47" s="378"/>
      <c r="C47" s="378"/>
      <c r="D47" s="364" t="s">
        <v>998</v>
      </c>
      <c r="E47" s="367">
        <v>43</v>
      </c>
      <c r="F47" s="393" t="s">
        <v>1437</v>
      </c>
      <c r="G47" s="393" t="s">
        <v>363</v>
      </c>
      <c r="H47" s="351">
        <v>450000</v>
      </c>
      <c r="I47" s="351">
        <v>59985</v>
      </c>
      <c r="J47" s="349">
        <f t="shared" si="10"/>
        <v>509985</v>
      </c>
      <c r="K47" s="348">
        <v>50</v>
      </c>
      <c r="L47" s="380">
        <v>10199.700000000001</v>
      </c>
      <c r="M47" s="394">
        <f t="shared" si="8"/>
        <v>1199.7</v>
      </c>
      <c r="N47" s="394">
        <f t="shared" si="9"/>
        <v>9000</v>
      </c>
      <c r="O47" s="394">
        <f t="shared" si="11"/>
        <v>49187.700000000004</v>
      </c>
      <c r="P47" s="394">
        <f t="shared" si="12"/>
        <v>10797.300000000001</v>
      </c>
      <c r="Q47" s="348">
        <v>41</v>
      </c>
      <c r="R47" s="354">
        <f t="shared" si="13"/>
        <v>9</v>
      </c>
      <c r="S47" s="350">
        <f t="shared" si="14"/>
        <v>418187.7</v>
      </c>
      <c r="T47" s="350">
        <f t="shared" si="15"/>
        <v>91797.299999999988</v>
      </c>
      <c r="U47" s="393"/>
    </row>
    <row r="48" spans="1:21">
      <c r="A48" s="378"/>
      <c r="B48" s="378"/>
      <c r="C48" s="378"/>
      <c r="D48" s="393" t="s">
        <v>1079</v>
      </c>
      <c r="E48" s="367">
        <v>44</v>
      </c>
      <c r="F48" s="393" t="s">
        <v>1437</v>
      </c>
      <c r="G48" s="393" t="s">
        <v>302</v>
      </c>
      <c r="H48" s="351">
        <v>500000</v>
      </c>
      <c r="I48" s="351">
        <v>31992</v>
      </c>
      <c r="J48" s="349">
        <f t="shared" si="10"/>
        <v>531992</v>
      </c>
      <c r="K48" s="348">
        <v>24</v>
      </c>
      <c r="L48" s="380">
        <v>22166.34</v>
      </c>
      <c r="M48" s="394">
        <f>I48/24</f>
        <v>1333</v>
      </c>
      <c r="N48" s="394">
        <f t="shared" si="9"/>
        <v>10000</v>
      </c>
      <c r="O48" s="394">
        <f t="shared" si="11"/>
        <v>13330</v>
      </c>
      <c r="P48" s="394">
        <f t="shared" si="12"/>
        <v>18662</v>
      </c>
      <c r="Q48" s="348">
        <v>10</v>
      </c>
      <c r="R48" s="354">
        <f t="shared" si="13"/>
        <v>14</v>
      </c>
      <c r="S48" s="350">
        <f t="shared" si="14"/>
        <v>221663.4</v>
      </c>
      <c r="T48" s="350">
        <f t="shared" si="15"/>
        <v>310328.59999999998</v>
      </c>
      <c r="U48" s="393"/>
    </row>
    <row r="49" spans="1:21">
      <c r="A49" s="378"/>
      <c r="B49" s="378"/>
      <c r="C49" s="378"/>
      <c r="D49" s="116" t="s">
        <v>1320</v>
      </c>
      <c r="E49" s="367">
        <v>45</v>
      </c>
      <c r="F49" s="393" t="s">
        <v>1437</v>
      </c>
      <c r="G49" s="393" t="s">
        <v>464</v>
      </c>
      <c r="H49" s="351">
        <v>500000</v>
      </c>
      <c r="I49" s="351">
        <v>66650</v>
      </c>
      <c r="J49" s="349">
        <f t="shared" si="10"/>
        <v>566650</v>
      </c>
      <c r="K49" s="348">
        <v>40</v>
      </c>
      <c r="L49" s="380">
        <v>13833</v>
      </c>
      <c r="M49" s="394">
        <f t="shared" ref="M49:M55" si="16">I49/50</f>
        <v>1333</v>
      </c>
      <c r="N49" s="394">
        <f t="shared" si="9"/>
        <v>10000</v>
      </c>
      <c r="O49" s="394">
        <f t="shared" si="11"/>
        <v>15996</v>
      </c>
      <c r="P49" s="394">
        <f t="shared" si="12"/>
        <v>37324</v>
      </c>
      <c r="Q49" s="348">
        <v>12</v>
      </c>
      <c r="R49" s="354">
        <f t="shared" si="13"/>
        <v>28</v>
      </c>
      <c r="S49" s="350">
        <f t="shared" si="14"/>
        <v>165996</v>
      </c>
      <c r="T49" s="350">
        <f t="shared" si="15"/>
        <v>400654</v>
      </c>
      <c r="U49" s="393"/>
    </row>
    <row r="50" spans="1:21">
      <c r="A50" s="378"/>
      <c r="B50" s="378"/>
      <c r="C50" s="378"/>
      <c r="D50" s="363" t="s">
        <v>1348</v>
      </c>
      <c r="E50" s="367">
        <v>46</v>
      </c>
      <c r="F50" s="393" t="s">
        <v>1437</v>
      </c>
      <c r="G50" s="393" t="s">
        <v>1349</v>
      </c>
      <c r="H50" s="351">
        <v>500000</v>
      </c>
      <c r="I50" s="351">
        <v>66650</v>
      </c>
      <c r="J50" s="349">
        <f t="shared" si="10"/>
        <v>566650</v>
      </c>
      <c r="K50" s="348">
        <v>50</v>
      </c>
      <c r="L50" s="380">
        <v>11333</v>
      </c>
      <c r="M50" s="394">
        <f t="shared" si="16"/>
        <v>1333</v>
      </c>
      <c r="N50" s="394">
        <f t="shared" si="9"/>
        <v>10000</v>
      </c>
      <c r="O50" s="394">
        <f t="shared" si="11"/>
        <v>19995</v>
      </c>
      <c r="P50" s="394">
        <f t="shared" si="12"/>
        <v>46655</v>
      </c>
      <c r="Q50" s="348">
        <v>15</v>
      </c>
      <c r="R50" s="354">
        <f t="shared" si="13"/>
        <v>35</v>
      </c>
      <c r="S50" s="350">
        <f t="shared" si="14"/>
        <v>169995</v>
      </c>
      <c r="T50" s="350">
        <f t="shared" si="15"/>
        <v>396655</v>
      </c>
      <c r="U50" s="393"/>
    </row>
    <row r="51" spans="1:21">
      <c r="A51" s="378"/>
      <c r="B51" s="378"/>
      <c r="C51" s="378"/>
      <c r="D51" s="364" t="s">
        <v>1012</v>
      </c>
      <c r="E51" s="367">
        <v>47</v>
      </c>
      <c r="F51" s="393" t="s">
        <v>1437</v>
      </c>
      <c r="G51" s="393" t="s">
        <v>852</v>
      </c>
      <c r="H51" s="351">
        <v>330000</v>
      </c>
      <c r="I51" s="351">
        <v>43989</v>
      </c>
      <c r="J51" s="349">
        <f t="shared" si="10"/>
        <v>373989</v>
      </c>
      <c r="K51" s="348">
        <v>50</v>
      </c>
      <c r="L51" s="380">
        <v>7479.78</v>
      </c>
      <c r="M51" s="394">
        <f t="shared" si="16"/>
        <v>879.78</v>
      </c>
      <c r="N51" s="394">
        <f t="shared" si="9"/>
        <v>6600</v>
      </c>
      <c r="O51" s="394">
        <f t="shared" si="11"/>
        <v>28152.959999999999</v>
      </c>
      <c r="P51" s="394">
        <f t="shared" si="12"/>
        <v>15836.039999999999</v>
      </c>
      <c r="Q51" s="348">
        <v>32</v>
      </c>
      <c r="R51" s="354">
        <f t="shared" si="13"/>
        <v>18</v>
      </c>
      <c r="S51" s="350">
        <f t="shared" si="14"/>
        <v>239352.95999999999</v>
      </c>
      <c r="T51" s="350">
        <f t="shared" si="15"/>
        <v>134636.04</v>
      </c>
      <c r="U51" s="393"/>
    </row>
    <row r="52" spans="1:21">
      <c r="A52" s="378"/>
      <c r="B52" s="378"/>
      <c r="C52" s="378"/>
      <c r="D52" s="363" t="s">
        <v>1065</v>
      </c>
      <c r="E52" s="367">
        <v>48</v>
      </c>
      <c r="F52" s="393" t="s">
        <v>1437</v>
      </c>
      <c r="G52" s="393" t="s">
        <v>1066</v>
      </c>
      <c r="H52" s="351">
        <v>330000</v>
      </c>
      <c r="I52" s="351">
        <v>43989</v>
      </c>
      <c r="J52" s="349">
        <f t="shared" si="10"/>
        <v>373989</v>
      </c>
      <c r="K52" s="348">
        <v>50</v>
      </c>
      <c r="L52" s="380">
        <v>7479.78</v>
      </c>
      <c r="M52" s="394">
        <f t="shared" si="16"/>
        <v>879.78</v>
      </c>
      <c r="N52" s="394">
        <f t="shared" si="9"/>
        <v>6600</v>
      </c>
      <c r="O52" s="394">
        <f t="shared" si="11"/>
        <v>25513.62</v>
      </c>
      <c r="P52" s="394">
        <f t="shared" si="12"/>
        <v>18475.38</v>
      </c>
      <c r="Q52" s="348">
        <v>29</v>
      </c>
      <c r="R52" s="354">
        <f t="shared" si="13"/>
        <v>21</v>
      </c>
      <c r="S52" s="350">
        <f t="shared" si="14"/>
        <v>216913.62</v>
      </c>
      <c r="T52" s="350">
        <f t="shared" si="15"/>
        <v>157075.38</v>
      </c>
      <c r="U52" s="393"/>
    </row>
    <row r="53" spans="1:21">
      <c r="A53" s="378"/>
      <c r="B53" s="378"/>
      <c r="C53" s="378"/>
      <c r="D53" s="393" t="s">
        <v>1449</v>
      </c>
      <c r="E53" s="367">
        <v>49</v>
      </c>
      <c r="F53" s="393" t="s">
        <v>1437</v>
      </c>
      <c r="G53" s="393" t="s">
        <v>389</v>
      </c>
      <c r="H53" s="351">
        <v>500000</v>
      </c>
      <c r="I53" s="351">
        <v>66650</v>
      </c>
      <c r="J53" s="349">
        <f t="shared" si="10"/>
        <v>566650</v>
      </c>
      <c r="K53" s="348">
        <v>50</v>
      </c>
      <c r="L53" s="380">
        <v>11333</v>
      </c>
      <c r="M53" s="394">
        <f t="shared" si="16"/>
        <v>1333</v>
      </c>
      <c r="N53" s="394">
        <f t="shared" si="9"/>
        <v>10000</v>
      </c>
      <c r="O53" s="394">
        <f t="shared" si="11"/>
        <v>10664</v>
      </c>
      <c r="P53" s="394">
        <f t="shared" si="12"/>
        <v>55986</v>
      </c>
      <c r="Q53" s="348">
        <v>8</v>
      </c>
      <c r="R53" s="354">
        <f t="shared" si="13"/>
        <v>42</v>
      </c>
      <c r="S53" s="350">
        <f t="shared" si="14"/>
        <v>90664</v>
      </c>
      <c r="T53" s="350">
        <f t="shared" si="15"/>
        <v>475986</v>
      </c>
      <c r="U53" s="393"/>
    </row>
    <row r="54" spans="1:21">
      <c r="A54" s="378"/>
      <c r="B54" s="378"/>
      <c r="C54" s="378"/>
      <c r="D54" s="364" t="s">
        <v>1029</v>
      </c>
      <c r="E54" s="367">
        <v>50</v>
      </c>
      <c r="F54" s="393" t="s">
        <v>1437</v>
      </c>
      <c r="G54" s="393" t="s">
        <v>1030</v>
      </c>
      <c r="H54" s="351">
        <v>450000</v>
      </c>
      <c r="I54" s="351">
        <v>59985</v>
      </c>
      <c r="J54" s="349">
        <f t="shared" si="10"/>
        <v>509985</v>
      </c>
      <c r="K54" s="348">
        <v>50</v>
      </c>
      <c r="L54" s="380">
        <v>10199.700000000001</v>
      </c>
      <c r="M54" s="394">
        <f t="shared" si="16"/>
        <v>1199.7</v>
      </c>
      <c r="N54" s="394">
        <f t="shared" si="9"/>
        <v>9000</v>
      </c>
      <c r="O54" s="394">
        <f t="shared" si="11"/>
        <v>34791.300000000003</v>
      </c>
      <c r="P54" s="394">
        <f t="shared" si="12"/>
        <v>25193.7</v>
      </c>
      <c r="Q54" s="348">
        <v>29</v>
      </c>
      <c r="R54" s="354">
        <f t="shared" si="13"/>
        <v>21</v>
      </c>
      <c r="S54" s="350">
        <f t="shared" si="14"/>
        <v>295791.30000000005</v>
      </c>
      <c r="T54" s="350">
        <f t="shared" si="15"/>
        <v>214193.69999999995</v>
      </c>
      <c r="U54" s="393"/>
    </row>
    <row r="55" spans="1:21">
      <c r="A55" s="378"/>
      <c r="B55" s="378"/>
      <c r="C55" s="378"/>
      <c r="D55" s="116" t="s">
        <v>1377</v>
      </c>
      <c r="E55" s="367">
        <v>51</v>
      </c>
      <c r="F55" s="393" t="s">
        <v>1437</v>
      </c>
      <c r="G55" s="393" t="s">
        <v>1378</v>
      </c>
      <c r="H55" s="351">
        <v>330000</v>
      </c>
      <c r="I55" s="351">
        <v>43989</v>
      </c>
      <c r="J55" s="349">
        <f t="shared" si="10"/>
        <v>373989</v>
      </c>
      <c r="K55" s="348">
        <v>50</v>
      </c>
      <c r="L55" s="380">
        <v>7479.78</v>
      </c>
      <c r="M55" s="394">
        <f t="shared" si="16"/>
        <v>879.78</v>
      </c>
      <c r="N55" s="394">
        <f t="shared" si="9"/>
        <v>6600</v>
      </c>
      <c r="O55" s="394">
        <f t="shared" si="11"/>
        <v>13196.699999999999</v>
      </c>
      <c r="P55" s="394">
        <f t="shared" si="12"/>
        <v>30792.3</v>
      </c>
      <c r="Q55" s="348">
        <v>15</v>
      </c>
      <c r="R55" s="354">
        <f t="shared" si="13"/>
        <v>35</v>
      </c>
      <c r="S55" s="350">
        <f t="shared" si="14"/>
        <v>112196.7</v>
      </c>
      <c r="T55" s="350">
        <f t="shared" si="15"/>
        <v>261792.3</v>
      </c>
      <c r="U55" s="393"/>
    </row>
    <row r="56" spans="1:21">
      <c r="A56" s="378"/>
      <c r="B56" s="378"/>
      <c r="C56" s="378"/>
      <c r="D56" s="393" t="s">
        <v>1513</v>
      </c>
      <c r="E56" s="367">
        <v>52</v>
      </c>
      <c r="F56" s="393" t="s">
        <v>1437</v>
      </c>
      <c r="G56" s="393" t="s">
        <v>1514</v>
      </c>
      <c r="H56" s="380">
        <v>450000</v>
      </c>
      <c r="I56" s="380">
        <v>59985</v>
      </c>
      <c r="J56" s="380">
        <f t="shared" si="10"/>
        <v>509985</v>
      </c>
      <c r="K56" s="348">
        <v>60</v>
      </c>
      <c r="L56" s="351">
        <v>8499.75</v>
      </c>
      <c r="M56" s="394">
        <f>I56/60</f>
        <v>999.75</v>
      </c>
      <c r="N56" s="394">
        <f>H56/60</f>
        <v>7500</v>
      </c>
      <c r="O56" s="394">
        <f t="shared" si="11"/>
        <v>1999.5</v>
      </c>
      <c r="P56" s="394">
        <f t="shared" si="12"/>
        <v>57985.5</v>
      </c>
      <c r="Q56" s="348">
        <v>2</v>
      </c>
      <c r="R56" s="348">
        <f t="shared" si="13"/>
        <v>58</v>
      </c>
      <c r="S56" s="380">
        <f t="shared" si="14"/>
        <v>16999.5</v>
      </c>
      <c r="T56" s="380">
        <f t="shared" si="15"/>
        <v>492985.5</v>
      </c>
      <c r="U56" s="393"/>
    </row>
    <row r="57" spans="1:21">
      <c r="A57" s="378"/>
      <c r="B57" s="378"/>
      <c r="C57" s="378"/>
      <c r="D57" s="116" t="s">
        <v>1339</v>
      </c>
      <c r="E57" s="367">
        <v>53</v>
      </c>
      <c r="F57" s="393" t="s">
        <v>1437</v>
      </c>
      <c r="G57" s="393" t="s">
        <v>408</v>
      </c>
      <c r="H57" s="351">
        <v>500000</v>
      </c>
      <c r="I57" s="351">
        <v>66650</v>
      </c>
      <c r="J57" s="349">
        <f t="shared" si="10"/>
        <v>566650</v>
      </c>
      <c r="K57" s="348">
        <v>50</v>
      </c>
      <c r="L57" s="380">
        <v>11333</v>
      </c>
      <c r="M57" s="394">
        <f>I57/50</f>
        <v>1333</v>
      </c>
      <c r="N57" s="394">
        <f>H57/50</f>
        <v>10000</v>
      </c>
      <c r="O57" s="394">
        <f t="shared" si="11"/>
        <v>15996</v>
      </c>
      <c r="P57" s="394">
        <f t="shared" si="12"/>
        <v>50654</v>
      </c>
      <c r="Q57" s="348">
        <v>12</v>
      </c>
      <c r="R57" s="354">
        <f t="shared" si="13"/>
        <v>38</v>
      </c>
      <c r="S57" s="350">
        <f t="shared" si="14"/>
        <v>135996</v>
      </c>
      <c r="T57" s="350">
        <f t="shared" si="15"/>
        <v>430654</v>
      </c>
      <c r="U57" s="393"/>
    </row>
    <row r="58" spans="1:21">
      <c r="A58" s="378"/>
      <c r="B58" s="378"/>
      <c r="C58" s="378"/>
      <c r="D58" s="393" t="s">
        <v>1515</v>
      </c>
      <c r="E58" s="367">
        <v>54</v>
      </c>
      <c r="F58" s="393" t="s">
        <v>1437</v>
      </c>
      <c r="G58" s="393" t="s">
        <v>1516</v>
      </c>
      <c r="H58" s="380">
        <v>450000</v>
      </c>
      <c r="I58" s="380">
        <v>59985</v>
      </c>
      <c r="J58" s="380">
        <f t="shared" si="10"/>
        <v>509985</v>
      </c>
      <c r="K58" s="348">
        <v>60</v>
      </c>
      <c r="L58" s="351">
        <v>8499.75</v>
      </c>
      <c r="M58" s="394">
        <f>I58/60</f>
        <v>999.75</v>
      </c>
      <c r="N58" s="394">
        <f>H58/60</f>
        <v>7500</v>
      </c>
      <c r="O58" s="394">
        <f t="shared" si="11"/>
        <v>1999.5</v>
      </c>
      <c r="P58" s="394">
        <f t="shared" si="12"/>
        <v>57985.5</v>
      </c>
      <c r="Q58" s="348">
        <v>2</v>
      </c>
      <c r="R58" s="348">
        <f t="shared" si="13"/>
        <v>58</v>
      </c>
      <c r="S58" s="380">
        <f t="shared" si="14"/>
        <v>16999.5</v>
      </c>
      <c r="T58" s="380">
        <f t="shared" si="15"/>
        <v>492985.5</v>
      </c>
      <c r="U58" s="393"/>
    </row>
    <row r="59" spans="1:21">
      <c r="A59" s="378"/>
      <c r="B59" s="378"/>
      <c r="C59" s="378"/>
      <c r="D59" s="393" t="s">
        <v>1473</v>
      </c>
      <c r="E59" s="367">
        <v>55</v>
      </c>
      <c r="F59" s="393" t="s">
        <v>1437</v>
      </c>
      <c r="G59" s="393" t="s">
        <v>1474</v>
      </c>
      <c r="H59" s="351">
        <v>330000</v>
      </c>
      <c r="I59" s="351">
        <v>43989</v>
      </c>
      <c r="J59" s="349">
        <f t="shared" si="10"/>
        <v>373989</v>
      </c>
      <c r="K59" s="348">
        <v>50</v>
      </c>
      <c r="L59" s="380">
        <v>7479.78</v>
      </c>
      <c r="M59" s="394">
        <f>I59/50</f>
        <v>879.78</v>
      </c>
      <c r="N59" s="394">
        <f>H59/50</f>
        <v>6600</v>
      </c>
      <c r="O59" s="394">
        <f t="shared" si="11"/>
        <v>4398.8999999999996</v>
      </c>
      <c r="P59" s="394">
        <f t="shared" si="12"/>
        <v>39590.1</v>
      </c>
      <c r="Q59" s="348">
        <v>5</v>
      </c>
      <c r="R59" s="354">
        <f t="shared" si="13"/>
        <v>45</v>
      </c>
      <c r="S59" s="350">
        <f t="shared" si="14"/>
        <v>37398.9</v>
      </c>
      <c r="T59" s="350">
        <f t="shared" si="15"/>
        <v>336590.1</v>
      </c>
      <c r="U59" s="393"/>
    </row>
    <row r="60" spans="1:21">
      <c r="A60" s="378"/>
      <c r="B60" s="378"/>
      <c r="C60" s="378"/>
      <c r="D60" s="393" t="s">
        <v>1475</v>
      </c>
      <c r="E60" s="367">
        <v>56</v>
      </c>
      <c r="F60" s="393" t="s">
        <v>1437</v>
      </c>
      <c r="G60" s="393" t="s">
        <v>1476</v>
      </c>
      <c r="H60" s="351">
        <v>330000</v>
      </c>
      <c r="I60" s="351">
        <v>43989</v>
      </c>
      <c r="J60" s="349">
        <f t="shared" si="10"/>
        <v>373989</v>
      </c>
      <c r="K60" s="348">
        <v>50</v>
      </c>
      <c r="L60" s="380">
        <v>7479.78</v>
      </c>
      <c r="M60" s="394">
        <f>I60/50</f>
        <v>879.78</v>
      </c>
      <c r="N60" s="394">
        <f>H60/50</f>
        <v>6600</v>
      </c>
      <c r="O60" s="394">
        <f t="shared" si="11"/>
        <v>4398.8999999999996</v>
      </c>
      <c r="P60" s="394">
        <f t="shared" si="12"/>
        <v>39590.1</v>
      </c>
      <c r="Q60" s="348">
        <v>5</v>
      </c>
      <c r="R60" s="354">
        <f t="shared" si="13"/>
        <v>45</v>
      </c>
      <c r="S60" s="350">
        <f t="shared" si="14"/>
        <v>37398.9</v>
      </c>
      <c r="T60" s="350">
        <f t="shared" si="15"/>
        <v>336590.1</v>
      </c>
      <c r="U60" s="393"/>
    </row>
    <row r="61" spans="1:21">
      <c r="A61" s="378"/>
      <c r="B61" s="378"/>
      <c r="C61" s="378"/>
      <c r="D61" s="363" t="s">
        <v>1383</v>
      </c>
      <c r="E61" s="367">
        <v>57</v>
      </c>
      <c r="F61" s="393" t="s">
        <v>1437</v>
      </c>
      <c r="G61" s="393" t="s">
        <v>1384</v>
      </c>
      <c r="H61" s="351">
        <v>330000</v>
      </c>
      <c r="I61" s="351">
        <v>43989</v>
      </c>
      <c r="J61" s="349">
        <f t="shared" si="10"/>
        <v>373989</v>
      </c>
      <c r="K61" s="348">
        <v>50</v>
      </c>
      <c r="L61" s="380">
        <v>7479.78</v>
      </c>
      <c r="M61" s="394">
        <f>I61/50</f>
        <v>879.78</v>
      </c>
      <c r="N61" s="394">
        <f>H61/50</f>
        <v>6600</v>
      </c>
      <c r="O61" s="394">
        <f t="shared" si="11"/>
        <v>10557.36</v>
      </c>
      <c r="P61" s="394">
        <f t="shared" si="12"/>
        <v>33431.64</v>
      </c>
      <c r="Q61" s="348">
        <v>12</v>
      </c>
      <c r="R61" s="354">
        <f t="shared" si="13"/>
        <v>38</v>
      </c>
      <c r="S61" s="350">
        <f t="shared" si="14"/>
        <v>89757.36</v>
      </c>
      <c r="T61" s="350">
        <f t="shared" si="15"/>
        <v>284231.64</v>
      </c>
      <c r="U61" s="393"/>
    </row>
    <row r="62" spans="1:21">
      <c r="A62" s="378"/>
      <c r="B62" s="378"/>
      <c r="C62" s="378"/>
      <c r="D62" s="393" t="s">
        <v>1517</v>
      </c>
      <c r="E62" s="367">
        <v>58</v>
      </c>
      <c r="F62" s="393" t="s">
        <v>1437</v>
      </c>
      <c r="G62" s="393" t="s">
        <v>1518</v>
      </c>
      <c r="H62" s="380">
        <v>450000</v>
      </c>
      <c r="I62" s="380">
        <v>59985</v>
      </c>
      <c r="J62" s="380">
        <f t="shared" si="10"/>
        <v>509985</v>
      </c>
      <c r="K62" s="348">
        <v>60</v>
      </c>
      <c r="L62" s="351">
        <v>8499.75</v>
      </c>
      <c r="M62" s="394">
        <f>I62/60</f>
        <v>999.75</v>
      </c>
      <c r="N62" s="394">
        <f>H62/60</f>
        <v>7500</v>
      </c>
      <c r="O62" s="394">
        <f t="shared" si="11"/>
        <v>1999.5</v>
      </c>
      <c r="P62" s="394">
        <f t="shared" si="12"/>
        <v>57985.5</v>
      </c>
      <c r="Q62" s="348">
        <v>2</v>
      </c>
      <c r="R62" s="348">
        <f t="shared" si="13"/>
        <v>58</v>
      </c>
      <c r="S62" s="380">
        <f t="shared" si="14"/>
        <v>16999.5</v>
      </c>
      <c r="T62" s="380">
        <f t="shared" si="15"/>
        <v>492985.5</v>
      </c>
      <c r="U62" s="393"/>
    </row>
    <row r="63" spans="1:21">
      <c r="A63" s="378"/>
      <c r="B63" s="378"/>
      <c r="C63" s="378"/>
      <c r="D63" s="363" t="s">
        <v>1370</v>
      </c>
      <c r="E63" s="367">
        <v>59</v>
      </c>
      <c r="F63" s="393" t="s">
        <v>1437</v>
      </c>
      <c r="G63" s="393" t="s">
        <v>1371</v>
      </c>
      <c r="H63" s="351">
        <v>330000</v>
      </c>
      <c r="I63" s="351">
        <v>43989</v>
      </c>
      <c r="J63" s="349">
        <f t="shared" si="10"/>
        <v>373989</v>
      </c>
      <c r="K63" s="348">
        <v>50</v>
      </c>
      <c r="L63" s="380">
        <v>7479.78</v>
      </c>
      <c r="M63" s="394">
        <f>I63/50</f>
        <v>879.78</v>
      </c>
      <c r="N63" s="394">
        <f t="shared" ref="N63:N69" si="17">H63/50</f>
        <v>6600</v>
      </c>
      <c r="O63" s="394">
        <f t="shared" si="11"/>
        <v>13196.699999999999</v>
      </c>
      <c r="P63" s="394">
        <f t="shared" si="12"/>
        <v>30792.3</v>
      </c>
      <c r="Q63" s="348">
        <v>15</v>
      </c>
      <c r="R63" s="354">
        <f t="shared" si="13"/>
        <v>35</v>
      </c>
      <c r="S63" s="350">
        <f t="shared" si="14"/>
        <v>112196.7</v>
      </c>
      <c r="T63" s="350">
        <f t="shared" si="15"/>
        <v>261792.3</v>
      </c>
      <c r="U63" s="393"/>
    </row>
    <row r="64" spans="1:21">
      <c r="A64" s="378"/>
      <c r="B64" s="378"/>
      <c r="C64" s="378"/>
      <c r="D64" s="116" t="s">
        <v>1313</v>
      </c>
      <c r="E64" s="367">
        <v>60</v>
      </c>
      <c r="F64" s="393" t="s">
        <v>1437</v>
      </c>
      <c r="G64" s="393" t="s">
        <v>1314</v>
      </c>
      <c r="H64" s="351">
        <v>450000</v>
      </c>
      <c r="I64" s="351">
        <v>28792.799999999999</v>
      </c>
      <c r="J64" s="349">
        <f t="shared" si="10"/>
        <v>478792.8</v>
      </c>
      <c r="K64" s="348">
        <v>24</v>
      </c>
      <c r="L64" s="380">
        <v>19949.7</v>
      </c>
      <c r="M64" s="394">
        <f>I64/24</f>
        <v>1199.7</v>
      </c>
      <c r="N64" s="394">
        <f t="shared" si="17"/>
        <v>9000</v>
      </c>
      <c r="O64" s="394">
        <f t="shared" si="11"/>
        <v>14396.400000000001</v>
      </c>
      <c r="P64" s="394">
        <f t="shared" si="12"/>
        <v>14396.400000000001</v>
      </c>
      <c r="Q64" s="348">
        <v>12</v>
      </c>
      <c r="R64" s="354">
        <f t="shared" si="13"/>
        <v>12</v>
      </c>
      <c r="S64" s="350">
        <f t="shared" si="14"/>
        <v>239396.40000000002</v>
      </c>
      <c r="T64" s="350">
        <f t="shared" si="15"/>
        <v>239396.39999999997</v>
      </c>
      <c r="U64" s="393"/>
    </row>
    <row r="65" spans="1:21">
      <c r="A65" s="378"/>
      <c r="B65" s="378"/>
      <c r="C65" s="378"/>
      <c r="D65" s="364" t="s">
        <v>1386</v>
      </c>
      <c r="E65" s="367">
        <v>61</v>
      </c>
      <c r="F65" s="393" t="s">
        <v>1437</v>
      </c>
      <c r="G65" s="393" t="s">
        <v>1387</v>
      </c>
      <c r="H65" s="351">
        <v>330000</v>
      </c>
      <c r="I65" s="351">
        <v>43989</v>
      </c>
      <c r="J65" s="349">
        <f t="shared" si="10"/>
        <v>373989</v>
      </c>
      <c r="K65" s="348">
        <v>50</v>
      </c>
      <c r="L65" s="380">
        <v>7479.78</v>
      </c>
      <c r="M65" s="394">
        <f>I65/50</f>
        <v>879.78</v>
      </c>
      <c r="N65" s="394">
        <f t="shared" si="17"/>
        <v>6600</v>
      </c>
      <c r="O65" s="394">
        <f t="shared" si="11"/>
        <v>21114.720000000001</v>
      </c>
      <c r="P65" s="394">
        <f t="shared" si="12"/>
        <v>22874.28</v>
      </c>
      <c r="Q65" s="348">
        <v>24</v>
      </c>
      <c r="R65" s="354">
        <f t="shared" si="13"/>
        <v>26</v>
      </c>
      <c r="S65" s="350">
        <f t="shared" si="14"/>
        <v>179514.72</v>
      </c>
      <c r="T65" s="350">
        <f t="shared" si="15"/>
        <v>194474.28</v>
      </c>
      <c r="U65" s="393"/>
    </row>
    <row r="66" spans="1:21" ht="31.5">
      <c r="A66" s="378"/>
      <c r="B66" s="378"/>
      <c r="C66" s="378"/>
      <c r="D66" s="364" t="s">
        <v>975</v>
      </c>
      <c r="E66" s="367">
        <v>62</v>
      </c>
      <c r="F66" s="393" t="s">
        <v>1437</v>
      </c>
      <c r="G66" s="395" t="s">
        <v>875</v>
      </c>
      <c r="H66" s="351">
        <v>450000</v>
      </c>
      <c r="I66" s="351">
        <v>59985</v>
      </c>
      <c r="J66" s="349">
        <f t="shared" si="10"/>
        <v>509985</v>
      </c>
      <c r="K66" s="348">
        <v>50</v>
      </c>
      <c r="L66" s="380">
        <v>10199.700000000001</v>
      </c>
      <c r="M66" s="394">
        <f>I66/50</f>
        <v>1199.7</v>
      </c>
      <c r="N66" s="394">
        <f t="shared" si="17"/>
        <v>9000</v>
      </c>
      <c r="O66" s="394">
        <f t="shared" si="11"/>
        <v>38390.400000000001</v>
      </c>
      <c r="P66" s="394">
        <f t="shared" si="12"/>
        <v>21594.600000000002</v>
      </c>
      <c r="Q66" s="348">
        <v>32</v>
      </c>
      <c r="R66" s="354">
        <f t="shared" si="13"/>
        <v>18</v>
      </c>
      <c r="S66" s="350">
        <f t="shared" si="14"/>
        <v>326390.40000000002</v>
      </c>
      <c r="T66" s="350">
        <f t="shared" si="15"/>
        <v>183594.59999999998</v>
      </c>
      <c r="U66" s="393"/>
    </row>
    <row r="67" spans="1:21">
      <c r="A67" s="378"/>
      <c r="B67" s="378"/>
      <c r="C67" s="378"/>
      <c r="D67" s="364" t="s">
        <v>1357</v>
      </c>
      <c r="E67" s="367">
        <v>63</v>
      </c>
      <c r="F67" s="393" t="s">
        <v>1437</v>
      </c>
      <c r="G67" s="393" t="s">
        <v>858</v>
      </c>
      <c r="H67" s="351">
        <v>450000</v>
      </c>
      <c r="I67" s="351">
        <v>59985</v>
      </c>
      <c r="J67" s="349">
        <f t="shared" si="10"/>
        <v>509985</v>
      </c>
      <c r="K67" s="348">
        <v>50</v>
      </c>
      <c r="L67" s="380">
        <v>10199.700000000001</v>
      </c>
      <c r="M67" s="394">
        <f>I67/50</f>
        <v>1199.7</v>
      </c>
      <c r="N67" s="394">
        <f t="shared" si="17"/>
        <v>9000</v>
      </c>
      <c r="O67" s="394">
        <f t="shared" si="11"/>
        <v>28792.800000000003</v>
      </c>
      <c r="P67" s="394">
        <f t="shared" si="12"/>
        <v>31192.2</v>
      </c>
      <c r="Q67" s="348">
        <v>24</v>
      </c>
      <c r="R67" s="354">
        <f t="shared" si="13"/>
        <v>26</v>
      </c>
      <c r="S67" s="350">
        <f t="shared" si="14"/>
        <v>244792.80000000002</v>
      </c>
      <c r="T67" s="350">
        <f t="shared" si="15"/>
        <v>265192.19999999995</v>
      </c>
      <c r="U67" s="393"/>
    </row>
    <row r="68" spans="1:21">
      <c r="A68" s="378"/>
      <c r="B68" s="378"/>
      <c r="C68" s="378"/>
      <c r="D68" s="116" t="s">
        <v>1346</v>
      </c>
      <c r="E68" s="367">
        <v>64</v>
      </c>
      <c r="F68" s="393" t="s">
        <v>1437</v>
      </c>
      <c r="G68" s="393" t="s">
        <v>1347</v>
      </c>
      <c r="H68" s="351">
        <v>500000</v>
      </c>
      <c r="I68" s="351">
        <v>66650</v>
      </c>
      <c r="J68" s="349">
        <f t="shared" si="10"/>
        <v>566650</v>
      </c>
      <c r="K68" s="348">
        <v>50</v>
      </c>
      <c r="L68" s="380">
        <v>11333</v>
      </c>
      <c r="M68" s="394">
        <f>I68/50</f>
        <v>1333</v>
      </c>
      <c r="N68" s="394">
        <f t="shared" si="17"/>
        <v>10000</v>
      </c>
      <c r="O68" s="394">
        <f t="shared" si="11"/>
        <v>22661</v>
      </c>
      <c r="P68" s="394">
        <f t="shared" si="12"/>
        <v>43989</v>
      </c>
      <c r="Q68" s="348">
        <v>17</v>
      </c>
      <c r="R68" s="354">
        <f t="shared" si="13"/>
        <v>33</v>
      </c>
      <c r="S68" s="350">
        <f t="shared" si="14"/>
        <v>192661</v>
      </c>
      <c r="T68" s="350">
        <f t="shared" si="15"/>
        <v>373989</v>
      </c>
      <c r="U68" s="393"/>
    </row>
    <row r="69" spans="1:21">
      <c r="A69" s="378"/>
      <c r="B69" s="378"/>
      <c r="C69" s="378"/>
      <c r="D69" s="364" t="s">
        <v>1356</v>
      </c>
      <c r="E69" s="367">
        <v>65</v>
      </c>
      <c r="F69" s="393" t="s">
        <v>1437</v>
      </c>
      <c r="G69" s="393" t="s">
        <v>1286</v>
      </c>
      <c r="H69" s="351">
        <v>450000</v>
      </c>
      <c r="I69" s="351">
        <v>59985</v>
      </c>
      <c r="J69" s="349">
        <f t="shared" ref="J69:J100" si="18">SUM(H69:I69)</f>
        <v>509985</v>
      </c>
      <c r="K69" s="348">
        <v>50</v>
      </c>
      <c r="L69" s="380">
        <v>10199.700000000001</v>
      </c>
      <c r="M69" s="394">
        <f>I69/50</f>
        <v>1199.7</v>
      </c>
      <c r="N69" s="394">
        <f t="shared" si="17"/>
        <v>9000</v>
      </c>
      <c r="O69" s="394">
        <f t="shared" ref="O69:O100" si="19">M69*Q69</f>
        <v>20394.900000000001</v>
      </c>
      <c r="P69" s="394">
        <f t="shared" ref="P69:P100" si="20">M69*R69</f>
        <v>39590.1</v>
      </c>
      <c r="Q69" s="348">
        <v>17</v>
      </c>
      <c r="R69" s="354">
        <f t="shared" ref="R69:R100" si="21">K69-Q69</f>
        <v>33</v>
      </c>
      <c r="S69" s="350">
        <f t="shared" ref="S69:S100" si="22">L69*Q69</f>
        <v>173394.90000000002</v>
      </c>
      <c r="T69" s="350">
        <f t="shared" ref="T69:T100" si="23">J69-S69</f>
        <v>336590.1</v>
      </c>
      <c r="U69" s="393"/>
    </row>
    <row r="70" spans="1:21">
      <c r="A70" s="378"/>
      <c r="B70" s="378"/>
      <c r="C70" s="378"/>
      <c r="D70" s="393" t="s">
        <v>1501</v>
      </c>
      <c r="E70" s="367">
        <v>66</v>
      </c>
      <c r="F70" s="393" t="s">
        <v>1437</v>
      </c>
      <c r="G70" s="393" t="s">
        <v>484</v>
      </c>
      <c r="H70" s="380">
        <v>750000</v>
      </c>
      <c r="I70" s="380">
        <v>99925</v>
      </c>
      <c r="J70" s="380">
        <f t="shared" si="18"/>
        <v>849925</v>
      </c>
      <c r="K70" s="348">
        <v>60</v>
      </c>
      <c r="L70" s="351">
        <v>14166.25</v>
      </c>
      <c r="M70" s="394">
        <f>I70/60</f>
        <v>1665.4166666666667</v>
      </c>
      <c r="N70" s="394">
        <f>H70/60</f>
        <v>12500</v>
      </c>
      <c r="O70" s="394">
        <f t="shared" si="19"/>
        <v>3330.8333333333335</v>
      </c>
      <c r="P70" s="394">
        <f t="shared" si="20"/>
        <v>96594.166666666672</v>
      </c>
      <c r="Q70" s="348">
        <v>2</v>
      </c>
      <c r="R70" s="348">
        <f t="shared" si="21"/>
        <v>58</v>
      </c>
      <c r="S70" s="380">
        <f t="shared" si="22"/>
        <v>28332.5</v>
      </c>
      <c r="T70" s="380">
        <f t="shared" si="23"/>
        <v>821592.5</v>
      </c>
      <c r="U70" s="393"/>
    </row>
    <row r="71" spans="1:21">
      <c r="A71" s="378"/>
      <c r="B71" s="378"/>
      <c r="C71" s="378"/>
      <c r="D71" s="364" t="s">
        <v>964</v>
      </c>
      <c r="E71" s="367">
        <v>67</v>
      </c>
      <c r="F71" s="393" t="s">
        <v>1437</v>
      </c>
      <c r="G71" s="393" t="s">
        <v>341</v>
      </c>
      <c r="H71" s="351">
        <v>500000</v>
      </c>
      <c r="I71" s="351">
        <v>66650</v>
      </c>
      <c r="J71" s="349">
        <f t="shared" si="18"/>
        <v>566650</v>
      </c>
      <c r="K71" s="348">
        <v>50</v>
      </c>
      <c r="L71" s="380">
        <v>11333</v>
      </c>
      <c r="M71" s="394">
        <f t="shared" ref="M71:M78" si="24">I71/50</f>
        <v>1333</v>
      </c>
      <c r="N71" s="394">
        <f t="shared" ref="N71:N78" si="25">H71/50</f>
        <v>10000</v>
      </c>
      <c r="O71" s="394">
        <f t="shared" si="19"/>
        <v>65317</v>
      </c>
      <c r="P71" s="394">
        <f t="shared" si="20"/>
        <v>1333</v>
      </c>
      <c r="Q71" s="348">
        <v>49</v>
      </c>
      <c r="R71" s="354">
        <f t="shared" si="21"/>
        <v>1</v>
      </c>
      <c r="S71" s="350">
        <f t="shared" si="22"/>
        <v>555317</v>
      </c>
      <c r="T71" s="350">
        <f t="shared" si="23"/>
        <v>11333</v>
      </c>
      <c r="U71" s="393"/>
    </row>
    <row r="72" spans="1:21">
      <c r="A72" s="378"/>
      <c r="B72" s="378"/>
      <c r="C72" s="378"/>
      <c r="D72" s="364" t="s">
        <v>1103</v>
      </c>
      <c r="E72" s="367">
        <v>68</v>
      </c>
      <c r="F72" s="393" t="s">
        <v>1437</v>
      </c>
      <c r="G72" s="393" t="s">
        <v>310</v>
      </c>
      <c r="H72" s="351">
        <v>500000</v>
      </c>
      <c r="I72" s="351">
        <v>66650</v>
      </c>
      <c r="J72" s="349">
        <f t="shared" si="18"/>
        <v>566650</v>
      </c>
      <c r="K72" s="348">
        <v>50</v>
      </c>
      <c r="L72" s="380">
        <v>11333</v>
      </c>
      <c r="M72" s="394">
        <f t="shared" si="24"/>
        <v>1333</v>
      </c>
      <c r="N72" s="394">
        <f t="shared" si="25"/>
        <v>10000</v>
      </c>
      <c r="O72" s="394">
        <f t="shared" si="19"/>
        <v>65317</v>
      </c>
      <c r="P72" s="394">
        <f t="shared" si="20"/>
        <v>1333</v>
      </c>
      <c r="Q72" s="348">
        <v>49</v>
      </c>
      <c r="R72" s="354">
        <f t="shared" si="21"/>
        <v>1</v>
      </c>
      <c r="S72" s="350">
        <f t="shared" si="22"/>
        <v>555317</v>
      </c>
      <c r="T72" s="350">
        <f t="shared" si="23"/>
        <v>11333</v>
      </c>
      <c r="U72" s="393"/>
    </row>
    <row r="73" spans="1:21">
      <c r="A73" s="378"/>
      <c r="B73" s="378"/>
      <c r="C73" s="378"/>
      <c r="D73" s="364" t="s">
        <v>1043</v>
      </c>
      <c r="E73" s="367">
        <v>69</v>
      </c>
      <c r="F73" s="393" t="s">
        <v>1437</v>
      </c>
      <c r="G73" s="393" t="s">
        <v>444</v>
      </c>
      <c r="H73" s="351">
        <v>500000</v>
      </c>
      <c r="I73" s="351">
        <v>66650</v>
      </c>
      <c r="J73" s="349">
        <f t="shared" si="18"/>
        <v>566650</v>
      </c>
      <c r="K73" s="348">
        <v>50</v>
      </c>
      <c r="L73" s="380">
        <v>11333</v>
      </c>
      <c r="M73" s="394">
        <f t="shared" si="24"/>
        <v>1333</v>
      </c>
      <c r="N73" s="394">
        <f t="shared" si="25"/>
        <v>10000</v>
      </c>
      <c r="O73" s="394">
        <f t="shared" si="19"/>
        <v>49321</v>
      </c>
      <c r="P73" s="394">
        <f t="shared" si="20"/>
        <v>17329</v>
      </c>
      <c r="Q73" s="348">
        <v>37</v>
      </c>
      <c r="R73" s="354">
        <f t="shared" si="21"/>
        <v>13</v>
      </c>
      <c r="S73" s="350">
        <f t="shared" si="22"/>
        <v>419321</v>
      </c>
      <c r="T73" s="350">
        <f t="shared" si="23"/>
        <v>147329</v>
      </c>
      <c r="U73" s="393"/>
    </row>
    <row r="74" spans="1:21">
      <c r="A74" s="378"/>
      <c r="B74" s="378"/>
      <c r="C74" s="378"/>
      <c r="D74" s="363" t="s">
        <v>1001</v>
      </c>
      <c r="E74" s="367">
        <v>70</v>
      </c>
      <c r="F74" s="393" t="s">
        <v>1437</v>
      </c>
      <c r="G74" s="393" t="s">
        <v>834</v>
      </c>
      <c r="H74" s="351">
        <v>330000</v>
      </c>
      <c r="I74" s="351">
        <v>43989</v>
      </c>
      <c r="J74" s="349">
        <f t="shared" si="18"/>
        <v>373989</v>
      </c>
      <c r="K74" s="348">
        <v>50</v>
      </c>
      <c r="L74" s="380">
        <v>7479.78</v>
      </c>
      <c r="M74" s="394">
        <f t="shared" si="24"/>
        <v>879.78</v>
      </c>
      <c r="N74" s="394">
        <f t="shared" si="25"/>
        <v>6600</v>
      </c>
      <c r="O74" s="394">
        <f t="shared" si="19"/>
        <v>32551.86</v>
      </c>
      <c r="P74" s="394">
        <f t="shared" si="20"/>
        <v>11437.14</v>
      </c>
      <c r="Q74" s="348">
        <v>37</v>
      </c>
      <c r="R74" s="354">
        <f t="shared" si="21"/>
        <v>13</v>
      </c>
      <c r="S74" s="350">
        <f t="shared" si="22"/>
        <v>276751.86</v>
      </c>
      <c r="T74" s="350">
        <f t="shared" si="23"/>
        <v>97237.140000000014</v>
      </c>
      <c r="U74" s="393"/>
    </row>
    <row r="75" spans="1:21">
      <c r="A75" s="378"/>
      <c r="B75" s="378"/>
      <c r="C75" s="378"/>
      <c r="D75" s="116" t="s">
        <v>996</v>
      </c>
      <c r="E75" s="367">
        <v>71</v>
      </c>
      <c r="F75" s="393" t="s">
        <v>1437</v>
      </c>
      <c r="G75" s="393" t="s">
        <v>338</v>
      </c>
      <c r="H75" s="351">
        <v>500000</v>
      </c>
      <c r="I75" s="351">
        <v>66650</v>
      </c>
      <c r="J75" s="349">
        <f t="shared" si="18"/>
        <v>566650</v>
      </c>
      <c r="K75" s="348">
        <v>40</v>
      </c>
      <c r="L75" s="380">
        <v>13833</v>
      </c>
      <c r="M75" s="394">
        <f t="shared" si="24"/>
        <v>1333</v>
      </c>
      <c r="N75" s="394">
        <f t="shared" si="25"/>
        <v>10000</v>
      </c>
      <c r="O75" s="394">
        <f t="shared" si="19"/>
        <v>15996</v>
      </c>
      <c r="P75" s="394">
        <f t="shared" si="20"/>
        <v>37324</v>
      </c>
      <c r="Q75" s="348">
        <v>12</v>
      </c>
      <c r="R75" s="354">
        <f t="shared" si="21"/>
        <v>28</v>
      </c>
      <c r="S75" s="350">
        <f t="shared" si="22"/>
        <v>165996</v>
      </c>
      <c r="T75" s="350">
        <f t="shared" si="23"/>
        <v>400654</v>
      </c>
      <c r="U75" s="393"/>
    </row>
    <row r="76" spans="1:21">
      <c r="A76" s="378"/>
      <c r="B76" s="378"/>
      <c r="C76" s="378"/>
      <c r="D76" s="116" t="s">
        <v>1335</v>
      </c>
      <c r="E76" s="367">
        <v>72</v>
      </c>
      <c r="F76" s="393" t="s">
        <v>1437</v>
      </c>
      <c r="G76" s="393" t="s">
        <v>1336</v>
      </c>
      <c r="H76" s="351">
        <v>500000</v>
      </c>
      <c r="I76" s="351">
        <v>66650</v>
      </c>
      <c r="J76" s="349">
        <f t="shared" si="18"/>
        <v>566650</v>
      </c>
      <c r="K76" s="348">
        <v>50</v>
      </c>
      <c r="L76" s="380">
        <v>11333</v>
      </c>
      <c r="M76" s="394">
        <f t="shared" si="24"/>
        <v>1333</v>
      </c>
      <c r="N76" s="394">
        <f t="shared" si="25"/>
        <v>10000</v>
      </c>
      <c r="O76" s="394">
        <f t="shared" si="19"/>
        <v>25327</v>
      </c>
      <c r="P76" s="394">
        <f t="shared" si="20"/>
        <v>41323</v>
      </c>
      <c r="Q76" s="348">
        <v>19</v>
      </c>
      <c r="R76" s="354">
        <f t="shared" si="21"/>
        <v>31</v>
      </c>
      <c r="S76" s="350">
        <f t="shared" si="22"/>
        <v>215327</v>
      </c>
      <c r="T76" s="350">
        <f t="shared" si="23"/>
        <v>351323</v>
      </c>
      <c r="U76" s="393"/>
    </row>
    <row r="77" spans="1:21">
      <c r="A77" s="378"/>
      <c r="B77" s="378"/>
      <c r="C77" s="378"/>
      <c r="D77" s="364" t="s">
        <v>1312</v>
      </c>
      <c r="E77" s="367">
        <v>73</v>
      </c>
      <c r="F77" s="393" t="s">
        <v>1437</v>
      </c>
      <c r="G77" s="393" t="s">
        <v>436</v>
      </c>
      <c r="H77" s="351">
        <v>500000</v>
      </c>
      <c r="I77" s="351">
        <v>66650</v>
      </c>
      <c r="J77" s="349">
        <f t="shared" si="18"/>
        <v>566650</v>
      </c>
      <c r="K77" s="348">
        <v>25</v>
      </c>
      <c r="L77" s="380">
        <v>21333</v>
      </c>
      <c r="M77" s="394">
        <f t="shared" si="24"/>
        <v>1333</v>
      </c>
      <c r="N77" s="394">
        <f t="shared" si="25"/>
        <v>10000</v>
      </c>
      <c r="O77" s="394">
        <f t="shared" si="19"/>
        <v>22661</v>
      </c>
      <c r="P77" s="394">
        <f t="shared" si="20"/>
        <v>10664</v>
      </c>
      <c r="Q77" s="348">
        <v>17</v>
      </c>
      <c r="R77" s="354">
        <f t="shared" si="21"/>
        <v>8</v>
      </c>
      <c r="S77" s="350">
        <f t="shared" si="22"/>
        <v>362661</v>
      </c>
      <c r="T77" s="350">
        <f t="shared" si="23"/>
        <v>203989</v>
      </c>
      <c r="U77" s="393"/>
    </row>
    <row r="78" spans="1:21">
      <c r="A78" s="378"/>
      <c r="B78" s="378"/>
      <c r="C78" s="378"/>
      <c r="D78" s="116" t="s">
        <v>1044</v>
      </c>
      <c r="E78" s="367">
        <v>74</v>
      </c>
      <c r="F78" s="393" t="s">
        <v>1437</v>
      </c>
      <c r="G78" s="393" t="s">
        <v>844</v>
      </c>
      <c r="H78" s="351">
        <v>150000</v>
      </c>
      <c r="I78" s="351">
        <v>19995</v>
      </c>
      <c r="J78" s="349">
        <f t="shared" si="18"/>
        <v>169995</v>
      </c>
      <c r="K78" s="348">
        <v>50</v>
      </c>
      <c r="L78" s="380">
        <v>3399.9</v>
      </c>
      <c r="M78" s="394">
        <f t="shared" si="24"/>
        <v>399.9</v>
      </c>
      <c r="N78" s="394">
        <f t="shared" si="25"/>
        <v>3000</v>
      </c>
      <c r="O78" s="394">
        <f t="shared" si="19"/>
        <v>14796.3</v>
      </c>
      <c r="P78" s="394">
        <f t="shared" si="20"/>
        <v>5198.7</v>
      </c>
      <c r="Q78" s="348">
        <v>37</v>
      </c>
      <c r="R78" s="354">
        <f t="shared" si="21"/>
        <v>13</v>
      </c>
      <c r="S78" s="350">
        <f t="shared" si="22"/>
        <v>125796.3</v>
      </c>
      <c r="T78" s="350">
        <f t="shared" si="23"/>
        <v>44198.7</v>
      </c>
      <c r="U78" s="393"/>
    </row>
    <row r="79" spans="1:21">
      <c r="A79" s="378"/>
      <c r="B79" s="378"/>
      <c r="C79" s="378"/>
      <c r="D79" s="393" t="s">
        <v>1494</v>
      </c>
      <c r="E79" s="367">
        <v>75</v>
      </c>
      <c r="F79" s="393" t="s">
        <v>1437</v>
      </c>
      <c r="G79" s="393" t="s">
        <v>1495</v>
      </c>
      <c r="H79" s="380">
        <v>750000</v>
      </c>
      <c r="I79" s="380">
        <v>99925</v>
      </c>
      <c r="J79" s="380">
        <f t="shared" si="18"/>
        <v>849925</v>
      </c>
      <c r="K79" s="348">
        <v>60</v>
      </c>
      <c r="L79" s="351">
        <v>14166.25</v>
      </c>
      <c r="M79" s="394">
        <f>I79/60</f>
        <v>1665.4166666666667</v>
      </c>
      <c r="N79" s="394">
        <f>H79/60</f>
        <v>12500</v>
      </c>
      <c r="O79" s="394">
        <f t="shared" si="19"/>
        <v>3330.8333333333335</v>
      </c>
      <c r="P79" s="394">
        <f t="shared" si="20"/>
        <v>96594.166666666672</v>
      </c>
      <c r="Q79" s="348">
        <v>2</v>
      </c>
      <c r="R79" s="348">
        <f t="shared" si="21"/>
        <v>58</v>
      </c>
      <c r="S79" s="380">
        <f t="shared" si="22"/>
        <v>28332.5</v>
      </c>
      <c r="T79" s="380">
        <f t="shared" si="23"/>
        <v>821592.5</v>
      </c>
      <c r="U79" s="393"/>
    </row>
    <row r="80" spans="1:21">
      <c r="A80" s="378"/>
      <c r="B80" s="378"/>
      <c r="C80" s="378"/>
      <c r="D80" s="364" t="s">
        <v>1328</v>
      </c>
      <c r="E80" s="367">
        <v>76</v>
      </c>
      <c r="F80" s="393" t="s">
        <v>1437</v>
      </c>
      <c r="G80" s="393" t="s">
        <v>433</v>
      </c>
      <c r="H80" s="351">
        <v>500000</v>
      </c>
      <c r="I80" s="351">
        <v>66650</v>
      </c>
      <c r="J80" s="349">
        <f t="shared" si="18"/>
        <v>566650</v>
      </c>
      <c r="K80" s="348">
        <v>50</v>
      </c>
      <c r="L80" s="380">
        <v>11333</v>
      </c>
      <c r="M80" s="394">
        <f t="shared" ref="M80:M108" si="26">I80/50</f>
        <v>1333</v>
      </c>
      <c r="N80" s="394">
        <f t="shared" ref="N80:N115" si="27">H80/50</f>
        <v>10000</v>
      </c>
      <c r="O80" s="394">
        <f t="shared" si="19"/>
        <v>30659</v>
      </c>
      <c r="P80" s="394">
        <f t="shared" si="20"/>
        <v>35991</v>
      </c>
      <c r="Q80" s="348">
        <v>23</v>
      </c>
      <c r="R80" s="354">
        <f t="shared" si="21"/>
        <v>27</v>
      </c>
      <c r="S80" s="350">
        <f t="shared" si="22"/>
        <v>260659</v>
      </c>
      <c r="T80" s="350">
        <f t="shared" si="23"/>
        <v>305991</v>
      </c>
      <c r="U80" s="393"/>
    </row>
    <row r="81" spans="1:21">
      <c r="A81" s="378"/>
      <c r="B81" s="378"/>
      <c r="C81" s="378"/>
      <c r="D81" s="364" t="s">
        <v>1058</v>
      </c>
      <c r="E81" s="367">
        <v>77</v>
      </c>
      <c r="F81" s="393" t="s">
        <v>1437</v>
      </c>
      <c r="G81" s="393" t="s">
        <v>346</v>
      </c>
      <c r="H81" s="351">
        <v>500000</v>
      </c>
      <c r="I81" s="351">
        <v>66650</v>
      </c>
      <c r="J81" s="349">
        <f t="shared" si="18"/>
        <v>566650</v>
      </c>
      <c r="K81" s="348">
        <v>50</v>
      </c>
      <c r="L81" s="380">
        <v>11333</v>
      </c>
      <c r="M81" s="394">
        <f t="shared" si="26"/>
        <v>1333</v>
      </c>
      <c r="N81" s="394">
        <f t="shared" si="27"/>
        <v>10000</v>
      </c>
      <c r="O81" s="394">
        <f t="shared" si="19"/>
        <v>63984</v>
      </c>
      <c r="P81" s="394">
        <f t="shared" si="20"/>
        <v>2666</v>
      </c>
      <c r="Q81" s="348">
        <v>48</v>
      </c>
      <c r="R81" s="354">
        <f t="shared" si="21"/>
        <v>2</v>
      </c>
      <c r="S81" s="350">
        <f t="shared" si="22"/>
        <v>543984</v>
      </c>
      <c r="T81" s="350">
        <f t="shared" si="23"/>
        <v>22666</v>
      </c>
      <c r="U81" s="393"/>
    </row>
    <row r="82" spans="1:21">
      <c r="A82" s="378"/>
      <c r="B82" s="378"/>
      <c r="C82" s="378"/>
      <c r="D82" s="364" t="s">
        <v>1322</v>
      </c>
      <c r="E82" s="367">
        <v>78</v>
      </c>
      <c r="F82" s="393" t="s">
        <v>1437</v>
      </c>
      <c r="G82" s="393" t="s">
        <v>1122</v>
      </c>
      <c r="H82" s="351">
        <v>500000</v>
      </c>
      <c r="I82" s="351">
        <v>66650</v>
      </c>
      <c r="J82" s="349">
        <f t="shared" si="18"/>
        <v>566650</v>
      </c>
      <c r="K82" s="348">
        <v>50</v>
      </c>
      <c r="L82" s="380">
        <v>11333</v>
      </c>
      <c r="M82" s="394">
        <f t="shared" si="26"/>
        <v>1333</v>
      </c>
      <c r="N82" s="394">
        <f t="shared" si="27"/>
        <v>10000</v>
      </c>
      <c r="O82" s="394">
        <f t="shared" si="19"/>
        <v>31992</v>
      </c>
      <c r="P82" s="394">
        <f t="shared" si="20"/>
        <v>34658</v>
      </c>
      <c r="Q82" s="348">
        <v>24</v>
      </c>
      <c r="R82" s="354">
        <f t="shared" si="21"/>
        <v>26</v>
      </c>
      <c r="S82" s="350">
        <f t="shared" si="22"/>
        <v>271992</v>
      </c>
      <c r="T82" s="350">
        <f t="shared" si="23"/>
        <v>294658</v>
      </c>
      <c r="U82" s="393"/>
    </row>
    <row r="83" spans="1:21">
      <c r="A83" s="378"/>
      <c r="B83" s="378"/>
      <c r="C83" s="378"/>
      <c r="D83" s="364" t="s">
        <v>1098</v>
      </c>
      <c r="E83" s="367">
        <v>79</v>
      </c>
      <c r="F83" s="393" t="s">
        <v>1437</v>
      </c>
      <c r="G83" s="393" t="s">
        <v>345</v>
      </c>
      <c r="H83" s="351">
        <v>500000</v>
      </c>
      <c r="I83" s="351">
        <v>66650</v>
      </c>
      <c r="J83" s="349">
        <f t="shared" si="18"/>
        <v>566650</v>
      </c>
      <c r="K83" s="348">
        <v>50</v>
      </c>
      <c r="L83" s="380">
        <v>11333</v>
      </c>
      <c r="M83" s="394">
        <f t="shared" si="26"/>
        <v>1333</v>
      </c>
      <c r="N83" s="394">
        <f t="shared" si="27"/>
        <v>10000</v>
      </c>
      <c r="O83" s="394">
        <f t="shared" si="19"/>
        <v>65317</v>
      </c>
      <c r="P83" s="394">
        <f t="shared" si="20"/>
        <v>1333</v>
      </c>
      <c r="Q83" s="348">
        <v>49</v>
      </c>
      <c r="R83" s="354">
        <f t="shared" si="21"/>
        <v>1</v>
      </c>
      <c r="S83" s="350">
        <f t="shared" si="22"/>
        <v>555317</v>
      </c>
      <c r="T83" s="350">
        <f t="shared" si="23"/>
        <v>11333</v>
      </c>
      <c r="U83" s="393"/>
    </row>
    <row r="84" spans="1:21">
      <c r="A84" s="378"/>
      <c r="B84" s="378"/>
      <c r="C84" s="378"/>
      <c r="D84" s="393" t="s">
        <v>1464</v>
      </c>
      <c r="E84" s="367">
        <v>80</v>
      </c>
      <c r="F84" s="393" t="s">
        <v>1437</v>
      </c>
      <c r="G84" s="393" t="s">
        <v>445</v>
      </c>
      <c r="H84" s="351">
        <v>500000</v>
      </c>
      <c r="I84" s="351">
        <v>66650</v>
      </c>
      <c r="J84" s="349">
        <f t="shared" si="18"/>
        <v>566650</v>
      </c>
      <c r="K84" s="348">
        <v>50</v>
      </c>
      <c r="L84" s="380">
        <v>11333</v>
      </c>
      <c r="M84" s="394">
        <f t="shared" si="26"/>
        <v>1333</v>
      </c>
      <c r="N84" s="394">
        <f t="shared" si="27"/>
        <v>10000</v>
      </c>
      <c r="O84" s="394">
        <f t="shared" si="19"/>
        <v>6665</v>
      </c>
      <c r="P84" s="394">
        <f t="shared" si="20"/>
        <v>59985</v>
      </c>
      <c r="Q84" s="348">
        <v>5</v>
      </c>
      <c r="R84" s="354">
        <f t="shared" si="21"/>
        <v>45</v>
      </c>
      <c r="S84" s="350">
        <f t="shared" si="22"/>
        <v>56665</v>
      </c>
      <c r="T84" s="350">
        <f t="shared" si="23"/>
        <v>509985</v>
      </c>
      <c r="U84" s="393"/>
    </row>
    <row r="85" spans="1:21">
      <c r="A85" s="378"/>
      <c r="B85" s="378"/>
      <c r="C85" s="378"/>
      <c r="D85" s="364" t="s">
        <v>1125</v>
      </c>
      <c r="E85" s="367">
        <v>81</v>
      </c>
      <c r="F85" s="393" t="s">
        <v>1437</v>
      </c>
      <c r="G85" s="393" t="s">
        <v>452</v>
      </c>
      <c r="H85" s="351">
        <v>500000</v>
      </c>
      <c r="I85" s="351">
        <v>66650</v>
      </c>
      <c r="J85" s="349">
        <f t="shared" si="18"/>
        <v>566650</v>
      </c>
      <c r="K85" s="348">
        <v>50</v>
      </c>
      <c r="L85" s="380">
        <v>11333</v>
      </c>
      <c r="M85" s="394">
        <f t="shared" si="26"/>
        <v>1333</v>
      </c>
      <c r="N85" s="394">
        <f t="shared" si="27"/>
        <v>10000</v>
      </c>
      <c r="O85" s="394">
        <f t="shared" si="19"/>
        <v>33325</v>
      </c>
      <c r="P85" s="394">
        <f t="shared" si="20"/>
        <v>33325</v>
      </c>
      <c r="Q85" s="348">
        <v>25</v>
      </c>
      <c r="R85" s="354">
        <f t="shared" si="21"/>
        <v>25</v>
      </c>
      <c r="S85" s="350">
        <f t="shared" si="22"/>
        <v>283325</v>
      </c>
      <c r="T85" s="350">
        <f t="shared" si="23"/>
        <v>283325</v>
      </c>
      <c r="U85" s="393"/>
    </row>
    <row r="86" spans="1:21">
      <c r="A86" s="378"/>
      <c r="B86" s="378"/>
      <c r="C86" s="378"/>
      <c r="D86" s="364" t="s">
        <v>1390</v>
      </c>
      <c r="E86" s="367">
        <v>82</v>
      </c>
      <c r="F86" s="393" t="s">
        <v>1437</v>
      </c>
      <c r="G86" s="393" t="s">
        <v>1391</v>
      </c>
      <c r="H86" s="351">
        <v>150000</v>
      </c>
      <c r="I86" s="351">
        <v>19995</v>
      </c>
      <c r="J86" s="349">
        <f t="shared" si="18"/>
        <v>169995</v>
      </c>
      <c r="K86" s="348">
        <v>40</v>
      </c>
      <c r="L86" s="380">
        <v>4149.8999999999996</v>
      </c>
      <c r="M86" s="394">
        <f t="shared" si="26"/>
        <v>399.9</v>
      </c>
      <c r="N86" s="394">
        <f t="shared" si="27"/>
        <v>3000</v>
      </c>
      <c r="O86" s="394">
        <f t="shared" si="19"/>
        <v>9597.5999999999985</v>
      </c>
      <c r="P86" s="394">
        <f t="shared" si="20"/>
        <v>6398.4</v>
      </c>
      <c r="Q86" s="348">
        <v>24</v>
      </c>
      <c r="R86" s="354">
        <f t="shared" si="21"/>
        <v>16</v>
      </c>
      <c r="S86" s="350">
        <f t="shared" si="22"/>
        <v>99597.599999999991</v>
      </c>
      <c r="T86" s="350">
        <f t="shared" si="23"/>
        <v>70397.400000000009</v>
      </c>
      <c r="U86" s="393"/>
    </row>
    <row r="87" spans="1:21">
      <c r="A87" s="378"/>
      <c r="B87" s="378"/>
      <c r="C87" s="378"/>
      <c r="D87" s="393" t="s">
        <v>1477</v>
      </c>
      <c r="E87" s="367">
        <v>83</v>
      </c>
      <c r="F87" s="393" t="s">
        <v>1437</v>
      </c>
      <c r="G87" s="393" t="s">
        <v>1478</v>
      </c>
      <c r="H87" s="351">
        <v>330000</v>
      </c>
      <c r="I87" s="351">
        <v>43989</v>
      </c>
      <c r="J87" s="349">
        <f t="shared" si="18"/>
        <v>373989</v>
      </c>
      <c r="K87" s="348">
        <v>50</v>
      </c>
      <c r="L87" s="380">
        <v>7479.78</v>
      </c>
      <c r="M87" s="394">
        <f t="shared" si="26"/>
        <v>879.78</v>
      </c>
      <c r="N87" s="394">
        <f t="shared" si="27"/>
        <v>6600</v>
      </c>
      <c r="O87" s="394">
        <f t="shared" si="19"/>
        <v>4398.8999999999996</v>
      </c>
      <c r="P87" s="394">
        <f t="shared" si="20"/>
        <v>39590.1</v>
      </c>
      <c r="Q87" s="348">
        <v>5</v>
      </c>
      <c r="R87" s="354">
        <f t="shared" si="21"/>
        <v>45</v>
      </c>
      <c r="S87" s="350">
        <f t="shared" si="22"/>
        <v>37398.9</v>
      </c>
      <c r="T87" s="350">
        <f t="shared" si="23"/>
        <v>336590.1</v>
      </c>
      <c r="U87" s="393"/>
    </row>
    <row r="88" spans="1:21">
      <c r="A88" s="378"/>
      <c r="B88" s="378"/>
      <c r="C88" s="378"/>
      <c r="D88" s="364" t="s">
        <v>1067</v>
      </c>
      <c r="E88" s="367">
        <v>84</v>
      </c>
      <c r="F88" s="393" t="s">
        <v>1437</v>
      </c>
      <c r="G88" s="393" t="s">
        <v>368</v>
      </c>
      <c r="H88" s="351">
        <v>450000</v>
      </c>
      <c r="I88" s="351">
        <v>59985</v>
      </c>
      <c r="J88" s="349">
        <f t="shared" si="18"/>
        <v>509985</v>
      </c>
      <c r="K88" s="348">
        <v>50</v>
      </c>
      <c r="L88" s="380">
        <v>10199.700000000001</v>
      </c>
      <c r="M88" s="394">
        <f t="shared" si="26"/>
        <v>1199.7</v>
      </c>
      <c r="N88" s="394">
        <f t="shared" si="27"/>
        <v>9000</v>
      </c>
      <c r="O88" s="394">
        <f t="shared" si="19"/>
        <v>57585.600000000006</v>
      </c>
      <c r="P88" s="394">
        <f t="shared" si="20"/>
        <v>2399.4</v>
      </c>
      <c r="Q88" s="348">
        <v>48</v>
      </c>
      <c r="R88" s="354">
        <f t="shared" si="21"/>
        <v>2</v>
      </c>
      <c r="S88" s="350">
        <f t="shared" si="22"/>
        <v>489585.60000000003</v>
      </c>
      <c r="T88" s="350">
        <f t="shared" si="23"/>
        <v>20399.399999999965</v>
      </c>
      <c r="U88" s="393"/>
    </row>
    <row r="89" spans="1:21">
      <c r="A89" s="378"/>
      <c r="B89" s="378"/>
      <c r="C89" s="378"/>
      <c r="D89" s="364" t="s">
        <v>1078</v>
      </c>
      <c r="E89" s="367">
        <v>85</v>
      </c>
      <c r="F89" s="393" t="s">
        <v>1437</v>
      </c>
      <c r="G89" s="393" t="s">
        <v>446</v>
      </c>
      <c r="H89" s="351">
        <v>330000</v>
      </c>
      <c r="I89" s="351">
        <v>43989</v>
      </c>
      <c r="J89" s="349">
        <f t="shared" si="18"/>
        <v>373989</v>
      </c>
      <c r="K89" s="348">
        <v>50</v>
      </c>
      <c r="L89" s="380">
        <v>7479.78</v>
      </c>
      <c r="M89" s="394">
        <f t="shared" si="26"/>
        <v>879.78</v>
      </c>
      <c r="N89" s="394">
        <f t="shared" si="27"/>
        <v>6600</v>
      </c>
      <c r="O89" s="394">
        <f t="shared" si="19"/>
        <v>28152.959999999999</v>
      </c>
      <c r="P89" s="394">
        <f t="shared" si="20"/>
        <v>15836.039999999999</v>
      </c>
      <c r="Q89" s="348">
        <v>32</v>
      </c>
      <c r="R89" s="354">
        <f t="shared" si="21"/>
        <v>18</v>
      </c>
      <c r="S89" s="350">
        <f t="shared" si="22"/>
        <v>239352.95999999999</v>
      </c>
      <c r="T89" s="350">
        <f t="shared" si="23"/>
        <v>134636.04</v>
      </c>
      <c r="U89" s="393"/>
    </row>
    <row r="90" spans="1:21">
      <c r="A90" s="378"/>
      <c r="B90" s="378"/>
      <c r="C90" s="378"/>
      <c r="D90" s="393" t="s">
        <v>971</v>
      </c>
      <c r="E90" s="367">
        <v>86</v>
      </c>
      <c r="F90" s="393" t="s">
        <v>1437</v>
      </c>
      <c r="G90" s="393" t="s">
        <v>112</v>
      </c>
      <c r="H90" s="351">
        <v>330000</v>
      </c>
      <c r="I90" s="351">
        <v>43989</v>
      </c>
      <c r="J90" s="349">
        <f t="shared" si="18"/>
        <v>373989</v>
      </c>
      <c r="K90" s="348">
        <v>50</v>
      </c>
      <c r="L90" s="380">
        <v>7479.78</v>
      </c>
      <c r="M90" s="394">
        <f t="shared" si="26"/>
        <v>879.78</v>
      </c>
      <c r="N90" s="394">
        <f t="shared" si="27"/>
        <v>6600</v>
      </c>
      <c r="O90" s="394">
        <f t="shared" si="19"/>
        <v>7038.24</v>
      </c>
      <c r="P90" s="394">
        <f t="shared" si="20"/>
        <v>36950.76</v>
      </c>
      <c r="Q90" s="348">
        <v>8</v>
      </c>
      <c r="R90" s="354">
        <f t="shared" si="21"/>
        <v>42</v>
      </c>
      <c r="S90" s="350">
        <f t="shared" si="22"/>
        <v>59838.239999999998</v>
      </c>
      <c r="T90" s="350">
        <f t="shared" si="23"/>
        <v>314150.76</v>
      </c>
      <c r="U90" s="393"/>
    </row>
    <row r="91" spans="1:21">
      <c r="A91" s="378"/>
      <c r="B91" s="378"/>
      <c r="C91" s="378"/>
      <c r="D91" s="364" t="s">
        <v>1375</v>
      </c>
      <c r="E91" s="367">
        <v>87</v>
      </c>
      <c r="F91" s="393" t="s">
        <v>1437</v>
      </c>
      <c r="G91" s="393" t="s">
        <v>1376</v>
      </c>
      <c r="H91" s="351">
        <v>330000</v>
      </c>
      <c r="I91" s="351">
        <v>43989</v>
      </c>
      <c r="J91" s="349">
        <f t="shared" si="18"/>
        <v>373989</v>
      </c>
      <c r="K91" s="348">
        <v>50</v>
      </c>
      <c r="L91" s="380">
        <v>7479.78</v>
      </c>
      <c r="M91" s="394">
        <f t="shared" si="26"/>
        <v>879.78</v>
      </c>
      <c r="N91" s="394">
        <f t="shared" si="27"/>
        <v>6600</v>
      </c>
      <c r="O91" s="394">
        <f t="shared" si="19"/>
        <v>13196.699999999999</v>
      </c>
      <c r="P91" s="394">
        <f t="shared" si="20"/>
        <v>30792.3</v>
      </c>
      <c r="Q91" s="348">
        <v>15</v>
      </c>
      <c r="R91" s="354">
        <f t="shared" si="21"/>
        <v>35</v>
      </c>
      <c r="S91" s="350">
        <f t="shared" si="22"/>
        <v>112196.7</v>
      </c>
      <c r="T91" s="350">
        <f t="shared" si="23"/>
        <v>261792.3</v>
      </c>
      <c r="U91" s="393"/>
    </row>
    <row r="92" spans="1:21">
      <c r="A92" s="378"/>
      <c r="B92" s="378"/>
      <c r="C92" s="378"/>
      <c r="D92" s="364" t="s">
        <v>1392</v>
      </c>
      <c r="E92" s="367">
        <v>88</v>
      </c>
      <c r="F92" s="393" t="s">
        <v>1437</v>
      </c>
      <c r="G92" s="393" t="s">
        <v>1393</v>
      </c>
      <c r="H92" s="351">
        <v>150000</v>
      </c>
      <c r="I92" s="351">
        <v>19995</v>
      </c>
      <c r="J92" s="349">
        <f t="shared" si="18"/>
        <v>169995</v>
      </c>
      <c r="K92" s="348">
        <v>40</v>
      </c>
      <c r="L92" s="380">
        <v>4149.8999999999996</v>
      </c>
      <c r="M92" s="394">
        <f t="shared" si="26"/>
        <v>399.9</v>
      </c>
      <c r="N92" s="394">
        <f t="shared" si="27"/>
        <v>3000</v>
      </c>
      <c r="O92" s="394">
        <f t="shared" si="19"/>
        <v>9597.5999999999985</v>
      </c>
      <c r="P92" s="394">
        <f t="shared" si="20"/>
        <v>6398.4</v>
      </c>
      <c r="Q92" s="348">
        <v>24</v>
      </c>
      <c r="R92" s="354">
        <f t="shared" si="21"/>
        <v>16</v>
      </c>
      <c r="S92" s="350">
        <f t="shared" si="22"/>
        <v>99597.599999999991</v>
      </c>
      <c r="T92" s="350">
        <f t="shared" si="23"/>
        <v>70397.400000000009</v>
      </c>
      <c r="U92" s="393"/>
    </row>
    <row r="93" spans="1:21">
      <c r="A93" s="378"/>
      <c r="B93" s="378"/>
      <c r="C93" s="378"/>
      <c r="D93" s="393" t="s">
        <v>1438</v>
      </c>
      <c r="E93" s="367">
        <v>89</v>
      </c>
      <c r="F93" s="393" t="s">
        <v>1437</v>
      </c>
      <c r="G93" s="393" t="s">
        <v>1439</v>
      </c>
      <c r="H93" s="351">
        <v>450000</v>
      </c>
      <c r="I93" s="351">
        <v>59985</v>
      </c>
      <c r="J93" s="349">
        <f t="shared" si="18"/>
        <v>509985</v>
      </c>
      <c r="K93" s="348">
        <v>50</v>
      </c>
      <c r="L93" s="380">
        <v>10199.700000000001</v>
      </c>
      <c r="M93" s="394">
        <f t="shared" si="26"/>
        <v>1199.7</v>
      </c>
      <c r="N93" s="394">
        <f t="shared" si="27"/>
        <v>9000</v>
      </c>
      <c r="O93" s="394">
        <f t="shared" si="19"/>
        <v>55186.200000000004</v>
      </c>
      <c r="P93" s="394">
        <f t="shared" si="20"/>
        <v>4798.8</v>
      </c>
      <c r="Q93" s="348">
        <v>46</v>
      </c>
      <c r="R93" s="354">
        <f t="shared" si="21"/>
        <v>4</v>
      </c>
      <c r="S93" s="350">
        <f t="shared" si="22"/>
        <v>469186.2</v>
      </c>
      <c r="T93" s="350">
        <f t="shared" si="23"/>
        <v>40798.799999999988</v>
      </c>
      <c r="U93" s="402"/>
    </row>
    <row r="94" spans="1:21">
      <c r="A94" s="378"/>
      <c r="B94" s="378"/>
      <c r="C94" s="378"/>
      <c r="D94" s="364" t="s">
        <v>982</v>
      </c>
      <c r="E94" s="367">
        <v>90</v>
      </c>
      <c r="F94" s="393" t="s">
        <v>1437</v>
      </c>
      <c r="G94" s="393" t="s">
        <v>350</v>
      </c>
      <c r="H94" s="351">
        <v>500000</v>
      </c>
      <c r="I94" s="351">
        <v>66650</v>
      </c>
      <c r="J94" s="349">
        <f t="shared" si="18"/>
        <v>566650</v>
      </c>
      <c r="K94" s="348">
        <v>50</v>
      </c>
      <c r="L94" s="380">
        <v>11333</v>
      </c>
      <c r="M94" s="394">
        <f t="shared" si="26"/>
        <v>1333</v>
      </c>
      <c r="N94" s="394">
        <f t="shared" si="27"/>
        <v>10000</v>
      </c>
      <c r="O94" s="394">
        <f t="shared" si="19"/>
        <v>54653</v>
      </c>
      <c r="P94" s="394">
        <f t="shared" si="20"/>
        <v>11997</v>
      </c>
      <c r="Q94" s="348">
        <v>41</v>
      </c>
      <c r="R94" s="354">
        <f t="shared" si="21"/>
        <v>9</v>
      </c>
      <c r="S94" s="350">
        <f t="shared" si="22"/>
        <v>464653</v>
      </c>
      <c r="T94" s="350">
        <f t="shared" si="23"/>
        <v>101997</v>
      </c>
      <c r="U94" s="393"/>
    </row>
    <row r="95" spans="1:21">
      <c r="A95" s="378"/>
      <c r="B95" s="378"/>
      <c r="C95" s="378"/>
      <c r="D95" s="363" t="s">
        <v>965</v>
      </c>
      <c r="E95" s="367">
        <v>91</v>
      </c>
      <c r="F95" s="393" t="s">
        <v>1437</v>
      </c>
      <c r="G95" s="393" t="s">
        <v>334</v>
      </c>
      <c r="H95" s="351">
        <v>500000</v>
      </c>
      <c r="I95" s="351">
        <v>66650</v>
      </c>
      <c r="J95" s="349">
        <f t="shared" si="18"/>
        <v>566650</v>
      </c>
      <c r="K95" s="348">
        <v>50</v>
      </c>
      <c r="L95" s="380">
        <v>11333</v>
      </c>
      <c r="M95" s="394">
        <f t="shared" si="26"/>
        <v>1333</v>
      </c>
      <c r="N95" s="394">
        <f t="shared" si="27"/>
        <v>10000</v>
      </c>
      <c r="O95" s="394">
        <f t="shared" si="19"/>
        <v>65317</v>
      </c>
      <c r="P95" s="394">
        <f t="shared" si="20"/>
        <v>1333</v>
      </c>
      <c r="Q95" s="348">
        <v>49</v>
      </c>
      <c r="R95" s="354">
        <f t="shared" si="21"/>
        <v>1</v>
      </c>
      <c r="S95" s="350">
        <f t="shared" si="22"/>
        <v>555317</v>
      </c>
      <c r="T95" s="350">
        <f t="shared" si="23"/>
        <v>11333</v>
      </c>
      <c r="U95" s="393"/>
    </row>
    <row r="96" spans="1:21">
      <c r="A96" s="378"/>
      <c r="B96" s="378"/>
      <c r="C96" s="378"/>
      <c r="D96" s="115" t="s">
        <v>1402</v>
      </c>
      <c r="E96" s="367">
        <v>92</v>
      </c>
      <c r="F96" s="393" t="s">
        <v>1437</v>
      </c>
      <c r="G96" s="393" t="s">
        <v>1403</v>
      </c>
      <c r="H96" s="351">
        <v>150000</v>
      </c>
      <c r="I96" s="351">
        <v>19995</v>
      </c>
      <c r="J96" s="349">
        <f t="shared" si="18"/>
        <v>169995</v>
      </c>
      <c r="K96" s="348">
        <v>50</v>
      </c>
      <c r="L96" s="380">
        <v>3399.9</v>
      </c>
      <c r="M96" s="394">
        <f t="shared" si="26"/>
        <v>399.9</v>
      </c>
      <c r="N96" s="394">
        <f t="shared" si="27"/>
        <v>3000</v>
      </c>
      <c r="O96" s="394">
        <f t="shared" si="19"/>
        <v>4798.7999999999993</v>
      </c>
      <c r="P96" s="394">
        <f t="shared" si="20"/>
        <v>15196.199999999999</v>
      </c>
      <c r="Q96" s="348">
        <v>12</v>
      </c>
      <c r="R96" s="354">
        <f t="shared" si="21"/>
        <v>38</v>
      </c>
      <c r="S96" s="350">
        <f t="shared" si="22"/>
        <v>40798.800000000003</v>
      </c>
      <c r="T96" s="350">
        <f t="shared" si="23"/>
        <v>129196.2</v>
      </c>
      <c r="U96" s="393"/>
    </row>
    <row r="97" spans="1:21">
      <c r="A97" s="378"/>
      <c r="B97" s="378"/>
      <c r="C97" s="378"/>
      <c r="D97" s="116" t="s">
        <v>1355</v>
      </c>
      <c r="E97" s="367">
        <v>93</v>
      </c>
      <c r="F97" s="393" t="s">
        <v>1437</v>
      </c>
      <c r="G97" s="393" t="s">
        <v>1287</v>
      </c>
      <c r="H97" s="351">
        <v>450000</v>
      </c>
      <c r="I97" s="351">
        <v>59985</v>
      </c>
      <c r="J97" s="349">
        <f t="shared" si="18"/>
        <v>509985</v>
      </c>
      <c r="K97" s="348">
        <v>50</v>
      </c>
      <c r="L97" s="380">
        <v>10199.700000000001</v>
      </c>
      <c r="M97" s="394">
        <f t="shared" si="26"/>
        <v>1199.7</v>
      </c>
      <c r="N97" s="394">
        <f t="shared" si="27"/>
        <v>9000</v>
      </c>
      <c r="O97" s="394">
        <f t="shared" si="19"/>
        <v>20394.900000000001</v>
      </c>
      <c r="P97" s="394">
        <f t="shared" si="20"/>
        <v>39590.1</v>
      </c>
      <c r="Q97" s="348">
        <v>17</v>
      </c>
      <c r="R97" s="354">
        <f t="shared" si="21"/>
        <v>33</v>
      </c>
      <c r="S97" s="350">
        <f t="shared" si="22"/>
        <v>173394.90000000002</v>
      </c>
      <c r="T97" s="350">
        <f t="shared" si="23"/>
        <v>336590.1</v>
      </c>
      <c r="U97" s="393"/>
    </row>
    <row r="98" spans="1:21">
      <c r="A98" s="378"/>
      <c r="B98" s="378"/>
      <c r="C98" s="378"/>
      <c r="D98" s="393" t="s">
        <v>1025</v>
      </c>
      <c r="E98" s="367">
        <v>94</v>
      </c>
      <c r="F98" s="393" t="s">
        <v>1437</v>
      </c>
      <c r="G98" s="393" t="s">
        <v>333</v>
      </c>
      <c r="H98" s="351">
        <v>500000</v>
      </c>
      <c r="I98" s="351">
        <v>66650</v>
      </c>
      <c r="J98" s="349">
        <f t="shared" si="18"/>
        <v>566650</v>
      </c>
      <c r="K98" s="348">
        <v>50</v>
      </c>
      <c r="L98" s="380">
        <v>11333</v>
      </c>
      <c r="M98" s="394">
        <f t="shared" si="26"/>
        <v>1333</v>
      </c>
      <c r="N98" s="394">
        <f t="shared" si="27"/>
        <v>10000</v>
      </c>
      <c r="O98" s="394">
        <f t="shared" si="19"/>
        <v>6665</v>
      </c>
      <c r="P98" s="394">
        <f t="shared" si="20"/>
        <v>59985</v>
      </c>
      <c r="Q98" s="348">
        <v>5</v>
      </c>
      <c r="R98" s="354">
        <f t="shared" si="21"/>
        <v>45</v>
      </c>
      <c r="S98" s="350">
        <f t="shared" si="22"/>
        <v>56665</v>
      </c>
      <c r="T98" s="350">
        <f t="shared" si="23"/>
        <v>509985</v>
      </c>
      <c r="U98" s="393"/>
    </row>
    <row r="99" spans="1:21">
      <c r="A99" s="378"/>
      <c r="B99" s="378"/>
      <c r="C99" s="378"/>
      <c r="D99" s="393" t="s">
        <v>1465</v>
      </c>
      <c r="E99" s="367">
        <v>95</v>
      </c>
      <c r="F99" s="393" t="s">
        <v>1437</v>
      </c>
      <c r="G99" s="393" t="s">
        <v>1466</v>
      </c>
      <c r="H99" s="351">
        <v>500000</v>
      </c>
      <c r="I99" s="351">
        <v>66650</v>
      </c>
      <c r="J99" s="349">
        <f t="shared" si="18"/>
        <v>566650</v>
      </c>
      <c r="K99" s="348">
        <v>50</v>
      </c>
      <c r="L99" s="380">
        <v>11333</v>
      </c>
      <c r="M99" s="394">
        <f t="shared" si="26"/>
        <v>1333</v>
      </c>
      <c r="N99" s="394">
        <f t="shared" si="27"/>
        <v>10000</v>
      </c>
      <c r="O99" s="394">
        <f t="shared" si="19"/>
        <v>6665</v>
      </c>
      <c r="P99" s="394">
        <f t="shared" si="20"/>
        <v>59985</v>
      </c>
      <c r="Q99" s="348">
        <v>5</v>
      </c>
      <c r="R99" s="354">
        <f t="shared" si="21"/>
        <v>45</v>
      </c>
      <c r="S99" s="350">
        <f t="shared" si="22"/>
        <v>56665</v>
      </c>
      <c r="T99" s="350">
        <f t="shared" si="23"/>
        <v>509985</v>
      </c>
      <c r="U99" s="393"/>
    </row>
    <row r="100" spans="1:21">
      <c r="A100" s="378"/>
      <c r="B100" s="378"/>
      <c r="C100" s="378"/>
      <c r="D100" s="364" t="s">
        <v>1351</v>
      </c>
      <c r="E100" s="367">
        <v>96</v>
      </c>
      <c r="F100" s="393" t="s">
        <v>1437</v>
      </c>
      <c r="G100" s="393" t="s">
        <v>1285</v>
      </c>
      <c r="H100" s="351">
        <v>500000</v>
      </c>
      <c r="I100" s="351">
        <v>66650</v>
      </c>
      <c r="J100" s="349">
        <f t="shared" si="18"/>
        <v>566650</v>
      </c>
      <c r="K100" s="348">
        <v>50</v>
      </c>
      <c r="L100" s="380">
        <v>11333</v>
      </c>
      <c r="M100" s="394">
        <f t="shared" si="26"/>
        <v>1333</v>
      </c>
      <c r="N100" s="394">
        <f t="shared" si="27"/>
        <v>10000</v>
      </c>
      <c r="O100" s="394">
        <f t="shared" si="19"/>
        <v>22661</v>
      </c>
      <c r="P100" s="394">
        <f t="shared" si="20"/>
        <v>43989</v>
      </c>
      <c r="Q100" s="348">
        <v>17</v>
      </c>
      <c r="R100" s="354">
        <f t="shared" si="21"/>
        <v>33</v>
      </c>
      <c r="S100" s="350">
        <f t="shared" si="22"/>
        <v>192661</v>
      </c>
      <c r="T100" s="350">
        <f t="shared" si="23"/>
        <v>373989</v>
      </c>
      <c r="U100" s="393"/>
    </row>
    <row r="101" spans="1:21">
      <c r="A101" s="378"/>
      <c r="B101" s="378"/>
      <c r="C101" s="378"/>
      <c r="D101" s="364" t="s">
        <v>960</v>
      </c>
      <c r="E101" s="367">
        <v>97</v>
      </c>
      <c r="F101" s="393" t="s">
        <v>1437</v>
      </c>
      <c r="G101" s="393" t="s">
        <v>488</v>
      </c>
      <c r="H101" s="351">
        <v>500000</v>
      </c>
      <c r="I101" s="351">
        <v>66650</v>
      </c>
      <c r="J101" s="349">
        <f t="shared" ref="J101:J132" si="28">SUM(H101:I101)</f>
        <v>566650</v>
      </c>
      <c r="K101" s="348">
        <v>50</v>
      </c>
      <c r="L101" s="380">
        <v>11333</v>
      </c>
      <c r="M101" s="394">
        <f t="shared" si="26"/>
        <v>1333</v>
      </c>
      <c r="N101" s="394">
        <f t="shared" si="27"/>
        <v>10000</v>
      </c>
      <c r="O101" s="394">
        <f t="shared" ref="O101:O132" si="29">M101*Q101</f>
        <v>49321</v>
      </c>
      <c r="P101" s="394">
        <f t="shared" ref="P101:P132" si="30">M101*R101</f>
        <v>17329</v>
      </c>
      <c r="Q101" s="348">
        <v>37</v>
      </c>
      <c r="R101" s="354">
        <f t="shared" ref="R101:R132" si="31">K101-Q101</f>
        <v>13</v>
      </c>
      <c r="S101" s="350">
        <f t="shared" ref="S101:S132" si="32">L101*Q101</f>
        <v>419321</v>
      </c>
      <c r="T101" s="350">
        <f t="shared" ref="T101:T132" si="33">J101-S101</f>
        <v>147329</v>
      </c>
      <c r="U101" s="393"/>
    </row>
    <row r="102" spans="1:21">
      <c r="A102" s="378"/>
      <c r="B102" s="378"/>
      <c r="C102" s="378"/>
      <c r="D102" s="363" t="s">
        <v>1011</v>
      </c>
      <c r="E102" s="367">
        <v>98</v>
      </c>
      <c r="F102" s="393" t="s">
        <v>1437</v>
      </c>
      <c r="G102" s="393" t="s">
        <v>863</v>
      </c>
      <c r="H102" s="351">
        <v>500000</v>
      </c>
      <c r="I102" s="351">
        <v>66650</v>
      </c>
      <c r="J102" s="349">
        <f t="shared" si="28"/>
        <v>566650</v>
      </c>
      <c r="K102" s="348">
        <v>50</v>
      </c>
      <c r="L102" s="380">
        <v>11333</v>
      </c>
      <c r="M102" s="394">
        <f t="shared" si="26"/>
        <v>1333</v>
      </c>
      <c r="N102" s="394">
        <f t="shared" si="27"/>
        <v>10000</v>
      </c>
      <c r="O102" s="394">
        <f t="shared" si="29"/>
        <v>42656</v>
      </c>
      <c r="P102" s="394">
        <f t="shared" si="30"/>
        <v>23994</v>
      </c>
      <c r="Q102" s="348">
        <v>32</v>
      </c>
      <c r="R102" s="354">
        <f t="shared" si="31"/>
        <v>18</v>
      </c>
      <c r="S102" s="350">
        <f t="shared" si="32"/>
        <v>362656</v>
      </c>
      <c r="T102" s="350">
        <f t="shared" si="33"/>
        <v>203994</v>
      </c>
      <c r="U102" s="393"/>
    </row>
    <row r="103" spans="1:21">
      <c r="A103" s="378"/>
      <c r="B103" s="378"/>
      <c r="C103" s="378"/>
      <c r="D103" s="364" t="s">
        <v>1042</v>
      </c>
      <c r="E103" s="367">
        <v>99</v>
      </c>
      <c r="F103" s="393" t="s">
        <v>1437</v>
      </c>
      <c r="G103" s="393" t="s">
        <v>359</v>
      </c>
      <c r="H103" s="351">
        <v>500000</v>
      </c>
      <c r="I103" s="351">
        <v>66650</v>
      </c>
      <c r="J103" s="349">
        <f t="shared" si="28"/>
        <v>566650</v>
      </c>
      <c r="K103" s="348">
        <v>50</v>
      </c>
      <c r="L103" s="380">
        <v>11333</v>
      </c>
      <c r="M103" s="394">
        <f t="shared" si="26"/>
        <v>1333</v>
      </c>
      <c r="N103" s="394">
        <f t="shared" si="27"/>
        <v>10000</v>
      </c>
      <c r="O103" s="394">
        <f t="shared" si="29"/>
        <v>15996</v>
      </c>
      <c r="P103" s="394">
        <f t="shared" si="30"/>
        <v>50654</v>
      </c>
      <c r="Q103" s="348">
        <v>12</v>
      </c>
      <c r="R103" s="354">
        <f t="shared" si="31"/>
        <v>38</v>
      </c>
      <c r="S103" s="350">
        <f t="shared" si="32"/>
        <v>135996</v>
      </c>
      <c r="T103" s="350">
        <f t="shared" si="33"/>
        <v>430654</v>
      </c>
      <c r="U103" s="393"/>
    </row>
    <row r="104" spans="1:21">
      <c r="A104" s="378"/>
      <c r="B104" s="378"/>
      <c r="C104" s="378"/>
      <c r="D104" s="116" t="s">
        <v>1045</v>
      </c>
      <c r="E104" s="367">
        <v>100</v>
      </c>
      <c r="F104" s="393" t="s">
        <v>1437</v>
      </c>
      <c r="G104" s="393" t="s">
        <v>867</v>
      </c>
      <c r="H104" s="351">
        <v>500000</v>
      </c>
      <c r="I104" s="351">
        <v>66650</v>
      </c>
      <c r="J104" s="349">
        <f t="shared" si="28"/>
        <v>566650</v>
      </c>
      <c r="K104" s="348">
        <v>50</v>
      </c>
      <c r="L104" s="380">
        <v>11333</v>
      </c>
      <c r="M104" s="394">
        <f t="shared" si="26"/>
        <v>1333</v>
      </c>
      <c r="N104" s="394">
        <f t="shared" si="27"/>
        <v>10000</v>
      </c>
      <c r="O104" s="394">
        <f t="shared" si="29"/>
        <v>43989</v>
      </c>
      <c r="P104" s="394">
        <f t="shared" si="30"/>
        <v>22661</v>
      </c>
      <c r="Q104" s="348">
        <v>33</v>
      </c>
      <c r="R104" s="354">
        <f t="shared" si="31"/>
        <v>17</v>
      </c>
      <c r="S104" s="350">
        <f t="shared" si="32"/>
        <v>373989</v>
      </c>
      <c r="T104" s="350">
        <f t="shared" si="33"/>
        <v>192661</v>
      </c>
      <c r="U104" s="393"/>
    </row>
    <row r="105" spans="1:21">
      <c r="A105" s="378"/>
      <c r="B105" s="378"/>
      <c r="C105" s="378"/>
      <c r="D105" s="364" t="s">
        <v>1323</v>
      </c>
      <c r="E105" s="367">
        <v>101</v>
      </c>
      <c r="F105" s="393" t="s">
        <v>1437</v>
      </c>
      <c r="G105" s="393" t="s">
        <v>448</v>
      </c>
      <c r="H105" s="351">
        <v>500000</v>
      </c>
      <c r="I105" s="351">
        <v>66650</v>
      </c>
      <c r="J105" s="349">
        <f t="shared" si="28"/>
        <v>566650</v>
      </c>
      <c r="K105" s="348">
        <v>50</v>
      </c>
      <c r="L105" s="380">
        <v>11333</v>
      </c>
      <c r="M105" s="394">
        <f t="shared" si="26"/>
        <v>1333</v>
      </c>
      <c r="N105" s="394">
        <f t="shared" si="27"/>
        <v>10000</v>
      </c>
      <c r="O105" s="394">
        <f t="shared" si="29"/>
        <v>30659</v>
      </c>
      <c r="P105" s="394">
        <f t="shared" si="30"/>
        <v>35991</v>
      </c>
      <c r="Q105" s="348">
        <v>23</v>
      </c>
      <c r="R105" s="354">
        <f t="shared" si="31"/>
        <v>27</v>
      </c>
      <c r="S105" s="350">
        <f t="shared" si="32"/>
        <v>260659</v>
      </c>
      <c r="T105" s="350">
        <f t="shared" si="33"/>
        <v>305991</v>
      </c>
      <c r="U105" s="393"/>
    </row>
    <row r="106" spans="1:21">
      <c r="A106" s="378"/>
      <c r="B106" s="378"/>
      <c r="C106" s="378"/>
      <c r="D106" s="393" t="s">
        <v>1483</v>
      </c>
      <c r="E106" s="367">
        <v>102</v>
      </c>
      <c r="F106" s="393" t="s">
        <v>1437</v>
      </c>
      <c r="G106" s="393" t="s">
        <v>1484</v>
      </c>
      <c r="H106" s="351">
        <v>150000</v>
      </c>
      <c r="I106" s="351">
        <v>19995</v>
      </c>
      <c r="J106" s="349">
        <f t="shared" si="28"/>
        <v>169995</v>
      </c>
      <c r="K106" s="348">
        <v>50</v>
      </c>
      <c r="L106" s="380">
        <v>3399.5</v>
      </c>
      <c r="M106" s="394">
        <f t="shared" si="26"/>
        <v>399.9</v>
      </c>
      <c r="N106" s="394">
        <f t="shared" si="27"/>
        <v>3000</v>
      </c>
      <c r="O106" s="394">
        <f t="shared" si="29"/>
        <v>7998</v>
      </c>
      <c r="P106" s="394">
        <f t="shared" si="30"/>
        <v>11997</v>
      </c>
      <c r="Q106" s="348">
        <v>20</v>
      </c>
      <c r="R106" s="354">
        <f t="shared" si="31"/>
        <v>30</v>
      </c>
      <c r="S106" s="350">
        <f t="shared" si="32"/>
        <v>67990</v>
      </c>
      <c r="T106" s="350">
        <f t="shared" si="33"/>
        <v>102005</v>
      </c>
      <c r="U106" s="401"/>
    </row>
    <row r="107" spans="1:21">
      <c r="A107" s="378"/>
      <c r="B107" s="378"/>
      <c r="C107" s="378"/>
      <c r="D107" s="363" t="s">
        <v>1037</v>
      </c>
      <c r="E107" s="367">
        <v>103</v>
      </c>
      <c r="F107" s="393" t="s">
        <v>1437</v>
      </c>
      <c r="G107" s="393" t="s">
        <v>326</v>
      </c>
      <c r="H107" s="351">
        <v>500000</v>
      </c>
      <c r="I107" s="351">
        <v>66650</v>
      </c>
      <c r="J107" s="349">
        <f t="shared" si="28"/>
        <v>566650</v>
      </c>
      <c r="K107" s="348">
        <v>50</v>
      </c>
      <c r="L107" s="380">
        <v>11333</v>
      </c>
      <c r="M107" s="394">
        <f t="shared" si="26"/>
        <v>1333</v>
      </c>
      <c r="N107" s="394">
        <f t="shared" si="27"/>
        <v>10000</v>
      </c>
      <c r="O107" s="394">
        <f t="shared" si="29"/>
        <v>63984</v>
      </c>
      <c r="P107" s="394">
        <f t="shared" si="30"/>
        <v>2666</v>
      </c>
      <c r="Q107" s="348">
        <v>48</v>
      </c>
      <c r="R107" s="354">
        <f t="shared" si="31"/>
        <v>2</v>
      </c>
      <c r="S107" s="350">
        <f t="shared" si="32"/>
        <v>543984</v>
      </c>
      <c r="T107" s="350">
        <f t="shared" si="33"/>
        <v>22666</v>
      </c>
      <c r="U107" s="393"/>
    </row>
    <row r="108" spans="1:21">
      <c r="A108" s="378"/>
      <c r="B108" s="378"/>
      <c r="C108" s="378"/>
      <c r="D108" s="363" t="s">
        <v>1002</v>
      </c>
      <c r="E108" s="367">
        <v>104</v>
      </c>
      <c r="F108" s="393" t="s">
        <v>1437</v>
      </c>
      <c r="G108" s="393" t="s">
        <v>1003</v>
      </c>
      <c r="H108" s="351">
        <v>150000</v>
      </c>
      <c r="I108" s="351">
        <v>19995</v>
      </c>
      <c r="J108" s="349">
        <f t="shared" si="28"/>
        <v>169995</v>
      </c>
      <c r="K108" s="348">
        <v>50</v>
      </c>
      <c r="L108" s="380">
        <v>3399.9</v>
      </c>
      <c r="M108" s="394">
        <f t="shared" si="26"/>
        <v>399.9</v>
      </c>
      <c r="N108" s="394">
        <f t="shared" si="27"/>
        <v>3000</v>
      </c>
      <c r="O108" s="394">
        <f t="shared" si="29"/>
        <v>11597.099999999999</v>
      </c>
      <c r="P108" s="394">
        <f t="shared" si="30"/>
        <v>8397.9</v>
      </c>
      <c r="Q108" s="348">
        <v>29</v>
      </c>
      <c r="R108" s="354">
        <f t="shared" si="31"/>
        <v>21</v>
      </c>
      <c r="S108" s="350">
        <f t="shared" si="32"/>
        <v>98597.1</v>
      </c>
      <c r="T108" s="350">
        <f t="shared" si="33"/>
        <v>71397.899999999994</v>
      </c>
      <c r="U108" s="393"/>
    </row>
    <row r="109" spans="1:21">
      <c r="A109" s="378"/>
      <c r="B109" s="378"/>
      <c r="C109" s="378"/>
      <c r="D109" s="363" t="s">
        <v>1315</v>
      </c>
      <c r="E109" s="367">
        <v>105</v>
      </c>
      <c r="F109" s="393" t="s">
        <v>1437</v>
      </c>
      <c r="G109" s="393" t="s">
        <v>1316</v>
      </c>
      <c r="H109" s="351">
        <v>450000</v>
      </c>
      <c r="I109" s="351">
        <v>28792.799999999999</v>
      </c>
      <c r="J109" s="349">
        <f t="shared" si="28"/>
        <v>478792.8</v>
      </c>
      <c r="K109" s="348">
        <v>24</v>
      </c>
      <c r="L109" s="380">
        <v>19949.7</v>
      </c>
      <c r="M109" s="394">
        <f>I109/24</f>
        <v>1199.7</v>
      </c>
      <c r="N109" s="394">
        <f t="shared" si="27"/>
        <v>9000</v>
      </c>
      <c r="O109" s="394">
        <f t="shared" si="29"/>
        <v>14396.400000000001</v>
      </c>
      <c r="P109" s="394">
        <f t="shared" si="30"/>
        <v>14396.400000000001</v>
      </c>
      <c r="Q109" s="348">
        <v>12</v>
      </c>
      <c r="R109" s="354">
        <f t="shared" si="31"/>
        <v>12</v>
      </c>
      <c r="S109" s="350">
        <f t="shared" si="32"/>
        <v>239396.40000000002</v>
      </c>
      <c r="T109" s="350">
        <f t="shared" si="33"/>
        <v>239396.39999999997</v>
      </c>
      <c r="U109" s="393"/>
    </row>
    <row r="110" spans="1:21">
      <c r="A110" s="378"/>
      <c r="B110" s="378"/>
      <c r="C110" s="378"/>
      <c r="D110" s="364" t="s">
        <v>1404</v>
      </c>
      <c r="E110" s="367">
        <v>106</v>
      </c>
      <c r="F110" s="393" t="s">
        <v>1437</v>
      </c>
      <c r="G110" s="393" t="s">
        <v>1405</v>
      </c>
      <c r="H110" s="351">
        <v>150000</v>
      </c>
      <c r="I110" s="351">
        <v>19995</v>
      </c>
      <c r="J110" s="349">
        <f t="shared" si="28"/>
        <v>169995</v>
      </c>
      <c r="K110" s="348">
        <v>50</v>
      </c>
      <c r="L110" s="380">
        <v>3399.9</v>
      </c>
      <c r="M110" s="394">
        <f t="shared" ref="M110:M115" si="34">I110/50</f>
        <v>399.9</v>
      </c>
      <c r="N110" s="394">
        <f t="shared" si="27"/>
        <v>3000</v>
      </c>
      <c r="O110" s="394">
        <f t="shared" si="29"/>
        <v>4798.7999999999993</v>
      </c>
      <c r="P110" s="394">
        <f t="shared" si="30"/>
        <v>15196.199999999999</v>
      </c>
      <c r="Q110" s="348">
        <v>12</v>
      </c>
      <c r="R110" s="354">
        <f t="shared" si="31"/>
        <v>38</v>
      </c>
      <c r="S110" s="350">
        <f t="shared" si="32"/>
        <v>40798.800000000003</v>
      </c>
      <c r="T110" s="350">
        <f t="shared" si="33"/>
        <v>129196.2</v>
      </c>
      <c r="U110" s="393"/>
    </row>
    <row r="111" spans="1:21">
      <c r="A111" s="378"/>
      <c r="B111" s="378"/>
      <c r="C111" s="378"/>
      <c r="D111" s="363" t="s">
        <v>1381</v>
      </c>
      <c r="E111" s="367">
        <v>107</v>
      </c>
      <c r="F111" s="393" t="s">
        <v>1437</v>
      </c>
      <c r="G111" s="393" t="s">
        <v>1129</v>
      </c>
      <c r="H111" s="351">
        <v>330000</v>
      </c>
      <c r="I111" s="351">
        <v>43989</v>
      </c>
      <c r="J111" s="349">
        <f t="shared" si="28"/>
        <v>373989</v>
      </c>
      <c r="K111" s="348">
        <v>50</v>
      </c>
      <c r="L111" s="380">
        <v>7479.78</v>
      </c>
      <c r="M111" s="394">
        <f t="shared" si="34"/>
        <v>879.78</v>
      </c>
      <c r="N111" s="394">
        <f t="shared" si="27"/>
        <v>6600</v>
      </c>
      <c r="O111" s="394">
        <f t="shared" si="29"/>
        <v>21114.720000000001</v>
      </c>
      <c r="P111" s="394">
        <f t="shared" si="30"/>
        <v>22874.28</v>
      </c>
      <c r="Q111" s="348">
        <v>24</v>
      </c>
      <c r="R111" s="354">
        <f t="shared" si="31"/>
        <v>26</v>
      </c>
      <c r="S111" s="350">
        <f t="shared" si="32"/>
        <v>179514.72</v>
      </c>
      <c r="T111" s="350">
        <f t="shared" si="33"/>
        <v>194474.28</v>
      </c>
      <c r="U111" s="393"/>
    </row>
    <row r="112" spans="1:21">
      <c r="A112" s="378"/>
      <c r="B112" s="378"/>
      <c r="C112" s="378"/>
      <c r="D112" s="393" t="s">
        <v>1417</v>
      </c>
      <c r="E112" s="367">
        <v>108</v>
      </c>
      <c r="F112" s="393" t="s">
        <v>1437</v>
      </c>
      <c r="G112" s="393" t="s">
        <v>477</v>
      </c>
      <c r="H112" s="351">
        <v>330000</v>
      </c>
      <c r="I112" s="351">
        <v>43989</v>
      </c>
      <c r="J112" s="349">
        <f t="shared" si="28"/>
        <v>373989</v>
      </c>
      <c r="K112" s="348">
        <v>50</v>
      </c>
      <c r="L112" s="380">
        <v>7479.78</v>
      </c>
      <c r="M112" s="394">
        <f t="shared" si="34"/>
        <v>879.78</v>
      </c>
      <c r="N112" s="394">
        <f t="shared" si="27"/>
        <v>6600</v>
      </c>
      <c r="O112" s="394">
        <f t="shared" si="29"/>
        <v>8797.7999999999993</v>
      </c>
      <c r="P112" s="394">
        <f t="shared" si="30"/>
        <v>35191.199999999997</v>
      </c>
      <c r="Q112" s="348">
        <v>10</v>
      </c>
      <c r="R112" s="354">
        <f t="shared" si="31"/>
        <v>40</v>
      </c>
      <c r="S112" s="350">
        <f t="shared" si="32"/>
        <v>74797.8</v>
      </c>
      <c r="T112" s="350">
        <f t="shared" si="33"/>
        <v>299191.2</v>
      </c>
      <c r="U112" s="393"/>
    </row>
    <row r="113" spans="1:21">
      <c r="A113" s="378"/>
      <c r="B113" s="378"/>
      <c r="C113" s="378"/>
      <c r="D113" s="363" t="s">
        <v>1061</v>
      </c>
      <c r="E113" s="367">
        <v>109</v>
      </c>
      <c r="F113" s="393" t="s">
        <v>1437</v>
      </c>
      <c r="G113" s="393" t="s">
        <v>854</v>
      </c>
      <c r="H113" s="351">
        <v>330000</v>
      </c>
      <c r="I113" s="351">
        <v>43989</v>
      </c>
      <c r="J113" s="349">
        <f t="shared" si="28"/>
        <v>373989</v>
      </c>
      <c r="K113" s="348">
        <v>50</v>
      </c>
      <c r="L113" s="380">
        <v>7479.78</v>
      </c>
      <c r="M113" s="394">
        <f t="shared" si="34"/>
        <v>879.78</v>
      </c>
      <c r="N113" s="394">
        <f t="shared" si="27"/>
        <v>6600</v>
      </c>
      <c r="O113" s="394">
        <f t="shared" si="29"/>
        <v>26393.399999999998</v>
      </c>
      <c r="P113" s="394">
        <f t="shared" si="30"/>
        <v>17595.599999999999</v>
      </c>
      <c r="Q113" s="348">
        <v>30</v>
      </c>
      <c r="R113" s="354">
        <f t="shared" si="31"/>
        <v>20</v>
      </c>
      <c r="S113" s="350">
        <f t="shared" si="32"/>
        <v>224393.4</v>
      </c>
      <c r="T113" s="350">
        <f t="shared" si="33"/>
        <v>149595.6</v>
      </c>
      <c r="U113" s="393"/>
    </row>
    <row r="114" spans="1:21">
      <c r="A114" s="378"/>
      <c r="B114" s="378"/>
      <c r="C114" s="378"/>
      <c r="D114" s="364" t="s">
        <v>969</v>
      </c>
      <c r="E114" s="367">
        <v>110</v>
      </c>
      <c r="F114" s="393" t="s">
        <v>1437</v>
      </c>
      <c r="G114" s="393" t="s">
        <v>851</v>
      </c>
      <c r="H114" s="351">
        <v>150000</v>
      </c>
      <c r="I114" s="351">
        <v>19995</v>
      </c>
      <c r="J114" s="349">
        <f t="shared" si="28"/>
        <v>169995</v>
      </c>
      <c r="K114" s="348">
        <v>50</v>
      </c>
      <c r="L114" s="380">
        <v>3399.9</v>
      </c>
      <c r="M114" s="394">
        <f t="shared" si="34"/>
        <v>399.9</v>
      </c>
      <c r="N114" s="394">
        <f t="shared" si="27"/>
        <v>3000</v>
      </c>
      <c r="O114" s="394">
        <f t="shared" si="29"/>
        <v>4798.7999999999993</v>
      </c>
      <c r="P114" s="394">
        <f t="shared" si="30"/>
        <v>15196.199999999999</v>
      </c>
      <c r="Q114" s="348">
        <v>12</v>
      </c>
      <c r="R114" s="354">
        <f t="shared" si="31"/>
        <v>38</v>
      </c>
      <c r="S114" s="350">
        <f t="shared" si="32"/>
        <v>40798.800000000003</v>
      </c>
      <c r="T114" s="350">
        <f t="shared" si="33"/>
        <v>129196.2</v>
      </c>
      <c r="U114" s="393"/>
    </row>
    <row r="115" spans="1:21">
      <c r="A115" s="378"/>
      <c r="B115" s="378"/>
      <c r="C115" s="378"/>
      <c r="D115" s="363" t="s">
        <v>1341</v>
      </c>
      <c r="E115" s="367">
        <v>111</v>
      </c>
      <c r="F115" s="393" t="s">
        <v>1437</v>
      </c>
      <c r="G115" s="393" t="s">
        <v>1139</v>
      </c>
      <c r="H115" s="351">
        <v>500000</v>
      </c>
      <c r="I115" s="351">
        <v>66650</v>
      </c>
      <c r="J115" s="349">
        <f t="shared" si="28"/>
        <v>566650</v>
      </c>
      <c r="K115" s="348">
        <v>50</v>
      </c>
      <c r="L115" s="380">
        <v>11333</v>
      </c>
      <c r="M115" s="394">
        <f t="shared" si="34"/>
        <v>1333</v>
      </c>
      <c r="N115" s="394">
        <f t="shared" si="27"/>
        <v>10000</v>
      </c>
      <c r="O115" s="394">
        <f t="shared" si="29"/>
        <v>31992</v>
      </c>
      <c r="P115" s="394">
        <f t="shared" si="30"/>
        <v>34658</v>
      </c>
      <c r="Q115" s="348">
        <v>24</v>
      </c>
      <c r="R115" s="354">
        <f t="shared" si="31"/>
        <v>26</v>
      </c>
      <c r="S115" s="350">
        <f t="shared" si="32"/>
        <v>271992</v>
      </c>
      <c r="T115" s="350">
        <f t="shared" si="33"/>
        <v>294658</v>
      </c>
      <c r="U115" s="393"/>
    </row>
    <row r="116" spans="1:21">
      <c r="A116" s="378"/>
      <c r="B116" s="378"/>
      <c r="C116" s="378"/>
      <c r="D116" s="393" t="s">
        <v>1497</v>
      </c>
      <c r="E116" s="367">
        <v>112</v>
      </c>
      <c r="F116" s="393" t="s">
        <v>1437</v>
      </c>
      <c r="G116" s="393" t="s">
        <v>442</v>
      </c>
      <c r="H116" s="380">
        <v>750000</v>
      </c>
      <c r="I116" s="380">
        <v>99925</v>
      </c>
      <c r="J116" s="380">
        <f t="shared" si="28"/>
        <v>849925</v>
      </c>
      <c r="K116" s="348">
        <v>60</v>
      </c>
      <c r="L116" s="351">
        <v>14166.25</v>
      </c>
      <c r="M116" s="394">
        <f>I116/60</f>
        <v>1665.4166666666667</v>
      </c>
      <c r="N116" s="394">
        <f>H116/60</f>
        <v>12500</v>
      </c>
      <c r="O116" s="394">
        <f t="shared" si="29"/>
        <v>3330.8333333333335</v>
      </c>
      <c r="P116" s="394">
        <f t="shared" si="30"/>
        <v>96594.166666666672</v>
      </c>
      <c r="Q116" s="348">
        <v>2</v>
      </c>
      <c r="R116" s="348">
        <f t="shared" si="31"/>
        <v>58</v>
      </c>
      <c r="S116" s="380">
        <f t="shared" si="32"/>
        <v>28332.5</v>
      </c>
      <c r="T116" s="380">
        <f t="shared" si="33"/>
        <v>821592.5</v>
      </c>
      <c r="U116" s="393"/>
    </row>
    <row r="117" spans="1:21">
      <c r="A117" s="378"/>
      <c r="B117" s="378"/>
      <c r="C117" s="378"/>
      <c r="D117" s="364" t="s">
        <v>1398</v>
      </c>
      <c r="E117" s="367">
        <v>113</v>
      </c>
      <c r="F117" s="393" t="s">
        <v>1437</v>
      </c>
      <c r="G117" s="393" t="s">
        <v>1399</v>
      </c>
      <c r="H117" s="351">
        <v>150000</v>
      </c>
      <c r="I117" s="351">
        <v>19995</v>
      </c>
      <c r="J117" s="349">
        <f t="shared" si="28"/>
        <v>169995</v>
      </c>
      <c r="K117" s="348">
        <v>50</v>
      </c>
      <c r="L117" s="380">
        <v>3399.9</v>
      </c>
      <c r="M117" s="394">
        <f t="shared" ref="M117:M125" si="35">I117/50</f>
        <v>399.9</v>
      </c>
      <c r="N117" s="394">
        <f t="shared" ref="N117:N125" si="36">H117/50</f>
        <v>3000</v>
      </c>
      <c r="O117" s="394">
        <f t="shared" si="29"/>
        <v>4798.7999999999993</v>
      </c>
      <c r="P117" s="394">
        <f t="shared" si="30"/>
        <v>15196.199999999999</v>
      </c>
      <c r="Q117" s="348">
        <v>12</v>
      </c>
      <c r="R117" s="354">
        <f t="shared" si="31"/>
        <v>38</v>
      </c>
      <c r="S117" s="350">
        <f t="shared" si="32"/>
        <v>40798.800000000003</v>
      </c>
      <c r="T117" s="350">
        <f t="shared" si="33"/>
        <v>129196.2</v>
      </c>
      <c r="U117" s="393"/>
    </row>
    <row r="118" spans="1:21">
      <c r="A118" s="378"/>
      <c r="B118" s="378"/>
      <c r="C118" s="378"/>
      <c r="D118" s="363" t="s">
        <v>1123</v>
      </c>
      <c r="E118" s="367">
        <v>114</v>
      </c>
      <c r="F118" s="393" t="s">
        <v>1437</v>
      </c>
      <c r="G118" s="393" t="s">
        <v>439</v>
      </c>
      <c r="H118" s="351">
        <v>330000</v>
      </c>
      <c r="I118" s="351">
        <v>43989</v>
      </c>
      <c r="J118" s="349">
        <f t="shared" si="28"/>
        <v>373989</v>
      </c>
      <c r="K118" s="348">
        <v>50</v>
      </c>
      <c r="L118" s="380">
        <v>7479.78</v>
      </c>
      <c r="M118" s="394">
        <f t="shared" si="35"/>
        <v>879.78</v>
      </c>
      <c r="N118" s="394">
        <f t="shared" si="36"/>
        <v>6600</v>
      </c>
      <c r="O118" s="394">
        <f t="shared" si="29"/>
        <v>21994.5</v>
      </c>
      <c r="P118" s="394">
        <f t="shared" si="30"/>
        <v>21994.5</v>
      </c>
      <c r="Q118" s="348">
        <v>25</v>
      </c>
      <c r="R118" s="354">
        <f t="shared" si="31"/>
        <v>25</v>
      </c>
      <c r="S118" s="350">
        <f t="shared" si="32"/>
        <v>186994.5</v>
      </c>
      <c r="T118" s="350">
        <f t="shared" si="33"/>
        <v>186994.5</v>
      </c>
      <c r="U118" s="393"/>
    </row>
    <row r="119" spans="1:21">
      <c r="A119" s="378"/>
      <c r="B119" s="378"/>
      <c r="C119" s="378"/>
      <c r="D119" s="116" t="s">
        <v>1365</v>
      </c>
      <c r="E119" s="367">
        <v>115</v>
      </c>
      <c r="F119" s="393" t="s">
        <v>1437</v>
      </c>
      <c r="G119" s="393" t="s">
        <v>449</v>
      </c>
      <c r="H119" s="351">
        <v>450000</v>
      </c>
      <c r="I119" s="351">
        <v>59985</v>
      </c>
      <c r="J119" s="349">
        <f t="shared" si="28"/>
        <v>509985</v>
      </c>
      <c r="K119" s="348">
        <v>50</v>
      </c>
      <c r="L119" s="380">
        <v>10199.700000000001</v>
      </c>
      <c r="M119" s="394">
        <f t="shared" si="35"/>
        <v>1199.7</v>
      </c>
      <c r="N119" s="394">
        <f t="shared" si="36"/>
        <v>9000</v>
      </c>
      <c r="O119" s="394">
        <f t="shared" si="29"/>
        <v>20394.900000000001</v>
      </c>
      <c r="P119" s="394">
        <f t="shared" si="30"/>
        <v>39590.1</v>
      </c>
      <c r="Q119" s="348">
        <v>17</v>
      </c>
      <c r="R119" s="354">
        <f t="shared" si="31"/>
        <v>33</v>
      </c>
      <c r="S119" s="350">
        <f t="shared" si="32"/>
        <v>173394.90000000002</v>
      </c>
      <c r="T119" s="350">
        <f t="shared" si="33"/>
        <v>336590.1</v>
      </c>
      <c r="U119" s="393"/>
    </row>
    <row r="120" spans="1:21">
      <c r="A120" s="378"/>
      <c r="B120" s="378"/>
      <c r="C120" s="378"/>
      <c r="D120" s="363" t="s">
        <v>987</v>
      </c>
      <c r="E120" s="367">
        <v>116</v>
      </c>
      <c r="F120" s="393" t="s">
        <v>1437</v>
      </c>
      <c r="G120" s="393" t="s">
        <v>866</v>
      </c>
      <c r="H120" s="351">
        <v>500000</v>
      </c>
      <c r="I120" s="351">
        <v>66650</v>
      </c>
      <c r="J120" s="349">
        <f t="shared" si="28"/>
        <v>566650</v>
      </c>
      <c r="K120" s="348">
        <v>50</v>
      </c>
      <c r="L120" s="380">
        <v>11333</v>
      </c>
      <c r="M120" s="394">
        <f t="shared" si="35"/>
        <v>1333</v>
      </c>
      <c r="N120" s="394">
        <f t="shared" si="36"/>
        <v>10000</v>
      </c>
      <c r="O120" s="394">
        <f t="shared" si="29"/>
        <v>22661</v>
      </c>
      <c r="P120" s="394">
        <f t="shared" si="30"/>
        <v>43989</v>
      </c>
      <c r="Q120" s="348">
        <v>17</v>
      </c>
      <c r="R120" s="354">
        <f t="shared" si="31"/>
        <v>33</v>
      </c>
      <c r="S120" s="350">
        <f t="shared" si="32"/>
        <v>192661</v>
      </c>
      <c r="T120" s="350">
        <f t="shared" si="33"/>
        <v>373989</v>
      </c>
      <c r="U120" s="393"/>
    </row>
    <row r="121" spans="1:21">
      <c r="A121" s="378"/>
      <c r="B121" s="378"/>
      <c r="C121" s="378"/>
      <c r="D121" s="364" t="s">
        <v>1321</v>
      </c>
      <c r="E121" s="367">
        <v>117</v>
      </c>
      <c r="F121" s="393" t="s">
        <v>1437</v>
      </c>
      <c r="G121" s="393" t="s">
        <v>403</v>
      </c>
      <c r="H121" s="351">
        <v>500000</v>
      </c>
      <c r="I121" s="351">
        <v>66650</v>
      </c>
      <c r="J121" s="349">
        <f t="shared" si="28"/>
        <v>566650</v>
      </c>
      <c r="K121" s="348">
        <v>50</v>
      </c>
      <c r="L121" s="380">
        <v>11333</v>
      </c>
      <c r="M121" s="394">
        <f t="shared" si="35"/>
        <v>1333</v>
      </c>
      <c r="N121" s="394">
        <f t="shared" si="36"/>
        <v>10000</v>
      </c>
      <c r="O121" s="394">
        <f t="shared" si="29"/>
        <v>19995</v>
      </c>
      <c r="P121" s="394">
        <f t="shared" si="30"/>
        <v>46655</v>
      </c>
      <c r="Q121" s="348">
        <v>15</v>
      </c>
      <c r="R121" s="354">
        <f t="shared" si="31"/>
        <v>35</v>
      </c>
      <c r="S121" s="350">
        <f t="shared" si="32"/>
        <v>169995</v>
      </c>
      <c r="T121" s="350">
        <f t="shared" si="33"/>
        <v>396655</v>
      </c>
      <c r="U121" s="393"/>
    </row>
    <row r="122" spans="1:21">
      <c r="A122" s="378"/>
      <c r="B122" s="378"/>
      <c r="C122" s="378"/>
      <c r="D122" s="393" t="s">
        <v>1467</v>
      </c>
      <c r="E122" s="367">
        <v>118</v>
      </c>
      <c r="F122" s="393" t="s">
        <v>1437</v>
      </c>
      <c r="G122" s="393" t="s">
        <v>1468</v>
      </c>
      <c r="H122" s="351">
        <v>500000</v>
      </c>
      <c r="I122" s="351">
        <v>66650</v>
      </c>
      <c r="J122" s="349">
        <f t="shared" si="28"/>
        <v>566650</v>
      </c>
      <c r="K122" s="348">
        <v>50</v>
      </c>
      <c r="L122" s="380">
        <v>11333</v>
      </c>
      <c r="M122" s="394">
        <f t="shared" si="35"/>
        <v>1333</v>
      </c>
      <c r="N122" s="394">
        <f t="shared" si="36"/>
        <v>10000</v>
      </c>
      <c r="O122" s="394">
        <f t="shared" si="29"/>
        <v>6665</v>
      </c>
      <c r="P122" s="394">
        <f t="shared" si="30"/>
        <v>59985</v>
      </c>
      <c r="Q122" s="348">
        <v>5</v>
      </c>
      <c r="R122" s="354">
        <f t="shared" si="31"/>
        <v>45</v>
      </c>
      <c r="S122" s="350">
        <f t="shared" si="32"/>
        <v>56665</v>
      </c>
      <c r="T122" s="350">
        <f t="shared" si="33"/>
        <v>509985</v>
      </c>
      <c r="U122" s="393"/>
    </row>
    <row r="123" spans="1:21">
      <c r="A123" s="378"/>
      <c r="B123" s="378"/>
      <c r="C123" s="378"/>
      <c r="D123" s="363" t="s">
        <v>1093</v>
      </c>
      <c r="E123" s="367">
        <v>119</v>
      </c>
      <c r="F123" s="393" t="s">
        <v>1437</v>
      </c>
      <c r="G123" s="393" t="s">
        <v>364</v>
      </c>
      <c r="H123" s="351">
        <v>450000</v>
      </c>
      <c r="I123" s="351">
        <v>59985</v>
      </c>
      <c r="J123" s="349">
        <f t="shared" si="28"/>
        <v>509985</v>
      </c>
      <c r="K123" s="348">
        <v>50</v>
      </c>
      <c r="L123" s="380">
        <v>10199.700000000001</v>
      </c>
      <c r="M123" s="394">
        <f t="shared" si="35"/>
        <v>1199.7</v>
      </c>
      <c r="N123" s="394">
        <f t="shared" si="36"/>
        <v>9000</v>
      </c>
      <c r="O123" s="394">
        <f t="shared" si="29"/>
        <v>57585.600000000006</v>
      </c>
      <c r="P123" s="394">
        <f t="shared" si="30"/>
        <v>2399.4</v>
      </c>
      <c r="Q123" s="348">
        <v>48</v>
      </c>
      <c r="R123" s="354">
        <f t="shared" si="31"/>
        <v>2</v>
      </c>
      <c r="S123" s="350">
        <f t="shared" si="32"/>
        <v>489585.60000000003</v>
      </c>
      <c r="T123" s="350">
        <f t="shared" si="33"/>
        <v>20399.399999999965</v>
      </c>
      <c r="U123" s="393"/>
    </row>
    <row r="124" spans="1:21">
      <c r="A124" s="378"/>
      <c r="B124" s="378"/>
      <c r="C124" s="378"/>
      <c r="D124" s="393" t="s">
        <v>1486</v>
      </c>
      <c r="E124" s="367">
        <v>120</v>
      </c>
      <c r="F124" s="393" t="s">
        <v>1437</v>
      </c>
      <c r="G124" s="393" t="s">
        <v>1487</v>
      </c>
      <c r="H124" s="351">
        <v>150000</v>
      </c>
      <c r="I124" s="351">
        <v>19995</v>
      </c>
      <c r="J124" s="349">
        <f t="shared" si="28"/>
        <v>169995</v>
      </c>
      <c r="K124" s="348">
        <v>50</v>
      </c>
      <c r="L124" s="380">
        <v>3399.9</v>
      </c>
      <c r="M124" s="394">
        <f t="shared" si="35"/>
        <v>399.9</v>
      </c>
      <c r="N124" s="394">
        <f t="shared" si="36"/>
        <v>3000</v>
      </c>
      <c r="O124" s="394">
        <f t="shared" si="29"/>
        <v>18795.3</v>
      </c>
      <c r="P124" s="394">
        <f t="shared" si="30"/>
        <v>1199.6999999999998</v>
      </c>
      <c r="Q124" s="348">
        <v>47</v>
      </c>
      <c r="R124" s="354">
        <f t="shared" si="31"/>
        <v>3</v>
      </c>
      <c r="S124" s="350">
        <f t="shared" si="32"/>
        <v>159795.30000000002</v>
      </c>
      <c r="T124" s="350">
        <f t="shared" si="33"/>
        <v>10199.699999999983</v>
      </c>
      <c r="U124" s="393"/>
    </row>
    <row r="125" spans="1:21">
      <c r="A125" s="378"/>
      <c r="B125" s="378"/>
      <c r="C125" s="378"/>
      <c r="D125" s="116" t="s">
        <v>1105</v>
      </c>
      <c r="E125" s="367">
        <v>121</v>
      </c>
      <c r="F125" s="393" t="s">
        <v>1437</v>
      </c>
      <c r="G125" s="393" t="s">
        <v>861</v>
      </c>
      <c r="H125" s="351">
        <v>500000</v>
      </c>
      <c r="I125" s="351">
        <v>66650</v>
      </c>
      <c r="J125" s="349">
        <f t="shared" si="28"/>
        <v>566650</v>
      </c>
      <c r="K125" s="348">
        <v>50</v>
      </c>
      <c r="L125" s="380">
        <v>11333</v>
      </c>
      <c r="M125" s="394">
        <f t="shared" si="35"/>
        <v>1333</v>
      </c>
      <c r="N125" s="394">
        <f t="shared" si="36"/>
        <v>10000</v>
      </c>
      <c r="O125" s="394">
        <f t="shared" si="29"/>
        <v>39990</v>
      </c>
      <c r="P125" s="394">
        <f t="shared" si="30"/>
        <v>26660</v>
      </c>
      <c r="Q125" s="348">
        <v>30</v>
      </c>
      <c r="R125" s="354">
        <f t="shared" si="31"/>
        <v>20</v>
      </c>
      <c r="S125" s="350">
        <f t="shared" si="32"/>
        <v>339990</v>
      </c>
      <c r="T125" s="350">
        <f t="shared" si="33"/>
        <v>226660</v>
      </c>
      <c r="U125" s="393"/>
    </row>
    <row r="126" spans="1:21">
      <c r="A126" s="378"/>
      <c r="B126" s="378"/>
      <c r="C126" s="378"/>
      <c r="D126" s="393" t="s">
        <v>1063</v>
      </c>
      <c r="E126" s="367">
        <v>122</v>
      </c>
      <c r="F126" s="393" t="s">
        <v>1437</v>
      </c>
      <c r="G126" s="393" t="s">
        <v>1064</v>
      </c>
      <c r="H126" s="380">
        <v>600000</v>
      </c>
      <c r="I126" s="380">
        <v>79980</v>
      </c>
      <c r="J126" s="380">
        <f t="shared" si="28"/>
        <v>679980</v>
      </c>
      <c r="K126" s="348">
        <v>60</v>
      </c>
      <c r="L126" s="351">
        <v>11333</v>
      </c>
      <c r="M126" s="394">
        <f>I126/60</f>
        <v>1333</v>
      </c>
      <c r="N126" s="394">
        <f>H126/60</f>
        <v>10000</v>
      </c>
      <c r="O126" s="394">
        <f t="shared" si="29"/>
        <v>2666</v>
      </c>
      <c r="P126" s="394">
        <f t="shared" si="30"/>
        <v>77314</v>
      </c>
      <c r="Q126" s="348">
        <v>2</v>
      </c>
      <c r="R126" s="348">
        <f t="shared" si="31"/>
        <v>58</v>
      </c>
      <c r="S126" s="380">
        <f t="shared" si="32"/>
        <v>22666</v>
      </c>
      <c r="T126" s="380">
        <f t="shared" si="33"/>
        <v>657314</v>
      </c>
      <c r="U126" s="393"/>
    </row>
    <row r="127" spans="1:21">
      <c r="A127" s="378"/>
      <c r="B127" s="378"/>
      <c r="C127" s="378"/>
      <c r="D127" s="364" t="s">
        <v>999</v>
      </c>
      <c r="E127" s="367">
        <v>123</v>
      </c>
      <c r="F127" s="393" t="s">
        <v>1437</v>
      </c>
      <c r="G127" s="393" t="s">
        <v>441</v>
      </c>
      <c r="H127" s="351">
        <v>500000</v>
      </c>
      <c r="I127" s="351">
        <v>66650</v>
      </c>
      <c r="J127" s="349">
        <f t="shared" si="28"/>
        <v>566650</v>
      </c>
      <c r="K127" s="348">
        <v>50</v>
      </c>
      <c r="L127" s="380">
        <v>11333</v>
      </c>
      <c r="M127" s="394">
        <f>I127/50</f>
        <v>1333</v>
      </c>
      <c r="N127" s="394">
        <f>H127/50</f>
        <v>10000</v>
      </c>
      <c r="O127" s="394">
        <f t="shared" si="29"/>
        <v>49321</v>
      </c>
      <c r="P127" s="394">
        <f t="shared" si="30"/>
        <v>17329</v>
      </c>
      <c r="Q127" s="348">
        <v>37</v>
      </c>
      <c r="R127" s="354">
        <f t="shared" si="31"/>
        <v>13</v>
      </c>
      <c r="S127" s="350">
        <f t="shared" si="32"/>
        <v>419321</v>
      </c>
      <c r="T127" s="350">
        <f t="shared" si="33"/>
        <v>147329</v>
      </c>
      <c r="U127" s="393"/>
    </row>
    <row r="128" spans="1:21">
      <c r="A128" s="378"/>
      <c r="B128" s="378"/>
      <c r="C128" s="378"/>
      <c r="D128" s="393" t="s">
        <v>1479</v>
      </c>
      <c r="E128" s="367">
        <v>124</v>
      </c>
      <c r="F128" s="393" t="s">
        <v>1437</v>
      </c>
      <c r="G128" s="393" t="s">
        <v>1480</v>
      </c>
      <c r="H128" s="351">
        <v>330000</v>
      </c>
      <c r="I128" s="351">
        <v>43989</v>
      </c>
      <c r="J128" s="349">
        <f t="shared" si="28"/>
        <v>373989</v>
      </c>
      <c r="K128" s="348">
        <v>50</v>
      </c>
      <c r="L128" s="380">
        <v>7479.78</v>
      </c>
      <c r="M128" s="394">
        <f>I128/50</f>
        <v>879.78</v>
      </c>
      <c r="N128" s="394">
        <f>H128/50</f>
        <v>6600</v>
      </c>
      <c r="O128" s="394">
        <f t="shared" si="29"/>
        <v>4398.8999999999996</v>
      </c>
      <c r="P128" s="394">
        <f t="shared" si="30"/>
        <v>39590.1</v>
      </c>
      <c r="Q128" s="348">
        <v>5</v>
      </c>
      <c r="R128" s="354">
        <f t="shared" si="31"/>
        <v>45</v>
      </c>
      <c r="S128" s="350">
        <f t="shared" si="32"/>
        <v>37398.9</v>
      </c>
      <c r="T128" s="350">
        <f t="shared" si="33"/>
        <v>336590.1</v>
      </c>
      <c r="U128" s="393"/>
    </row>
    <row r="129" spans="1:21">
      <c r="A129" s="378"/>
      <c r="B129" s="378"/>
      <c r="C129" s="378"/>
      <c r="D129" s="364" t="s">
        <v>1053</v>
      </c>
      <c r="E129" s="367">
        <v>125</v>
      </c>
      <c r="F129" s="393" t="s">
        <v>1437</v>
      </c>
      <c r="G129" s="393" t="s">
        <v>845</v>
      </c>
      <c r="H129" s="351">
        <v>150000</v>
      </c>
      <c r="I129" s="351">
        <v>19995</v>
      </c>
      <c r="J129" s="349">
        <f t="shared" si="28"/>
        <v>169995</v>
      </c>
      <c r="K129" s="348">
        <v>50</v>
      </c>
      <c r="L129" s="380">
        <v>3399.9</v>
      </c>
      <c r="M129" s="394">
        <f>I129/50</f>
        <v>399.9</v>
      </c>
      <c r="N129" s="394">
        <f>H129/50</f>
        <v>3000</v>
      </c>
      <c r="O129" s="394">
        <f t="shared" si="29"/>
        <v>19595.099999999999</v>
      </c>
      <c r="P129" s="394">
        <f t="shared" si="30"/>
        <v>399.9</v>
      </c>
      <c r="Q129" s="348">
        <v>49</v>
      </c>
      <c r="R129" s="354">
        <f t="shared" si="31"/>
        <v>1</v>
      </c>
      <c r="S129" s="350">
        <f t="shared" si="32"/>
        <v>166595.1</v>
      </c>
      <c r="T129" s="350">
        <f t="shared" si="33"/>
        <v>3399.8999999999942</v>
      </c>
      <c r="U129" s="393"/>
    </row>
    <row r="130" spans="1:21">
      <c r="A130" s="378"/>
      <c r="B130" s="378"/>
      <c r="C130" s="378"/>
      <c r="D130" s="364" t="s">
        <v>1332</v>
      </c>
      <c r="E130" s="367">
        <v>126</v>
      </c>
      <c r="F130" s="393" t="s">
        <v>1437</v>
      </c>
      <c r="G130" s="393" t="s">
        <v>1284</v>
      </c>
      <c r="H130" s="351">
        <v>500000</v>
      </c>
      <c r="I130" s="351">
        <v>66650</v>
      </c>
      <c r="J130" s="349">
        <f t="shared" si="28"/>
        <v>566650</v>
      </c>
      <c r="K130" s="348">
        <v>50</v>
      </c>
      <c r="L130" s="380">
        <v>11333</v>
      </c>
      <c r="M130" s="394">
        <f>I130/50</f>
        <v>1333</v>
      </c>
      <c r="N130" s="394">
        <f>H130/50</f>
        <v>10000</v>
      </c>
      <c r="O130" s="394">
        <f t="shared" si="29"/>
        <v>42656</v>
      </c>
      <c r="P130" s="394">
        <f t="shared" si="30"/>
        <v>23994</v>
      </c>
      <c r="Q130" s="348">
        <v>32</v>
      </c>
      <c r="R130" s="354">
        <f t="shared" si="31"/>
        <v>18</v>
      </c>
      <c r="S130" s="350">
        <f t="shared" si="32"/>
        <v>362656</v>
      </c>
      <c r="T130" s="350">
        <f t="shared" si="33"/>
        <v>203994</v>
      </c>
      <c r="U130" s="393"/>
    </row>
    <row r="131" spans="1:21">
      <c r="A131" s="378"/>
      <c r="B131" s="378"/>
      <c r="C131" s="378"/>
      <c r="D131" s="393" t="s">
        <v>1502</v>
      </c>
      <c r="E131" s="367">
        <v>127</v>
      </c>
      <c r="F131" s="393" t="s">
        <v>1437</v>
      </c>
      <c r="G131" s="393" t="s">
        <v>1503</v>
      </c>
      <c r="H131" s="380">
        <v>750000</v>
      </c>
      <c r="I131" s="380">
        <v>99925</v>
      </c>
      <c r="J131" s="380">
        <f t="shared" si="28"/>
        <v>849925</v>
      </c>
      <c r="K131" s="348">
        <v>60</v>
      </c>
      <c r="L131" s="351">
        <v>14166.25</v>
      </c>
      <c r="M131" s="394">
        <f>I131/60</f>
        <v>1665.4166666666667</v>
      </c>
      <c r="N131" s="394">
        <f>H131/60</f>
        <v>12500</v>
      </c>
      <c r="O131" s="394">
        <f t="shared" si="29"/>
        <v>3330.8333333333335</v>
      </c>
      <c r="P131" s="394">
        <f t="shared" si="30"/>
        <v>96594.166666666672</v>
      </c>
      <c r="Q131" s="348">
        <v>2</v>
      </c>
      <c r="R131" s="348">
        <f t="shared" si="31"/>
        <v>58</v>
      </c>
      <c r="S131" s="380">
        <f t="shared" si="32"/>
        <v>28332.5</v>
      </c>
      <c r="T131" s="380">
        <f t="shared" si="33"/>
        <v>821592.5</v>
      </c>
      <c r="U131" s="393"/>
    </row>
    <row r="132" spans="1:21">
      <c r="A132" s="378"/>
      <c r="B132" s="378"/>
      <c r="C132" s="378"/>
      <c r="D132" s="393" t="s">
        <v>1411</v>
      </c>
      <c r="E132" s="367">
        <v>128</v>
      </c>
      <c r="F132" s="393" t="s">
        <v>1437</v>
      </c>
      <c r="G132" s="393" t="s">
        <v>473</v>
      </c>
      <c r="H132" s="351">
        <v>500000</v>
      </c>
      <c r="I132" s="351">
        <v>66650</v>
      </c>
      <c r="J132" s="349">
        <f t="shared" si="28"/>
        <v>566650</v>
      </c>
      <c r="K132" s="348">
        <v>40</v>
      </c>
      <c r="L132" s="380">
        <v>13833</v>
      </c>
      <c r="M132" s="394">
        <f>I132/50</f>
        <v>1333</v>
      </c>
      <c r="N132" s="394">
        <f>H132/50</f>
        <v>10000</v>
      </c>
      <c r="O132" s="394">
        <f t="shared" si="29"/>
        <v>13330</v>
      </c>
      <c r="P132" s="394">
        <f t="shared" si="30"/>
        <v>39990</v>
      </c>
      <c r="Q132" s="348">
        <v>10</v>
      </c>
      <c r="R132" s="354">
        <f t="shared" si="31"/>
        <v>30</v>
      </c>
      <c r="S132" s="350">
        <f t="shared" si="32"/>
        <v>138330</v>
      </c>
      <c r="T132" s="350">
        <f t="shared" si="33"/>
        <v>428320</v>
      </c>
      <c r="U132" s="393"/>
    </row>
    <row r="133" spans="1:21">
      <c r="A133" s="378"/>
      <c r="B133" s="378"/>
      <c r="C133" s="378"/>
      <c r="D133" s="363" t="s">
        <v>1329</v>
      </c>
      <c r="E133" s="367">
        <v>129</v>
      </c>
      <c r="F133" s="393" t="s">
        <v>1437</v>
      </c>
      <c r="G133" s="393" t="s">
        <v>463</v>
      </c>
      <c r="H133" s="351">
        <v>500000</v>
      </c>
      <c r="I133" s="351">
        <v>66650</v>
      </c>
      <c r="J133" s="349">
        <f t="shared" ref="J133:J164" si="37">SUM(H133:I133)</f>
        <v>566650</v>
      </c>
      <c r="K133" s="348">
        <v>50</v>
      </c>
      <c r="L133" s="380">
        <v>11333</v>
      </c>
      <c r="M133" s="394">
        <f>I133/50</f>
        <v>1333</v>
      </c>
      <c r="N133" s="394">
        <f>H133/50</f>
        <v>10000</v>
      </c>
      <c r="O133" s="394">
        <f t="shared" ref="O133:O164" si="38">M133*Q133</f>
        <v>29326</v>
      </c>
      <c r="P133" s="394">
        <f t="shared" ref="P133:P164" si="39">M133*R133</f>
        <v>37324</v>
      </c>
      <c r="Q133" s="348">
        <v>22</v>
      </c>
      <c r="R133" s="354">
        <f t="shared" ref="R133:R164" si="40">K133-Q133</f>
        <v>28</v>
      </c>
      <c r="S133" s="350">
        <f t="shared" ref="S133:S164" si="41">L133*Q133</f>
        <v>249326</v>
      </c>
      <c r="T133" s="350">
        <f t="shared" ref="T133:T164" si="42">J133-S133</f>
        <v>317324</v>
      </c>
      <c r="U133" s="393"/>
    </row>
    <row r="134" spans="1:21">
      <c r="A134" s="378"/>
      <c r="B134" s="378"/>
      <c r="C134" s="378"/>
      <c r="D134" s="115" t="s">
        <v>1358</v>
      </c>
      <c r="E134" s="367">
        <v>130</v>
      </c>
      <c r="F134" s="393" t="s">
        <v>1437</v>
      </c>
      <c r="G134" s="393" t="s">
        <v>1359</v>
      </c>
      <c r="H134" s="351">
        <v>450000</v>
      </c>
      <c r="I134" s="351">
        <v>59985</v>
      </c>
      <c r="J134" s="349">
        <f t="shared" si="37"/>
        <v>509985</v>
      </c>
      <c r="K134" s="348">
        <v>50</v>
      </c>
      <c r="L134" s="380">
        <v>10199.700000000001</v>
      </c>
      <c r="M134" s="394">
        <f>I134/50</f>
        <v>1199.7</v>
      </c>
      <c r="N134" s="394">
        <f>H134/50</f>
        <v>9000</v>
      </c>
      <c r="O134" s="394">
        <f t="shared" si="38"/>
        <v>14396.400000000001</v>
      </c>
      <c r="P134" s="394">
        <f t="shared" si="39"/>
        <v>45588.6</v>
      </c>
      <c r="Q134" s="348">
        <v>12</v>
      </c>
      <c r="R134" s="354">
        <f t="shared" si="40"/>
        <v>38</v>
      </c>
      <c r="S134" s="350">
        <f t="shared" si="41"/>
        <v>122396.40000000001</v>
      </c>
      <c r="T134" s="350">
        <f t="shared" si="42"/>
        <v>387588.6</v>
      </c>
      <c r="U134" s="393"/>
    </row>
    <row r="135" spans="1:21">
      <c r="A135" s="378"/>
      <c r="B135" s="378"/>
      <c r="C135" s="378"/>
      <c r="D135" s="393" t="s">
        <v>1334</v>
      </c>
      <c r="E135" s="367">
        <v>131</v>
      </c>
      <c r="F135" s="393" t="s">
        <v>1437</v>
      </c>
      <c r="G135" s="393" t="s">
        <v>1294</v>
      </c>
      <c r="H135" s="380">
        <v>600000</v>
      </c>
      <c r="I135" s="380">
        <v>79980</v>
      </c>
      <c r="J135" s="380">
        <f t="shared" si="37"/>
        <v>679980</v>
      </c>
      <c r="K135" s="348">
        <v>60</v>
      </c>
      <c r="L135" s="351">
        <v>11333</v>
      </c>
      <c r="M135" s="394">
        <f>I135/60</f>
        <v>1333</v>
      </c>
      <c r="N135" s="394">
        <f>H135/60</f>
        <v>10000</v>
      </c>
      <c r="O135" s="394">
        <f t="shared" si="38"/>
        <v>2666</v>
      </c>
      <c r="P135" s="394">
        <f t="shared" si="39"/>
        <v>77314</v>
      </c>
      <c r="Q135" s="348">
        <v>2</v>
      </c>
      <c r="R135" s="348">
        <f t="shared" si="40"/>
        <v>58</v>
      </c>
      <c r="S135" s="380">
        <f t="shared" si="41"/>
        <v>22666</v>
      </c>
      <c r="T135" s="380">
        <f t="shared" si="42"/>
        <v>657314</v>
      </c>
      <c r="U135" s="393"/>
    </row>
    <row r="136" spans="1:21">
      <c r="A136" s="378"/>
      <c r="B136" s="378"/>
      <c r="C136" s="378"/>
      <c r="D136" s="116" t="s">
        <v>1319</v>
      </c>
      <c r="E136" s="367">
        <v>132</v>
      </c>
      <c r="F136" s="393" t="s">
        <v>1437</v>
      </c>
      <c r="G136" s="393" t="s">
        <v>305</v>
      </c>
      <c r="H136" s="351">
        <v>500000</v>
      </c>
      <c r="I136" s="351">
        <v>66650</v>
      </c>
      <c r="J136" s="349">
        <f t="shared" si="37"/>
        <v>566650</v>
      </c>
      <c r="K136" s="348">
        <v>40</v>
      </c>
      <c r="L136" s="380">
        <v>13833</v>
      </c>
      <c r="M136" s="394">
        <f>I136/50</f>
        <v>1333</v>
      </c>
      <c r="N136" s="394">
        <f>H136/50</f>
        <v>10000</v>
      </c>
      <c r="O136" s="394">
        <f t="shared" si="38"/>
        <v>15996</v>
      </c>
      <c r="P136" s="394">
        <f t="shared" si="39"/>
        <v>37324</v>
      </c>
      <c r="Q136" s="348">
        <v>12</v>
      </c>
      <c r="R136" s="354">
        <f t="shared" si="40"/>
        <v>28</v>
      </c>
      <c r="S136" s="350">
        <f t="shared" si="41"/>
        <v>165996</v>
      </c>
      <c r="T136" s="350">
        <f t="shared" si="42"/>
        <v>400654</v>
      </c>
      <c r="U136" s="393"/>
    </row>
    <row r="137" spans="1:21">
      <c r="A137" s="378"/>
      <c r="B137" s="378"/>
      <c r="C137" s="378"/>
      <c r="D137" s="393" t="s">
        <v>988</v>
      </c>
      <c r="E137" s="367">
        <v>133</v>
      </c>
      <c r="F137" s="393" t="s">
        <v>1437</v>
      </c>
      <c r="G137" s="393" t="s">
        <v>296</v>
      </c>
      <c r="H137" s="351">
        <v>450000</v>
      </c>
      <c r="I137" s="351">
        <v>59985</v>
      </c>
      <c r="J137" s="349">
        <f t="shared" si="37"/>
        <v>509985</v>
      </c>
      <c r="K137" s="348">
        <v>50</v>
      </c>
      <c r="L137" s="380">
        <v>10199.700000000001</v>
      </c>
      <c r="M137" s="394">
        <f>I137/50</f>
        <v>1199.7</v>
      </c>
      <c r="N137" s="394">
        <f>H137/50</f>
        <v>9000</v>
      </c>
      <c r="O137" s="394">
        <f t="shared" si="38"/>
        <v>5998.5</v>
      </c>
      <c r="P137" s="394">
        <f t="shared" si="39"/>
        <v>53986.5</v>
      </c>
      <c r="Q137" s="348">
        <v>5</v>
      </c>
      <c r="R137" s="354">
        <f t="shared" si="40"/>
        <v>45</v>
      </c>
      <c r="S137" s="350">
        <f t="shared" si="41"/>
        <v>50998.5</v>
      </c>
      <c r="T137" s="350">
        <f t="shared" si="42"/>
        <v>458986.5</v>
      </c>
      <c r="U137" s="393"/>
    </row>
    <row r="138" spans="1:21" ht="31.5">
      <c r="A138" s="378"/>
      <c r="B138" s="378"/>
      <c r="C138" s="378"/>
      <c r="D138" s="393" t="s">
        <v>1498</v>
      </c>
      <c r="E138" s="367">
        <v>134</v>
      </c>
      <c r="F138" s="393" t="s">
        <v>1437</v>
      </c>
      <c r="G138" s="395" t="s">
        <v>1499</v>
      </c>
      <c r="H138" s="380">
        <v>750000</v>
      </c>
      <c r="I138" s="380">
        <v>99925</v>
      </c>
      <c r="J138" s="380">
        <f t="shared" si="37"/>
        <v>849925</v>
      </c>
      <c r="K138" s="348">
        <v>60</v>
      </c>
      <c r="L138" s="351">
        <v>14166.25</v>
      </c>
      <c r="M138" s="394">
        <f>I138/60</f>
        <v>1665.4166666666667</v>
      </c>
      <c r="N138" s="394">
        <f>H138/60</f>
        <v>12500</v>
      </c>
      <c r="O138" s="394">
        <f t="shared" si="38"/>
        <v>3330.8333333333335</v>
      </c>
      <c r="P138" s="394">
        <f t="shared" si="39"/>
        <v>96594.166666666672</v>
      </c>
      <c r="Q138" s="348">
        <v>2</v>
      </c>
      <c r="R138" s="348">
        <f t="shared" si="40"/>
        <v>58</v>
      </c>
      <c r="S138" s="380">
        <f t="shared" si="41"/>
        <v>28332.5</v>
      </c>
      <c r="T138" s="380">
        <f t="shared" si="42"/>
        <v>821592.5</v>
      </c>
      <c r="U138" s="393"/>
    </row>
    <row r="139" spans="1:21">
      <c r="A139" s="378"/>
      <c r="B139" s="378"/>
      <c r="C139" s="378"/>
      <c r="D139" s="116" t="s">
        <v>1388</v>
      </c>
      <c r="E139" s="367">
        <v>135</v>
      </c>
      <c r="F139" s="393" t="s">
        <v>1437</v>
      </c>
      <c r="G139" s="393" t="s">
        <v>1389</v>
      </c>
      <c r="H139" s="351">
        <v>330000</v>
      </c>
      <c r="I139" s="351">
        <v>43989</v>
      </c>
      <c r="J139" s="349">
        <f t="shared" si="37"/>
        <v>373989</v>
      </c>
      <c r="K139" s="348">
        <v>50</v>
      </c>
      <c r="L139" s="380">
        <v>7479.78</v>
      </c>
      <c r="M139" s="394">
        <f t="shared" ref="M139:M149" si="43">I139/50</f>
        <v>879.78</v>
      </c>
      <c r="N139" s="394">
        <f t="shared" ref="N139:N149" si="44">H139/50</f>
        <v>6600</v>
      </c>
      <c r="O139" s="394">
        <f t="shared" si="38"/>
        <v>12316.92</v>
      </c>
      <c r="P139" s="394">
        <f t="shared" si="39"/>
        <v>31672.079999999998</v>
      </c>
      <c r="Q139" s="348">
        <v>14</v>
      </c>
      <c r="R139" s="354">
        <f t="shared" si="40"/>
        <v>36</v>
      </c>
      <c r="S139" s="350">
        <f t="shared" si="41"/>
        <v>104716.92</v>
      </c>
      <c r="T139" s="350">
        <f t="shared" si="42"/>
        <v>269272.08</v>
      </c>
      <c r="U139" s="393"/>
    </row>
    <row r="140" spans="1:21">
      <c r="A140" s="378"/>
      <c r="B140" s="378"/>
      <c r="C140" s="378"/>
      <c r="D140" s="363" t="s">
        <v>1360</v>
      </c>
      <c r="E140" s="367">
        <v>136</v>
      </c>
      <c r="F140" s="393" t="s">
        <v>1437</v>
      </c>
      <c r="G140" s="393" t="s">
        <v>293</v>
      </c>
      <c r="H140" s="351">
        <v>450000</v>
      </c>
      <c r="I140" s="351">
        <v>59985</v>
      </c>
      <c r="J140" s="349">
        <f t="shared" si="37"/>
        <v>509985</v>
      </c>
      <c r="K140" s="348">
        <v>50</v>
      </c>
      <c r="L140" s="380">
        <v>10199.700000000001</v>
      </c>
      <c r="M140" s="394">
        <f t="shared" si="43"/>
        <v>1199.7</v>
      </c>
      <c r="N140" s="394">
        <f t="shared" si="44"/>
        <v>9000</v>
      </c>
      <c r="O140" s="394">
        <f t="shared" si="38"/>
        <v>28792.800000000003</v>
      </c>
      <c r="P140" s="394">
        <f t="shared" si="39"/>
        <v>31192.2</v>
      </c>
      <c r="Q140" s="348">
        <v>24</v>
      </c>
      <c r="R140" s="354">
        <f t="shared" si="40"/>
        <v>26</v>
      </c>
      <c r="S140" s="350">
        <f t="shared" si="41"/>
        <v>244792.80000000002</v>
      </c>
      <c r="T140" s="350">
        <f t="shared" si="42"/>
        <v>265192.19999999995</v>
      </c>
      <c r="U140" s="393"/>
    </row>
    <row r="141" spans="1:21">
      <c r="A141" s="378"/>
      <c r="B141" s="378"/>
      <c r="C141" s="378"/>
      <c r="D141" s="393" t="s">
        <v>1450</v>
      </c>
      <c r="E141" s="367">
        <v>137</v>
      </c>
      <c r="F141" s="393" t="s">
        <v>1437</v>
      </c>
      <c r="G141" s="393" t="s">
        <v>1451</v>
      </c>
      <c r="H141" s="351">
        <v>450000</v>
      </c>
      <c r="I141" s="351">
        <v>59985</v>
      </c>
      <c r="J141" s="349">
        <f t="shared" si="37"/>
        <v>509985</v>
      </c>
      <c r="K141" s="348">
        <v>50</v>
      </c>
      <c r="L141" s="380">
        <v>10199.700000000001</v>
      </c>
      <c r="M141" s="394">
        <f t="shared" si="43"/>
        <v>1199.7</v>
      </c>
      <c r="N141" s="394">
        <f t="shared" si="44"/>
        <v>9000</v>
      </c>
      <c r="O141" s="394">
        <f t="shared" si="38"/>
        <v>9597.6</v>
      </c>
      <c r="P141" s="394">
        <f t="shared" si="39"/>
        <v>50387.4</v>
      </c>
      <c r="Q141" s="348">
        <v>8</v>
      </c>
      <c r="R141" s="354">
        <f t="shared" si="40"/>
        <v>42</v>
      </c>
      <c r="S141" s="350">
        <f t="shared" si="41"/>
        <v>81597.600000000006</v>
      </c>
      <c r="T141" s="350">
        <f t="shared" si="42"/>
        <v>428387.4</v>
      </c>
      <c r="U141" s="393"/>
    </row>
    <row r="142" spans="1:21">
      <c r="A142" s="378"/>
      <c r="B142" s="378"/>
      <c r="C142" s="378"/>
      <c r="D142" s="364" t="s">
        <v>1094</v>
      </c>
      <c r="E142" s="367">
        <v>138</v>
      </c>
      <c r="F142" s="393" t="s">
        <v>1437</v>
      </c>
      <c r="G142" s="393" t="s">
        <v>1095</v>
      </c>
      <c r="H142" s="351">
        <v>500000</v>
      </c>
      <c r="I142" s="351">
        <v>66650</v>
      </c>
      <c r="J142" s="349">
        <f t="shared" si="37"/>
        <v>566650</v>
      </c>
      <c r="K142" s="348">
        <v>50</v>
      </c>
      <c r="L142" s="380">
        <v>11333</v>
      </c>
      <c r="M142" s="394">
        <f t="shared" si="43"/>
        <v>1333</v>
      </c>
      <c r="N142" s="394">
        <f t="shared" si="44"/>
        <v>10000</v>
      </c>
      <c r="O142" s="394">
        <f t="shared" si="38"/>
        <v>38657</v>
      </c>
      <c r="P142" s="394">
        <f t="shared" si="39"/>
        <v>27993</v>
      </c>
      <c r="Q142" s="348">
        <v>29</v>
      </c>
      <c r="R142" s="354">
        <f t="shared" si="40"/>
        <v>21</v>
      </c>
      <c r="S142" s="350">
        <f t="shared" si="41"/>
        <v>328657</v>
      </c>
      <c r="T142" s="350">
        <f t="shared" si="42"/>
        <v>237993</v>
      </c>
      <c r="U142" s="393"/>
    </row>
    <row r="143" spans="1:21">
      <c r="A143" s="378"/>
      <c r="B143" s="378"/>
      <c r="C143" s="378"/>
      <c r="D143" s="115" t="s">
        <v>1330</v>
      </c>
      <c r="E143" s="367">
        <v>139</v>
      </c>
      <c r="F143" s="393" t="s">
        <v>1437</v>
      </c>
      <c r="G143" s="393" t="s">
        <v>1331</v>
      </c>
      <c r="H143" s="351">
        <v>500000</v>
      </c>
      <c r="I143" s="351">
        <v>66650</v>
      </c>
      <c r="J143" s="349">
        <f t="shared" si="37"/>
        <v>566650</v>
      </c>
      <c r="K143" s="348">
        <v>50</v>
      </c>
      <c r="L143" s="380">
        <v>11333</v>
      </c>
      <c r="M143" s="394">
        <f t="shared" si="43"/>
        <v>1333</v>
      </c>
      <c r="N143" s="394">
        <f t="shared" si="44"/>
        <v>10000</v>
      </c>
      <c r="O143" s="394">
        <f t="shared" si="38"/>
        <v>31992</v>
      </c>
      <c r="P143" s="394">
        <f t="shared" si="39"/>
        <v>34658</v>
      </c>
      <c r="Q143" s="348">
        <v>24</v>
      </c>
      <c r="R143" s="354">
        <f t="shared" si="40"/>
        <v>26</v>
      </c>
      <c r="S143" s="350">
        <f t="shared" si="41"/>
        <v>271992</v>
      </c>
      <c r="T143" s="350">
        <f t="shared" si="42"/>
        <v>294658</v>
      </c>
      <c r="U143" s="393"/>
    </row>
    <row r="144" spans="1:21">
      <c r="A144" s="378"/>
      <c r="B144" s="378"/>
      <c r="C144" s="378"/>
      <c r="D144" s="364" t="s">
        <v>1368</v>
      </c>
      <c r="E144" s="367">
        <v>140</v>
      </c>
      <c r="F144" s="393" t="s">
        <v>1437</v>
      </c>
      <c r="G144" s="393" t="s">
        <v>443</v>
      </c>
      <c r="H144" s="351">
        <v>330000</v>
      </c>
      <c r="I144" s="351">
        <v>43989</v>
      </c>
      <c r="J144" s="349">
        <f t="shared" si="37"/>
        <v>373989</v>
      </c>
      <c r="K144" s="348">
        <v>50</v>
      </c>
      <c r="L144" s="380">
        <v>7479.78</v>
      </c>
      <c r="M144" s="394">
        <f t="shared" si="43"/>
        <v>879.78</v>
      </c>
      <c r="N144" s="394">
        <f t="shared" si="44"/>
        <v>6600</v>
      </c>
      <c r="O144" s="394">
        <f t="shared" si="38"/>
        <v>14956.26</v>
      </c>
      <c r="P144" s="394">
        <f t="shared" si="39"/>
        <v>29032.739999999998</v>
      </c>
      <c r="Q144" s="348">
        <v>17</v>
      </c>
      <c r="R144" s="354">
        <f t="shared" si="40"/>
        <v>33</v>
      </c>
      <c r="S144" s="350">
        <f t="shared" si="41"/>
        <v>127156.26</v>
      </c>
      <c r="T144" s="350">
        <f t="shared" si="42"/>
        <v>246832.74</v>
      </c>
      <c r="U144" s="393"/>
    </row>
    <row r="145" spans="1:21">
      <c r="A145" s="378"/>
      <c r="B145" s="378"/>
      <c r="C145" s="378"/>
      <c r="D145" s="393" t="s">
        <v>1469</v>
      </c>
      <c r="E145" s="367">
        <v>141</v>
      </c>
      <c r="F145" s="393" t="s">
        <v>1437</v>
      </c>
      <c r="G145" s="393" t="s">
        <v>1470</v>
      </c>
      <c r="H145" s="351">
        <v>500000</v>
      </c>
      <c r="I145" s="351">
        <v>66650</v>
      </c>
      <c r="J145" s="349">
        <f t="shared" si="37"/>
        <v>566650</v>
      </c>
      <c r="K145" s="348">
        <v>50</v>
      </c>
      <c r="L145" s="380">
        <v>11333</v>
      </c>
      <c r="M145" s="394">
        <f t="shared" si="43"/>
        <v>1333</v>
      </c>
      <c r="N145" s="394">
        <f t="shared" si="44"/>
        <v>10000</v>
      </c>
      <c r="O145" s="394">
        <f t="shared" si="38"/>
        <v>6665</v>
      </c>
      <c r="P145" s="394">
        <f t="shared" si="39"/>
        <v>59985</v>
      </c>
      <c r="Q145" s="348">
        <v>5</v>
      </c>
      <c r="R145" s="354">
        <f t="shared" si="40"/>
        <v>45</v>
      </c>
      <c r="S145" s="350">
        <f t="shared" si="41"/>
        <v>56665</v>
      </c>
      <c r="T145" s="350">
        <f t="shared" si="42"/>
        <v>509985</v>
      </c>
      <c r="U145" s="393"/>
    </row>
    <row r="146" spans="1:21">
      <c r="A146" s="378"/>
      <c r="B146" s="378"/>
      <c r="C146" s="378"/>
      <c r="D146" s="364" t="s">
        <v>1006</v>
      </c>
      <c r="E146" s="367">
        <v>142</v>
      </c>
      <c r="F146" s="393" t="s">
        <v>1437</v>
      </c>
      <c r="G146" s="393" t="s">
        <v>865</v>
      </c>
      <c r="H146" s="351">
        <v>500000</v>
      </c>
      <c r="I146" s="351">
        <v>66650</v>
      </c>
      <c r="J146" s="349">
        <f t="shared" si="37"/>
        <v>566650</v>
      </c>
      <c r="K146" s="348">
        <v>50</v>
      </c>
      <c r="L146" s="380">
        <v>11333</v>
      </c>
      <c r="M146" s="394">
        <f t="shared" si="43"/>
        <v>1333</v>
      </c>
      <c r="N146" s="394">
        <f t="shared" si="44"/>
        <v>10000</v>
      </c>
      <c r="O146" s="394">
        <f t="shared" si="38"/>
        <v>83979</v>
      </c>
      <c r="P146" s="394">
        <f t="shared" si="39"/>
        <v>-17329</v>
      </c>
      <c r="Q146" s="348">
        <v>63</v>
      </c>
      <c r="R146" s="354">
        <f t="shared" si="40"/>
        <v>-13</v>
      </c>
      <c r="S146" s="350">
        <f t="shared" si="41"/>
        <v>713979</v>
      </c>
      <c r="T146" s="350">
        <f t="shared" si="42"/>
        <v>-147329</v>
      </c>
      <c r="U146" s="393"/>
    </row>
    <row r="147" spans="1:21">
      <c r="A147" s="378"/>
      <c r="B147" s="378"/>
      <c r="C147" s="378"/>
      <c r="D147" s="393" t="s">
        <v>1414</v>
      </c>
      <c r="E147" s="367">
        <v>143</v>
      </c>
      <c r="F147" s="393" t="s">
        <v>1437</v>
      </c>
      <c r="G147" s="393" t="s">
        <v>459</v>
      </c>
      <c r="H147" s="351">
        <v>500000</v>
      </c>
      <c r="I147" s="351">
        <v>66650</v>
      </c>
      <c r="J147" s="349">
        <f t="shared" si="37"/>
        <v>566650</v>
      </c>
      <c r="K147" s="348">
        <v>50</v>
      </c>
      <c r="L147" s="380">
        <v>11333</v>
      </c>
      <c r="M147" s="394">
        <f t="shared" si="43"/>
        <v>1333</v>
      </c>
      <c r="N147" s="394">
        <f t="shared" si="44"/>
        <v>10000</v>
      </c>
      <c r="O147" s="394">
        <f t="shared" si="38"/>
        <v>13330</v>
      </c>
      <c r="P147" s="394">
        <f t="shared" si="39"/>
        <v>53320</v>
      </c>
      <c r="Q147" s="348">
        <v>10</v>
      </c>
      <c r="R147" s="354">
        <f t="shared" si="40"/>
        <v>40</v>
      </c>
      <c r="S147" s="350">
        <f t="shared" si="41"/>
        <v>113330</v>
      </c>
      <c r="T147" s="350">
        <f t="shared" si="42"/>
        <v>453320</v>
      </c>
      <c r="U147" s="393"/>
    </row>
    <row r="148" spans="1:21">
      <c r="A148" s="378"/>
      <c r="B148" s="378"/>
      <c r="C148" s="378"/>
      <c r="D148" s="364" t="s">
        <v>1080</v>
      </c>
      <c r="E148" s="367">
        <v>144</v>
      </c>
      <c r="F148" s="393" t="s">
        <v>1437</v>
      </c>
      <c r="G148" s="393" t="s">
        <v>315</v>
      </c>
      <c r="H148" s="351">
        <v>500000</v>
      </c>
      <c r="I148" s="351">
        <v>66650</v>
      </c>
      <c r="J148" s="349">
        <f t="shared" si="37"/>
        <v>566650</v>
      </c>
      <c r="K148" s="348">
        <v>50</v>
      </c>
      <c r="L148" s="380">
        <v>11333</v>
      </c>
      <c r="M148" s="394">
        <f t="shared" si="43"/>
        <v>1333</v>
      </c>
      <c r="N148" s="394">
        <f t="shared" si="44"/>
        <v>10000</v>
      </c>
      <c r="O148" s="394">
        <f t="shared" si="38"/>
        <v>65317</v>
      </c>
      <c r="P148" s="394">
        <f t="shared" si="39"/>
        <v>1333</v>
      </c>
      <c r="Q148" s="348">
        <v>49</v>
      </c>
      <c r="R148" s="354">
        <f t="shared" si="40"/>
        <v>1</v>
      </c>
      <c r="S148" s="350">
        <f t="shared" si="41"/>
        <v>555317</v>
      </c>
      <c r="T148" s="350">
        <f t="shared" si="42"/>
        <v>11333</v>
      </c>
      <c r="U148" s="393"/>
    </row>
    <row r="149" spans="1:21">
      <c r="A149" s="378"/>
      <c r="B149" s="378"/>
      <c r="C149" s="378"/>
      <c r="D149" s="364" t="s">
        <v>1084</v>
      </c>
      <c r="E149" s="367">
        <v>145</v>
      </c>
      <c r="F149" s="393" t="s">
        <v>1437</v>
      </c>
      <c r="G149" s="393" t="s">
        <v>353</v>
      </c>
      <c r="H149" s="351">
        <v>500000</v>
      </c>
      <c r="I149" s="351">
        <v>66650</v>
      </c>
      <c r="J149" s="349">
        <f t="shared" si="37"/>
        <v>566650</v>
      </c>
      <c r="K149" s="348">
        <v>50</v>
      </c>
      <c r="L149" s="380">
        <v>11333</v>
      </c>
      <c r="M149" s="394">
        <f t="shared" si="43"/>
        <v>1333</v>
      </c>
      <c r="N149" s="394">
        <f t="shared" si="44"/>
        <v>10000</v>
      </c>
      <c r="O149" s="394">
        <f t="shared" si="38"/>
        <v>65317</v>
      </c>
      <c r="P149" s="394">
        <f t="shared" si="39"/>
        <v>1333</v>
      </c>
      <c r="Q149" s="348">
        <v>49</v>
      </c>
      <c r="R149" s="354">
        <f t="shared" si="40"/>
        <v>1</v>
      </c>
      <c r="S149" s="350">
        <f t="shared" si="41"/>
        <v>555317</v>
      </c>
      <c r="T149" s="350">
        <f t="shared" si="42"/>
        <v>11333</v>
      </c>
      <c r="U149" s="393"/>
    </row>
    <row r="150" spans="1:21">
      <c r="A150" s="378"/>
      <c r="B150" s="378"/>
      <c r="C150" s="378"/>
      <c r="D150" s="393" t="s">
        <v>1500</v>
      </c>
      <c r="E150" s="367">
        <v>146</v>
      </c>
      <c r="F150" s="393" t="s">
        <v>1437</v>
      </c>
      <c r="G150" s="393" t="s">
        <v>437</v>
      </c>
      <c r="H150" s="380">
        <v>750000</v>
      </c>
      <c r="I150" s="380">
        <v>99925</v>
      </c>
      <c r="J150" s="380">
        <f t="shared" si="37"/>
        <v>849925</v>
      </c>
      <c r="K150" s="348">
        <v>60</v>
      </c>
      <c r="L150" s="351">
        <v>14166.25</v>
      </c>
      <c r="M150" s="394">
        <f>I150/60</f>
        <v>1665.4166666666667</v>
      </c>
      <c r="N150" s="394">
        <f>H150/60</f>
        <v>12500</v>
      </c>
      <c r="O150" s="394">
        <f t="shared" si="38"/>
        <v>3330.8333333333335</v>
      </c>
      <c r="P150" s="394">
        <f t="shared" si="39"/>
        <v>96594.166666666672</v>
      </c>
      <c r="Q150" s="348">
        <v>2</v>
      </c>
      <c r="R150" s="348">
        <f t="shared" si="40"/>
        <v>58</v>
      </c>
      <c r="S150" s="380">
        <f t="shared" si="41"/>
        <v>28332.5</v>
      </c>
      <c r="T150" s="380">
        <f t="shared" si="42"/>
        <v>821592.5</v>
      </c>
      <c r="U150" s="393"/>
    </row>
    <row r="151" spans="1:21">
      <c r="A151" s="378"/>
      <c r="B151" s="378"/>
      <c r="C151" s="378"/>
      <c r="D151" s="116" t="s">
        <v>1108</v>
      </c>
      <c r="E151" s="367">
        <v>147</v>
      </c>
      <c r="F151" s="393" t="s">
        <v>1437</v>
      </c>
      <c r="G151" s="393" t="s">
        <v>802</v>
      </c>
      <c r="H151" s="351">
        <v>500000</v>
      </c>
      <c r="I151" s="351">
        <v>66650</v>
      </c>
      <c r="J151" s="349">
        <f t="shared" si="37"/>
        <v>566650</v>
      </c>
      <c r="K151" s="348">
        <v>50</v>
      </c>
      <c r="L151" s="380">
        <v>11333</v>
      </c>
      <c r="M151" s="394">
        <f>I151/50</f>
        <v>1333</v>
      </c>
      <c r="N151" s="394">
        <f>H151/50</f>
        <v>10000</v>
      </c>
      <c r="O151" s="394">
        <f t="shared" si="38"/>
        <v>51987</v>
      </c>
      <c r="P151" s="394">
        <f t="shared" si="39"/>
        <v>14663</v>
      </c>
      <c r="Q151" s="348">
        <v>39</v>
      </c>
      <c r="R151" s="354">
        <f t="shared" si="40"/>
        <v>11</v>
      </c>
      <c r="S151" s="350">
        <f t="shared" si="41"/>
        <v>441987</v>
      </c>
      <c r="T151" s="350">
        <f t="shared" si="42"/>
        <v>124663</v>
      </c>
      <c r="U151" s="393"/>
    </row>
    <row r="152" spans="1:21">
      <c r="A152" s="378"/>
      <c r="B152" s="378"/>
      <c r="C152" s="378"/>
      <c r="D152" s="364" t="s">
        <v>1333</v>
      </c>
      <c r="E152" s="367">
        <v>148</v>
      </c>
      <c r="F152" s="393" t="s">
        <v>1437</v>
      </c>
      <c r="G152" s="393" t="s">
        <v>1281</v>
      </c>
      <c r="H152" s="351">
        <v>500000</v>
      </c>
      <c r="I152" s="351">
        <v>66650</v>
      </c>
      <c r="J152" s="349">
        <f t="shared" si="37"/>
        <v>566650</v>
      </c>
      <c r="K152" s="348">
        <v>50</v>
      </c>
      <c r="L152" s="380">
        <v>11333</v>
      </c>
      <c r="M152" s="394">
        <f>I152/50</f>
        <v>1333</v>
      </c>
      <c r="N152" s="394">
        <f>H152/50</f>
        <v>10000</v>
      </c>
      <c r="O152" s="394">
        <f t="shared" si="38"/>
        <v>22661</v>
      </c>
      <c r="P152" s="394">
        <f t="shared" si="39"/>
        <v>43989</v>
      </c>
      <c r="Q152" s="348">
        <v>17</v>
      </c>
      <c r="R152" s="354">
        <f t="shared" si="40"/>
        <v>33</v>
      </c>
      <c r="S152" s="350">
        <f t="shared" si="41"/>
        <v>192661</v>
      </c>
      <c r="T152" s="350">
        <f t="shared" si="42"/>
        <v>373989</v>
      </c>
      <c r="U152" s="393"/>
    </row>
    <row r="153" spans="1:21">
      <c r="A153" s="378"/>
      <c r="B153" s="378"/>
      <c r="C153" s="378"/>
      <c r="D153" s="364" t="s">
        <v>1057</v>
      </c>
      <c r="E153" s="367">
        <v>149</v>
      </c>
      <c r="F153" s="393" t="s">
        <v>1437</v>
      </c>
      <c r="G153" s="393" t="s">
        <v>412</v>
      </c>
      <c r="H153" s="351">
        <v>500000</v>
      </c>
      <c r="I153" s="351">
        <v>66650</v>
      </c>
      <c r="J153" s="349">
        <f t="shared" si="37"/>
        <v>566650</v>
      </c>
      <c r="K153" s="348">
        <v>50</v>
      </c>
      <c r="L153" s="380">
        <v>11333</v>
      </c>
      <c r="M153" s="394">
        <f>I153/50</f>
        <v>1333</v>
      </c>
      <c r="N153" s="394">
        <f>H153/50</f>
        <v>10000</v>
      </c>
      <c r="O153" s="394">
        <f t="shared" si="38"/>
        <v>42656</v>
      </c>
      <c r="P153" s="394">
        <f t="shared" si="39"/>
        <v>23994</v>
      </c>
      <c r="Q153" s="348">
        <v>32</v>
      </c>
      <c r="R153" s="354">
        <f t="shared" si="40"/>
        <v>18</v>
      </c>
      <c r="S153" s="350">
        <f t="shared" si="41"/>
        <v>362656</v>
      </c>
      <c r="T153" s="350">
        <f t="shared" si="42"/>
        <v>203994</v>
      </c>
      <c r="U153" s="393"/>
    </row>
    <row r="154" spans="1:21">
      <c r="A154" s="378"/>
      <c r="B154" s="378"/>
      <c r="C154" s="378"/>
      <c r="D154" s="393" t="s">
        <v>1471</v>
      </c>
      <c r="E154" s="367">
        <v>150</v>
      </c>
      <c r="F154" s="393" t="s">
        <v>1437</v>
      </c>
      <c r="G154" s="393" t="s">
        <v>1472</v>
      </c>
      <c r="H154" s="351">
        <v>500000</v>
      </c>
      <c r="I154" s="351">
        <v>66650</v>
      </c>
      <c r="J154" s="349">
        <f t="shared" si="37"/>
        <v>566650</v>
      </c>
      <c r="K154" s="348">
        <v>50</v>
      </c>
      <c r="L154" s="380">
        <v>11333</v>
      </c>
      <c r="M154" s="394">
        <f>I154/50</f>
        <v>1333</v>
      </c>
      <c r="N154" s="394">
        <f>H154/50</f>
        <v>10000</v>
      </c>
      <c r="O154" s="394">
        <f t="shared" si="38"/>
        <v>6665</v>
      </c>
      <c r="P154" s="394">
        <f t="shared" si="39"/>
        <v>59985</v>
      </c>
      <c r="Q154" s="348">
        <v>5</v>
      </c>
      <c r="R154" s="354">
        <f t="shared" si="40"/>
        <v>45</v>
      </c>
      <c r="S154" s="350">
        <f t="shared" si="41"/>
        <v>56665</v>
      </c>
      <c r="T154" s="350">
        <f t="shared" si="42"/>
        <v>509985</v>
      </c>
      <c r="U154" s="393"/>
    </row>
    <row r="155" spans="1:21">
      <c r="A155" s="378"/>
      <c r="B155" s="378"/>
      <c r="C155" s="378"/>
      <c r="D155" s="364" t="s">
        <v>1091</v>
      </c>
      <c r="E155" s="367">
        <v>151</v>
      </c>
      <c r="F155" s="393" t="s">
        <v>1437</v>
      </c>
      <c r="G155" s="393" t="s">
        <v>1092</v>
      </c>
      <c r="H155" s="351">
        <v>500000</v>
      </c>
      <c r="I155" s="351">
        <v>66650</v>
      </c>
      <c r="J155" s="349">
        <f t="shared" si="37"/>
        <v>566650</v>
      </c>
      <c r="K155" s="348">
        <v>50</v>
      </c>
      <c r="L155" s="380">
        <v>11333</v>
      </c>
      <c r="M155" s="394">
        <f>I155/50</f>
        <v>1333</v>
      </c>
      <c r="N155" s="394">
        <f>H155/50</f>
        <v>10000</v>
      </c>
      <c r="O155" s="394">
        <f t="shared" si="38"/>
        <v>82646</v>
      </c>
      <c r="P155" s="394">
        <f t="shared" si="39"/>
        <v>-15996</v>
      </c>
      <c r="Q155" s="348">
        <v>62</v>
      </c>
      <c r="R155" s="354">
        <f t="shared" si="40"/>
        <v>-12</v>
      </c>
      <c r="S155" s="350">
        <f t="shared" si="41"/>
        <v>702646</v>
      </c>
      <c r="T155" s="350">
        <f t="shared" si="42"/>
        <v>-135996</v>
      </c>
      <c r="U155" s="393"/>
    </row>
    <row r="156" spans="1:21">
      <c r="A156" s="378"/>
      <c r="B156" s="378"/>
      <c r="C156" s="378"/>
      <c r="D156" s="393" t="s">
        <v>1493</v>
      </c>
      <c r="E156" s="367">
        <v>152</v>
      </c>
      <c r="F156" s="393" t="s">
        <v>1437</v>
      </c>
      <c r="G156" s="393" t="s">
        <v>461</v>
      </c>
      <c r="H156" s="380">
        <v>750000</v>
      </c>
      <c r="I156" s="380">
        <v>79980</v>
      </c>
      <c r="J156" s="380">
        <f t="shared" si="37"/>
        <v>829980</v>
      </c>
      <c r="K156" s="348">
        <v>48</v>
      </c>
      <c r="L156" s="351">
        <v>17291.25</v>
      </c>
      <c r="M156" s="394">
        <f>I156/48</f>
        <v>1666.25</v>
      </c>
      <c r="N156" s="394">
        <f>H156/48</f>
        <v>15625</v>
      </c>
      <c r="O156" s="394">
        <f t="shared" si="38"/>
        <v>3332.5</v>
      </c>
      <c r="P156" s="394">
        <f t="shared" si="39"/>
        <v>76647.5</v>
      </c>
      <c r="Q156" s="348">
        <v>2</v>
      </c>
      <c r="R156" s="348">
        <f t="shared" si="40"/>
        <v>46</v>
      </c>
      <c r="S156" s="380">
        <f t="shared" si="41"/>
        <v>34582.5</v>
      </c>
      <c r="T156" s="380">
        <f t="shared" si="42"/>
        <v>795397.5</v>
      </c>
      <c r="U156" s="393"/>
    </row>
    <row r="157" spans="1:21">
      <c r="A157" s="378"/>
      <c r="B157" s="378"/>
      <c r="C157" s="378"/>
      <c r="D157" s="363" t="s">
        <v>1324</v>
      </c>
      <c r="E157" s="367">
        <v>153</v>
      </c>
      <c r="F157" s="393" t="s">
        <v>1437</v>
      </c>
      <c r="G157" s="393" t="s">
        <v>1325</v>
      </c>
      <c r="H157" s="351">
        <v>500000</v>
      </c>
      <c r="I157" s="351">
        <v>66650</v>
      </c>
      <c r="J157" s="349">
        <f t="shared" si="37"/>
        <v>566650</v>
      </c>
      <c r="K157" s="348">
        <v>50</v>
      </c>
      <c r="L157" s="380">
        <v>11333</v>
      </c>
      <c r="M157" s="394">
        <f>I157/50</f>
        <v>1333</v>
      </c>
      <c r="N157" s="394">
        <f>H157/50</f>
        <v>10000</v>
      </c>
      <c r="O157" s="394">
        <f t="shared" si="38"/>
        <v>19995</v>
      </c>
      <c r="P157" s="394">
        <f t="shared" si="39"/>
        <v>46655</v>
      </c>
      <c r="Q157" s="348">
        <v>15</v>
      </c>
      <c r="R157" s="354">
        <f t="shared" si="40"/>
        <v>35</v>
      </c>
      <c r="S157" s="350">
        <f t="shared" si="41"/>
        <v>169995</v>
      </c>
      <c r="T157" s="350">
        <f t="shared" si="42"/>
        <v>396655</v>
      </c>
      <c r="U157" s="393"/>
    </row>
    <row r="158" spans="1:21">
      <c r="A158" s="378"/>
      <c r="B158" s="378"/>
      <c r="C158" s="378"/>
      <c r="D158" s="363" t="s">
        <v>1340</v>
      </c>
      <c r="E158" s="367">
        <v>154</v>
      </c>
      <c r="F158" s="393" t="s">
        <v>1437</v>
      </c>
      <c r="G158" s="393" t="s">
        <v>410</v>
      </c>
      <c r="H158" s="351">
        <v>500000</v>
      </c>
      <c r="I158" s="351">
        <v>66650</v>
      </c>
      <c r="J158" s="349">
        <f t="shared" si="37"/>
        <v>566650</v>
      </c>
      <c r="K158" s="348">
        <v>50</v>
      </c>
      <c r="L158" s="380">
        <v>11333</v>
      </c>
      <c r="M158" s="394">
        <f>I158/50</f>
        <v>1333</v>
      </c>
      <c r="N158" s="394">
        <f>H158/50</f>
        <v>10000</v>
      </c>
      <c r="O158" s="394">
        <f t="shared" si="38"/>
        <v>19995</v>
      </c>
      <c r="P158" s="394">
        <f t="shared" si="39"/>
        <v>46655</v>
      </c>
      <c r="Q158" s="348">
        <v>15</v>
      </c>
      <c r="R158" s="354">
        <f t="shared" si="40"/>
        <v>35</v>
      </c>
      <c r="S158" s="350">
        <f t="shared" si="41"/>
        <v>169995</v>
      </c>
      <c r="T158" s="350">
        <f t="shared" si="42"/>
        <v>396655</v>
      </c>
      <c r="U158" s="393"/>
    </row>
    <row r="159" spans="1:21">
      <c r="A159" s="378"/>
      <c r="B159" s="378"/>
      <c r="C159" s="378"/>
      <c r="D159" s="393" t="s">
        <v>1085</v>
      </c>
      <c r="E159" s="367">
        <v>155</v>
      </c>
      <c r="F159" s="393" t="s">
        <v>1437</v>
      </c>
      <c r="G159" s="393" t="s">
        <v>1086</v>
      </c>
      <c r="H159" s="380">
        <v>750000</v>
      </c>
      <c r="I159" s="380">
        <v>99925</v>
      </c>
      <c r="J159" s="380">
        <f t="shared" si="37"/>
        <v>849925</v>
      </c>
      <c r="K159" s="348">
        <v>60</v>
      </c>
      <c r="L159" s="351">
        <v>14166.25</v>
      </c>
      <c r="M159" s="394">
        <f>I159/60</f>
        <v>1665.4166666666667</v>
      </c>
      <c r="N159" s="394">
        <f>H159/60</f>
        <v>12500</v>
      </c>
      <c r="O159" s="394">
        <f t="shared" si="38"/>
        <v>3330.8333333333335</v>
      </c>
      <c r="P159" s="394">
        <f t="shared" si="39"/>
        <v>96594.166666666672</v>
      </c>
      <c r="Q159" s="348">
        <v>2</v>
      </c>
      <c r="R159" s="348">
        <f t="shared" si="40"/>
        <v>58</v>
      </c>
      <c r="S159" s="380">
        <f t="shared" si="41"/>
        <v>28332.5</v>
      </c>
      <c r="T159" s="380">
        <f t="shared" si="42"/>
        <v>821592.5</v>
      </c>
      <c r="U159" s="393"/>
    </row>
    <row r="160" spans="1:21">
      <c r="A160" s="378"/>
      <c r="B160" s="378"/>
      <c r="C160" s="378"/>
      <c r="D160" s="363" t="s">
        <v>1021</v>
      </c>
      <c r="E160" s="367">
        <v>156</v>
      </c>
      <c r="F160" s="393" t="s">
        <v>1437</v>
      </c>
      <c r="G160" s="393" t="s">
        <v>1022</v>
      </c>
      <c r="H160" s="351">
        <v>330000</v>
      </c>
      <c r="I160" s="351">
        <v>43989</v>
      </c>
      <c r="J160" s="349">
        <f t="shared" si="37"/>
        <v>373989</v>
      </c>
      <c r="K160" s="348">
        <v>50</v>
      </c>
      <c r="L160" s="380">
        <v>7479.78</v>
      </c>
      <c r="M160" s="394">
        <f>I160/50</f>
        <v>879.78</v>
      </c>
      <c r="N160" s="394">
        <f>H160/50</f>
        <v>6600</v>
      </c>
      <c r="O160" s="394">
        <f t="shared" si="38"/>
        <v>25513.62</v>
      </c>
      <c r="P160" s="394">
        <f t="shared" si="39"/>
        <v>18475.38</v>
      </c>
      <c r="Q160" s="348">
        <v>29</v>
      </c>
      <c r="R160" s="354">
        <f t="shared" si="40"/>
        <v>21</v>
      </c>
      <c r="S160" s="350">
        <f t="shared" si="41"/>
        <v>216913.62</v>
      </c>
      <c r="T160" s="350">
        <f t="shared" si="42"/>
        <v>157075.38</v>
      </c>
      <c r="U160" s="393"/>
    </row>
    <row r="161" spans="1:22">
      <c r="A161" s="378"/>
      <c r="B161" s="378"/>
      <c r="C161" s="378"/>
      <c r="D161" s="393" t="s">
        <v>1481</v>
      </c>
      <c r="E161" s="367">
        <v>157</v>
      </c>
      <c r="F161" s="393" t="s">
        <v>1437</v>
      </c>
      <c r="G161" s="393" t="s">
        <v>1482</v>
      </c>
      <c r="H161" s="351">
        <v>330000</v>
      </c>
      <c r="I161" s="351">
        <v>43989</v>
      </c>
      <c r="J161" s="349">
        <f t="shared" si="37"/>
        <v>373989</v>
      </c>
      <c r="K161" s="348">
        <v>50</v>
      </c>
      <c r="L161" s="380">
        <v>7479.78</v>
      </c>
      <c r="M161" s="394">
        <f>I161/50</f>
        <v>879.78</v>
      </c>
      <c r="N161" s="394">
        <f>H161/50</f>
        <v>6600</v>
      </c>
      <c r="O161" s="394">
        <f t="shared" si="38"/>
        <v>4398.8999999999996</v>
      </c>
      <c r="P161" s="394">
        <f t="shared" si="39"/>
        <v>39590.1</v>
      </c>
      <c r="Q161" s="348">
        <v>5</v>
      </c>
      <c r="R161" s="354">
        <f t="shared" si="40"/>
        <v>45</v>
      </c>
      <c r="S161" s="350">
        <f t="shared" si="41"/>
        <v>37398.9</v>
      </c>
      <c r="T161" s="350">
        <f t="shared" si="42"/>
        <v>336590.1</v>
      </c>
      <c r="U161" s="393"/>
      <c r="V161" s="392"/>
    </row>
    <row r="162" spans="1:22" s="392" customFormat="1">
      <c r="A162" s="378"/>
      <c r="B162" s="378"/>
      <c r="D162" s="364" t="s">
        <v>1385</v>
      </c>
      <c r="E162" s="367">
        <v>158</v>
      </c>
      <c r="F162" s="393" t="s">
        <v>1437</v>
      </c>
      <c r="G162" s="393" t="s">
        <v>1295</v>
      </c>
      <c r="H162" s="351">
        <v>330000</v>
      </c>
      <c r="I162" s="351">
        <v>43989</v>
      </c>
      <c r="J162" s="349">
        <f t="shared" si="37"/>
        <v>373989</v>
      </c>
      <c r="K162" s="348">
        <v>50</v>
      </c>
      <c r="L162" s="380">
        <v>7479.78</v>
      </c>
      <c r="M162" s="394">
        <f>I162/50</f>
        <v>879.78</v>
      </c>
      <c r="N162" s="394">
        <f>H162/50</f>
        <v>6600</v>
      </c>
      <c r="O162" s="394">
        <f t="shared" si="38"/>
        <v>14956.26</v>
      </c>
      <c r="P162" s="394">
        <f t="shared" si="39"/>
        <v>29032.739999999998</v>
      </c>
      <c r="Q162" s="348">
        <v>17</v>
      </c>
      <c r="R162" s="354">
        <f t="shared" si="40"/>
        <v>33</v>
      </c>
      <c r="S162" s="350">
        <f t="shared" si="41"/>
        <v>127156.26</v>
      </c>
      <c r="T162" s="350">
        <f t="shared" si="42"/>
        <v>246832.74</v>
      </c>
      <c r="U162" s="393"/>
      <c r="V162" s="336"/>
    </row>
    <row r="163" spans="1:22">
      <c r="A163" s="378"/>
      <c r="B163" s="378"/>
      <c r="D163" s="393" t="s">
        <v>1128</v>
      </c>
      <c r="E163" s="367">
        <v>159</v>
      </c>
      <c r="F163" s="393" t="s">
        <v>1437</v>
      </c>
      <c r="G163" s="393" t="s">
        <v>462</v>
      </c>
      <c r="H163" s="351">
        <v>450000</v>
      </c>
      <c r="I163" s="351">
        <v>59985</v>
      </c>
      <c r="J163" s="349">
        <f t="shared" si="37"/>
        <v>509985</v>
      </c>
      <c r="K163" s="348">
        <v>50</v>
      </c>
      <c r="L163" s="380">
        <v>10199.700000000001</v>
      </c>
      <c r="M163" s="394">
        <f>I163/50</f>
        <v>1199.7</v>
      </c>
      <c r="N163" s="394">
        <f>H163/50</f>
        <v>9000</v>
      </c>
      <c r="O163" s="394">
        <f t="shared" si="38"/>
        <v>9597.6</v>
      </c>
      <c r="P163" s="394">
        <f t="shared" si="39"/>
        <v>50387.4</v>
      </c>
      <c r="Q163" s="348">
        <v>8</v>
      </c>
      <c r="R163" s="354">
        <f t="shared" si="40"/>
        <v>42</v>
      </c>
      <c r="S163" s="350">
        <f t="shared" si="41"/>
        <v>81597.600000000006</v>
      </c>
      <c r="T163" s="350">
        <f t="shared" si="42"/>
        <v>428387.4</v>
      </c>
      <c r="U163" s="393"/>
    </row>
    <row r="164" spans="1:22">
      <c r="A164" s="378"/>
      <c r="B164" s="378"/>
      <c r="D164" s="393" t="s">
        <v>1507</v>
      </c>
      <c r="E164" s="367">
        <v>160</v>
      </c>
      <c r="F164" s="393" t="s">
        <v>1437</v>
      </c>
      <c r="G164" s="393" t="s">
        <v>1508</v>
      </c>
      <c r="H164" s="380">
        <v>600000</v>
      </c>
      <c r="I164" s="380">
        <v>79980</v>
      </c>
      <c r="J164" s="380">
        <f t="shared" si="37"/>
        <v>679980</v>
      </c>
      <c r="K164" s="348">
        <v>60</v>
      </c>
      <c r="L164" s="351">
        <v>11333</v>
      </c>
      <c r="M164" s="394">
        <f>I164/60</f>
        <v>1333</v>
      </c>
      <c r="N164" s="394">
        <f>H164/60</f>
        <v>10000</v>
      </c>
      <c r="O164" s="394">
        <f t="shared" si="38"/>
        <v>2666</v>
      </c>
      <c r="P164" s="394">
        <f t="shared" si="39"/>
        <v>77314</v>
      </c>
      <c r="Q164" s="348">
        <v>2</v>
      </c>
      <c r="R164" s="348">
        <f t="shared" si="40"/>
        <v>58</v>
      </c>
      <c r="S164" s="380">
        <f t="shared" si="41"/>
        <v>22666</v>
      </c>
      <c r="T164" s="380">
        <f t="shared" si="42"/>
        <v>657314</v>
      </c>
      <c r="U164" s="393"/>
    </row>
    <row r="165" spans="1:22">
      <c r="A165" s="378"/>
      <c r="B165" s="378"/>
      <c r="D165" s="364" t="s">
        <v>1004</v>
      </c>
      <c r="E165" s="367">
        <v>161</v>
      </c>
      <c r="F165" s="393" t="s">
        <v>1437</v>
      </c>
      <c r="G165" s="393" t="s">
        <v>107</v>
      </c>
      <c r="H165" s="351">
        <v>450000</v>
      </c>
      <c r="I165" s="351">
        <v>59985</v>
      </c>
      <c r="J165" s="349">
        <f t="shared" ref="J165:J182" si="45">SUM(H165:I165)</f>
        <v>509985</v>
      </c>
      <c r="K165" s="348">
        <v>50</v>
      </c>
      <c r="L165" s="380">
        <v>10199.700000000001</v>
      </c>
      <c r="M165" s="394">
        <f t="shared" ref="M165:M181" si="46">I165/50</f>
        <v>1199.7</v>
      </c>
      <c r="N165" s="394">
        <f t="shared" ref="N165:N181" si="47">H165/50</f>
        <v>9000</v>
      </c>
      <c r="O165" s="394">
        <f t="shared" ref="O165:O182" si="48">M165*Q165</f>
        <v>29992.5</v>
      </c>
      <c r="P165" s="394">
        <f t="shared" ref="P165:P186" si="49">M165*R165</f>
        <v>29992.5</v>
      </c>
      <c r="Q165" s="348">
        <v>25</v>
      </c>
      <c r="R165" s="354">
        <f t="shared" ref="R165:R182" si="50">K165-Q165</f>
        <v>25</v>
      </c>
      <c r="S165" s="350">
        <f t="shared" ref="S165:S182" si="51">L165*Q165</f>
        <v>254992.50000000003</v>
      </c>
      <c r="T165" s="350">
        <f t="shared" ref="T165:T186" si="52">J165-S165</f>
        <v>254992.49999999997</v>
      </c>
      <c r="U165" s="393"/>
    </row>
    <row r="166" spans="1:22">
      <c r="A166" s="378"/>
      <c r="B166" s="378"/>
      <c r="D166" s="364" t="s">
        <v>1136</v>
      </c>
      <c r="E166" s="367">
        <v>162</v>
      </c>
      <c r="F166" s="393" t="s">
        <v>1437</v>
      </c>
      <c r="G166" s="393" t="s">
        <v>1137</v>
      </c>
      <c r="H166" s="351">
        <v>330000</v>
      </c>
      <c r="I166" s="351">
        <v>43989</v>
      </c>
      <c r="J166" s="349">
        <f t="shared" si="45"/>
        <v>373989</v>
      </c>
      <c r="K166" s="348">
        <v>50</v>
      </c>
      <c r="L166" s="380">
        <v>7479.78</v>
      </c>
      <c r="M166" s="394">
        <f t="shared" si="46"/>
        <v>879.78</v>
      </c>
      <c r="N166" s="394">
        <f t="shared" si="47"/>
        <v>6600</v>
      </c>
      <c r="O166" s="394">
        <f t="shared" si="48"/>
        <v>21994.5</v>
      </c>
      <c r="P166" s="394">
        <f t="shared" si="49"/>
        <v>21994.5</v>
      </c>
      <c r="Q166" s="348">
        <v>25</v>
      </c>
      <c r="R166" s="354">
        <f t="shared" si="50"/>
        <v>25</v>
      </c>
      <c r="S166" s="350">
        <f t="shared" si="51"/>
        <v>186994.5</v>
      </c>
      <c r="T166" s="350">
        <f t="shared" si="52"/>
        <v>186994.5</v>
      </c>
      <c r="U166" s="393"/>
    </row>
    <row r="167" spans="1:22">
      <c r="A167" s="378"/>
      <c r="B167" s="378"/>
      <c r="D167" s="393" t="s">
        <v>1452</v>
      </c>
      <c r="E167" s="367">
        <v>163</v>
      </c>
      <c r="F167" s="393" t="s">
        <v>1437</v>
      </c>
      <c r="G167" s="393" t="s">
        <v>1453</v>
      </c>
      <c r="H167" s="351">
        <v>500000</v>
      </c>
      <c r="I167" s="351">
        <v>66650</v>
      </c>
      <c r="J167" s="349">
        <f t="shared" si="45"/>
        <v>566650</v>
      </c>
      <c r="K167" s="348">
        <v>50</v>
      </c>
      <c r="L167" s="380">
        <v>11333</v>
      </c>
      <c r="M167" s="394">
        <f t="shared" si="46"/>
        <v>1333</v>
      </c>
      <c r="N167" s="394">
        <f t="shared" si="47"/>
        <v>10000</v>
      </c>
      <c r="O167" s="394">
        <f t="shared" si="48"/>
        <v>10664</v>
      </c>
      <c r="P167" s="394">
        <f t="shared" si="49"/>
        <v>55986</v>
      </c>
      <c r="Q167" s="348">
        <v>8</v>
      </c>
      <c r="R167" s="354">
        <f t="shared" si="50"/>
        <v>42</v>
      </c>
      <c r="S167" s="350">
        <f t="shared" si="51"/>
        <v>90664</v>
      </c>
      <c r="T167" s="350">
        <f t="shared" si="52"/>
        <v>475986</v>
      </c>
      <c r="U167" s="393"/>
    </row>
    <row r="168" spans="1:22">
      <c r="A168" s="378"/>
      <c r="B168" s="378"/>
      <c r="D168" s="363" t="s">
        <v>1408</v>
      </c>
      <c r="E168" s="367">
        <v>164</v>
      </c>
      <c r="F168" s="393" t="s">
        <v>1437</v>
      </c>
      <c r="G168" s="393" t="s">
        <v>406</v>
      </c>
      <c r="H168" s="351">
        <v>500000</v>
      </c>
      <c r="I168" s="351">
        <v>66650</v>
      </c>
      <c r="J168" s="349">
        <f t="shared" si="45"/>
        <v>566650</v>
      </c>
      <c r="K168" s="348">
        <v>40</v>
      </c>
      <c r="L168" s="380">
        <v>13833</v>
      </c>
      <c r="M168" s="394">
        <f t="shared" si="46"/>
        <v>1333</v>
      </c>
      <c r="N168" s="394">
        <f t="shared" si="47"/>
        <v>10000</v>
      </c>
      <c r="O168" s="394">
        <f t="shared" si="48"/>
        <v>14663</v>
      </c>
      <c r="P168" s="394">
        <f t="shared" si="49"/>
        <v>38657</v>
      </c>
      <c r="Q168" s="348">
        <v>11</v>
      </c>
      <c r="R168" s="354">
        <f t="shared" si="50"/>
        <v>29</v>
      </c>
      <c r="S168" s="350">
        <f t="shared" si="51"/>
        <v>152163</v>
      </c>
      <c r="T168" s="350">
        <f t="shared" si="52"/>
        <v>414487</v>
      </c>
      <c r="U168" s="393"/>
    </row>
    <row r="169" spans="1:22">
      <c r="A169" s="378"/>
      <c r="B169" s="378"/>
      <c r="D169" s="364" t="s">
        <v>1134</v>
      </c>
      <c r="E169" s="367">
        <v>165</v>
      </c>
      <c r="F169" s="393" t="s">
        <v>1437</v>
      </c>
      <c r="G169" s="393" t="s">
        <v>1135</v>
      </c>
      <c r="H169" s="351">
        <v>500000</v>
      </c>
      <c r="I169" s="351">
        <v>66650</v>
      </c>
      <c r="J169" s="349">
        <f t="shared" si="45"/>
        <v>566650</v>
      </c>
      <c r="K169" s="348">
        <v>50</v>
      </c>
      <c r="L169" s="380">
        <v>11333</v>
      </c>
      <c r="M169" s="394">
        <f t="shared" si="46"/>
        <v>1333</v>
      </c>
      <c r="N169" s="394">
        <f t="shared" si="47"/>
        <v>10000</v>
      </c>
      <c r="O169" s="394">
        <f t="shared" si="48"/>
        <v>33325</v>
      </c>
      <c r="P169" s="394">
        <f t="shared" si="49"/>
        <v>33325</v>
      </c>
      <c r="Q169" s="348">
        <v>25</v>
      </c>
      <c r="R169" s="354">
        <f t="shared" si="50"/>
        <v>25</v>
      </c>
      <c r="S169" s="350">
        <f t="shared" si="51"/>
        <v>283325</v>
      </c>
      <c r="T169" s="350">
        <f t="shared" si="52"/>
        <v>283325</v>
      </c>
      <c r="U169" s="393"/>
    </row>
    <row r="170" spans="1:22">
      <c r="A170" s="378"/>
      <c r="B170" s="378"/>
      <c r="D170" s="115" t="s">
        <v>1048</v>
      </c>
      <c r="E170" s="367">
        <v>166</v>
      </c>
      <c r="F170" s="393" t="s">
        <v>1437</v>
      </c>
      <c r="G170" s="393" t="s">
        <v>1049</v>
      </c>
      <c r="H170" s="351">
        <v>450000</v>
      </c>
      <c r="I170" s="351">
        <v>59985</v>
      </c>
      <c r="J170" s="349">
        <f t="shared" si="45"/>
        <v>509985</v>
      </c>
      <c r="K170" s="348">
        <v>50</v>
      </c>
      <c r="L170" s="380">
        <v>10199.700000000001</v>
      </c>
      <c r="M170" s="394">
        <f t="shared" si="46"/>
        <v>1199.7</v>
      </c>
      <c r="N170" s="394">
        <f t="shared" si="47"/>
        <v>9000</v>
      </c>
      <c r="O170" s="394">
        <f t="shared" si="48"/>
        <v>57585.600000000006</v>
      </c>
      <c r="P170" s="394">
        <f t="shared" si="49"/>
        <v>2399.4</v>
      </c>
      <c r="Q170" s="348">
        <v>48</v>
      </c>
      <c r="R170" s="354">
        <f t="shared" si="50"/>
        <v>2</v>
      </c>
      <c r="S170" s="350">
        <f t="shared" si="51"/>
        <v>489585.60000000003</v>
      </c>
      <c r="T170" s="350">
        <f t="shared" si="52"/>
        <v>20399.399999999965</v>
      </c>
      <c r="U170" s="393"/>
    </row>
    <row r="171" spans="1:22">
      <c r="A171" s="378"/>
      <c r="B171" s="378"/>
      <c r="D171" s="364" t="s">
        <v>1090</v>
      </c>
      <c r="E171" s="367">
        <v>167</v>
      </c>
      <c r="F171" s="393" t="s">
        <v>1437</v>
      </c>
      <c r="G171" s="393" t="s">
        <v>295</v>
      </c>
      <c r="H171" s="351">
        <v>500000</v>
      </c>
      <c r="I171" s="351">
        <v>66650</v>
      </c>
      <c r="J171" s="349">
        <f t="shared" si="45"/>
        <v>566650</v>
      </c>
      <c r="K171" s="348">
        <v>50</v>
      </c>
      <c r="L171" s="380">
        <v>11333</v>
      </c>
      <c r="M171" s="394">
        <f t="shared" si="46"/>
        <v>1333</v>
      </c>
      <c r="N171" s="394">
        <f t="shared" si="47"/>
        <v>10000</v>
      </c>
      <c r="O171" s="394">
        <f t="shared" si="48"/>
        <v>42656</v>
      </c>
      <c r="P171" s="394">
        <f t="shared" si="49"/>
        <v>23994</v>
      </c>
      <c r="Q171" s="348">
        <v>32</v>
      </c>
      <c r="R171" s="354">
        <f t="shared" si="50"/>
        <v>18</v>
      </c>
      <c r="S171" s="350">
        <f t="shared" si="51"/>
        <v>362656</v>
      </c>
      <c r="T171" s="350">
        <f t="shared" si="52"/>
        <v>203994</v>
      </c>
      <c r="U171" s="393"/>
    </row>
    <row r="172" spans="1:22">
      <c r="A172" s="378"/>
      <c r="B172" s="378"/>
      <c r="D172" s="364" t="s">
        <v>1337</v>
      </c>
      <c r="E172" s="367">
        <v>168</v>
      </c>
      <c r="F172" s="393" t="s">
        <v>1437</v>
      </c>
      <c r="G172" s="393" t="s">
        <v>1280</v>
      </c>
      <c r="H172" s="351">
        <v>500000</v>
      </c>
      <c r="I172" s="351">
        <v>66650</v>
      </c>
      <c r="J172" s="349">
        <f t="shared" si="45"/>
        <v>566650</v>
      </c>
      <c r="K172" s="348">
        <v>50</v>
      </c>
      <c r="L172" s="380">
        <v>11333</v>
      </c>
      <c r="M172" s="394">
        <f t="shared" si="46"/>
        <v>1333</v>
      </c>
      <c r="N172" s="394">
        <f t="shared" si="47"/>
        <v>10000</v>
      </c>
      <c r="O172" s="394">
        <f t="shared" si="48"/>
        <v>22661</v>
      </c>
      <c r="P172" s="394">
        <f t="shared" si="49"/>
        <v>43989</v>
      </c>
      <c r="Q172" s="348">
        <v>17</v>
      </c>
      <c r="R172" s="354">
        <f t="shared" si="50"/>
        <v>33</v>
      </c>
      <c r="S172" s="350">
        <f t="shared" si="51"/>
        <v>192661</v>
      </c>
      <c r="T172" s="350">
        <f t="shared" si="52"/>
        <v>373989</v>
      </c>
      <c r="U172" s="393"/>
    </row>
    <row r="173" spans="1:22">
      <c r="A173" s="378"/>
      <c r="B173" s="378"/>
      <c r="D173" s="393" t="s">
        <v>1415</v>
      </c>
      <c r="E173" s="367">
        <v>169</v>
      </c>
      <c r="F173" s="393" t="s">
        <v>1437</v>
      </c>
      <c r="G173" s="393" t="s">
        <v>1416</v>
      </c>
      <c r="H173" s="351">
        <v>500000</v>
      </c>
      <c r="I173" s="351">
        <v>66650</v>
      </c>
      <c r="J173" s="349">
        <f t="shared" si="45"/>
        <v>566650</v>
      </c>
      <c r="K173" s="348">
        <v>50</v>
      </c>
      <c r="L173" s="380">
        <v>11333</v>
      </c>
      <c r="M173" s="394">
        <f t="shared" si="46"/>
        <v>1333</v>
      </c>
      <c r="N173" s="394">
        <f t="shared" si="47"/>
        <v>10000</v>
      </c>
      <c r="O173" s="394">
        <f t="shared" si="48"/>
        <v>13330</v>
      </c>
      <c r="P173" s="394">
        <f t="shared" si="49"/>
        <v>53320</v>
      </c>
      <c r="Q173" s="348">
        <v>10</v>
      </c>
      <c r="R173" s="354">
        <f t="shared" si="50"/>
        <v>40</v>
      </c>
      <c r="S173" s="350">
        <f t="shared" si="51"/>
        <v>113330</v>
      </c>
      <c r="T173" s="350">
        <f t="shared" si="52"/>
        <v>453320</v>
      </c>
      <c r="U173" s="393"/>
    </row>
    <row r="174" spans="1:22">
      <c r="A174" s="378"/>
      <c r="B174" s="378"/>
      <c r="D174" s="364" t="s">
        <v>1354</v>
      </c>
      <c r="E174" s="367">
        <v>170</v>
      </c>
      <c r="F174" s="393" t="s">
        <v>1437</v>
      </c>
      <c r="G174" s="393" t="s">
        <v>450</v>
      </c>
      <c r="H174" s="351">
        <v>450000</v>
      </c>
      <c r="I174" s="351">
        <v>59985</v>
      </c>
      <c r="J174" s="349">
        <f t="shared" si="45"/>
        <v>509985</v>
      </c>
      <c r="K174" s="348">
        <v>50</v>
      </c>
      <c r="L174" s="380">
        <v>10199.700000000001</v>
      </c>
      <c r="M174" s="394">
        <f t="shared" si="46"/>
        <v>1199.7</v>
      </c>
      <c r="N174" s="394">
        <f t="shared" si="47"/>
        <v>9000</v>
      </c>
      <c r="O174" s="394">
        <f t="shared" si="48"/>
        <v>28792.800000000003</v>
      </c>
      <c r="P174" s="394">
        <f t="shared" si="49"/>
        <v>31192.2</v>
      </c>
      <c r="Q174" s="348">
        <v>24</v>
      </c>
      <c r="R174" s="354">
        <f t="shared" si="50"/>
        <v>26</v>
      </c>
      <c r="S174" s="350">
        <f t="shared" si="51"/>
        <v>244792.80000000002</v>
      </c>
      <c r="T174" s="350">
        <f t="shared" si="52"/>
        <v>265192.19999999995</v>
      </c>
      <c r="U174" s="393"/>
    </row>
    <row r="175" spans="1:22">
      <c r="A175" s="378"/>
      <c r="B175" s="378"/>
      <c r="D175" s="363" t="s">
        <v>968</v>
      </c>
      <c r="E175" s="367">
        <v>171</v>
      </c>
      <c r="F175" s="393" t="s">
        <v>1437</v>
      </c>
      <c r="G175" s="393" t="s">
        <v>490</v>
      </c>
      <c r="H175" s="351">
        <v>330000</v>
      </c>
      <c r="I175" s="351">
        <v>43989</v>
      </c>
      <c r="J175" s="349">
        <f t="shared" si="45"/>
        <v>373989</v>
      </c>
      <c r="K175" s="348">
        <v>50</v>
      </c>
      <c r="L175" s="380">
        <v>7479.78</v>
      </c>
      <c r="M175" s="394">
        <f t="shared" si="46"/>
        <v>879.78</v>
      </c>
      <c r="N175" s="394">
        <f t="shared" si="47"/>
        <v>6600</v>
      </c>
      <c r="O175" s="394">
        <f t="shared" si="48"/>
        <v>32551.86</v>
      </c>
      <c r="P175" s="394">
        <f t="shared" si="49"/>
        <v>11437.14</v>
      </c>
      <c r="Q175" s="348">
        <v>37</v>
      </c>
      <c r="R175" s="354">
        <f t="shared" si="50"/>
        <v>13</v>
      </c>
      <c r="S175" s="350">
        <f t="shared" si="51"/>
        <v>276751.86</v>
      </c>
      <c r="T175" s="350">
        <f t="shared" si="52"/>
        <v>97237.140000000014</v>
      </c>
      <c r="U175" s="393"/>
    </row>
    <row r="176" spans="1:22">
      <c r="A176" s="378"/>
      <c r="B176" s="378"/>
      <c r="D176" s="115" t="s">
        <v>1036</v>
      </c>
      <c r="E176" s="367">
        <v>172</v>
      </c>
      <c r="F176" s="393" t="s">
        <v>1437</v>
      </c>
      <c r="G176" s="393" t="s">
        <v>216</v>
      </c>
      <c r="H176" s="351">
        <v>60000</v>
      </c>
      <c r="I176" s="351">
        <v>7998</v>
      </c>
      <c r="J176" s="349">
        <f t="shared" si="45"/>
        <v>67998</v>
      </c>
      <c r="K176" s="348">
        <v>40</v>
      </c>
      <c r="L176" s="380">
        <v>1699.95</v>
      </c>
      <c r="M176" s="394">
        <f t="shared" si="46"/>
        <v>159.96</v>
      </c>
      <c r="N176" s="394">
        <f t="shared" si="47"/>
        <v>1200</v>
      </c>
      <c r="O176" s="394">
        <f t="shared" si="48"/>
        <v>6078.4800000000005</v>
      </c>
      <c r="P176" s="394">
        <f t="shared" si="49"/>
        <v>319.92</v>
      </c>
      <c r="Q176" s="348">
        <v>38</v>
      </c>
      <c r="R176" s="354">
        <f t="shared" si="50"/>
        <v>2</v>
      </c>
      <c r="S176" s="350">
        <f t="shared" si="51"/>
        <v>64598.1</v>
      </c>
      <c r="T176" s="350">
        <f t="shared" si="52"/>
        <v>3399.9000000000015</v>
      </c>
      <c r="U176" s="393"/>
    </row>
    <row r="177" spans="1:21">
      <c r="A177" s="378"/>
      <c r="B177" s="378"/>
      <c r="D177" s="363" t="s">
        <v>1379</v>
      </c>
      <c r="E177" s="367">
        <v>173</v>
      </c>
      <c r="F177" s="393" t="s">
        <v>1437</v>
      </c>
      <c r="G177" s="393" t="s">
        <v>1380</v>
      </c>
      <c r="H177" s="351">
        <v>330000</v>
      </c>
      <c r="I177" s="351">
        <v>43989</v>
      </c>
      <c r="J177" s="349">
        <f t="shared" si="45"/>
        <v>373989</v>
      </c>
      <c r="K177" s="348">
        <v>50</v>
      </c>
      <c r="L177" s="380">
        <v>7479.78</v>
      </c>
      <c r="M177" s="394">
        <f t="shared" si="46"/>
        <v>879.78</v>
      </c>
      <c r="N177" s="394">
        <f t="shared" si="47"/>
        <v>6600</v>
      </c>
      <c r="O177" s="394">
        <f t="shared" si="48"/>
        <v>10557.36</v>
      </c>
      <c r="P177" s="394">
        <f t="shared" si="49"/>
        <v>33431.64</v>
      </c>
      <c r="Q177" s="348">
        <v>12</v>
      </c>
      <c r="R177" s="354">
        <f t="shared" si="50"/>
        <v>38</v>
      </c>
      <c r="S177" s="350">
        <f t="shared" si="51"/>
        <v>89757.36</v>
      </c>
      <c r="T177" s="350">
        <f t="shared" si="52"/>
        <v>284231.64</v>
      </c>
      <c r="U177" s="393"/>
    </row>
    <row r="178" spans="1:21">
      <c r="A178" s="378"/>
      <c r="B178" s="378"/>
      <c r="D178" s="364" t="s">
        <v>1372</v>
      </c>
      <c r="E178" s="367">
        <v>174</v>
      </c>
      <c r="F178" s="393" t="s">
        <v>1437</v>
      </c>
      <c r="G178" s="393" t="s">
        <v>1297</v>
      </c>
      <c r="H178" s="351">
        <v>330000</v>
      </c>
      <c r="I178" s="351">
        <v>43989</v>
      </c>
      <c r="J178" s="349">
        <f t="shared" si="45"/>
        <v>373989</v>
      </c>
      <c r="K178" s="348">
        <v>50</v>
      </c>
      <c r="L178" s="380">
        <v>7479.78</v>
      </c>
      <c r="M178" s="394">
        <f t="shared" si="46"/>
        <v>879.78</v>
      </c>
      <c r="N178" s="394">
        <f t="shared" si="47"/>
        <v>6600</v>
      </c>
      <c r="O178" s="394">
        <f t="shared" si="48"/>
        <v>20234.939999999999</v>
      </c>
      <c r="P178" s="394">
        <f t="shared" si="49"/>
        <v>23754.059999999998</v>
      </c>
      <c r="Q178" s="348">
        <v>23</v>
      </c>
      <c r="R178" s="354">
        <f t="shared" si="50"/>
        <v>27</v>
      </c>
      <c r="S178" s="350">
        <f t="shared" si="51"/>
        <v>172034.94</v>
      </c>
      <c r="T178" s="350">
        <f t="shared" si="52"/>
        <v>201954.06</v>
      </c>
      <c r="U178" s="393"/>
    </row>
    <row r="179" spans="1:21">
      <c r="A179" s="378"/>
      <c r="B179" s="378"/>
      <c r="D179" s="393" t="s">
        <v>1447</v>
      </c>
      <c r="E179" s="367">
        <v>175</v>
      </c>
      <c r="F179" s="393" t="s">
        <v>1437</v>
      </c>
      <c r="G179" s="393" t="s">
        <v>1448</v>
      </c>
      <c r="H179" s="351">
        <v>450000</v>
      </c>
      <c r="I179" s="351">
        <v>59985</v>
      </c>
      <c r="J179" s="349">
        <f t="shared" si="45"/>
        <v>509985</v>
      </c>
      <c r="K179" s="348">
        <v>50</v>
      </c>
      <c r="L179" s="380">
        <v>10199.700000000001</v>
      </c>
      <c r="M179" s="394">
        <f t="shared" si="46"/>
        <v>1199.7</v>
      </c>
      <c r="N179" s="394">
        <f t="shared" si="47"/>
        <v>9000</v>
      </c>
      <c r="O179" s="394">
        <f t="shared" si="48"/>
        <v>9597.6</v>
      </c>
      <c r="P179" s="394">
        <f t="shared" si="49"/>
        <v>50387.4</v>
      </c>
      <c r="Q179" s="348">
        <v>8</v>
      </c>
      <c r="R179" s="354">
        <f t="shared" si="50"/>
        <v>42</v>
      </c>
      <c r="S179" s="350">
        <f t="shared" si="51"/>
        <v>81597.600000000006</v>
      </c>
      <c r="T179" s="350">
        <f t="shared" si="52"/>
        <v>428387.4</v>
      </c>
      <c r="U179" s="393"/>
    </row>
    <row r="180" spans="1:21">
      <c r="A180" s="378"/>
      <c r="B180" s="378"/>
      <c r="D180" s="115" t="s">
        <v>1373</v>
      </c>
      <c r="E180" s="367">
        <v>176</v>
      </c>
      <c r="F180" s="393" t="s">
        <v>1437</v>
      </c>
      <c r="G180" s="393" t="s">
        <v>1374</v>
      </c>
      <c r="H180" s="351">
        <v>330000</v>
      </c>
      <c r="I180" s="351">
        <v>43989</v>
      </c>
      <c r="J180" s="349">
        <f t="shared" si="45"/>
        <v>373989</v>
      </c>
      <c r="K180" s="348">
        <v>50</v>
      </c>
      <c r="L180" s="380">
        <v>7479.78</v>
      </c>
      <c r="M180" s="394">
        <f t="shared" si="46"/>
        <v>879.78</v>
      </c>
      <c r="N180" s="394">
        <f t="shared" si="47"/>
        <v>6600</v>
      </c>
      <c r="O180" s="394">
        <f t="shared" si="48"/>
        <v>10557.36</v>
      </c>
      <c r="P180" s="394">
        <f t="shared" si="49"/>
        <v>33431.64</v>
      </c>
      <c r="Q180" s="348">
        <v>12</v>
      </c>
      <c r="R180" s="354">
        <f t="shared" si="50"/>
        <v>38</v>
      </c>
      <c r="S180" s="350">
        <f t="shared" si="51"/>
        <v>89757.36</v>
      </c>
      <c r="T180" s="350">
        <f t="shared" si="52"/>
        <v>284231.64</v>
      </c>
      <c r="U180" s="393"/>
    </row>
    <row r="181" spans="1:21">
      <c r="A181" s="378"/>
      <c r="B181" s="378"/>
      <c r="D181" s="115" t="s">
        <v>1367</v>
      </c>
      <c r="E181" s="367">
        <v>177</v>
      </c>
      <c r="F181" s="393" t="s">
        <v>1437</v>
      </c>
      <c r="G181" s="393" t="s">
        <v>465</v>
      </c>
      <c r="H181" s="351">
        <v>450000</v>
      </c>
      <c r="I181" s="351">
        <v>59985</v>
      </c>
      <c r="J181" s="349">
        <f t="shared" si="45"/>
        <v>509985</v>
      </c>
      <c r="K181" s="348">
        <v>50</v>
      </c>
      <c r="L181" s="380">
        <v>10199.700000000001</v>
      </c>
      <c r="M181" s="394">
        <f t="shared" si="46"/>
        <v>1199.7</v>
      </c>
      <c r="N181" s="394">
        <f t="shared" si="47"/>
        <v>9000</v>
      </c>
      <c r="O181" s="394">
        <f t="shared" si="48"/>
        <v>38390.400000000001</v>
      </c>
      <c r="P181" s="394">
        <f t="shared" si="49"/>
        <v>21594.600000000002</v>
      </c>
      <c r="Q181" s="348">
        <v>32</v>
      </c>
      <c r="R181" s="354">
        <f t="shared" si="50"/>
        <v>18</v>
      </c>
      <c r="S181" s="350">
        <f t="shared" si="51"/>
        <v>326390.40000000002</v>
      </c>
      <c r="T181" s="350">
        <f t="shared" si="52"/>
        <v>183594.59999999998</v>
      </c>
      <c r="U181" s="393"/>
    </row>
    <row r="182" spans="1:21" ht="21">
      <c r="A182" s="378"/>
      <c r="B182" s="378"/>
      <c r="D182" s="393" t="s">
        <v>1521</v>
      </c>
      <c r="E182" s="367">
        <v>178</v>
      </c>
      <c r="F182" s="393" t="s">
        <v>1437</v>
      </c>
      <c r="G182" s="393" t="s">
        <v>481</v>
      </c>
      <c r="H182" s="380">
        <v>750000</v>
      </c>
      <c r="I182" s="380">
        <v>99925</v>
      </c>
      <c r="J182" s="380">
        <f t="shared" si="45"/>
        <v>849925</v>
      </c>
      <c r="K182" s="348">
        <v>60</v>
      </c>
      <c r="L182" s="351">
        <v>14166.25</v>
      </c>
      <c r="M182" s="394">
        <f>I182/60</f>
        <v>1665.4166666666667</v>
      </c>
      <c r="N182" s="394">
        <f>H182/60</f>
        <v>12500</v>
      </c>
      <c r="O182" s="394">
        <f t="shared" si="48"/>
        <v>3330.8333333333335</v>
      </c>
      <c r="P182" s="394">
        <f t="shared" si="49"/>
        <v>96594.166666666672</v>
      </c>
      <c r="Q182" s="348">
        <v>2</v>
      </c>
      <c r="R182" s="354">
        <f t="shared" si="50"/>
        <v>58</v>
      </c>
      <c r="S182" s="350">
        <f t="shared" si="51"/>
        <v>28332.5</v>
      </c>
      <c r="T182" s="350">
        <f t="shared" si="52"/>
        <v>821592.5</v>
      </c>
      <c r="U182" s="401" t="s">
        <v>1522</v>
      </c>
    </row>
    <row r="183" spans="1:21">
      <c r="B183" s="378"/>
      <c r="D183" s="393"/>
      <c r="E183" s="367">
        <v>179</v>
      </c>
      <c r="F183" s="393" t="s">
        <v>1437</v>
      </c>
      <c r="G183" s="393" t="s">
        <v>1519</v>
      </c>
      <c r="H183" s="380">
        <v>750000</v>
      </c>
      <c r="I183" s="403">
        <v>49987.5</v>
      </c>
      <c r="J183" s="380">
        <f>SUM(H183:I183)</f>
        <v>799987.5</v>
      </c>
      <c r="K183" s="348">
        <v>30</v>
      </c>
      <c r="L183" s="380">
        <v>26666.25</v>
      </c>
      <c r="M183" s="394">
        <f>I183/30</f>
        <v>1666.25</v>
      </c>
      <c r="N183" s="394">
        <f>H183/30</f>
        <v>25000</v>
      </c>
      <c r="O183" s="394">
        <f>M183*Q183</f>
        <v>3332.5</v>
      </c>
      <c r="P183" s="394">
        <f t="shared" si="49"/>
        <v>46655</v>
      </c>
      <c r="Q183" s="348">
        <v>2</v>
      </c>
      <c r="R183" s="354">
        <f>K183-Q183</f>
        <v>28</v>
      </c>
      <c r="S183" s="350">
        <f>L183*Q183</f>
        <v>53332.5</v>
      </c>
      <c r="T183" s="350">
        <f t="shared" si="52"/>
        <v>746655</v>
      </c>
      <c r="U183" s="393"/>
    </row>
    <row r="184" spans="1:21">
      <c r="B184" s="378"/>
      <c r="D184" s="393"/>
      <c r="E184" s="367">
        <v>180</v>
      </c>
      <c r="F184" s="393" t="s">
        <v>1437</v>
      </c>
      <c r="G184" s="393" t="s">
        <v>1268</v>
      </c>
      <c r="H184" s="351">
        <v>500000</v>
      </c>
      <c r="I184" s="351">
        <v>66650</v>
      </c>
      <c r="J184" s="349">
        <f>SUM(H184:I184)</f>
        <v>566650</v>
      </c>
      <c r="K184" s="348">
        <v>50</v>
      </c>
      <c r="L184" s="380">
        <v>11749.67</v>
      </c>
      <c r="M184" s="394">
        <f>I184/50</f>
        <v>1333</v>
      </c>
      <c r="N184" s="394">
        <f>H184/50</f>
        <v>10000</v>
      </c>
      <c r="O184" s="394">
        <f>M184*Q184</f>
        <v>49321</v>
      </c>
      <c r="P184" s="394">
        <f t="shared" si="49"/>
        <v>17329</v>
      </c>
      <c r="Q184" s="348">
        <v>37</v>
      </c>
      <c r="R184" s="354">
        <f>K184-Q184</f>
        <v>13</v>
      </c>
      <c r="S184" s="350">
        <f>L184*Q184</f>
        <v>434737.79</v>
      </c>
      <c r="T184" s="350">
        <f t="shared" si="52"/>
        <v>131912.21000000002</v>
      </c>
      <c r="U184" s="393"/>
    </row>
    <row r="185" spans="1:21">
      <c r="B185" s="378"/>
      <c r="D185" s="393"/>
      <c r="E185" s="367">
        <v>181</v>
      </c>
      <c r="F185" s="393" t="s">
        <v>1437</v>
      </c>
      <c r="G185" s="393" t="s">
        <v>1420</v>
      </c>
      <c r="H185" s="351">
        <v>450000</v>
      </c>
      <c r="I185" s="351">
        <v>59985</v>
      </c>
      <c r="J185" s="349">
        <f>SUM(H185:I185)</f>
        <v>509985</v>
      </c>
      <c r="K185" s="348">
        <v>50</v>
      </c>
      <c r="L185" s="380">
        <v>10199.700000000001</v>
      </c>
      <c r="M185" s="394">
        <f>I185/50</f>
        <v>1199.7</v>
      </c>
      <c r="N185" s="394">
        <f>H185/50</f>
        <v>9000</v>
      </c>
      <c r="O185" s="394">
        <f>M185*Q185</f>
        <v>14396.400000000001</v>
      </c>
      <c r="P185" s="394">
        <f t="shared" si="49"/>
        <v>45588.6</v>
      </c>
      <c r="Q185" s="348">
        <v>12</v>
      </c>
      <c r="R185" s="354">
        <f>K185-Q185</f>
        <v>38</v>
      </c>
      <c r="S185" s="350">
        <f>L185*Q185</f>
        <v>122396.40000000001</v>
      </c>
      <c r="T185" s="350">
        <f t="shared" si="52"/>
        <v>387588.6</v>
      </c>
      <c r="U185" s="393"/>
    </row>
    <row r="186" spans="1:21">
      <c r="B186" s="378"/>
      <c r="D186" s="393"/>
      <c r="E186" s="367">
        <v>182</v>
      </c>
      <c r="F186" s="393" t="s">
        <v>1437</v>
      </c>
      <c r="G186" s="393" t="s">
        <v>1269</v>
      </c>
      <c r="H186" s="380">
        <v>750000</v>
      </c>
      <c r="I186" s="380">
        <v>99925</v>
      </c>
      <c r="J186" s="380">
        <f>SUM(H186:I186)</f>
        <v>849925</v>
      </c>
      <c r="K186" s="348">
        <v>60</v>
      </c>
      <c r="L186" s="351">
        <v>14166.25</v>
      </c>
      <c r="M186" s="394">
        <f>I186/60</f>
        <v>1665.4166666666667</v>
      </c>
      <c r="N186" s="394">
        <f>H186/60</f>
        <v>12500</v>
      </c>
      <c r="O186" s="394">
        <f>M186*Q186</f>
        <v>3330.8333333333335</v>
      </c>
      <c r="P186" s="394">
        <f t="shared" si="49"/>
        <v>96594.166666666672</v>
      </c>
      <c r="Q186" s="348">
        <v>2</v>
      </c>
      <c r="R186" s="354">
        <f>K186-Q186</f>
        <v>58</v>
      </c>
      <c r="S186" s="350">
        <f>L186*Q186</f>
        <v>28332.5</v>
      </c>
      <c r="T186" s="350">
        <f t="shared" si="52"/>
        <v>821592.5</v>
      </c>
      <c r="U186" s="393"/>
    </row>
    <row r="187" spans="1:21">
      <c r="D187" s="393"/>
      <c r="E187" s="393"/>
      <c r="F187" s="393"/>
      <c r="G187" s="393"/>
      <c r="H187" s="404">
        <f>SUM(H5:H186)</f>
        <v>82180000</v>
      </c>
      <c r="I187" s="404">
        <f>SUM(I5:I186)</f>
        <v>10736098.5</v>
      </c>
      <c r="J187" s="405">
        <f>SUM(J5:J186)</f>
        <v>92916098.5</v>
      </c>
      <c r="K187" s="351"/>
      <c r="L187" s="351">
        <f>SUM(L5:L186)</f>
        <v>1886824.8299999991</v>
      </c>
      <c r="M187" s="351">
        <f>SUM(M5:M186)</f>
        <v>212351.0633333333</v>
      </c>
      <c r="N187" s="351">
        <f>SUM(N5:N186)</f>
        <v>1614975</v>
      </c>
      <c r="O187" s="351">
        <f>SUM(O5:O186)</f>
        <v>4263235.586666665</v>
      </c>
      <c r="P187" s="351">
        <f>SUM(P5:P186)</f>
        <v>6363290.3133333344</v>
      </c>
      <c r="Q187" s="348"/>
      <c r="R187" s="348"/>
      <c r="S187" s="351">
        <f>SUM(S5:S186)</f>
        <v>37030565.730000004</v>
      </c>
      <c r="T187" s="405">
        <f>SUM(T5:T186)</f>
        <v>55885532.770000026</v>
      </c>
      <c r="U187" s="393"/>
    </row>
  </sheetData>
  <mergeCells count="3">
    <mergeCell ref="E1:U1"/>
    <mergeCell ref="E2:U2"/>
    <mergeCell ref="E3:U3"/>
  </mergeCells>
  <conditionalFormatting sqref="D88">
    <cfRule type="duplicateValues" dxfId="11" priority="2"/>
  </conditionalFormatting>
  <conditionalFormatting sqref="D114:D124 D102:D107 D94:D97 D4:D82 D88">
    <cfRule type="duplicateValues" dxfId="10" priority="4"/>
  </conditionalFormatting>
  <pageMargins left="0.2" right="0.2" top="0.25" bottom="0.25" header="0.3" footer="0.3"/>
  <pageSetup paperSize="9" scale="5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187"/>
  <sheetViews>
    <sheetView topLeftCell="C150" zoomScale="90" zoomScaleNormal="90" workbookViewId="0">
      <selection activeCell="I188" sqref="I188"/>
    </sheetView>
  </sheetViews>
  <sheetFormatPr defaultRowHeight="15.75"/>
  <cols>
    <col min="1" max="2" width="14.5703125" style="336" customWidth="1"/>
    <col min="3" max="3" width="18.7109375" style="392" customWidth="1"/>
    <col min="4" max="4" width="5.42578125" style="392" customWidth="1"/>
    <col min="5" max="5" width="13.5703125" style="392" customWidth="1"/>
    <col min="6" max="6" width="36.5703125" style="392" customWidth="1"/>
    <col min="7" max="7" width="16.85546875" style="406" customWidth="1"/>
    <col min="8" max="8" width="16" style="406" customWidth="1"/>
    <col min="9" max="9" width="17.42578125" style="406" customWidth="1"/>
    <col min="10" max="10" width="8.28515625" style="407" customWidth="1"/>
    <col min="11" max="11" width="16.5703125" style="406" customWidth="1"/>
    <col min="12" max="12" width="14.140625" style="408" customWidth="1"/>
    <col min="13" max="13" width="16.85546875" style="408" customWidth="1"/>
    <col min="14" max="14" width="16.5703125" style="408" customWidth="1"/>
    <col min="15" max="15" width="15.85546875" style="408" customWidth="1"/>
    <col min="16" max="16" width="10.140625" style="396" customWidth="1"/>
    <col min="17" max="17" width="12.140625" style="396" customWidth="1"/>
    <col min="18" max="18" width="17" style="406" customWidth="1"/>
    <col min="19" max="19" width="16.85546875" style="406" customWidth="1"/>
    <col min="20" max="20" width="9.5703125" style="392" customWidth="1"/>
    <col min="21" max="16384" width="9.140625" style="336"/>
  </cols>
  <sheetData>
    <row r="1" spans="1:20" ht="22.5">
      <c r="D1" s="427" t="s">
        <v>1421</v>
      </c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</row>
    <row r="2" spans="1:20" customFormat="1" ht="20.25">
      <c r="C2" s="398"/>
      <c r="D2" s="428" t="s">
        <v>245</v>
      </c>
      <c r="E2" s="428"/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</row>
    <row r="3" spans="1:20" customFormat="1" ht="18">
      <c r="C3" s="398"/>
      <c r="D3" s="429" t="s">
        <v>1523</v>
      </c>
      <c r="E3" s="429"/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</row>
    <row r="4" spans="1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69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1:20">
      <c r="A5" s="378"/>
      <c r="B5" s="378"/>
      <c r="C5" s="116" t="s">
        <v>1369</v>
      </c>
      <c r="D5" s="367">
        <v>1</v>
      </c>
      <c r="E5" s="393" t="s">
        <v>1437</v>
      </c>
      <c r="F5" s="399" t="s">
        <v>1282</v>
      </c>
      <c r="G5" s="350">
        <v>330000</v>
      </c>
      <c r="H5" s="350">
        <v>43989</v>
      </c>
      <c r="I5" s="349">
        <f t="shared" ref="I5:I36" si="0">SUM(G5:H5)</f>
        <v>373989</v>
      </c>
      <c r="J5" s="347">
        <v>50</v>
      </c>
      <c r="K5" s="379">
        <v>7479.78</v>
      </c>
      <c r="L5" s="394">
        <f>H5/50</f>
        <v>879.78</v>
      </c>
      <c r="M5" s="394">
        <f>G5/50</f>
        <v>6600</v>
      </c>
      <c r="N5" s="394">
        <f t="shared" ref="N5:N36" si="1">L5*P5</f>
        <v>15836.039999999999</v>
      </c>
      <c r="O5" s="394">
        <f t="shared" ref="O5:O36" si="2">L5*Q5</f>
        <v>28152.959999999999</v>
      </c>
      <c r="P5" s="352">
        <v>18</v>
      </c>
      <c r="Q5" s="354">
        <f t="shared" ref="Q5:Q36" si="3">J5-P5</f>
        <v>32</v>
      </c>
      <c r="R5" s="350">
        <f t="shared" ref="R5:R36" si="4">K5*P5</f>
        <v>134636.04</v>
      </c>
      <c r="S5" s="350">
        <f t="shared" ref="S5:S36" si="5">I5-R5</f>
        <v>239352.95999999999</v>
      </c>
      <c r="T5" s="400"/>
    </row>
    <row r="6" spans="1:20">
      <c r="A6" s="378"/>
      <c r="B6" s="378"/>
      <c r="C6" s="116" t="s">
        <v>1396</v>
      </c>
      <c r="D6" s="367">
        <v>2</v>
      </c>
      <c r="E6" s="393" t="s">
        <v>1437</v>
      </c>
      <c r="F6" s="400" t="s">
        <v>1397</v>
      </c>
      <c r="G6" s="350">
        <v>150000</v>
      </c>
      <c r="H6" s="350">
        <v>19995</v>
      </c>
      <c r="I6" s="349">
        <f t="shared" si="0"/>
        <v>169995</v>
      </c>
      <c r="J6" s="347">
        <v>50</v>
      </c>
      <c r="K6" s="379">
        <v>3399.9</v>
      </c>
      <c r="L6" s="394">
        <f>H6/50</f>
        <v>399.9</v>
      </c>
      <c r="M6" s="394">
        <f>G6/50</f>
        <v>3000</v>
      </c>
      <c r="N6" s="394">
        <f t="shared" si="1"/>
        <v>7998</v>
      </c>
      <c r="O6" s="394">
        <f t="shared" si="2"/>
        <v>11997</v>
      </c>
      <c r="P6" s="352">
        <v>20</v>
      </c>
      <c r="Q6" s="354">
        <f t="shared" si="3"/>
        <v>30</v>
      </c>
      <c r="R6" s="350">
        <f t="shared" si="4"/>
        <v>67998</v>
      </c>
      <c r="S6" s="350">
        <f t="shared" si="5"/>
        <v>101997</v>
      </c>
      <c r="T6" s="400"/>
    </row>
    <row r="7" spans="1:20">
      <c r="A7" s="378"/>
      <c r="B7" s="378"/>
      <c r="C7" s="363" t="s">
        <v>1412</v>
      </c>
      <c r="D7" s="367">
        <v>3</v>
      </c>
      <c r="E7" s="393" t="s">
        <v>1437</v>
      </c>
      <c r="F7" s="393" t="s">
        <v>468</v>
      </c>
      <c r="G7" s="351">
        <v>500000</v>
      </c>
      <c r="H7" s="351">
        <v>66650</v>
      </c>
      <c r="I7" s="349">
        <f t="shared" si="0"/>
        <v>566650</v>
      </c>
      <c r="J7" s="348">
        <v>50</v>
      </c>
      <c r="K7" s="380">
        <v>11333</v>
      </c>
      <c r="L7" s="394">
        <f>H7/50</f>
        <v>1333</v>
      </c>
      <c r="M7" s="394">
        <f>G7/50</f>
        <v>10000</v>
      </c>
      <c r="N7" s="394">
        <f t="shared" si="1"/>
        <v>14663</v>
      </c>
      <c r="O7" s="394">
        <f t="shared" si="2"/>
        <v>51987</v>
      </c>
      <c r="P7" s="348">
        <v>11</v>
      </c>
      <c r="Q7" s="354">
        <f t="shared" si="3"/>
        <v>39</v>
      </c>
      <c r="R7" s="350">
        <f t="shared" si="4"/>
        <v>124663</v>
      </c>
      <c r="S7" s="350">
        <f t="shared" si="5"/>
        <v>441987</v>
      </c>
      <c r="T7" s="393"/>
    </row>
    <row r="8" spans="1:20">
      <c r="A8" s="378"/>
      <c r="B8" s="378"/>
      <c r="C8" s="363" t="s">
        <v>1014</v>
      </c>
      <c r="D8" s="367">
        <v>4</v>
      </c>
      <c r="E8" s="393" t="s">
        <v>1437</v>
      </c>
      <c r="F8" s="393" t="s">
        <v>1015</v>
      </c>
      <c r="G8" s="380">
        <v>750000</v>
      </c>
      <c r="H8" s="380">
        <v>66650</v>
      </c>
      <c r="I8" s="380">
        <f t="shared" si="0"/>
        <v>816650</v>
      </c>
      <c r="J8" s="348">
        <v>40</v>
      </c>
      <c r="K8" s="380">
        <v>20416.25</v>
      </c>
      <c r="L8" s="394">
        <f>H8/40</f>
        <v>1666.25</v>
      </c>
      <c r="M8" s="394">
        <f>G8/40</f>
        <v>18750</v>
      </c>
      <c r="N8" s="394">
        <f t="shared" si="1"/>
        <v>4998.75</v>
      </c>
      <c r="O8" s="394">
        <f t="shared" si="2"/>
        <v>61651.25</v>
      </c>
      <c r="P8" s="348">
        <v>3</v>
      </c>
      <c r="Q8" s="348">
        <f t="shared" si="3"/>
        <v>37</v>
      </c>
      <c r="R8" s="380">
        <f t="shared" si="4"/>
        <v>61248.75</v>
      </c>
      <c r="S8" s="380">
        <f t="shared" si="5"/>
        <v>755401.25</v>
      </c>
      <c r="T8" s="393"/>
    </row>
    <row r="9" spans="1:20">
      <c r="A9" s="378"/>
      <c r="B9" s="378"/>
      <c r="C9" s="363" t="s">
        <v>1489</v>
      </c>
      <c r="D9" s="367">
        <v>5</v>
      </c>
      <c r="E9" s="393" t="s">
        <v>1437</v>
      </c>
      <c r="F9" s="393" t="s">
        <v>1490</v>
      </c>
      <c r="G9" s="351">
        <v>330000</v>
      </c>
      <c r="H9" s="351">
        <v>43989</v>
      </c>
      <c r="I9" s="349">
        <f t="shared" si="0"/>
        <v>373989</v>
      </c>
      <c r="J9" s="348">
        <v>50</v>
      </c>
      <c r="K9" s="380">
        <v>7479.78</v>
      </c>
      <c r="L9" s="394">
        <f>H9/50</f>
        <v>879.78</v>
      </c>
      <c r="M9" s="394">
        <f>G9/50</f>
        <v>6600</v>
      </c>
      <c r="N9" s="394">
        <f t="shared" si="1"/>
        <v>3519.12</v>
      </c>
      <c r="O9" s="394">
        <f t="shared" si="2"/>
        <v>40469.879999999997</v>
      </c>
      <c r="P9" s="348">
        <v>4</v>
      </c>
      <c r="Q9" s="354">
        <f t="shared" si="3"/>
        <v>46</v>
      </c>
      <c r="R9" s="350">
        <f t="shared" si="4"/>
        <v>29919.119999999999</v>
      </c>
      <c r="S9" s="350">
        <f t="shared" si="5"/>
        <v>344069.88</v>
      </c>
      <c r="T9" s="393"/>
    </row>
    <row r="10" spans="1:20">
      <c r="A10" s="378"/>
      <c r="B10" s="378"/>
      <c r="C10" s="363" t="s">
        <v>1460</v>
      </c>
      <c r="D10" s="367">
        <v>6</v>
      </c>
      <c r="E10" s="393" t="s">
        <v>1437</v>
      </c>
      <c r="F10" s="393" t="s">
        <v>1461</v>
      </c>
      <c r="G10" s="351">
        <v>500000</v>
      </c>
      <c r="H10" s="351">
        <v>66650</v>
      </c>
      <c r="I10" s="349">
        <f t="shared" si="0"/>
        <v>566650</v>
      </c>
      <c r="J10" s="348">
        <v>50</v>
      </c>
      <c r="K10" s="380">
        <v>11333</v>
      </c>
      <c r="L10" s="394">
        <f>H10/50</f>
        <v>1333</v>
      </c>
      <c r="M10" s="394">
        <f>G10/50</f>
        <v>10000</v>
      </c>
      <c r="N10" s="394">
        <f t="shared" si="1"/>
        <v>7998</v>
      </c>
      <c r="O10" s="394">
        <f t="shared" si="2"/>
        <v>58652</v>
      </c>
      <c r="P10" s="348">
        <v>6</v>
      </c>
      <c r="Q10" s="354">
        <f t="shared" si="3"/>
        <v>44</v>
      </c>
      <c r="R10" s="350">
        <f t="shared" si="4"/>
        <v>67998</v>
      </c>
      <c r="S10" s="350">
        <f t="shared" si="5"/>
        <v>498652</v>
      </c>
      <c r="T10" s="401"/>
    </row>
    <row r="11" spans="1:20">
      <c r="A11" s="378"/>
      <c r="B11" s="378"/>
      <c r="C11" s="363" t="s">
        <v>1511</v>
      </c>
      <c r="D11" s="367">
        <v>7</v>
      </c>
      <c r="E11" s="393" t="s">
        <v>1437</v>
      </c>
      <c r="F11" s="393" t="s">
        <v>1512</v>
      </c>
      <c r="G11" s="380">
        <v>450000</v>
      </c>
      <c r="H11" s="380">
        <v>59985</v>
      </c>
      <c r="I11" s="380">
        <f t="shared" si="0"/>
        <v>509985</v>
      </c>
      <c r="J11" s="348">
        <v>60</v>
      </c>
      <c r="K11" s="380">
        <v>8499.75</v>
      </c>
      <c r="L11" s="394">
        <f>H11/60</f>
        <v>999.75</v>
      </c>
      <c r="M11" s="394">
        <f>G11/60</f>
        <v>7500</v>
      </c>
      <c r="N11" s="394">
        <f t="shared" si="1"/>
        <v>2999.25</v>
      </c>
      <c r="O11" s="394">
        <f t="shared" si="2"/>
        <v>56985.75</v>
      </c>
      <c r="P11" s="348">
        <v>3</v>
      </c>
      <c r="Q11" s="348">
        <f t="shared" si="3"/>
        <v>57</v>
      </c>
      <c r="R11" s="380">
        <f t="shared" si="4"/>
        <v>25499.25</v>
      </c>
      <c r="S11" s="380">
        <f t="shared" si="5"/>
        <v>484485.75</v>
      </c>
      <c r="T11" s="393"/>
    </row>
    <row r="12" spans="1:20">
      <c r="A12" s="378"/>
      <c r="B12" s="378"/>
      <c r="C12" s="363" t="s">
        <v>1418</v>
      </c>
      <c r="D12" s="367">
        <v>8</v>
      </c>
      <c r="E12" s="393" t="s">
        <v>1437</v>
      </c>
      <c r="F12" s="393" t="s">
        <v>455</v>
      </c>
      <c r="G12" s="351">
        <v>150000</v>
      </c>
      <c r="H12" s="351">
        <v>19995</v>
      </c>
      <c r="I12" s="349">
        <f t="shared" si="0"/>
        <v>169995</v>
      </c>
      <c r="J12" s="348">
        <v>50</v>
      </c>
      <c r="K12" s="380">
        <v>3399.9</v>
      </c>
      <c r="L12" s="394">
        <f>H12/50</f>
        <v>399.9</v>
      </c>
      <c r="M12" s="394">
        <f>G12/50</f>
        <v>3000</v>
      </c>
      <c r="N12" s="394">
        <f t="shared" si="1"/>
        <v>4398.8999999999996</v>
      </c>
      <c r="O12" s="394">
        <f t="shared" si="2"/>
        <v>15596.099999999999</v>
      </c>
      <c r="P12" s="348">
        <v>11</v>
      </c>
      <c r="Q12" s="354">
        <f t="shared" si="3"/>
        <v>39</v>
      </c>
      <c r="R12" s="350">
        <f t="shared" si="4"/>
        <v>37398.9</v>
      </c>
      <c r="S12" s="350">
        <f t="shared" si="5"/>
        <v>132596.1</v>
      </c>
      <c r="T12" s="393"/>
    </row>
    <row r="13" spans="1:20">
      <c r="A13" s="378"/>
      <c r="B13" s="378"/>
      <c r="C13" s="363" t="s">
        <v>1034</v>
      </c>
      <c r="D13" s="367">
        <v>9</v>
      </c>
      <c r="E13" s="393" t="s">
        <v>1437</v>
      </c>
      <c r="F13" s="400" t="s">
        <v>1035</v>
      </c>
      <c r="G13" s="350">
        <v>500000</v>
      </c>
      <c r="H13" s="350">
        <v>66650</v>
      </c>
      <c r="I13" s="349">
        <f t="shared" si="0"/>
        <v>566650</v>
      </c>
      <c r="J13" s="347">
        <v>50</v>
      </c>
      <c r="K13" s="379">
        <v>11333</v>
      </c>
      <c r="L13" s="394">
        <f>H13/50</f>
        <v>1333</v>
      </c>
      <c r="M13" s="394">
        <f>G13/50</f>
        <v>10000</v>
      </c>
      <c r="N13" s="394">
        <f t="shared" si="1"/>
        <v>43989</v>
      </c>
      <c r="O13" s="394">
        <f t="shared" si="2"/>
        <v>22661</v>
      </c>
      <c r="P13" s="347">
        <v>33</v>
      </c>
      <c r="Q13" s="354">
        <f t="shared" si="3"/>
        <v>17</v>
      </c>
      <c r="R13" s="350">
        <f t="shared" si="4"/>
        <v>373989</v>
      </c>
      <c r="S13" s="350">
        <f t="shared" si="5"/>
        <v>192661</v>
      </c>
      <c r="T13" s="400"/>
    </row>
    <row r="14" spans="1:20">
      <c r="A14" s="378"/>
      <c r="B14" s="378"/>
      <c r="C14" s="363" t="s">
        <v>1462</v>
      </c>
      <c r="D14" s="367">
        <v>10</v>
      </c>
      <c r="E14" s="393" t="s">
        <v>1437</v>
      </c>
      <c r="F14" s="393" t="s">
        <v>458</v>
      </c>
      <c r="G14" s="351">
        <v>500000</v>
      </c>
      <c r="H14" s="351">
        <v>66650</v>
      </c>
      <c r="I14" s="349">
        <f t="shared" si="0"/>
        <v>566650</v>
      </c>
      <c r="J14" s="348">
        <v>50</v>
      </c>
      <c r="K14" s="380">
        <v>11333</v>
      </c>
      <c r="L14" s="394">
        <f>H14/50</f>
        <v>1333</v>
      </c>
      <c r="M14" s="394">
        <f>G14/50</f>
        <v>10000</v>
      </c>
      <c r="N14" s="394">
        <f t="shared" si="1"/>
        <v>7998</v>
      </c>
      <c r="O14" s="394">
        <f t="shared" si="2"/>
        <v>58652</v>
      </c>
      <c r="P14" s="348">
        <v>6</v>
      </c>
      <c r="Q14" s="354">
        <f t="shared" si="3"/>
        <v>44</v>
      </c>
      <c r="R14" s="350">
        <f t="shared" si="4"/>
        <v>67998</v>
      </c>
      <c r="S14" s="350">
        <f t="shared" si="5"/>
        <v>498652</v>
      </c>
      <c r="T14" s="393"/>
    </row>
    <row r="15" spans="1:20">
      <c r="A15" s="378"/>
      <c r="B15" s="378"/>
      <c r="C15" s="363" t="s">
        <v>1496</v>
      </c>
      <c r="D15" s="367">
        <v>11</v>
      </c>
      <c r="E15" s="393" t="s">
        <v>1437</v>
      </c>
      <c r="F15" s="393" t="s">
        <v>447</v>
      </c>
      <c r="G15" s="380">
        <v>750000</v>
      </c>
      <c r="H15" s="380">
        <v>99925</v>
      </c>
      <c r="I15" s="380">
        <f t="shared" si="0"/>
        <v>849925</v>
      </c>
      <c r="J15" s="348">
        <v>60</v>
      </c>
      <c r="K15" s="380">
        <v>14166.25</v>
      </c>
      <c r="L15" s="394">
        <f>H15/60</f>
        <v>1665.4166666666667</v>
      </c>
      <c r="M15" s="394">
        <f>G15/60</f>
        <v>12500</v>
      </c>
      <c r="N15" s="394">
        <f t="shared" si="1"/>
        <v>4996.25</v>
      </c>
      <c r="O15" s="394">
        <f t="shared" si="2"/>
        <v>94928.75</v>
      </c>
      <c r="P15" s="348">
        <v>3</v>
      </c>
      <c r="Q15" s="348">
        <f t="shared" si="3"/>
        <v>57</v>
      </c>
      <c r="R15" s="380">
        <f t="shared" si="4"/>
        <v>42498.75</v>
      </c>
      <c r="S15" s="380">
        <f t="shared" si="5"/>
        <v>807426.25</v>
      </c>
      <c r="T15" s="393"/>
    </row>
    <row r="16" spans="1:20">
      <c r="A16" s="378"/>
      <c r="B16" s="378"/>
      <c r="C16" s="363" t="s">
        <v>1101</v>
      </c>
      <c r="D16" s="367">
        <v>12</v>
      </c>
      <c r="E16" s="393" t="s">
        <v>1437</v>
      </c>
      <c r="F16" s="393" t="s">
        <v>290</v>
      </c>
      <c r="G16" s="351">
        <v>330000</v>
      </c>
      <c r="H16" s="351">
        <v>43989</v>
      </c>
      <c r="I16" s="349">
        <f t="shared" si="0"/>
        <v>373989</v>
      </c>
      <c r="J16" s="348">
        <v>50</v>
      </c>
      <c r="K16" s="380">
        <v>7479.78</v>
      </c>
      <c r="L16" s="394">
        <f t="shared" ref="L16:L25" si="6">H16/50</f>
        <v>879.78</v>
      </c>
      <c r="M16" s="394">
        <f t="shared" ref="M16:M27" si="7">G16/50</f>
        <v>6600</v>
      </c>
      <c r="N16" s="394">
        <f t="shared" si="1"/>
        <v>5278.68</v>
      </c>
      <c r="O16" s="394">
        <f t="shared" si="2"/>
        <v>38710.32</v>
      </c>
      <c r="P16" s="348">
        <v>6</v>
      </c>
      <c r="Q16" s="354">
        <f t="shared" si="3"/>
        <v>44</v>
      </c>
      <c r="R16" s="350">
        <f t="shared" si="4"/>
        <v>44878.68</v>
      </c>
      <c r="S16" s="350">
        <f t="shared" si="5"/>
        <v>329110.32</v>
      </c>
      <c r="T16" s="393"/>
    </row>
    <row r="17" spans="1:20">
      <c r="A17" s="378"/>
      <c r="B17" s="378"/>
      <c r="C17" s="364" t="s">
        <v>1382</v>
      </c>
      <c r="D17" s="367">
        <v>13</v>
      </c>
      <c r="E17" s="393" t="s">
        <v>1437</v>
      </c>
      <c r="F17" s="400" t="s">
        <v>1130</v>
      </c>
      <c r="G17" s="350">
        <v>330000</v>
      </c>
      <c r="H17" s="350">
        <v>43989</v>
      </c>
      <c r="I17" s="349">
        <f t="shared" si="0"/>
        <v>373989</v>
      </c>
      <c r="J17" s="347">
        <v>50</v>
      </c>
      <c r="K17" s="379">
        <v>7479.78</v>
      </c>
      <c r="L17" s="394">
        <f t="shared" si="6"/>
        <v>879.78</v>
      </c>
      <c r="M17" s="394">
        <f t="shared" si="7"/>
        <v>6600</v>
      </c>
      <c r="N17" s="394">
        <f t="shared" si="1"/>
        <v>21994.5</v>
      </c>
      <c r="O17" s="394">
        <f t="shared" si="2"/>
        <v>21994.5</v>
      </c>
      <c r="P17" s="353">
        <v>25</v>
      </c>
      <c r="Q17" s="354">
        <f t="shared" si="3"/>
        <v>25</v>
      </c>
      <c r="R17" s="350">
        <f t="shared" si="4"/>
        <v>186994.5</v>
      </c>
      <c r="S17" s="350">
        <f t="shared" si="5"/>
        <v>186994.5</v>
      </c>
      <c r="T17" s="400"/>
    </row>
    <row r="18" spans="1:20">
      <c r="A18" s="378"/>
      <c r="B18" s="378"/>
      <c r="C18" s="364" t="s">
        <v>1350</v>
      </c>
      <c r="D18" s="367">
        <v>14</v>
      </c>
      <c r="E18" s="393" t="s">
        <v>1437</v>
      </c>
      <c r="F18" s="399" t="s">
        <v>1117</v>
      </c>
      <c r="G18" s="350">
        <v>500000</v>
      </c>
      <c r="H18" s="350">
        <v>66650</v>
      </c>
      <c r="I18" s="349">
        <f t="shared" si="0"/>
        <v>566650</v>
      </c>
      <c r="J18" s="347">
        <v>50</v>
      </c>
      <c r="K18" s="379">
        <v>11333</v>
      </c>
      <c r="L18" s="394">
        <f t="shared" si="6"/>
        <v>1333</v>
      </c>
      <c r="M18" s="394">
        <f t="shared" si="7"/>
        <v>10000</v>
      </c>
      <c r="N18" s="394">
        <f t="shared" si="1"/>
        <v>33325</v>
      </c>
      <c r="O18" s="394">
        <f t="shared" si="2"/>
        <v>33325</v>
      </c>
      <c r="P18" s="352">
        <v>25</v>
      </c>
      <c r="Q18" s="354">
        <f t="shared" si="3"/>
        <v>25</v>
      </c>
      <c r="R18" s="350">
        <f t="shared" si="4"/>
        <v>283325</v>
      </c>
      <c r="S18" s="350">
        <f t="shared" si="5"/>
        <v>283325</v>
      </c>
      <c r="T18" s="400"/>
    </row>
    <row r="19" spans="1:20">
      <c r="A19" s="378"/>
      <c r="B19" s="378"/>
      <c r="C19" s="116" t="s">
        <v>1338</v>
      </c>
      <c r="D19" s="367">
        <v>15</v>
      </c>
      <c r="E19" s="393" t="s">
        <v>1437</v>
      </c>
      <c r="F19" s="400" t="s">
        <v>438</v>
      </c>
      <c r="G19" s="350">
        <v>500000</v>
      </c>
      <c r="H19" s="350">
        <v>66650</v>
      </c>
      <c r="I19" s="349">
        <f t="shared" si="0"/>
        <v>566650</v>
      </c>
      <c r="J19" s="347">
        <v>50</v>
      </c>
      <c r="K19" s="379">
        <v>11333</v>
      </c>
      <c r="L19" s="394">
        <f t="shared" si="6"/>
        <v>1333</v>
      </c>
      <c r="M19" s="394">
        <f t="shared" si="7"/>
        <v>10000</v>
      </c>
      <c r="N19" s="394">
        <f t="shared" si="1"/>
        <v>17329</v>
      </c>
      <c r="O19" s="394">
        <f t="shared" si="2"/>
        <v>49321</v>
      </c>
      <c r="P19" s="352">
        <v>13</v>
      </c>
      <c r="Q19" s="354">
        <f t="shared" si="3"/>
        <v>37</v>
      </c>
      <c r="R19" s="350">
        <f t="shared" si="4"/>
        <v>147329</v>
      </c>
      <c r="S19" s="350">
        <f t="shared" si="5"/>
        <v>419321</v>
      </c>
      <c r="T19" s="400"/>
    </row>
    <row r="20" spans="1:20">
      <c r="A20" s="378"/>
      <c r="B20" s="378"/>
      <c r="C20" s="363" t="s">
        <v>1413</v>
      </c>
      <c r="D20" s="367">
        <v>16</v>
      </c>
      <c r="E20" s="393" t="s">
        <v>1437</v>
      </c>
      <c r="F20" s="393" t="s">
        <v>454</v>
      </c>
      <c r="G20" s="351">
        <v>500000</v>
      </c>
      <c r="H20" s="351">
        <v>66650</v>
      </c>
      <c r="I20" s="349">
        <f t="shared" si="0"/>
        <v>566650</v>
      </c>
      <c r="J20" s="348">
        <v>50</v>
      </c>
      <c r="K20" s="380">
        <v>11333</v>
      </c>
      <c r="L20" s="394">
        <f t="shared" si="6"/>
        <v>1333</v>
      </c>
      <c r="M20" s="394">
        <f t="shared" si="7"/>
        <v>10000</v>
      </c>
      <c r="N20" s="394">
        <f t="shared" si="1"/>
        <v>14663</v>
      </c>
      <c r="O20" s="394">
        <f t="shared" si="2"/>
        <v>51987</v>
      </c>
      <c r="P20" s="348">
        <v>11</v>
      </c>
      <c r="Q20" s="354">
        <f t="shared" si="3"/>
        <v>39</v>
      </c>
      <c r="R20" s="350">
        <f t="shared" si="4"/>
        <v>124663</v>
      </c>
      <c r="S20" s="350">
        <f t="shared" si="5"/>
        <v>441987</v>
      </c>
      <c r="T20" s="393"/>
    </row>
    <row r="21" spans="1:20">
      <c r="A21" s="378"/>
      <c r="B21" s="378"/>
      <c r="C21" s="116" t="s">
        <v>1343</v>
      </c>
      <c r="D21" s="367">
        <v>17</v>
      </c>
      <c r="E21" s="393" t="s">
        <v>1437</v>
      </c>
      <c r="F21" s="400" t="s">
        <v>451</v>
      </c>
      <c r="G21" s="350">
        <v>500000</v>
      </c>
      <c r="H21" s="350">
        <v>66650</v>
      </c>
      <c r="I21" s="349">
        <f t="shared" si="0"/>
        <v>566650</v>
      </c>
      <c r="J21" s="347">
        <v>50</v>
      </c>
      <c r="K21" s="379">
        <v>11333</v>
      </c>
      <c r="L21" s="394">
        <f t="shared" si="6"/>
        <v>1333</v>
      </c>
      <c r="M21" s="394">
        <f t="shared" si="7"/>
        <v>10000</v>
      </c>
      <c r="N21" s="394">
        <f t="shared" si="1"/>
        <v>31992</v>
      </c>
      <c r="O21" s="394">
        <f t="shared" si="2"/>
        <v>34658</v>
      </c>
      <c r="P21" s="353">
        <v>24</v>
      </c>
      <c r="Q21" s="354">
        <f t="shared" si="3"/>
        <v>26</v>
      </c>
      <c r="R21" s="350">
        <f t="shared" si="4"/>
        <v>271992</v>
      </c>
      <c r="S21" s="350">
        <f t="shared" si="5"/>
        <v>294658</v>
      </c>
      <c r="T21" s="400"/>
    </row>
    <row r="22" spans="1:20">
      <c r="A22" s="378"/>
      <c r="B22" s="378"/>
      <c r="C22" s="363" t="s">
        <v>1463</v>
      </c>
      <c r="D22" s="367">
        <v>18</v>
      </c>
      <c r="E22" s="393" t="s">
        <v>1437</v>
      </c>
      <c r="F22" s="393" t="s">
        <v>472</v>
      </c>
      <c r="G22" s="351">
        <v>500000</v>
      </c>
      <c r="H22" s="351">
        <v>66650</v>
      </c>
      <c r="I22" s="349">
        <f t="shared" si="0"/>
        <v>566650</v>
      </c>
      <c r="J22" s="348">
        <v>50</v>
      </c>
      <c r="K22" s="380">
        <v>11333</v>
      </c>
      <c r="L22" s="394">
        <f t="shared" si="6"/>
        <v>1333</v>
      </c>
      <c r="M22" s="394">
        <f t="shared" si="7"/>
        <v>10000</v>
      </c>
      <c r="N22" s="394">
        <f t="shared" si="1"/>
        <v>7998</v>
      </c>
      <c r="O22" s="394">
        <f t="shared" si="2"/>
        <v>58652</v>
      </c>
      <c r="P22" s="348">
        <v>6</v>
      </c>
      <c r="Q22" s="354">
        <f t="shared" si="3"/>
        <v>44</v>
      </c>
      <c r="R22" s="350">
        <f t="shared" si="4"/>
        <v>67998</v>
      </c>
      <c r="S22" s="350">
        <f t="shared" si="5"/>
        <v>498652</v>
      </c>
      <c r="T22" s="393"/>
    </row>
    <row r="23" spans="1:20">
      <c r="A23" s="378"/>
      <c r="B23" s="378"/>
      <c r="C23" s="363" t="s">
        <v>1107</v>
      </c>
      <c r="D23" s="367">
        <v>19</v>
      </c>
      <c r="E23" s="393" t="s">
        <v>1437</v>
      </c>
      <c r="F23" s="400" t="s">
        <v>734</v>
      </c>
      <c r="G23" s="350">
        <v>500000</v>
      </c>
      <c r="H23" s="350">
        <v>66650</v>
      </c>
      <c r="I23" s="349">
        <f t="shared" si="0"/>
        <v>566650</v>
      </c>
      <c r="J23" s="347">
        <v>50</v>
      </c>
      <c r="K23" s="379">
        <v>11333</v>
      </c>
      <c r="L23" s="394">
        <f t="shared" si="6"/>
        <v>1333</v>
      </c>
      <c r="M23" s="394">
        <f t="shared" si="7"/>
        <v>10000</v>
      </c>
      <c r="N23" s="394">
        <f t="shared" si="1"/>
        <v>17329</v>
      </c>
      <c r="O23" s="394">
        <f t="shared" si="2"/>
        <v>49321</v>
      </c>
      <c r="P23" s="353">
        <v>13</v>
      </c>
      <c r="Q23" s="354">
        <f t="shared" si="3"/>
        <v>37</v>
      </c>
      <c r="R23" s="350">
        <f t="shared" si="4"/>
        <v>147329</v>
      </c>
      <c r="S23" s="350">
        <f t="shared" si="5"/>
        <v>419321</v>
      </c>
      <c r="T23" s="400"/>
    </row>
    <row r="24" spans="1:20">
      <c r="A24" s="378"/>
      <c r="B24" s="378"/>
      <c r="C24" s="363" t="s">
        <v>1344</v>
      </c>
      <c r="D24" s="367">
        <v>20</v>
      </c>
      <c r="E24" s="393" t="s">
        <v>1437</v>
      </c>
      <c r="F24" s="400" t="s">
        <v>1345</v>
      </c>
      <c r="G24" s="350">
        <v>500000</v>
      </c>
      <c r="H24" s="350">
        <v>66650</v>
      </c>
      <c r="I24" s="349">
        <f t="shared" si="0"/>
        <v>566650</v>
      </c>
      <c r="J24" s="347">
        <v>50</v>
      </c>
      <c r="K24" s="379">
        <v>11333</v>
      </c>
      <c r="L24" s="394">
        <f t="shared" si="6"/>
        <v>1333</v>
      </c>
      <c r="M24" s="394">
        <f t="shared" si="7"/>
        <v>10000</v>
      </c>
      <c r="N24" s="394">
        <f t="shared" si="1"/>
        <v>21328</v>
      </c>
      <c r="O24" s="394">
        <f t="shared" si="2"/>
        <v>45322</v>
      </c>
      <c r="P24" s="352">
        <v>16</v>
      </c>
      <c r="Q24" s="354">
        <f t="shared" si="3"/>
        <v>34</v>
      </c>
      <c r="R24" s="350">
        <f t="shared" si="4"/>
        <v>181328</v>
      </c>
      <c r="S24" s="350">
        <f t="shared" si="5"/>
        <v>385322</v>
      </c>
      <c r="T24" s="400"/>
    </row>
    <row r="25" spans="1:20">
      <c r="A25" s="378"/>
      <c r="B25" s="378"/>
      <c r="C25" s="364" t="s">
        <v>989</v>
      </c>
      <c r="D25" s="367">
        <v>21</v>
      </c>
      <c r="E25" s="393" t="s">
        <v>1437</v>
      </c>
      <c r="F25" s="399" t="s">
        <v>864</v>
      </c>
      <c r="G25" s="350">
        <v>500000</v>
      </c>
      <c r="H25" s="350">
        <v>66650</v>
      </c>
      <c r="I25" s="349">
        <f t="shared" si="0"/>
        <v>566650</v>
      </c>
      <c r="J25" s="347">
        <v>50</v>
      </c>
      <c r="K25" s="379">
        <v>11333</v>
      </c>
      <c r="L25" s="394">
        <f t="shared" si="6"/>
        <v>1333</v>
      </c>
      <c r="M25" s="394">
        <f t="shared" si="7"/>
        <v>10000</v>
      </c>
      <c r="N25" s="394">
        <f t="shared" si="1"/>
        <v>43989</v>
      </c>
      <c r="O25" s="394">
        <f t="shared" si="2"/>
        <v>22661</v>
      </c>
      <c r="P25" s="352">
        <v>33</v>
      </c>
      <c r="Q25" s="354">
        <f t="shared" si="3"/>
        <v>17</v>
      </c>
      <c r="R25" s="350">
        <f t="shared" si="4"/>
        <v>373989</v>
      </c>
      <c r="S25" s="350">
        <f t="shared" si="5"/>
        <v>192661</v>
      </c>
      <c r="T25" s="400"/>
    </row>
    <row r="26" spans="1:20">
      <c r="A26" s="378"/>
      <c r="B26" s="378"/>
      <c r="C26" s="363" t="s">
        <v>991</v>
      </c>
      <c r="D26" s="367">
        <v>22</v>
      </c>
      <c r="E26" s="393" t="s">
        <v>1437</v>
      </c>
      <c r="F26" s="393" t="s">
        <v>992</v>
      </c>
      <c r="G26" s="351">
        <v>330000</v>
      </c>
      <c r="H26" s="351">
        <v>26393.4</v>
      </c>
      <c r="I26" s="349">
        <f t="shared" si="0"/>
        <v>356393.4</v>
      </c>
      <c r="J26" s="348">
        <v>30</v>
      </c>
      <c r="K26" s="380">
        <v>11879.78</v>
      </c>
      <c r="L26" s="394">
        <f>H26/30</f>
        <v>879.78000000000009</v>
      </c>
      <c r="M26" s="394">
        <f t="shared" si="7"/>
        <v>6600</v>
      </c>
      <c r="N26" s="394">
        <f t="shared" si="1"/>
        <v>5278.68</v>
      </c>
      <c r="O26" s="394">
        <f t="shared" si="2"/>
        <v>21114.720000000001</v>
      </c>
      <c r="P26" s="348">
        <v>6</v>
      </c>
      <c r="Q26" s="354">
        <f t="shared" si="3"/>
        <v>24</v>
      </c>
      <c r="R26" s="350">
        <f t="shared" si="4"/>
        <v>71278.680000000008</v>
      </c>
      <c r="S26" s="350">
        <f t="shared" si="5"/>
        <v>285114.72000000003</v>
      </c>
      <c r="T26" s="393"/>
    </row>
    <row r="27" spans="1:20">
      <c r="A27" s="378"/>
      <c r="B27" s="378"/>
      <c r="C27" s="363" t="s">
        <v>1038</v>
      </c>
      <c r="D27" s="367">
        <v>23</v>
      </c>
      <c r="E27" s="393" t="s">
        <v>1437</v>
      </c>
      <c r="F27" s="393" t="s">
        <v>375</v>
      </c>
      <c r="G27" s="351">
        <v>450000</v>
      </c>
      <c r="H27" s="351">
        <v>59985</v>
      </c>
      <c r="I27" s="349">
        <f t="shared" si="0"/>
        <v>509985</v>
      </c>
      <c r="J27" s="348">
        <v>50</v>
      </c>
      <c r="K27" s="380">
        <v>10199.700000000001</v>
      </c>
      <c r="L27" s="394">
        <f>H27/50</f>
        <v>1199.7</v>
      </c>
      <c r="M27" s="394">
        <f t="shared" si="7"/>
        <v>9000</v>
      </c>
      <c r="N27" s="394">
        <f t="shared" si="1"/>
        <v>10797.300000000001</v>
      </c>
      <c r="O27" s="394">
        <f t="shared" si="2"/>
        <v>49187.700000000004</v>
      </c>
      <c r="P27" s="348">
        <v>9</v>
      </c>
      <c r="Q27" s="354">
        <f t="shared" si="3"/>
        <v>41</v>
      </c>
      <c r="R27" s="350">
        <f t="shared" si="4"/>
        <v>91797.3</v>
      </c>
      <c r="S27" s="350">
        <f t="shared" si="5"/>
        <v>418187.7</v>
      </c>
      <c r="T27" s="393"/>
    </row>
    <row r="28" spans="1:20">
      <c r="A28" s="378"/>
      <c r="B28" s="378"/>
      <c r="C28" s="363" t="s">
        <v>1505</v>
      </c>
      <c r="D28" s="367">
        <v>24</v>
      </c>
      <c r="E28" s="393" t="s">
        <v>1437</v>
      </c>
      <c r="F28" s="393" t="s">
        <v>1506</v>
      </c>
      <c r="G28" s="380">
        <v>600000</v>
      </c>
      <c r="H28" s="380">
        <v>79980</v>
      </c>
      <c r="I28" s="380">
        <f t="shared" si="0"/>
        <v>679980</v>
      </c>
      <c r="J28" s="348">
        <v>60</v>
      </c>
      <c r="K28" s="380">
        <v>11333</v>
      </c>
      <c r="L28" s="394">
        <f>H28/60</f>
        <v>1333</v>
      </c>
      <c r="M28" s="394">
        <f>G28/60</f>
        <v>10000</v>
      </c>
      <c r="N28" s="394">
        <f t="shared" si="1"/>
        <v>3999</v>
      </c>
      <c r="O28" s="394">
        <f t="shared" si="2"/>
        <v>75981</v>
      </c>
      <c r="P28" s="348">
        <v>3</v>
      </c>
      <c r="Q28" s="348">
        <f t="shared" si="3"/>
        <v>57</v>
      </c>
      <c r="R28" s="380">
        <f t="shared" si="4"/>
        <v>33999</v>
      </c>
      <c r="S28" s="380">
        <f t="shared" si="5"/>
        <v>645981</v>
      </c>
      <c r="T28" s="393"/>
    </row>
    <row r="29" spans="1:20">
      <c r="A29" s="378"/>
      <c r="B29" s="378"/>
      <c r="C29" s="363" t="s">
        <v>1352</v>
      </c>
      <c r="D29" s="367">
        <v>25</v>
      </c>
      <c r="E29" s="393" t="s">
        <v>1437</v>
      </c>
      <c r="F29" s="400" t="s">
        <v>1353</v>
      </c>
      <c r="G29" s="350">
        <v>500000</v>
      </c>
      <c r="H29" s="350">
        <v>66650</v>
      </c>
      <c r="I29" s="349">
        <f t="shared" si="0"/>
        <v>566650</v>
      </c>
      <c r="J29" s="347">
        <v>50</v>
      </c>
      <c r="K29" s="379">
        <v>11333</v>
      </c>
      <c r="L29" s="394">
        <f>H29/50</f>
        <v>1333</v>
      </c>
      <c r="M29" s="394">
        <f>G29/50</f>
        <v>10000</v>
      </c>
      <c r="N29" s="394">
        <f t="shared" si="1"/>
        <v>17329</v>
      </c>
      <c r="O29" s="394">
        <f t="shared" si="2"/>
        <v>49321</v>
      </c>
      <c r="P29" s="347">
        <v>13</v>
      </c>
      <c r="Q29" s="354">
        <f t="shared" si="3"/>
        <v>37</v>
      </c>
      <c r="R29" s="350">
        <f t="shared" si="4"/>
        <v>147329</v>
      </c>
      <c r="S29" s="350">
        <f t="shared" si="5"/>
        <v>419321</v>
      </c>
      <c r="T29" s="400"/>
    </row>
    <row r="30" spans="1:20">
      <c r="A30" s="378"/>
      <c r="B30" s="378"/>
      <c r="C30" s="364" t="s">
        <v>1141</v>
      </c>
      <c r="D30" s="367">
        <v>26</v>
      </c>
      <c r="E30" s="393" t="s">
        <v>1437</v>
      </c>
      <c r="F30" s="399" t="s">
        <v>1142</v>
      </c>
      <c r="G30" s="350">
        <v>330000</v>
      </c>
      <c r="H30" s="350">
        <v>43989</v>
      </c>
      <c r="I30" s="349">
        <f t="shared" si="0"/>
        <v>373989</v>
      </c>
      <c r="J30" s="347">
        <v>50</v>
      </c>
      <c r="K30" s="379">
        <v>7479.78</v>
      </c>
      <c r="L30" s="394">
        <f>H30/50</f>
        <v>879.78</v>
      </c>
      <c r="M30" s="394">
        <f>G30/50</f>
        <v>6600</v>
      </c>
      <c r="N30" s="394">
        <f t="shared" si="1"/>
        <v>22874.28</v>
      </c>
      <c r="O30" s="394">
        <f t="shared" si="2"/>
        <v>21114.720000000001</v>
      </c>
      <c r="P30" s="352">
        <v>26</v>
      </c>
      <c r="Q30" s="354">
        <f t="shared" si="3"/>
        <v>24</v>
      </c>
      <c r="R30" s="350">
        <f t="shared" si="4"/>
        <v>194474.28</v>
      </c>
      <c r="S30" s="350">
        <f t="shared" si="5"/>
        <v>179514.72</v>
      </c>
      <c r="T30" s="400"/>
    </row>
    <row r="31" spans="1:20" ht="31.5">
      <c r="A31" s="378"/>
      <c r="B31" s="378"/>
      <c r="C31" s="363" t="s">
        <v>972</v>
      </c>
      <c r="D31" s="367">
        <v>27</v>
      </c>
      <c r="E31" s="393" t="s">
        <v>1437</v>
      </c>
      <c r="F31" s="395" t="s">
        <v>312</v>
      </c>
      <c r="G31" s="380">
        <v>750000</v>
      </c>
      <c r="H31" s="380">
        <v>99925</v>
      </c>
      <c r="I31" s="380">
        <f t="shared" si="0"/>
        <v>849925</v>
      </c>
      <c r="J31" s="348">
        <v>60</v>
      </c>
      <c r="K31" s="380">
        <v>14166.25</v>
      </c>
      <c r="L31" s="394">
        <f>H31/60</f>
        <v>1665.4166666666667</v>
      </c>
      <c r="M31" s="394">
        <f>G31/60</f>
        <v>12500</v>
      </c>
      <c r="N31" s="394">
        <f t="shared" si="1"/>
        <v>4996.25</v>
      </c>
      <c r="O31" s="394">
        <f t="shared" si="2"/>
        <v>94928.75</v>
      </c>
      <c r="P31" s="348">
        <v>3</v>
      </c>
      <c r="Q31" s="348">
        <f t="shared" si="3"/>
        <v>57</v>
      </c>
      <c r="R31" s="380">
        <f t="shared" si="4"/>
        <v>42498.75</v>
      </c>
      <c r="S31" s="380">
        <f t="shared" si="5"/>
        <v>807426.25</v>
      </c>
      <c r="T31" s="393"/>
    </row>
    <row r="32" spans="1:20">
      <c r="A32" s="378"/>
      <c r="B32" s="378"/>
      <c r="C32" s="363" t="s">
        <v>1509</v>
      </c>
      <c r="D32" s="367">
        <v>28</v>
      </c>
      <c r="E32" s="393" t="s">
        <v>1437</v>
      </c>
      <c r="F32" s="393" t="s">
        <v>1510</v>
      </c>
      <c r="G32" s="380">
        <v>450000</v>
      </c>
      <c r="H32" s="380">
        <v>59985</v>
      </c>
      <c r="I32" s="380">
        <f t="shared" si="0"/>
        <v>509985</v>
      </c>
      <c r="J32" s="348">
        <v>60</v>
      </c>
      <c r="K32" s="380">
        <v>8499.75</v>
      </c>
      <c r="L32" s="394">
        <f>H32/60</f>
        <v>999.75</v>
      </c>
      <c r="M32" s="394">
        <f>G32/60</f>
        <v>7500</v>
      </c>
      <c r="N32" s="394">
        <f t="shared" si="1"/>
        <v>2999.25</v>
      </c>
      <c r="O32" s="394">
        <f t="shared" si="2"/>
        <v>56985.75</v>
      </c>
      <c r="P32" s="348">
        <v>3</v>
      </c>
      <c r="Q32" s="348">
        <f t="shared" si="3"/>
        <v>57</v>
      </c>
      <c r="R32" s="380">
        <f t="shared" si="4"/>
        <v>25499.25</v>
      </c>
      <c r="S32" s="380">
        <f t="shared" si="5"/>
        <v>484485.75</v>
      </c>
      <c r="T32" s="393"/>
    </row>
    <row r="33" spans="1:20">
      <c r="A33" s="378"/>
      <c r="B33" s="378"/>
      <c r="C33" s="364" t="s">
        <v>966</v>
      </c>
      <c r="D33" s="367">
        <v>29</v>
      </c>
      <c r="E33" s="393" t="s">
        <v>1437</v>
      </c>
      <c r="F33" s="393" t="s">
        <v>29</v>
      </c>
      <c r="G33" s="351">
        <v>450000</v>
      </c>
      <c r="H33" s="351">
        <v>59985</v>
      </c>
      <c r="I33" s="349">
        <f t="shared" si="0"/>
        <v>509985</v>
      </c>
      <c r="J33" s="348">
        <v>50</v>
      </c>
      <c r="K33" s="380">
        <v>10199.700000000001</v>
      </c>
      <c r="L33" s="394">
        <f>H33/50</f>
        <v>1199.7</v>
      </c>
      <c r="M33" s="394">
        <f>G33/50</f>
        <v>9000</v>
      </c>
      <c r="N33" s="394">
        <f t="shared" si="1"/>
        <v>59985</v>
      </c>
      <c r="O33" s="394">
        <f t="shared" si="2"/>
        <v>0</v>
      </c>
      <c r="P33" s="348">
        <v>50</v>
      </c>
      <c r="Q33" s="354">
        <f t="shared" si="3"/>
        <v>0</v>
      </c>
      <c r="R33" s="350">
        <f t="shared" si="4"/>
        <v>509985.00000000006</v>
      </c>
      <c r="S33" s="350">
        <f t="shared" si="5"/>
        <v>0</v>
      </c>
      <c r="T33" s="393"/>
    </row>
    <row r="34" spans="1:20" ht="21">
      <c r="A34" s="378"/>
      <c r="B34" s="378"/>
      <c r="C34" s="363" t="s">
        <v>1521</v>
      </c>
      <c r="D34" s="367">
        <v>30</v>
      </c>
      <c r="E34" s="393" t="s">
        <v>1437</v>
      </c>
      <c r="F34" s="393" t="s">
        <v>481</v>
      </c>
      <c r="G34" s="380">
        <v>750000</v>
      </c>
      <c r="H34" s="380">
        <v>99925</v>
      </c>
      <c r="I34" s="380">
        <f t="shared" si="0"/>
        <v>849925</v>
      </c>
      <c r="J34" s="348">
        <v>60</v>
      </c>
      <c r="K34" s="380">
        <v>14166.25</v>
      </c>
      <c r="L34" s="394">
        <f>H34/60</f>
        <v>1665.4166666666667</v>
      </c>
      <c r="M34" s="394">
        <f>G34/60</f>
        <v>12500</v>
      </c>
      <c r="N34" s="394">
        <f t="shared" si="1"/>
        <v>4996.25</v>
      </c>
      <c r="O34" s="394">
        <f t="shared" si="2"/>
        <v>94928.75</v>
      </c>
      <c r="P34" s="348">
        <v>3</v>
      </c>
      <c r="Q34" s="354">
        <f t="shared" si="3"/>
        <v>57</v>
      </c>
      <c r="R34" s="350">
        <f t="shared" si="4"/>
        <v>42498.75</v>
      </c>
      <c r="S34" s="350">
        <f t="shared" si="5"/>
        <v>807426.25</v>
      </c>
      <c r="T34" s="401" t="s">
        <v>1522</v>
      </c>
    </row>
    <row r="35" spans="1:20">
      <c r="A35" s="378"/>
      <c r="B35" s="378"/>
      <c r="C35" s="364" t="s">
        <v>993</v>
      </c>
      <c r="D35" s="367">
        <v>31</v>
      </c>
      <c r="E35" s="393" t="s">
        <v>1437</v>
      </c>
      <c r="F35" s="393" t="s">
        <v>994</v>
      </c>
      <c r="G35" s="351">
        <v>150000</v>
      </c>
      <c r="H35" s="351">
        <v>19995</v>
      </c>
      <c r="I35" s="349">
        <f t="shared" si="0"/>
        <v>169995</v>
      </c>
      <c r="J35" s="348">
        <v>50</v>
      </c>
      <c r="K35" s="380">
        <v>3399.9</v>
      </c>
      <c r="L35" s="394">
        <f t="shared" ref="L35:L47" si="8">H35/50</f>
        <v>399.9</v>
      </c>
      <c r="M35" s="394">
        <f t="shared" ref="M35:M55" si="9">G35/50</f>
        <v>3000</v>
      </c>
      <c r="N35" s="394">
        <f t="shared" si="1"/>
        <v>13196.699999999999</v>
      </c>
      <c r="O35" s="394">
        <f t="shared" si="2"/>
        <v>6798.2999999999993</v>
      </c>
      <c r="P35" s="348">
        <v>33</v>
      </c>
      <c r="Q35" s="354">
        <f t="shared" si="3"/>
        <v>17</v>
      </c>
      <c r="R35" s="350">
        <f t="shared" si="4"/>
        <v>112196.7</v>
      </c>
      <c r="S35" s="350">
        <f t="shared" si="5"/>
        <v>57798.3</v>
      </c>
      <c r="T35" s="393"/>
    </row>
    <row r="36" spans="1:20">
      <c r="A36" s="378"/>
      <c r="B36" s="378"/>
      <c r="C36" s="364" t="s">
        <v>1099</v>
      </c>
      <c r="D36" s="367">
        <v>32</v>
      </c>
      <c r="E36" s="393" t="s">
        <v>1437</v>
      </c>
      <c r="F36" s="393" t="s">
        <v>487</v>
      </c>
      <c r="G36" s="351">
        <v>500000</v>
      </c>
      <c r="H36" s="351">
        <v>66650</v>
      </c>
      <c r="I36" s="349">
        <f t="shared" si="0"/>
        <v>566650</v>
      </c>
      <c r="J36" s="348">
        <v>50</v>
      </c>
      <c r="K36" s="380">
        <v>11333</v>
      </c>
      <c r="L36" s="394">
        <f t="shared" si="8"/>
        <v>1333</v>
      </c>
      <c r="M36" s="394">
        <f t="shared" si="9"/>
        <v>10000</v>
      </c>
      <c r="N36" s="394">
        <f t="shared" si="1"/>
        <v>50654</v>
      </c>
      <c r="O36" s="394">
        <f t="shared" si="2"/>
        <v>15996</v>
      </c>
      <c r="P36" s="348">
        <v>38</v>
      </c>
      <c r="Q36" s="354">
        <f t="shared" si="3"/>
        <v>12</v>
      </c>
      <c r="R36" s="350">
        <f t="shared" si="4"/>
        <v>430654</v>
      </c>
      <c r="S36" s="350">
        <f t="shared" si="5"/>
        <v>135996</v>
      </c>
      <c r="T36" s="393"/>
    </row>
    <row r="37" spans="1:20">
      <c r="A37" s="378"/>
      <c r="B37" s="378"/>
      <c r="C37" s="364" t="s">
        <v>1069</v>
      </c>
      <c r="D37" s="367">
        <v>33</v>
      </c>
      <c r="E37" s="393" t="s">
        <v>1437</v>
      </c>
      <c r="F37" s="393" t="s">
        <v>358</v>
      </c>
      <c r="G37" s="351">
        <v>500000</v>
      </c>
      <c r="H37" s="351">
        <v>66650</v>
      </c>
      <c r="I37" s="349">
        <f t="shared" ref="I37:I68" si="10">SUM(G37:H37)</f>
        <v>566650</v>
      </c>
      <c r="J37" s="348">
        <v>50</v>
      </c>
      <c r="K37" s="380">
        <v>11333</v>
      </c>
      <c r="L37" s="394">
        <f t="shared" si="8"/>
        <v>1333</v>
      </c>
      <c r="M37" s="394">
        <f t="shared" si="9"/>
        <v>10000</v>
      </c>
      <c r="N37" s="394">
        <f t="shared" ref="N37:N68" si="11">L37*P37</f>
        <v>66650</v>
      </c>
      <c r="O37" s="394">
        <f t="shared" ref="O37:O68" si="12">L37*Q37</f>
        <v>0</v>
      </c>
      <c r="P37" s="348">
        <v>50</v>
      </c>
      <c r="Q37" s="354">
        <f t="shared" ref="Q37:Q68" si="13">J37-P37</f>
        <v>0</v>
      </c>
      <c r="R37" s="350">
        <f t="shared" ref="R37:R68" si="14">K37*P37</f>
        <v>566650</v>
      </c>
      <c r="S37" s="350">
        <f t="shared" ref="S37:S68" si="15">I37-R37</f>
        <v>0</v>
      </c>
      <c r="T37" s="393"/>
    </row>
    <row r="38" spans="1:20">
      <c r="A38" s="378"/>
      <c r="B38" s="378"/>
      <c r="C38" s="363" t="s">
        <v>1445</v>
      </c>
      <c r="D38" s="367">
        <v>34</v>
      </c>
      <c r="E38" s="393" t="s">
        <v>1437</v>
      </c>
      <c r="F38" s="393" t="s">
        <v>1446</v>
      </c>
      <c r="G38" s="351">
        <v>500000</v>
      </c>
      <c r="H38" s="351">
        <v>66650</v>
      </c>
      <c r="I38" s="349">
        <f t="shared" si="10"/>
        <v>566650</v>
      </c>
      <c r="J38" s="348">
        <v>50</v>
      </c>
      <c r="K38" s="380">
        <v>11333</v>
      </c>
      <c r="L38" s="394">
        <f t="shared" si="8"/>
        <v>1333</v>
      </c>
      <c r="M38" s="394">
        <f t="shared" si="9"/>
        <v>10000</v>
      </c>
      <c r="N38" s="394">
        <f t="shared" si="11"/>
        <v>11997</v>
      </c>
      <c r="O38" s="394">
        <f t="shared" si="12"/>
        <v>54653</v>
      </c>
      <c r="P38" s="348">
        <v>9</v>
      </c>
      <c r="Q38" s="354">
        <f t="shared" si="13"/>
        <v>41</v>
      </c>
      <c r="R38" s="350">
        <f t="shared" si="14"/>
        <v>101997</v>
      </c>
      <c r="S38" s="350">
        <f t="shared" si="15"/>
        <v>464653</v>
      </c>
      <c r="T38" s="393"/>
    </row>
    <row r="39" spans="1:20">
      <c r="A39" s="378"/>
      <c r="B39" s="378"/>
      <c r="C39" s="364" t="s">
        <v>1106</v>
      </c>
      <c r="D39" s="367">
        <v>35</v>
      </c>
      <c r="E39" s="393" t="s">
        <v>1437</v>
      </c>
      <c r="F39" s="393" t="s">
        <v>314</v>
      </c>
      <c r="G39" s="351">
        <v>500000</v>
      </c>
      <c r="H39" s="351">
        <v>66650</v>
      </c>
      <c r="I39" s="349">
        <f t="shared" si="10"/>
        <v>566650</v>
      </c>
      <c r="J39" s="348">
        <v>50</v>
      </c>
      <c r="K39" s="380">
        <v>11333</v>
      </c>
      <c r="L39" s="394">
        <f t="shared" si="8"/>
        <v>1333</v>
      </c>
      <c r="M39" s="394">
        <f t="shared" si="9"/>
        <v>10000</v>
      </c>
      <c r="N39" s="394">
        <f t="shared" si="11"/>
        <v>66650</v>
      </c>
      <c r="O39" s="394">
        <f t="shared" si="12"/>
        <v>0</v>
      </c>
      <c r="P39" s="348">
        <v>50</v>
      </c>
      <c r="Q39" s="354">
        <f t="shared" si="13"/>
        <v>0</v>
      </c>
      <c r="R39" s="350">
        <f t="shared" si="14"/>
        <v>566650</v>
      </c>
      <c r="S39" s="350">
        <f t="shared" si="15"/>
        <v>0</v>
      </c>
      <c r="T39" s="393"/>
    </row>
    <row r="40" spans="1:20">
      <c r="A40" s="378"/>
      <c r="B40" s="378"/>
      <c r="C40" s="364" t="s">
        <v>1046</v>
      </c>
      <c r="D40" s="367">
        <v>36</v>
      </c>
      <c r="E40" s="393" t="s">
        <v>1437</v>
      </c>
      <c r="F40" s="393" t="s">
        <v>349</v>
      </c>
      <c r="G40" s="351">
        <v>500000</v>
      </c>
      <c r="H40" s="351">
        <v>66650</v>
      </c>
      <c r="I40" s="349">
        <f t="shared" si="10"/>
        <v>566650</v>
      </c>
      <c r="J40" s="348">
        <v>50</v>
      </c>
      <c r="K40" s="380">
        <v>11333</v>
      </c>
      <c r="L40" s="394">
        <f t="shared" si="8"/>
        <v>1333</v>
      </c>
      <c r="M40" s="394">
        <f t="shared" si="9"/>
        <v>10000</v>
      </c>
      <c r="N40" s="394">
        <f t="shared" si="11"/>
        <v>55986</v>
      </c>
      <c r="O40" s="394">
        <f t="shared" si="12"/>
        <v>10664</v>
      </c>
      <c r="P40" s="348">
        <v>42</v>
      </c>
      <c r="Q40" s="354">
        <f t="shared" si="13"/>
        <v>8</v>
      </c>
      <c r="R40" s="350">
        <f t="shared" si="14"/>
        <v>475986</v>
      </c>
      <c r="S40" s="350">
        <f t="shared" si="15"/>
        <v>90664</v>
      </c>
      <c r="T40" s="393"/>
    </row>
    <row r="41" spans="1:20">
      <c r="A41" s="378"/>
      <c r="B41" s="378"/>
      <c r="C41" s="363" t="s">
        <v>1440</v>
      </c>
      <c r="D41" s="367">
        <v>37</v>
      </c>
      <c r="E41" s="393" t="s">
        <v>1437</v>
      </c>
      <c r="F41" s="393" t="s">
        <v>1441</v>
      </c>
      <c r="G41" s="351">
        <v>500000</v>
      </c>
      <c r="H41" s="351">
        <v>66650</v>
      </c>
      <c r="I41" s="349">
        <f t="shared" si="10"/>
        <v>566650</v>
      </c>
      <c r="J41" s="348">
        <v>50</v>
      </c>
      <c r="K41" s="380">
        <v>11333</v>
      </c>
      <c r="L41" s="394">
        <f t="shared" si="8"/>
        <v>1333</v>
      </c>
      <c r="M41" s="394">
        <f t="shared" si="9"/>
        <v>10000</v>
      </c>
      <c r="N41" s="394">
        <f t="shared" si="11"/>
        <v>66650</v>
      </c>
      <c r="O41" s="394">
        <f t="shared" si="12"/>
        <v>0</v>
      </c>
      <c r="P41" s="348">
        <v>50</v>
      </c>
      <c r="Q41" s="354">
        <f t="shared" si="13"/>
        <v>0</v>
      </c>
      <c r="R41" s="350">
        <f t="shared" si="14"/>
        <v>566650</v>
      </c>
      <c r="S41" s="350">
        <f t="shared" si="15"/>
        <v>0</v>
      </c>
      <c r="T41" s="401"/>
    </row>
    <row r="42" spans="1:20">
      <c r="A42" s="378"/>
      <c r="B42" s="378"/>
      <c r="C42" s="364" t="s">
        <v>1009</v>
      </c>
      <c r="D42" s="367">
        <v>38</v>
      </c>
      <c r="E42" s="393" t="s">
        <v>1437</v>
      </c>
      <c r="F42" s="393" t="s">
        <v>332</v>
      </c>
      <c r="G42" s="351">
        <v>500000</v>
      </c>
      <c r="H42" s="351">
        <v>66650</v>
      </c>
      <c r="I42" s="349">
        <f t="shared" si="10"/>
        <v>566650</v>
      </c>
      <c r="J42" s="348">
        <v>50</v>
      </c>
      <c r="K42" s="380">
        <v>11333</v>
      </c>
      <c r="L42" s="394">
        <f t="shared" si="8"/>
        <v>1333</v>
      </c>
      <c r="M42" s="394">
        <f t="shared" si="9"/>
        <v>10000</v>
      </c>
      <c r="N42" s="394">
        <f t="shared" si="11"/>
        <v>66650</v>
      </c>
      <c r="O42" s="394">
        <f t="shared" si="12"/>
        <v>0</v>
      </c>
      <c r="P42" s="348">
        <v>50</v>
      </c>
      <c r="Q42" s="354">
        <f t="shared" si="13"/>
        <v>0</v>
      </c>
      <c r="R42" s="350">
        <f t="shared" si="14"/>
        <v>566650</v>
      </c>
      <c r="S42" s="350">
        <f t="shared" si="15"/>
        <v>0</v>
      </c>
      <c r="T42" s="393"/>
    </row>
    <row r="43" spans="1:20">
      <c r="A43" s="378"/>
      <c r="B43" s="378"/>
      <c r="C43" s="363" t="s">
        <v>1504</v>
      </c>
      <c r="D43" s="367">
        <v>39</v>
      </c>
      <c r="E43" s="393" t="s">
        <v>1437</v>
      </c>
      <c r="F43" s="393" t="s">
        <v>483</v>
      </c>
      <c r="G43" s="351">
        <v>500000</v>
      </c>
      <c r="H43" s="351">
        <v>66650</v>
      </c>
      <c r="I43" s="380">
        <f t="shared" si="10"/>
        <v>566650</v>
      </c>
      <c r="J43" s="348">
        <v>50</v>
      </c>
      <c r="K43" s="380">
        <v>11333</v>
      </c>
      <c r="L43" s="394">
        <f t="shared" si="8"/>
        <v>1333</v>
      </c>
      <c r="M43" s="394">
        <f t="shared" si="9"/>
        <v>10000</v>
      </c>
      <c r="N43" s="394">
        <f t="shared" si="11"/>
        <v>14663</v>
      </c>
      <c r="O43" s="394">
        <f t="shared" si="12"/>
        <v>51987</v>
      </c>
      <c r="P43" s="348">
        <v>11</v>
      </c>
      <c r="Q43" s="354">
        <f t="shared" si="13"/>
        <v>39</v>
      </c>
      <c r="R43" s="350">
        <f t="shared" si="14"/>
        <v>124663</v>
      </c>
      <c r="S43" s="350">
        <f t="shared" si="15"/>
        <v>441987</v>
      </c>
      <c r="T43" s="393"/>
    </row>
    <row r="44" spans="1:20">
      <c r="A44" s="378"/>
      <c r="B44" s="378"/>
      <c r="C44" s="116" t="s">
        <v>1342</v>
      </c>
      <c r="D44" s="367">
        <v>40</v>
      </c>
      <c r="E44" s="393" t="s">
        <v>1437</v>
      </c>
      <c r="F44" s="393" t="s">
        <v>1290</v>
      </c>
      <c r="G44" s="351">
        <v>500000</v>
      </c>
      <c r="H44" s="351">
        <v>66650</v>
      </c>
      <c r="I44" s="349">
        <f t="shared" si="10"/>
        <v>566650</v>
      </c>
      <c r="J44" s="348">
        <v>50</v>
      </c>
      <c r="K44" s="380">
        <v>11333</v>
      </c>
      <c r="L44" s="394">
        <f t="shared" si="8"/>
        <v>1333</v>
      </c>
      <c r="M44" s="394">
        <f t="shared" si="9"/>
        <v>10000</v>
      </c>
      <c r="N44" s="394">
        <f t="shared" si="11"/>
        <v>30659</v>
      </c>
      <c r="O44" s="394">
        <f t="shared" si="12"/>
        <v>35991</v>
      </c>
      <c r="P44" s="348">
        <v>23</v>
      </c>
      <c r="Q44" s="354">
        <f t="shared" si="13"/>
        <v>27</v>
      </c>
      <c r="R44" s="350">
        <f t="shared" si="14"/>
        <v>260659</v>
      </c>
      <c r="S44" s="350">
        <f t="shared" si="15"/>
        <v>305991</v>
      </c>
      <c r="T44" s="393"/>
    </row>
    <row r="45" spans="1:20">
      <c r="A45" s="378"/>
      <c r="B45" s="378"/>
      <c r="C45" s="364" t="s">
        <v>995</v>
      </c>
      <c r="D45" s="367">
        <v>41</v>
      </c>
      <c r="E45" s="393" t="s">
        <v>1437</v>
      </c>
      <c r="F45" s="393" t="s">
        <v>339</v>
      </c>
      <c r="G45" s="351">
        <v>500000</v>
      </c>
      <c r="H45" s="351">
        <v>66650</v>
      </c>
      <c r="I45" s="349">
        <f t="shared" si="10"/>
        <v>566650</v>
      </c>
      <c r="J45" s="348">
        <v>50</v>
      </c>
      <c r="K45" s="380">
        <v>11333</v>
      </c>
      <c r="L45" s="394">
        <f t="shared" si="8"/>
        <v>1333</v>
      </c>
      <c r="M45" s="394">
        <f t="shared" si="9"/>
        <v>10000</v>
      </c>
      <c r="N45" s="394">
        <f t="shared" si="11"/>
        <v>66650</v>
      </c>
      <c r="O45" s="394">
        <f t="shared" si="12"/>
        <v>0</v>
      </c>
      <c r="P45" s="348">
        <v>50</v>
      </c>
      <c r="Q45" s="354">
        <f t="shared" si="13"/>
        <v>0</v>
      </c>
      <c r="R45" s="350">
        <f t="shared" si="14"/>
        <v>566650</v>
      </c>
      <c r="S45" s="350">
        <f t="shared" si="15"/>
        <v>0</v>
      </c>
      <c r="T45" s="393"/>
    </row>
    <row r="46" spans="1:20">
      <c r="A46" s="378"/>
      <c r="B46" s="378"/>
      <c r="C46" s="364" t="s">
        <v>1366</v>
      </c>
      <c r="D46" s="367">
        <v>42</v>
      </c>
      <c r="E46" s="393" t="s">
        <v>1437</v>
      </c>
      <c r="F46" s="393" t="s">
        <v>1138</v>
      </c>
      <c r="G46" s="351">
        <v>450000</v>
      </c>
      <c r="H46" s="351">
        <v>59985</v>
      </c>
      <c r="I46" s="349">
        <f t="shared" si="10"/>
        <v>509985</v>
      </c>
      <c r="J46" s="348">
        <v>50</v>
      </c>
      <c r="K46" s="380">
        <v>10199.700000000001</v>
      </c>
      <c r="L46" s="394">
        <f t="shared" si="8"/>
        <v>1199.7</v>
      </c>
      <c r="M46" s="394">
        <f t="shared" si="9"/>
        <v>9000</v>
      </c>
      <c r="N46" s="394">
        <f t="shared" si="11"/>
        <v>29992.5</v>
      </c>
      <c r="O46" s="394">
        <f t="shared" si="12"/>
        <v>29992.5</v>
      </c>
      <c r="P46" s="348">
        <v>25</v>
      </c>
      <c r="Q46" s="354">
        <f t="shared" si="13"/>
        <v>25</v>
      </c>
      <c r="R46" s="350">
        <f t="shared" si="14"/>
        <v>254992.50000000003</v>
      </c>
      <c r="S46" s="350">
        <f t="shared" si="15"/>
        <v>254992.49999999997</v>
      </c>
      <c r="T46" s="393"/>
    </row>
    <row r="47" spans="1:20">
      <c r="A47" s="378"/>
      <c r="B47" s="378"/>
      <c r="C47" s="364" t="s">
        <v>998</v>
      </c>
      <c r="D47" s="367">
        <v>43</v>
      </c>
      <c r="E47" s="393" t="s">
        <v>1437</v>
      </c>
      <c r="F47" s="393" t="s">
        <v>363</v>
      </c>
      <c r="G47" s="351">
        <v>450000</v>
      </c>
      <c r="H47" s="351">
        <v>59985</v>
      </c>
      <c r="I47" s="349">
        <f t="shared" si="10"/>
        <v>509985</v>
      </c>
      <c r="J47" s="348">
        <v>50</v>
      </c>
      <c r="K47" s="380">
        <v>10199.700000000001</v>
      </c>
      <c r="L47" s="394">
        <f t="shared" si="8"/>
        <v>1199.7</v>
      </c>
      <c r="M47" s="394">
        <f t="shared" si="9"/>
        <v>9000</v>
      </c>
      <c r="N47" s="394">
        <f t="shared" si="11"/>
        <v>50387.4</v>
      </c>
      <c r="O47" s="394">
        <f t="shared" si="12"/>
        <v>9597.6</v>
      </c>
      <c r="P47" s="348">
        <v>42</v>
      </c>
      <c r="Q47" s="354">
        <f t="shared" si="13"/>
        <v>8</v>
      </c>
      <c r="R47" s="350">
        <f t="shared" si="14"/>
        <v>428387.4</v>
      </c>
      <c r="S47" s="350">
        <f t="shared" si="15"/>
        <v>81597.599999999977</v>
      </c>
      <c r="T47" s="393"/>
    </row>
    <row r="48" spans="1:20">
      <c r="A48" s="378"/>
      <c r="B48" s="378"/>
      <c r="C48" s="363" t="s">
        <v>1079</v>
      </c>
      <c r="D48" s="367">
        <v>44</v>
      </c>
      <c r="E48" s="393" t="s">
        <v>1437</v>
      </c>
      <c r="F48" s="393" t="s">
        <v>302</v>
      </c>
      <c r="G48" s="351">
        <v>500000</v>
      </c>
      <c r="H48" s="351">
        <v>31992</v>
      </c>
      <c r="I48" s="349">
        <f t="shared" si="10"/>
        <v>531992</v>
      </c>
      <c r="J48" s="348">
        <v>24</v>
      </c>
      <c r="K48" s="380">
        <v>22166.34</v>
      </c>
      <c r="L48" s="394">
        <f>H48/24</f>
        <v>1333</v>
      </c>
      <c r="M48" s="394">
        <f t="shared" si="9"/>
        <v>10000</v>
      </c>
      <c r="N48" s="394">
        <f t="shared" si="11"/>
        <v>14663</v>
      </c>
      <c r="O48" s="394">
        <f t="shared" si="12"/>
        <v>17329</v>
      </c>
      <c r="P48" s="348">
        <v>11</v>
      </c>
      <c r="Q48" s="354">
        <f t="shared" si="13"/>
        <v>13</v>
      </c>
      <c r="R48" s="350">
        <f t="shared" si="14"/>
        <v>243829.74</v>
      </c>
      <c r="S48" s="350">
        <f t="shared" si="15"/>
        <v>288162.26</v>
      </c>
      <c r="T48" s="393"/>
    </row>
    <row r="49" spans="1:20">
      <c r="A49" s="378"/>
      <c r="B49" s="378"/>
      <c r="C49" s="116" t="s">
        <v>1320</v>
      </c>
      <c r="D49" s="367">
        <v>45</v>
      </c>
      <c r="E49" s="393" t="s">
        <v>1437</v>
      </c>
      <c r="F49" s="393" t="s">
        <v>464</v>
      </c>
      <c r="G49" s="351">
        <v>500000</v>
      </c>
      <c r="H49" s="351">
        <v>66650</v>
      </c>
      <c r="I49" s="349">
        <f t="shared" si="10"/>
        <v>566650</v>
      </c>
      <c r="J49" s="348">
        <v>40</v>
      </c>
      <c r="K49" s="380">
        <v>13833</v>
      </c>
      <c r="L49" s="394">
        <f t="shared" ref="L49:L55" si="16">H49/50</f>
        <v>1333</v>
      </c>
      <c r="M49" s="394">
        <f t="shared" si="9"/>
        <v>10000</v>
      </c>
      <c r="N49" s="394">
        <f t="shared" si="11"/>
        <v>17329</v>
      </c>
      <c r="O49" s="394">
        <f t="shared" si="12"/>
        <v>35991</v>
      </c>
      <c r="P49" s="348">
        <v>13</v>
      </c>
      <c r="Q49" s="354">
        <f t="shared" si="13"/>
        <v>27</v>
      </c>
      <c r="R49" s="350">
        <f t="shared" si="14"/>
        <v>179829</v>
      </c>
      <c r="S49" s="350">
        <f t="shared" si="15"/>
        <v>386821</v>
      </c>
      <c r="T49" s="393"/>
    </row>
    <row r="50" spans="1:20">
      <c r="A50" s="378"/>
      <c r="B50" s="378"/>
      <c r="C50" s="363" t="s">
        <v>1348</v>
      </c>
      <c r="D50" s="367">
        <v>46</v>
      </c>
      <c r="E50" s="393" t="s">
        <v>1437</v>
      </c>
      <c r="F50" s="393" t="s">
        <v>1349</v>
      </c>
      <c r="G50" s="351">
        <v>500000</v>
      </c>
      <c r="H50" s="351">
        <v>66650</v>
      </c>
      <c r="I50" s="349">
        <f t="shared" si="10"/>
        <v>566650</v>
      </c>
      <c r="J50" s="348">
        <v>50</v>
      </c>
      <c r="K50" s="380">
        <v>11333</v>
      </c>
      <c r="L50" s="394">
        <f t="shared" si="16"/>
        <v>1333</v>
      </c>
      <c r="M50" s="394">
        <f t="shared" si="9"/>
        <v>10000</v>
      </c>
      <c r="N50" s="394">
        <f t="shared" si="11"/>
        <v>21328</v>
      </c>
      <c r="O50" s="394">
        <f t="shared" si="12"/>
        <v>45322</v>
      </c>
      <c r="P50" s="348">
        <v>16</v>
      </c>
      <c r="Q50" s="354">
        <f t="shared" si="13"/>
        <v>34</v>
      </c>
      <c r="R50" s="350">
        <f t="shared" si="14"/>
        <v>181328</v>
      </c>
      <c r="S50" s="350">
        <f t="shared" si="15"/>
        <v>385322</v>
      </c>
      <c r="T50" s="393"/>
    </row>
    <row r="51" spans="1:20">
      <c r="A51" s="378"/>
      <c r="B51" s="378"/>
      <c r="C51" s="364" t="s">
        <v>1012</v>
      </c>
      <c r="D51" s="367">
        <v>47</v>
      </c>
      <c r="E51" s="393" t="s">
        <v>1437</v>
      </c>
      <c r="F51" s="393" t="s">
        <v>852</v>
      </c>
      <c r="G51" s="351">
        <v>330000</v>
      </c>
      <c r="H51" s="351">
        <v>43989</v>
      </c>
      <c r="I51" s="349">
        <f t="shared" si="10"/>
        <v>373989</v>
      </c>
      <c r="J51" s="348">
        <v>50</v>
      </c>
      <c r="K51" s="380">
        <v>7479.78</v>
      </c>
      <c r="L51" s="394">
        <f t="shared" si="16"/>
        <v>879.78</v>
      </c>
      <c r="M51" s="394">
        <f t="shared" si="9"/>
        <v>6600</v>
      </c>
      <c r="N51" s="394">
        <f t="shared" si="11"/>
        <v>29032.739999999998</v>
      </c>
      <c r="O51" s="394">
        <f t="shared" si="12"/>
        <v>14956.26</v>
      </c>
      <c r="P51" s="348">
        <v>33</v>
      </c>
      <c r="Q51" s="354">
        <f t="shared" si="13"/>
        <v>17</v>
      </c>
      <c r="R51" s="350">
        <f t="shared" si="14"/>
        <v>246832.74</v>
      </c>
      <c r="S51" s="350">
        <f t="shared" si="15"/>
        <v>127156.26000000001</v>
      </c>
      <c r="T51" s="393"/>
    </row>
    <row r="52" spans="1:20">
      <c r="A52" s="378"/>
      <c r="B52" s="378"/>
      <c r="C52" s="363" t="s">
        <v>1065</v>
      </c>
      <c r="D52" s="367">
        <v>48</v>
      </c>
      <c r="E52" s="393" t="s">
        <v>1437</v>
      </c>
      <c r="F52" s="393" t="s">
        <v>1066</v>
      </c>
      <c r="G52" s="351">
        <v>330000</v>
      </c>
      <c r="H52" s="351">
        <v>43989</v>
      </c>
      <c r="I52" s="349">
        <f t="shared" si="10"/>
        <v>373989</v>
      </c>
      <c r="J52" s="348">
        <v>50</v>
      </c>
      <c r="K52" s="380">
        <v>7479.78</v>
      </c>
      <c r="L52" s="394">
        <f t="shared" si="16"/>
        <v>879.78</v>
      </c>
      <c r="M52" s="394">
        <f t="shared" si="9"/>
        <v>6600</v>
      </c>
      <c r="N52" s="394">
        <f t="shared" si="11"/>
        <v>26393.399999999998</v>
      </c>
      <c r="O52" s="394">
        <f t="shared" si="12"/>
        <v>17595.599999999999</v>
      </c>
      <c r="P52" s="348">
        <v>30</v>
      </c>
      <c r="Q52" s="354">
        <f t="shared" si="13"/>
        <v>20</v>
      </c>
      <c r="R52" s="350">
        <f t="shared" si="14"/>
        <v>224393.4</v>
      </c>
      <c r="S52" s="350">
        <f t="shared" si="15"/>
        <v>149595.6</v>
      </c>
      <c r="T52" s="393"/>
    </row>
    <row r="53" spans="1:20">
      <c r="A53" s="378"/>
      <c r="B53" s="378"/>
      <c r="C53" s="363" t="s">
        <v>1449</v>
      </c>
      <c r="D53" s="367">
        <v>49</v>
      </c>
      <c r="E53" s="393" t="s">
        <v>1437</v>
      </c>
      <c r="F53" s="393" t="s">
        <v>389</v>
      </c>
      <c r="G53" s="351">
        <v>500000</v>
      </c>
      <c r="H53" s="351">
        <v>66650</v>
      </c>
      <c r="I53" s="349">
        <f t="shared" si="10"/>
        <v>566650</v>
      </c>
      <c r="J53" s="348">
        <v>50</v>
      </c>
      <c r="K53" s="380">
        <v>11333</v>
      </c>
      <c r="L53" s="394">
        <f t="shared" si="16"/>
        <v>1333</v>
      </c>
      <c r="M53" s="394">
        <f t="shared" si="9"/>
        <v>10000</v>
      </c>
      <c r="N53" s="394">
        <f t="shared" si="11"/>
        <v>11997</v>
      </c>
      <c r="O53" s="394">
        <f t="shared" si="12"/>
        <v>54653</v>
      </c>
      <c r="P53" s="348">
        <v>9</v>
      </c>
      <c r="Q53" s="354">
        <f t="shared" si="13"/>
        <v>41</v>
      </c>
      <c r="R53" s="350">
        <f t="shared" si="14"/>
        <v>101997</v>
      </c>
      <c r="S53" s="350">
        <f t="shared" si="15"/>
        <v>464653</v>
      </c>
      <c r="T53" s="393"/>
    </row>
    <row r="54" spans="1:20">
      <c r="A54" s="378"/>
      <c r="B54" s="378"/>
      <c r="C54" s="364" t="s">
        <v>1029</v>
      </c>
      <c r="D54" s="367">
        <v>50</v>
      </c>
      <c r="E54" s="393" t="s">
        <v>1437</v>
      </c>
      <c r="F54" s="393" t="s">
        <v>1030</v>
      </c>
      <c r="G54" s="351">
        <v>450000</v>
      </c>
      <c r="H54" s="351">
        <v>59985</v>
      </c>
      <c r="I54" s="349">
        <f t="shared" si="10"/>
        <v>509985</v>
      </c>
      <c r="J54" s="348">
        <v>50</v>
      </c>
      <c r="K54" s="380">
        <v>10199.700000000001</v>
      </c>
      <c r="L54" s="394">
        <f t="shared" si="16"/>
        <v>1199.7</v>
      </c>
      <c r="M54" s="394">
        <f t="shared" si="9"/>
        <v>9000</v>
      </c>
      <c r="N54" s="394">
        <f t="shared" si="11"/>
        <v>35991</v>
      </c>
      <c r="O54" s="394">
        <f t="shared" si="12"/>
        <v>23994</v>
      </c>
      <c r="P54" s="348">
        <v>30</v>
      </c>
      <c r="Q54" s="354">
        <f t="shared" si="13"/>
        <v>20</v>
      </c>
      <c r="R54" s="350">
        <f t="shared" si="14"/>
        <v>305991</v>
      </c>
      <c r="S54" s="350">
        <f t="shared" si="15"/>
        <v>203994</v>
      </c>
      <c r="T54" s="393"/>
    </row>
    <row r="55" spans="1:20">
      <c r="A55" s="378"/>
      <c r="B55" s="378"/>
      <c r="C55" s="116" t="s">
        <v>1377</v>
      </c>
      <c r="D55" s="367">
        <v>51</v>
      </c>
      <c r="E55" s="393" t="s">
        <v>1437</v>
      </c>
      <c r="F55" s="393" t="s">
        <v>1378</v>
      </c>
      <c r="G55" s="351">
        <v>330000</v>
      </c>
      <c r="H55" s="351">
        <v>43989</v>
      </c>
      <c r="I55" s="349">
        <f t="shared" si="10"/>
        <v>373989</v>
      </c>
      <c r="J55" s="348">
        <v>50</v>
      </c>
      <c r="K55" s="380">
        <v>7479.78</v>
      </c>
      <c r="L55" s="394">
        <f t="shared" si="16"/>
        <v>879.78</v>
      </c>
      <c r="M55" s="394">
        <f t="shared" si="9"/>
        <v>6600</v>
      </c>
      <c r="N55" s="394">
        <f t="shared" si="11"/>
        <v>14076.48</v>
      </c>
      <c r="O55" s="394">
        <f t="shared" si="12"/>
        <v>29912.52</v>
      </c>
      <c r="P55" s="348">
        <v>16</v>
      </c>
      <c r="Q55" s="354">
        <f t="shared" si="13"/>
        <v>34</v>
      </c>
      <c r="R55" s="350">
        <f t="shared" si="14"/>
        <v>119676.48</v>
      </c>
      <c r="S55" s="350">
        <f t="shared" si="15"/>
        <v>254312.52000000002</v>
      </c>
      <c r="T55" s="393"/>
    </row>
    <row r="56" spans="1:20">
      <c r="A56" s="378"/>
      <c r="B56" s="378"/>
      <c r="C56" s="363" t="s">
        <v>1513</v>
      </c>
      <c r="D56" s="367">
        <v>52</v>
      </c>
      <c r="E56" s="393" t="s">
        <v>1437</v>
      </c>
      <c r="F56" s="393" t="s">
        <v>1514</v>
      </c>
      <c r="G56" s="380">
        <v>450000</v>
      </c>
      <c r="H56" s="380">
        <v>59985</v>
      </c>
      <c r="I56" s="380">
        <f t="shared" si="10"/>
        <v>509985</v>
      </c>
      <c r="J56" s="348">
        <v>60</v>
      </c>
      <c r="K56" s="380">
        <v>8499.75</v>
      </c>
      <c r="L56" s="394">
        <f>H56/60</f>
        <v>999.75</v>
      </c>
      <c r="M56" s="394">
        <f>G56/60</f>
        <v>7500</v>
      </c>
      <c r="N56" s="394">
        <f t="shared" si="11"/>
        <v>2999.25</v>
      </c>
      <c r="O56" s="394">
        <f t="shared" si="12"/>
        <v>56985.75</v>
      </c>
      <c r="P56" s="348">
        <v>3</v>
      </c>
      <c r="Q56" s="348">
        <f t="shared" si="13"/>
        <v>57</v>
      </c>
      <c r="R56" s="380">
        <f t="shared" si="14"/>
        <v>25499.25</v>
      </c>
      <c r="S56" s="380">
        <f t="shared" si="15"/>
        <v>484485.75</v>
      </c>
      <c r="T56" s="393"/>
    </row>
    <row r="57" spans="1:20">
      <c r="A57" s="378"/>
      <c r="B57" s="378"/>
      <c r="C57" s="116" t="s">
        <v>1339</v>
      </c>
      <c r="D57" s="367">
        <v>53</v>
      </c>
      <c r="E57" s="393" t="s">
        <v>1437</v>
      </c>
      <c r="F57" s="393" t="s">
        <v>408</v>
      </c>
      <c r="G57" s="351">
        <v>500000</v>
      </c>
      <c r="H57" s="351">
        <v>66650</v>
      </c>
      <c r="I57" s="349">
        <f t="shared" si="10"/>
        <v>566650</v>
      </c>
      <c r="J57" s="348">
        <v>50</v>
      </c>
      <c r="K57" s="380">
        <v>11333</v>
      </c>
      <c r="L57" s="394">
        <f>H57/50</f>
        <v>1333</v>
      </c>
      <c r="M57" s="394">
        <f>G57/50</f>
        <v>10000</v>
      </c>
      <c r="N57" s="394">
        <f t="shared" si="11"/>
        <v>17329</v>
      </c>
      <c r="O57" s="394">
        <f t="shared" si="12"/>
        <v>49321</v>
      </c>
      <c r="P57" s="348">
        <v>13</v>
      </c>
      <c r="Q57" s="354">
        <f t="shared" si="13"/>
        <v>37</v>
      </c>
      <c r="R57" s="350">
        <f t="shared" si="14"/>
        <v>147329</v>
      </c>
      <c r="S57" s="350">
        <f t="shared" si="15"/>
        <v>419321</v>
      </c>
      <c r="T57" s="393"/>
    </row>
    <row r="58" spans="1:20">
      <c r="A58" s="378"/>
      <c r="B58" s="378"/>
      <c r="C58" s="363" t="s">
        <v>1515</v>
      </c>
      <c r="D58" s="367">
        <v>54</v>
      </c>
      <c r="E58" s="393" t="s">
        <v>1437</v>
      </c>
      <c r="F58" s="393" t="s">
        <v>1516</v>
      </c>
      <c r="G58" s="380">
        <v>450000</v>
      </c>
      <c r="H58" s="380">
        <v>59985</v>
      </c>
      <c r="I58" s="380">
        <f t="shared" si="10"/>
        <v>509985</v>
      </c>
      <c r="J58" s="348">
        <v>60</v>
      </c>
      <c r="K58" s="380">
        <v>8499.75</v>
      </c>
      <c r="L58" s="394">
        <f>H58/60</f>
        <v>999.75</v>
      </c>
      <c r="M58" s="394">
        <f>G58/60</f>
        <v>7500</v>
      </c>
      <c r="N58" s="394">
        <f t="shared" si="11"/>
        <v>2999.25</v>
      </c>
      <c r="O58" s="394">
        <f t="shared" si="12"/>
        <v>56985.75</v>
      </c>
      <c r="P58" s="348">
        <v>3</v>
      </c>
      <c r="Q58" s="348">
        <f t="shared" si="13"/>
        <v>57</v>
      </c>
      <c r="R58" s="380">
        <f t="shared" si="14"/>
        <v>25499.25</v>
      </c>
      <c r="S58" s="380">
        <f t="shared" si="15"/>
        <v>484485.75</v>
      </c>
      <c r="T58" s="393"/>
    </row>
    <row r="59" spans="1:20">
      <c r="A59" s="378"/>
      <c r="B59" s="378"/>
      <c r="C59" s="363" t="s">
        <v>1473</v>
      </c>
      <c r="D59" s="367">
        <v>55</v>
      </c>
      <c r="E59" s="393" t="s">
        <v>1437</v>
      </c>
      <c r="F59" s="393" t="s">
        <v>1474</v>
      </c>
      <c r="G59" s="351">
        <v>330000</v>
      </c>
      <c r="H59" s="351">
        <v>43989</v>
      </c>
      <c r="I59" s="349">
        <f t="shared" si="10"/>
        <v>373989</v>
      </c>
      <c r="J59" s="348">
        <v>50</v>
      </c>
      <c r="K59" s="380">
        <v>7479.78</v>
      </c>
      <c r="L59" s="394">
        <f>H59/50</f>
        <v>879.78</v>
      </c>
      <c r="M59" s="394">
        <f>G59/50</f>
        <v>6600</v>
      </c>
      <c r="N59" s="394">
        <f t="shared" si="11"/>
        <v>5278.68</v>
      </c>
      <c r="O59" s="394">
        <f t="shared" si="12"/>
        <v>38710.32</v>
      </c>
      <c r="P59" s="348">
        <v>6</v>
      </c>
      <c r="Q59" s="354">
        <f t="shared" si="13"/>
        <v>44</v>
      </c>
      <c r="R59" s="350">
        <f t="shared" si="14"/>
        <v>44878.68</v>
      </c>
      <c r="S59" s="350">
        <f t="shared" si="15"/>
        <v>329110.32</v>
      </c>
      <c r="T59" s="393"/>
    </row>
    <row r="60" spans="1:20">
      <c r="A60" s="378"/>
      <c r="B60" s="378"/>
      <c r="C60" s="363" t="s">
        <v>1475</v>
      </c>
      <c r="D60" s="367">
        <v>56</v>
      </c>
      <c r="E60" s="393" t="s">
        <v>1437</v>
      </c>
      <c r="F60" s="393" t="s">
        <v>1476</v>
      </c>
      <c r="G60" s="351">
        <v>330000</v>
      </c>
      <c r="H60" s="351">
        <v>43989</v>
      </c>
      <c r="I60" s="349">
        <f t="shared" si="10"/>
        <v>373989</v>
      </c>
      <c r="J60" s="348">
        <v>50</v>
      </c>
      <c r="K60" s="380">
        <v>7479.78</v>
      </c>
      <c r="L60" s="394">
        <f>H60/50</f>
        <v>879.78</v>
      </c>
      <c r="M60" s="394">
        <f>G60/50</f>
        <v>6600</v>
      </c>
      <c r="N60" s="394">
        <f t="shared" si="11"/>
        <v>5278.68</v>
      </c>
      <c r="O60" s="394">
        <f t="shared" si="12"/>
        <v>38710.32</v>
      </c>
      <c r="P60" s="348">
        <v>6</v>
      </c>
      <c r="Q60" s="354">
        <f t="shared" si="13"/>
        <v>44</v>
      </c>
      <c r="R60" s="350">
        <f t="shared" si="14"/>
        <v>44878.68</v>
      </c>
      <c r="S60" s="350">
        <f t="shared" si="15"/>
        <v>329110.32</v>
      </c>
      <c r="T60" s="393"/>
    </row>
    <row r="61" spans="1:20">
      <c r="A61" s="378"/>
      <c r="B61" s="378"/>
      <c r="C61" s="363" t="s">
        <v>1383</v>
      </c>
      <c r="D61" s="367">
        <v>57</v>
      </c>
      <c r="E61" s="393" t="s">
        <v>1437</v>
      </c>
      <c r="F61" s="393" t="s">
        <v>1384</v>
      </c>
      <c r="G61" s="351">
        <v>330000</v>
      </c>
      <c r="H61" s="351">
        <v>43989</v>
      </c>
      <c r="I61" s="349">
        <f t="shared" si="10"/>
        <v>373989</v>
      </c>
      <c r="J61" s="348">
        <v>50</v>
      </c>
      <c r="K61" s="380">
        <v>7479.78</v>
      </c>
      <c r="L61" s="394">
        <f>H61/50</f>
        <v>879.78</v>
      </c>
      <c r="M61" s="394">
        <f>G61/50</f>
        <v>6600</v>
      </c>
      <c r="N61" s="394">
        <f t="shared" si="11"/>
        <v>11437.14</v>
      </c>
      <c r="O61" s="394">
        <f t="shared" si="12"/>
        <v>32551.86</v>
      </c>
      <c r="P61" s="348">
        <v>13</v>
      </c>
      <c r="Q61" s="354">
        <f t="shared" si="13"/>
        <v>37</v>
      </c>
      <c r="R61" s="350">
        <f t="shared" si="14"/>
        <v>97237.14</v>
      </c>
      <c r="S61" s="350">
        <f t="shared" si="15"/>
        <v>276751.86</v>
      </c>
      <c r="T61" s="393"/>
    </row>
    <row r="62" spans="1:20">
      <c r="A62" s="378"/>
      <c r="B62" s="378"/>
      <c r="C62" s="363" t="s">
        <v>1517</v>
      </c>
      <c r="D62" s="367">
        <v>58</v>
      </c>
      <c r="E62" s="393" t="s">
        <v>1437</v>
      </c>
      <c r="F62" s="393" t="s">
        <v>1518</v>
      </c>
      <c r="G62" s="380">
        <v>450000</v>
      </c>
      <c r="H62" s="380">
        <v>59985</v>
      </c>
      <c r="I62" s="380">
        <f t="shared" si="10"/>
        <v>509985</v>
      </c>
      <c r="J62" s="348">
        <v>60</v>
      </c>
      <c r="K62" s="380">
        <v>8499.75</v>
      </c>
      <c r="L62" s="394">
        <f>H62/60</f>
        <v>999.75</v>
      </c>
      <c r="M62" s="394">
        <f>G62/60</f>
        <v>7500</v>
      </c>
      <c r="N62" s="394">
        <f t="shared" si="11"/>
        <v>2999.25</v>
      </c>
      <c r="O62" s="394">
        <f t="shared" si="12"/>
        <v>56985.75</v>
      </c>
      <c r="P62" s="348">
        <v>3</v>
      </c>
      <c r="Q62" s="348">
        <f t="shared" si="13"/>
        <v>57</v>
      </c>
      <c r="R62" s="380">
        <f t="shared" si="14"/>
        <v>25499.25</v>
      </c>
      <c r="S62" s="380">
        <f t="shared" si="15"/>
        <v>484485.75</v>
      </c>
      <c r="T62" s="393"/>
    </row>
    <row r="63" spans="1:20">
      <c r="A63" s="378"/>
      <c r="B63" s="378"/>
      <c r="C63" s="363" t="s">
        <v>1370</v>
      </c>
      <c r="D63" s="367">
        <v>59</v>
      </c>
      <c r="E63" s="393" t="s">
        <v>1437</v>
      </c>
      <c r="F63" s="393" t="s">
        <v>1371</v>
      </c>
      <c r="G63" s="351">
        <v>330000</v>
      </c>
      <c r="H63" s="351">
        <v>43989</v>
      </c>
      <c r="I63" s="349">
        <f t="shared" si="10"/>
        <v>373989</v>
      </c>
      <c r="J63" s="348">
        <v>50</v>
      </c>
      <c r="K63" s="380">
        <v>7479.78</v>
      </c>
      <c r="L63" s="394">
        <f>H63/50</f>
        <v>879.78</v>
      </c>
      <c r="M63" s="394">
        <f t="shared" ref="M63:M69" si="17">G63/50</f>
        <v>6600</v>
      </c>
      <c r="N63" s="394">
        <f t="shared" si="11"/>
        <v>14076.48</v>
      </c>
      <c r="O63" s="394">
        <f t="shared" si="12"/>
        <v>29912.52</v>
      </c>
      <c r="P63" s="348">
        <v>16</v>
      </c>
      <c r="Q63" s="354">
        <f t="shared" si="13"/>
        <v>34</v>
      </c>
      <c r="R63" s="350">
        <f t="shared" si="14"/>
        <v>119676.48</v>
      </c>
      <c r="S63" s="350">
        <f t="shared" si="15"/>
        <v>254312.52000000002</v>
      </c>
      <c r="T63" s="393"/>
    </row>
    <row r="64" spans="1:20">
      <c r="A64" s="378"/>
      <c r="B64" s="378"/>
      <c r="C64" s="116" t="s">
        <v>1313</v>
      </c>
      <c r="D64" s="367">
        <v>60</v>
      </c>
      <c r="E64" s="393" t="s">
        <v>1437</v>
      </c>
      <c r="F64" s="393" t="s">
        <v>1314</v>
      </c>
      <c r="G64" s="351">
        <v>450000</v>
      </c>
      <c r="H64" s="351">
        <v>28792.799999999999</v>
      </c>
      <c r="I64" s="349">
        <f t="shared" si="10"/>
        <v>478792.8</v>
      </c>
      <c r="J64" s="348">
        <v>24</v>
      </c>
      <c r="K64" s="380">
        <v>19949.7</v>
      </c>
      <c r="L64" s="394">
        <f>H64/24</f>
        <v>1199.7</v>
      </c>
      <c r="M64" s="394">
        <f t="shared" si="17"/>
        <v>9000</v>
      </c>
      <c r="N64" s="394">
        <f t="shared" si="11"/>
        <v>15596.1</v>
      </c>
      <c r="O64" s="394">
        <f t="shared" si="12"/>
        <v>13196.7</v>
      </c>
      <c r="P64" s="348">
        <v>13</v>
      </c>
      <c r="Q64" s="354">
        <f t="shared" si="13"/>
        <v>11</v>
      </c>
      <c r="R64" s="350">
        <f t="shared" si="14"/>
        <v>259346.1</v>
      </c>
      <c r="S64" s="350">
        <f t="shared" si="15"/>
        <v>219446.69999999998</v>
      </c>
      <c r="T64" s="393"/>
    </row>
    <row r="65" spans="1:20">
      <c r="A65" s="378"/>
      <c r="B65" s="378"/>
      <c r="C65" s="364" t="s">
        <v>1386</v>
      </c>
      <c r="D65" s="367">
        <v>61</v>
      </c>
      <c r="E65" s="393" t="s">
        <v>1437</v>
      </c>
      <c r="F65" s="393" t="s">
        <v>1387</v>
      </c>
      <c r="G65" s="351">
        <v>330000</v>
      </c>
      <c r="H65" s="351">
        <v>43989</v>
      </c>
      <c r="I65" s="349">
        <f t="shared" si="10"/>
        <v>373989</v>
      </c>
      <c r="J65" s="348">
        <v>50</v>
      </c>
      <c r="K65" s="380">
        <v>7479.78</v>
      </c>
      <c r="L65" s="394">
        <f>H65/50</f>
        <v>879.78</v>
      </c>
      <c r="M65" s="394">
        <f t="shared" si="17"/>
        <v>6600</v>
      </c>
      <c r="N65" s="394">
        <f t="shared" si="11"/>
        <v>21994.5</v>
      </c>
      <c r="O65" s="394">
        <f t="shared" si="12"/>
        <v>21994.5</v>
      </c>
      <c r="P65" s="348">
        <v>25</v>
      </c>
      <c r="Q65" s="354">
        <f t="shared" si="13"/>
        <v>25</v>
      </c>
      <c r="R65" s="350">
        <f t="shared" si="14"/>
        <v>186994.5</v>
      </c>
      <c r="S65" s="350">
        <f t="shared" si="15"/>
        <v>186994.5</v>
      </c>
      <c r="T65" s="393"/>
    </row>
    <row r="66" spans="1:20" ht="31.5">
      <c r="A66" s="378"/>
      <c r="B66" s="378"/>
      <c r="C66" s="364" t="s">
        <v>975</v>
      </c>
      <c r="D66" s="367">
        <v>62</v>
      </c>
      <c r="E66" s="393" t="s">
        <v>1437</v>
      </c>
      <c r="F66" s="395" t="s">
        <v>875</v>
      </c>
      <c r="G66" s="351">
        <v>450000</v>
      </c>
      <c r="H66" s="351">
        <v>59985</v>
      </c>
      <c r="I66" s="349">
        <f t="shared" si="10"/>
        <v>509985</v>
      </c>
      <c r="J66" s="348">
        <v>50</v>
      </c>
      <c r="K66" s="380">
        <v>10199.700000000001</v>
      </c>
      <c r="L66" s="394">
        <f>H66/50</f>
        <v>1199.7</v>
      </c>
      <c r="M66" s="394">
        <f t="shared" si="17"/>
        <v>9000</v>
      </c>
      <c r="N66" s="394">
        <f t="shared" si="11"/>
        <v>39590.1</v>
      </c>
      <c r="O66" s="394">
        <f t="shared" si="12"/>
        <v>20394.900000000001</v>
      </c>
      <c r="P66" s="348">
        <v>33</v>
      </c>
      <c r="Q66" s="354">
        <f t="shared" si="13"/>
        <v>17</v>
      </c>
      <c r="R66" s="350">
        <f t="shared" si="14"/>
        <v>336590.10000000003</v>
      </c>
      <c r="S66" s="350">
        <f t="shared" si="15"/>
        <v>173394.89999999997</v>
      </c>
      <c r="T66" s="393"/>
    </row>
    <row r="67" spans="1:20">
      <c r="A67" s="378"/>
      <c r="B67" s="378"/>
      <c r="C67" s="364" t="s">
        <v>1357</v>
      </c>
      <c r="D67" s="367">
        <v>63</v>
      </c>
      <c r="E67" s="393" t="s">
        <v>1437</v>
      </c>
      <c r="F67" s="393" t="s">
        <v>858</v>
      </c>
      <c r="G67" s="351">
        <v>450000</v>
      </c>
      <c r="H67" s="351">
        <v>59985</v>
      </c>
      <c r="I67" s="349">
        <f t="shared" si="10"/>
        <v>509985</v>
      </c>
      <c r="J67" s="348">
        <v>50</v>
      </c>
      <c r="K67" s="380">
        <v>10199.700000000001</v>
      </c>
      <c r="L67" s="394">
        <f>H67/50</f>
        <v>1199.7</v>
      </c>
      <c r="M67" s="394">
        <f t="shared" si="17"/>
        <v>9000</v>
      </c>
      <c r="N67" s="394">
        <f t="shared" si="11"/>
        <v>29992.5</v>
      </c>
      <c r="O67" s="394">
        <f t="shared" si="12"/>
        <v>29992.5</v>
      </c>
      <c r="P67" s="348">
        <v>25</v>
      </c>
      <c r="Q67" s="354">
        <f t="shared" si="13"/>
        <v>25</v>
      </c>
      <c r="R67" s="350">
        <f t="shared" si="14"/>
        <v>254992.50000000003</v>
      </c>
      <c r="S67" s="350">
        <f t="shared" si="15"/>
        <v>254992.49999999997</v>
      </c>
      <c r="T67" s="393"/>
    </row>
    <row r="68" spans="1:20">
      <c r="A68" s="378"/>
      <c r="B68" s="378"/>
      <c r="C68" s="116" t="s">
        <v>1346</v>
      </c>
      <c r="D68" s="367">
        <v>64</v>
      </c>
      <c r="E68" s="393" t="s">
        <v>1437</v>
      </c>
      <c r="F68" s="393" t="s">
        <v>1347</v>
      </c>
      <c r="G68" s="351">
        <v>500000</v>
      </c>
      <c r="H68" s="351">
        <v>66650</v>
      </c>
      <c r="I68" s="349">
        <f t="shared" si="10"/>
        <v>566650</v>
      </c>
      <c r="J68" s="348">
        <v>50</v>
      </c>
      <c r="K68" s="380">
        <v>11333</v>
      </c>
      <c r="L68" s="394">
        <f>H68/50</f>
        <v>1333</v>
      </c>
      <c r="M68" s="394">
        <f t="shared" si="17"/>
        <v>10000</v>
      </c>
      <c r="N68" s="394">
        <f t="shared" si="11"/>
        <v>23994</v>
      </c>
      <c r="O68" s="394">
        <f t="shared" si="12"/>
        <v>42656</v>
      </c>
      <c r="P68" s="348">
        <v>18</v>
      </c>
      <c r="Q68" s="354">
        <f t="shared" si="13"/>
        <v>32</v>
      </c>
      <c r="R68" s="350">
        <f t="shared" si="14"/>
        <v>203994</v>
      </c>
      <c r="S68" s="350">
        <f t="shared" si="15"/>
        <v>362656</v>
      </c>
      <c r="T68" s="393"/>
    </row>
    <row r="69" spans="1:20">
      <c r="A69" s="378"/>
      <c r="B69" s="378"/>
      <c r="C69" s="364" t="s">
        <v>1356</v>
      </c>
      <c r="D69" s="367">
        <v>65</v>
      </c>
      <c r="E69" s="393" t="s">
        <v>1437</v>
      </c>
      <c r="F69" s="393" t="s">
        <v>1286</v>
      </c>
      <c r="G69" s="351">
        <v>450000</v>
      </c>
      <c r="H69" s="351">
        <v>59985</v>
      </c>
      <c r="I69" s="349">
        <f t="shared" ref="I69:I100" si="18">SUM(G69:H69)</f>
        <v>509985</v>
      </c>
      <c r="J69" s="348">
        <v>50</v>
      </c>
      <c r="K69" s="380">
        <v>10199.700000000001</v>
      </c>
      <c r="L69" s="394">
        <f>H69/50</f>
        <v>1199.7</v>
      </c>
      <c r="M69" s="394">
        <f t="shared" si="17"/>
        <v>9000</v>
      </c>
      <c r="N69" s="394">
        <f t="shared" ref="N69:N100" si="19">L69*P69</f>
        <v>21594.600000000002</v>
      </c>
      <c r="O69" s="394">
        <f t="shared" ref="O69:O100" si="20">L69*Q69</f>
        <v>38390.400000000001</v>
      </c>
      <c r="P69" s="348">
        <v>18</v>
      </c>
      <c r="Q69" s="354">
        <f t="shared" ref="Q69:Q100" si="21">J69-P69</f>
        <v>32</v>
      </c>
      <c r="R69" s="350">
        <f t="shared" ref="R69:R100" si="22">K69*P69</f>
        <v>183594.6</v>
      </c>
      <c r="S69" s="350">
        <f t="shared" ref="S69:S100" si="23">I69-R69</f>
        <v>326390.40000000002</v>
      </c>
      <c r="T69" s="393"/>
    </row>
    <row r="70" spans="1:20">
      <c r="A70" s="378"/>
      <c r="B70" s="378"/>
      <c r="C70" s="363" t="s">
        <v>1501</v>
      </c>
      <c r="D70" s="367">
        <v>66</v>
      </c>
      <c r="E70" s="393" t="s">
        <v>1437</v>
      </c>
      <c r="F70" s="393" t="s">
        <v>484</v>
      </c>
      <c r="G70" s="380">
        <v>750000</v>
      </c>
      <c r="H70" s="380">
        <v>99925</v>
      </c>
      <c r="I70" s="380">
        <f t="shared" si="18"/>
        <v>849925</v>
      </c>
      <c r="J70" s="348">
        <v>60</v>
      </c>
      <c r="K70" s="380">
        <v>14166.25</v>
      </c>
      <c r="L70" s="394">
        <f>H70/60</f>
        <v>1665.4166666666667</v>
      </c>
      <c r="M70" s="394">
        <f>G70/60</f>
        <v>12500</v>
      </c>
      <c r="N70" s="394">
        <f t="shared" si="19"/>
        <v>4996.25</v>
      </c>
      <c r="O70" s="394">
        <f t="shared" si="20"/>
        <v>94928.75</v>
      </c>
      <c r="P70" s="348">
        <v>3</v>
      </c>
      <c r="Q70" s="348">
        <f t="shared" si="21"/>
        <v>57</v>
      </c>
      <c r="R70" s="380">
        <f t="shared" si="22"/>
        <v>42498.75</v>
      </c>
      <c r="S70" s="380">
        <f t="shared" si="23"/>
        <v>807426.25</v>
      </c>
      <c r="T70" s="393"/>
    </row>
    <row r="71" spans="1:20">
      <c r="A71" s="378"/>
      <c r="B71" s="378"/>
      <c r="C71" s="364" t="s">
        <v>964</v>
      </c>
      <c r="D71" s="367">
        <v>67</v>
      </c>
      <c r="E71" s="393" t="s">
        <v>1437</v>
      </c>
      <c r="F71" s="393" t="s">
        <v>341</v>
      </c>
      <c r="G71" s="351">
        <v>500000</v>
      </c>
      <c r="H71" s="351">
        <v>66650</v>
      </c>
      <c r="I71" s="349">
        <f t="shared" si="18"/>
        <v>566650</v>
      </c>
      <c r="J71" s="348">
        <v>50</v>
      </c>
      <c r="K71" s="380">
        <v>11333</v>
      </c>
      <c r="L71" s="394">
        <f t="shared" ref="L71:L77" si="24">H71/50</f>
        <v>1333</v>
      </c>
      <c r="M71" s="394">
        <f t="shared" ref="M71:M77" si="25">G71/50</f>
        <v>10000</v>
      </c>
      <c r="N71" s="394">
        <f t="shared" si="19"/>
        <v>66650</v>
      </c>
      <c r="O71" s="394">
        <f t="shared" si="20"/>
        <v>0</v>
      </c>
      <c r="P71" s="348">
        <v>50</v>
      </c>
      <c r="Q71" s="354">
        <f t="shared" si="21"/>
        <v>0</v>
      </c>
      <c r="R71" s="350">
        <f t="shared" si="22"/>
        <v>566650</v>
      </c>
      <c r="S71" s="350">
        <f t="shared" si="23"/>
        <v>0</v>
      </c>
      <c r="T71" s="393"/>
    </row>
    <row r="72" spans="1:20">
      <c r="A72" s="378"/>
      <c r="B72" s="378"/>
      <c r="C72" s="364" t="s">
        <v>1043</v>
      </c>
      <c r="D72" s="367">
        <v>68</v>
      </c>
      <c r="E72" s="393" t="s">
        <v>1437</v>
      </c>
      <c r="F72" s="393" t="s">
        <v>444</v>
      </c>
      <c r="G72" s="351">
        <v>500000</v>
      </c>
      <c r="H72" s="351">
        <v>66650</v>
      </c>
      <c r="I72" s="349">
        <f t="shared" si="18"/>
        <v>566650</v>
      </c>
      <c r="J72" s="348">
        <v>50</v>
      </c>
      <c r="K72" s="380">
        <v>11333</v>
      </c>
      <c r="L72" s="394">
        <f t="shared" si="24"/>
        <v>1333</v>
      </c>
      <c r="M72" s="394">
        <f t="shared" si="25"/>
        <v>10000</v>
      </c>
      <c r="N72" s="394">
        <f t="shared" si="19"/>
        <v>50654</v>
      </c>
      <c r="O72" s="394">
        <f t="shared" si="20"/>
        <v>15996</v>
      </c>
      <c r="P72" s="348">
        <v>38</v>
      </c>
      <c r="Q72" s="354">
        <f t="shared" si="21"/>
        <v>12</v>
      </c>
      <c r="R72" s="350">
        <f t="shared" si="22"/>
        <v>430654</v>
      </c>
      <c r="S72" s="350">
        <f t="shared" si="23"/>
        <v>135996</v>
      </c>
      <c r="T72" s="393"/>
    </row>
    <row r="73" spans="1:20">
      <c r="A73" s="378"/>
      <c r="B73" s="378"/>
      <c r="C73" s="363" t="s">
        <v>1001</v>
      </c>
      <c r="D73" s="367">
        <v>69</v>
      </c>
      <c r="E73" s="393" t="s">
        <v>1437</v>
      </c>
      <c r="F73" s="393" t="s">
        <v>834</v>
      </c>
      <c r="G73" s="351">
        <v>330000</v>
      </c>
      <c r="H73" s="351">
        <v>43989</v>
      </c>
      <c r="I73" s="349">
        <f t="shared" si="18"/>
        <v>373989</v>
      </c>
      <c r="J73" s="348">
        <v>50</v>
      </c>
      <c r="K73" s="380">
        <v>7479.78</v>
      </c>
      <c r="L73" s="394">
        <f t="shared" si="24"/>
        <v>879.78</v>
      </c>
      <c r="M73" s="394">
        <f t="shared" si="25"/>
        <v>6600</v>
      </c>
      <c r="N73" s="394">
        <f t="shared" si="19"/>
        <v>33431.64</v>
      </c>
      <c r="O73" s="394">
        <f t="shared" si="20"/>
        <v>10557.36</v>
      </c>
      <c r="P73" s="348">
        <v>38</v>
      </c>
      <c r="Q73" s="354">
        <f t="shared" si="21"/>
        <v>12</v>
      </c>
      <c r="R73" s="350">
        <f t="shared" si="22"/>
        <v>284231.64</v>
      </c>
      <c r="S73" s="350">
        <f t="shared" si="23"/>
        <v>89757.359999999986</v>
      </c>
      <c r="T73" s="393"/>
    </row>
    <row r="74" spans="1:20">
      <c r="A74" s="378"/>
      <c r="B74" s="378"/>
      <c r="C74" s="116" t="s">
        <v>996</v>
      </c>
      <c r="D74" s="367">
        <v>70</v>
      </c>
      <c r="E74" s="393" t="s">
        <v>1437</v>
      </c>
      <c r="F74" s="393" t="s">
        <v>338</v>
      </c>
      <c r="G74" s="351">
        <v>500000</v>
      </c>
      <c r="H74" s="351">
        <v>66650</v>
      </c>
      <c r="I74" s="349">
        <f t="shared" si="18"/>
        <v>566650</v>
      </c>
      <c r="J74" s="348">
        <v>40</v>
      </c>
      <c r="K74" s="380">
        <v>13833</v>
      </c>
      <c r="L74" s="394">
        <f t="shared" si="24"/>
        <v>1333</v>
      </c>
      <c r="M74" s="394">
        <f t="shared" si="25"/>
        <v>10000</v>
      </c>
      <c r="N74" s="394">
        <f t="shared" si="19"/>
        <v>17329</v>
      </c>
      <c r="O74" s="394">
        <f t="shared" si="20"/>
        <v>35991</v>
      </c>
      <c r="P74" s="348">
        <v>13</v>
      </c>
      <c r="Q74" s="354">
        <f t="shared" si="21"/>
        <v>27</v>
      </c>
      <c r="R74" s="350">
        <f t="shared" si="22"/>
        <v>179829</v>
      </c>
      <c r="S74" s="350">
        <f t="shared" si="23"/>
        <v>386821</v>
      </c>
      <c r="T74" s="393"/>
    </row>
    <row r="75" spans="1:20">
      <c r="A75" s="378"/>
      <c r="B75" s="378"/>
      <c r="C75" s="116" t="s">
        <v>1335</v>
      </c>
      <c r="D75" s="367">
        <v>71</v>
      </c>
      <c r="E75" s="393" t="s">
        <v>1437</v>
      </c>
      <c r="F75" s="393" t="s">
        <v>1336</v>
      </c>
      <c r="G75" s="351">
        <v>500000</v>
      </c>
      <c r="H75" s="351">
        <v>66650</v>
      </c>
      <c r="I75" s="349">
        <f t="shared" si="18"/>
        <v>566650</v>
      </c>
      <c r="J75" s="348">
        <v>50</v>
      </c>
      <c r="K75" s="380">
        <v>11333</v>
      </c>
      <c r="L75" s="394">
        <f t="shared" si="24"/>
        <v>1333</v>
      </c>
      <c r="M75" s="394">
        <f t="shared" si="25"/>
        <v>10000</v>
      </c>
      <c r="N75" s="394">
        <f t="shared" si="19"/>
        <v>26660</v>
      </c>
      <c r="O75" s="394">
        <f t="shared" si="20"/>
        <v>39990</v>
      </c>
      <c r="P75" s="348">
        <v>20</v>
      </c>
      <c r="Q75" s="354">
        <f t="shared" si="21"/>
        <v>30</v>
      </c>
      <c r="R75" s="350">
        <f t="shared" si="22"/>
        <v>226660</v>
      </c>
      <c r="S75" s="350">
        <f t="shared" si="23"/>
        <v>339990</v>
      </c>
      <c r="T75" s="393"/>
    </row>
    <row r="76" spans="1:20">
      <c r="A76" s="378"/>
      <c r="B76" s="378"/>
      <c r="C76" s="364" t="s">
        <v>1312</v>
      </c>
      <c r="D76" s="367">
        <v>72</v>
      </c>
      <c r="E76" s="393" t="s">
        <v>1437</v>
      </c>
      <c r="F76" s="393" t="s">
        <v>436</v>
      </c>
      <c r="G76" s="351">
        <v>500000</v>
      </c>
      <c r="H76" s="351">
        <v>66650</v>
      </c>
      <c r="I76" s="349">
        <f t="shared" si="18"/>
        <v>566650</v>
      </c>
      <c r="J76" s="348">
        <v>25</v>
      </c>
      <c r="K76" s="380">
        <v>21333</v>
      </c>
      <c r="L76" s="394">
        <f t="shared" si="24"/>
        <v>1333</v>
      </c>
      <c r="M76" s="394">
        <f t="shared" si="25"/>
        <v>10000</v>
      </c>
      <c r="N76" s="394">
        <f t="shared" si="19"/>
        <v>23994</v>
      </c>
      <c r="O76" s="394">
        <f t="shared" si="20"/>
        <v>9331</v>
      </c>
      <c r="P76" s="348">
        <v>18</v>
      </c>
      <c r="Q76" s="354">
        <f t="shared" si="21"/>
        <v>7</v>
      </c>
      <c r="R76" s="350">
        <f t="shared" si="22"/>
        <v>383994</v>
      </c>
      <c r="S76" s="350">
        <f t="shared" si="23"/>
        <v>182656</v>
      </c>
      <c r="T76" s="393"/>
    </row>
    <row r="77" spans="1:20">
      <c r="A77" s="378"/>
      <c r="B77" s="378"/>
      <c r="C77" s="116" t="s">
        <v>1044</v>
      </c>
      <c r="D77" s="367">
        <v>73</v>
      </c>
      <c r="E77" s="393" t="s">
        <v>1437</v>
      </c>
      <c r="F77" s="393" t="s">
        <v>844</v>
      </c>
      <c r="G77" s="351">
        <v>150000</v>
      </c>
      <c r="H77" s="351">
        <v>19995</v>
      </c>
      <c r="I77" s="349">
        <f t="shared" si="18"/>
        <v>169995</v>
      </c>
      <c r="J77" s="348">
        <v>50</v>
      </c>
      <c r="K77" s="380">
        <v>3399.9</v>
      </c>
      <c r="L77" s="394">
        <f t="shared" si="24"/>
        <v>399.9</v>
      </c>
      <c r="M77" s="394">
        <f t="shared" si="25"/>
        <v>3000</v>
      </c>
      <c r="N77" s="394">
        <f t="shared" si="19"/>
        <v>15196.199999999999</v>
      </c>
      <c r="O77" s="394">
        <f t="shared" si="20"/>
        <v>4798.7999999999993</v>
      </c>
      <c r="P77" s="348">
        <v>38</v>
      </c>
      <c r="Q77" s="354">
        <f t="shared" si="21"/>
        <v>12</v>
      </c>
      <c r="R77" s="350">
        <f t="shared" si="22"/>
        <v>129196.2</v>
      </c>
      <c r="S77" s="350">
        <f t="shared" si="23"/>
        <v>40798.800000000003</v>
      </c>
      <c r="T77" s="393"/>
    </row>
    <row r="78" spans="1:20">
      <c r="A78" s="378"/>
      <c r="B78" s="378"/>
      <c r="C78" s="363" t="s">
        <v>1494</v>
      </c>
      <c r="D78" s="367">
        <v>74</v>
      </c>
      <c r="E78" s="393" t="s">
        <v>1437</v>
      </c>
      <c r="F78" s="393" t="s">
        <v>1495</v>
      </c>
      <c r="G78" s="380">
        <v>750000</v>
      </c>
      <c r="H78" s="380">
        <v>99925</v>
      </c>
      <c r="I78" s="380">
        <f t="shared" si="18"/>
        <v>849925</v>
      </c>
      <c r="J78" s="348">
        <v>60</v>
      </c>
      <c r="K78" s="380">
        <v>14166.25</v>
      </c>
      <c r="L78" s="394">
        <f>H78/60</f>
        <v>1665.4166666666667</v>
      </c>
      <c r="M78" s="394">
        <f>G78/60</f>
        <v>12500</v>
      </c>
      <c r="N78" s="394">
        <f t="shared" si="19"/>
        <v>4996.25</v>
      </c>
      <c r="O78" s="394">
        <f t="shared" si="20"/>
        <v>94928.75</v>
      </c>
      <c r="P78" s="348">
        <v>3</v>
      </c>
      <c r="Q78" s="348">
        <f t="shared" si="21"/>
        <v>57</v>
      </c>
      <c r="R78" s="380">
        <f t="shared" si="22"/>
        <v>42498.75</v>
      </c>
      <c r="S78" s="380">
        <f t="shared" si="23"/>
        <v>807426.25</v>
      </c>
      <c r="T78" s="393"/>
    </row>
    <row r="79" spans="1:20">
      <c r="A79" s="378"/>
      <c r="B79" s="378"/>
      <c r="C79" s="364" t="s">
        <v>1328</v>
      </c>
      <c r="D79" s="367">
        <v>75</v>
      </c>
      <c r="E79" s="393" t="s">
        <v>1437</v>
      </c>
      <c r="F79" s="393" t="s">
        <v>433</v>
      </c>
      <c r="G79" s="351">
        <v>500000</v>
      </c>
      <c r="H79" s="351">
        <v>66650</v>
      </c>
      <c r="I79" s="349">
        <f t="shared" si="18"/>
        <v>566650</v>
      </c>
      <c r="J79" s="348">
        <v>50</v>
      </c>
      <c r="K79" s="380">
        <v>11333</v>
      </c>
      <c r="L79" s="394">
        <f t="shared" ref="L79:L107" si="26">H79/50</f>
        <v>1333</v>
      </c>
      <c r="M79" s="394">
        <f t="shared" ref="M79:M114" si="27">G79/50</f>
        <v>10000</v>
      </c>
      <c r="N79" s="394">
        <f t="shared" si="19"/>
        <v>31992</v>
      </c>
      <c r="O79" s="394">
        <f t="shared" si="20"/>
        <v>34658</v>
      </c>
      <c r="P79" s="348">
        <v>24</v>
      </c>
      <c r="Q79" s="354">
        <f t="shared" si="21"/>
        <v>26</v>
      </c>
      <c r="R79" s="350">
        <f t="shared" si="22"/>
        <v>271992</v>
      </c>
      <c r="S79" s="350">
        <f t="shared" si="23"/>
        <v>294658</v>
      </c>
      <c r="T79" s="393"/>
    </row>
    <row r="80" spans="1:20">
      <c r="A80" s="378"/>
      <c r="B80" s="378"/>
      <c r="C80" s="364" t="s">
        <v>1058</v>
      </c>
      <c r="D80" s="367">
        <v>76</v>
      </c>
      <c r="E80" s="393" t="s">
        <v>1437</v>
      </c>
      <c r="F80" s="393" t="s">
        <v>346</v>
      </c>
      <c r="G80" s="351">
        <v>500000</v>
      </c>
      <c r="H80" s="351">
        <v>66650</v>
      </c>
      <c r="I80" s="349">
        <f t="shared" si="18"/>
        <v>566650</v>
      </c>
      <c r="J80" s="348">
        <v>50</v>
      </c>
      <c r="K80" s="380">
        <v>11333</v>
      </c>
      <c r="L80" s="394">
        <f t="shared" si="26"/>
        <v>1333</v>
      </c>
      <c r="M80" s="394">
        <f t="shared" si="27"/>
        <v>10000</v>
      </c>
      <c r="N80" s="394">
        <f t="shared" si="19"/>
        <v>65317</v>
      </c>
      <c r="O80" s="394">
        <f t="shared" si="20"/>
        <v>1333</v>
      </c>
      <c r="P80" s="348">
        <v>49</v>
      </c>
      <c r="Q80" s="354">
        <f t="shared" si="21"/>
        <v>1</v>
      </c>
      <c r="R80" s="350">
        <f t="shared" si="22"/>
        <v>555317</v>
      </c>
      <c r="S80" s="350">
        <f t="shared" si="23"/>
        <v>11333</v>
      </c>
      <c r="T80" s="393"/>
    </row>
    <row r="81" spans="1:20">
      <c r="A81" s="378"/>
      <c r="B81" s="378"/>
      <c r="C81" s="364" t="s">
        <v>1322</v>
      </c>
      <c r="D81" s="367">
        <v>77</v>
      </c>
      <c r="E81" s="393" t="s">
        <v>1437</v>
      </c>
      <c r="F81" s="393" t="s">
        <v>1122</v>
      </c>
      <c r="G81" s="351">
        <v>500000</v>
      </c>
      <c r="H81" s="351">
        <v>66650</v>
      </c>
      <c r="I81" s="349">
        <f t="shared" si="18"/>
        <v>566650</v>
      </c>
      <c r="J81" s="348">
        <v>50</v>
      </c>
      <c r="K81" s="380">
        <v>11333</v>
      </c>
      <c r="L81" s="394">
        <f t="shared" si="26"/>
        <v>1333</v>
      </c>
      <c r="M81" s="394">
        <f t="shared" si="27"/>
        <v>10000</v>
      </c>
      <c r="N81" s="394">
        <f t="shared" si="19"/>
        <v>33325</v>
      </c>
      <c r="O81" s="394">
        <f t="shared" si="20"/>
        <v>33325</v>
      </c>
      <c r="P81" s="348">
        <v>25</v>
      </c>
      <c r="Q81" s="354">
        <f t="shared" si="21"/>
        <v>25</v>
      </c>
      <c r="R81" s="350">
        <f t="shared" si="22"/>
        <v>283325</v>
      </c>
      <c r="S81" s="350">
        <f t="shared" si="23"/>
        <v>283325</v>
      </c>
      <c r="T81" s="393"/>
    </row>
    <row r="82" spans="1:20">
      <c r="A82" s="378"/>
      <c r="B82" s="378"/>
      <c r="C82" s="364" t="s">
        <v>1098</v>
      </c>
      <c r="D82" s="367">
        <v>78</v>
      </c>
      <c r="E82" s="393" t="s">
        <v>1437</v>
      </c>
      <c r="F82" s="393" t="s">
        <v>345</v>
      </c>
      <c r="G82" s="351">
        <v>500000</v>
      </c>
      <c r="H82" s="351">
        <v>66650</v>
      </c>
      <c r="I82" s="349">
        <f t="shared" si="18"/>
        <v>566650</v>
      </c>
      <c r="J82" s="348">
        <v>50</v>
      </c>
      <c r="K82" s="380">
        <v>11333</v>
      </c>
      <c r="L82" s="394">
        <f t="shared" si="26"/>
        <v>1333</v>
      </c>
      <c r="M82" s="394">
        <f t="shared" si="27"/>
        <v>10000</v>
      </c>
      <c r="N82" s="394">
        <f t="shared" si="19"/>
        <v>66650</v>
      </c>
      <c r="O82" s="394">
        <f t="shared" si="20"/>
        <v>0</v>
      </c>
      <c r="P82" s="348">
        <v>50</v>
      </c>
      <c r="Q82" s="354">
        <f t="shared" si="21"/>
        <v>0</v>
      </c>
      <c r="R82" s="350">
        <f t="shared" si="22"/>
        <v>566650</v>
      </c>
      <c r="S82" s="350">
        <f t="shared" si="23"/>
        <v>0</v>
      </c>
      <c r="T82" s="393"/>
    </row>
    <row r="83" spans="1:20">
      <c r="A83" s="378"/>
      <c r="B83" s="378"/>
      <c r="C83" s="363" t="s">
        <v>1464</v>
      </c>
      <c r="D83" s="367">
        <v>79</v>
      </c>
      <c r="E83" s="393" t="s">
        <v>1437</v>
      </c>
      <c r="F83" s="393" t="s">
        <v>445</v>
      </c>
      <c r="G83" s="351">
        <v>500000</v>
      </c>
      <c r="H83" s="351">
        <v>66650</v>
      </c>
      <c r="I83" s="349">
        <f t="shared" si="18"/>
        <v>566650</v>
      </c>
      <c r="J83" s="348">
        <v>50</v>
      </c>
      <c r="K83" s="380">
        <v>11333</v>
      </c>
      <c r="L83" s="394">
        <f t="shared" si="26"/>
        <v>1333</v>
      </c>
      <c r="M83" s="394">
        <f t="shared" si="27"/>
        <v>10000</v>
      </c>
      <c r="N83" s="394">
        <f t="shared" si="19"/>
        <v>7998</v>
      </c>
      <c r="O83" s="394">
        <f t="shared" si="20"/>
        <v>58652</v>
      </c>
      <c r="P83" s="348">
        <v>6</v>
      </c>
      <c r="Q83" s="354">
        <f t="shared" si="21"/>
        <v>44</v>
      </c>
      <c r="R83" s="350">
        <f t="shared" si="22"/>
        <v>67998</v>
      </c>
      <c r="S83" s="350">
        <f t="shared" si="23"/>
        <v>498652</v>
      </c>
      <c r="T83" s="393"/>
    </row>
    <row r="84" spans="1:20">
      <c r="A84" s="378"/>
      <c r="B84" s="378"/>
      <c r="C84" s="364" t="s">
        <v>1125</v>
      </c>
      <c r="D84" s="367">
        <v>80</v>
      </c>
      <c r="E84" s="393" t="s">
        <v>1437</v>
      </c>
      <c r="F84" s="393" t="s">
        <v>452</v>
      </c>
      <c r="G84" s="351">
        <v>500000</v>
      </c>
      <c r="H84" s="351">
        <v>66650</v>
      </c>
      <c r="I84" s="349">
        <f t="shared" si="18"/>
        <v>566650</v>
      </c>
      <c r="J84" s="348">
        <v>50</v>
      </c>
      <c r="K84" s="380">
        <v>11333</v>
      </c>
      <c r="L84" s="394">
        <f t="shared" si="26"/>
        <v>1333</v>
      </c>
      <c r="M84" s="394">
        <f t="shared" si="27"/>
        <v>10000</v>
      </c>
      <c r="N84" s="394">
        <f t="shared" si="19"/>
        <v>34658</v>
      </c>
      <c r="O84" s="394">
        <f t="shared" si="20"/>
        <v>31992</v>
      </c>
      <c r="P84" s="348">
        <v>26</v>
      </c>
      <c r="Q84" s="354">
        <f t="shared" si="21"/>
        <v>24</v>
      </c>
      <c r="R84" s="350">
        <f t="shared" si="22"/>
        <v>294658</v>
      </c>
      <c r="S84" s="350">
        <f t="shared" si="23"/>
        <v>271992</v>
      </c>
      <c r="T84" s="393"/>
    </row>
    <row r="85" spans="1:20">
      <c r="A85" s="378"/>
      <c r="B85" s="378"/>
      <c r="C85" s="364" t="s">
        <v>1390</v>
      </c>
      <c r="D85" s="367">
        <v>81</v>
      </c>
      <c r="E85" s="393" t="s">
        <v>1437</v>
      </c>
      <c r="F85" s="393" t="s">
        <v>1391</v>
      </c>
      <c r="G85" s="351">
        <v>150000</v>
      </c>
      <c r="H85" s="351">
        <v>19995</v>
      </c>
      <c r="I85" s="349">
        <f t="shared" si="18"/>
        <v>169995</v>
      </c>
      <c r="J85" s="348">
        <v>40</v>
      </c>
      <c r="K85" s="380">
        <v>4149.8999999999996</v>
      </c>
      <c r="L85" s="394">
        <f t="shared" si="26"/>
        <v>399.9</v>
      </c>
      <c r="M85" s="394">
        <f t="shared" si="27"/>
        <v>3000</v>
      </c>
      <c r="N85" s="394">
        <f t="shared" si="19"/>
        <v>9997.5</v>
      </c>
      <c r="O85" s="394">
        <f t="shared" si="20"/>
        <v>5998.5</v>
      </c>
      <c r="P85" s="348">
        <v>25</v>
      </c>
      <c r="Q85" s="354">
        <f t="shared" si="21"/>
        <v>15</v>
      </c>
      <c r="R85" s="350">
        <f t="shared" si="22"/>
        <v>103747.49999999999</v>
      </c>
      <c r="S85" s="350">
        <f t="shared" si="23"/>
        <v>66247.500000000015</v>
      </c>
      <c r="T85" s="393"/>
    </row>
    <row r="86" spans="1:20">
      <c r="A86" s="378"/>
      <c r="B86" s="378"/>
      <c r="C86" s="363" t="s">
        <v>1477</v>
      </c>
      <c r="D86" s="367">
        <v>82</v>
      </c>
      <c r="E86" s="393" t="s">
        <v>1437</v>
      </c>
      <c r="F86" s="393" t="s">
        <v>1478</v>
      </c>
      <c r="G86" s="351">
        <v>330000</v>
      </c>
      <c r="H86" s="351">
        <v>43989</v>
      </c>
      <c r="I86" s="349">
        <f t="shared" si="18"/>
        <v>373989</v>
      </c>
      <c r="J86" s="348">
        <v>50</v>
      </c>
      <c r="K86" s="380">
        <v>7479.78</v>
      </c>
      <c r="L86" s="394">
        <f t="shared" si="26"/>
        <v>879.78</v>
      </c>
      <c r="M86" s="394">
        <f t="shared" si="27"/>
        <v>6600</v>
      </c>
      <c r="N86" s="394">
        <f t="shared" si="19"/>
        <v>5278.68</v>
      </c>
      <c r="O86" s="394">
        <f t="shared" si="20"/>
        <v>38710.32</v>
      </c>
      <c r="P86" s="348">
        <v>6</v>
      </c>
      <c r="Q86" s="354">
        <f t="shared" si="21"/>
        <v>44</v>
      </c>
      <c r="R86" s="350">
        <f t="shared" si="22"/>
        <v>44878.68</v>
      </c>
      <c r="S86" s="350">
        <f t="shared" si="23"/>
        <v>329110.32</v>
      </c>
      <c r="T86" s="393"/>
    </row>
    <row r="87" spans="1:20">
      <c r="A87" s="378"/>
      <c r="B87" s="378"/>
      <c r="C87" s="364" t="s">
        <v>1067</v>
      </c>
      <c r="D87" s="367">
        <v>83</v>
      </c>
      <c r="E87" s="393" t="s">
        <v>1437</v>
      </c>
      <c r="F87" s="393" t="s">
        <v>368</v>
      </c>
      <c r="G87" s="351">
        <v>450000</v>
      </c>
      <c r="H87" s="351">
        <v>59985</v>
      </c>
      <c r="I87" s="349">
        <f t="shared" si="18"/>
        <v>509985</v>
      </c>
      <c r="J87" s="348">
        <v>50</v>
      </c>
      <c r="K87" s="380">
        <v>10199.700000000001</v>
      </c>
      <c r="L87" s="394">
        <f t="shared" si="26"/>
        <v>1199.7</v>
      </c>
      <c r="M87" s="394">
        <f t="shared" si="27"/>
        <v>9000</v>
      </c>
      <c r="N87" s="394">
        <f t="shared" si="19"/>
        <v>58785.3</v>
      </c>
      <c r="O87" s="394">
        <f t="shared" si="20"/>
        <v>1199.7</v>
      </c>
      <c r="P87" s="348">
        <v>49</v>
      </c>
      <c r="Q87" s="354">
        <f t="shared" si="21"/>
        <v>1</v>
      </c>
      <c r="R87" s="350">
        <f t="shared" si="22"/>
        <v>499785.30000000005</v>
      </c>
      <c r="S87" s="350">
        <f t="shared" si="23"/>
        <v>10199.699999999953</v>
      </c>
      <c r="T87" s="393"/>
    </row>
    <row r="88" spans="1:20">
      <c r="A88" s="378"/>
      <c r="B88" s="378"/>
      <c r="C88" s="364" t="s">
        <v>1078</v>
      </c>
      <c r="D88" s="367">
        <v>84</v>
      </c>
      <c r="E88" s="393" t="s">
        <v>1437</v>
      </c>
      <c r="F88" s="393" t="s">
        <v>446</v>
      </c>
      <c r="G88" s="351">
        <v>330000</v>
      </c>
      <c r="H88" s="351">
        <v>43989</v>
      </c>
      <c r="I88" s="349">
        <f t="shared" si="18"/>
        <v>373989</v>
      </c>
      <c r="J88" s="348">
        <v>50</v>
      </c>
      <c r="K88" s="380">
        <v>7479.78</v>
      </c>
      <c r="L88" s="394">
        <f t="shared" si="26"/>
        <v>879.78</v>
      </c>
      <c r="M88" s="394">
        <f t="shared" si="27"/>
        <v>6600</v>
      </c>
      <c r="N88" s="394">
        <f t="shared" si="19"/>
        <v>29032.739999999998</v>
      </c>
      <c r="O88" s="394">
        <f t="shared" si="20"/>
        <v>14956.26</v>
      </c>
      <c r="P88" s="348">
        <v>33</v>
      </c>
      <c r="Q88" s="354">
        <f t="shared" si="21"/>
        <v>17</v>
      </c>
      <c r="R88" s="350">
        <f t="shared" si="22"/>
        <v>246832.74</v>
      </c>
      <c r="S88" s="350">
        <f t="shared" si="23"/>
        <v>127156.26000000001</v>
      </c>
      <c r="T88" s="393"/>
    </row>
    <row r="89" spans="1:20">
      <c r="A89" s="378"/>
      <c r="B89" s="378"/>
      <c r="C89" s="363" t="s">
        <v>971</v>
      </c>
      <c r="D89" s="367">
        <v>85</v>
      </c>
      <c r="E89" s="393" t="s">
        <v>1437</v>
      </c>
      <c r="F89" s="393" t="s">
        <v>112</v>
      </c>
      <c r="G89" s="351">
        <v>330000</v>
      </c>
      <c r="H89" s="351">
        <v>43989</v>
      </c>
      <c r="I89" s="349">
        <f t="shared" si="18"/>
        <v>373989</v>
      </c>
      <c r="J89" s="348">
        <v>50</v>
      </c>
      <c r="K89" s="380">
        <v>7479.78</v>
      </c>
      <c r="L89" s="394">
        <f t="shared" si="26"/>
        <v>879.78</v>
      </c>
      <c r="M89" s="394">
        <f t="shared" si="27"/>
        <v>6600</v>
      </c>
      <c r="N89" s="394">
        <f t="shared" si="19"/>
        <v>7918.0199999999995</v>
      </c>
      <c r="O89" s="394">
        <f t="shared" si="20"/>
        <v>36070.979999999996</v>
      </c>
      <c r="P89" s="348">
        <v>9</v>
      </c>
      <c r="Q89" s="354">
        <f t="shared" si="21"/>
        <v>41</v>
      </c>
      <c r="R89" s="350">
        <f t="shared" si="22"/>
        <v>67318.02</v>
      </c>
      <c r="S89" s="350">
        <f t="shared" si="23"/>
        <v>306670.98</v>
      </c>
      <c r="T89" s="393"/>
    </row>
    <row r="90" spans="1:20">
      <c r="A90" s="378"/>
      <c r="B90" s="378"/>
      <c r="C90" s="364" t="s">
        <v>1375</v>
      </c>
      <c r="D90" s="367">
        <v>86</v>
      </c>
      <c r="E90" s="393" t="s">
        <v>1437</v>
      </c>
      <c r="F90" s="393" t="s">
        <v>1376</v>
      </c>
      <c r="G90" s="351">
        <v>330000</v>
      </c>
      <c r="H90" s="351">
        <v>43989</v>
      </c>
      <c r="I90" s="349">
        <f t="shared" si="18"/>
        <v>373989</v>
      </c>
      <c r="J90" s="348">
        <v>50</v>
      </c>
      <c r="K90" s="380">
        <v>7479.78</v>
      </c>
      <c r="L90" s="394">
        <f t="shared" si="26"/>
        <v>879.78</v>
      </c>
      <c r="M90" s="394">
        <f t="shared" si="27"/>
        <v>6600</v>
      </c>
      <c r="N90" s="394">
        <f t="shared" si="19"/>
        <v>14076.48</v>
      </c>
      <c r="O90" s="394">
        <f t="shared" si="20"/>
        <v>29912.52</v>
      </c>
      <c r="P90" s="348">
        <v>16</v>
      </c>
      <c r="Q90" s="354">
        <f t="shared" si="21"/>
        <v>34</v>
      </c>
      <c r="R90" s="350">
        <f t="shared" si="22"/>
        <v>119676.48</v>
      </c>
      <c r="S90" s="350">
        <f t="shared" si="23"/>
        <v>254312.52000000002</v>
      </c>
      <c r="T90" s="393"/>
    </row>
    <row r="91" spans="1:20">
      <c r="A91" s="378"/>
      <c r="B91" s="378"/>
      <c r="C91" s="364" t="s">
        <v>1392</v>
      </c>
      <c r="D91" s="367">
        <v>87</v>
      </c>
      <c r="E91" s="393" t="s">
        <v>1437</v>
      </c>
      <c r="F91" s="393" t="s">
        <v>1393</v>
      </c>
      <c r="G91" s="351">
        <v>150000</v>
      </c>
      <c r="H91" s="351">
        <v>19995</v>
      </c>
      <c r="I91" s="349">
        <f t="shared" si="18"/>
        <v>169995</v>
      </c>
      <c r="J91" s="348">
        <v>40</v>
      </c>
      <c r="K91" s="380">
        <v>4149.8999999999996</v>
      </c>
      <c r="L91" s="394">
        <f t="shared" si="26"/>
        <v>399.9</v>
      </c>
      <c r="M91" s="394">
        <f t="shared" si="27"/>
        <v>3000</v>
      </c>
      <c r="N91" s="394">
        <f t="shared" si="19"/>
        <v>9997.5</v>
      </c>
      <c r="O91" s="394">
        <f t="shared" si="20"/>
        <v>5998.5</v>
      </c>
      <c r="P91" s="348">
        <v>25</v>
      </c>
      <c r="Q91" s="354">
        <f t="shared" si="21"/>
        <v>15</v>
      </c>
      <c r="R91" s="350">
        <f t="shared" si="22"/>
        <v>103747.49999999999</v>
      </c>
      <c r="S91" s="350">
        <f t="shared" si="23"/>
        <v>66247.500000000015</v>
      </c>
      <c r="T91" s="393"/>
    </row>
    <row r="92" spans="1:20">
      <c r="A92" s="378"/>
      <c r="B92" s="378"/>
      <c r="C92" s="363" t="s">
        <v>1438</v>
      </c>
      <c r="D92" s="367">
        <v>88</v>
      </c>
      <c r="E92" s="393" t="s">
        <v>1437</v>
      </c>
      <c r="F92" s="393" t="s">
        <v>1439</v>
      </c>
      <c r="G92" s="351">
        <v>450000</v>
      </c>
      <c r="H92" s="351">
        <v>59985</v>
      </c>
      <c r="I92" s="349">
        <f t="shared" si="18"/>
        <v>509985</v>
      </c>
      <c r="J92" s="348">
        <v>50</v>
      </c>
      <c r="K92" s="380">
        <v>10199.700000000001</v>
      </c>
      <c r="L92" s="394">
        <f t="shared" si="26"/>
        <v>1199.7</v>
      </c>
      <c r="M92" s="394">
        <f t="shared" si="27"/>
        <v>9000</v>
      </c>
      <c r="N92" s="394">
        <f t="shared" si="19"/>
        <v>56385.9</v>
      </c>
      <c r="O92" s="394">
        <f t="shared" si="20"/>
        <v>3599.1000000000004</v>
      </c>
      <c r="P92" s="348">
        <v>47</v>
      </c>
      <c r="Q92" s="354">
        <f t="shared" si="21"/>
        <v>3</v>
      </c>
      <c r="R92" s="350">
        <f t="shared" si="22"/>
        <v>479385.9</v>
      </c>
      <c r="S92" s="350">
        <f t="shared" si="23"/>
        <v>30599.099999999977</v>
      </c>
      <c r="T92" s="402"/>
    </row>
    <row r="93" spans="1:20">
      <c r="A93" s="378"/>
      <c r="B93" s="378"/>
      <c r="C93" s="364" t="s">
        <v>982</v>
      </c>
      <c r="D93" s="367">
        <v>89</v>
      </c>
      <c r="E93" s="393" t="s">
        <v>1437</v>
      </c>
      <c r="F93" s="393" t="s">
        <v>350</v>
      </c>
      <c r="G93" s="351">
        <v>500000</v>
      </c>
      <c r="H93" s="351">
        <v>66650</v>
      </c>
      <c r="I93" s="349">
        <f t="shared" si="18"/>
        <v>566650</v>
      </c>
      <c r="J93" s="348">
        <v>50</v>
      </c>
      <c r="K93" s="380">
        <v>11333</v>
      </c>
      <c r="L93" s="394">
        <f t="shared" si="26"/>
        <v>1333</v>
      </c>
      <c r="M93" s="394">
        <f t="shared" si="27"/>
        <v>10000</v>
      </c>
      <c r="N93" s="394">
        <f t="shared" si="19"/>
        <v>55986</v>
      </c>
      <c r="O93" s="394">
        <f t="shared" si="20"/>
        <v>10664</v>
      </c>
      <c r="P93" s="348">
        <v>42</v>
      </c>
      <c r="Q93" s="354">
        <f t="shared" si="21"/>
        <v>8</v>
      </c>
      <c r="R93" s="350">
        <f t="shared" si="22"/>
        <v>475986</v>
      </c>
      <c r="S93" s="350">
        <f t="shared" si="23"/>
        <v>90664</v>
      </c>
      <c r="T93" s="393"/>
    </row>
    <row r="94" spans="1:20">
      <c r="A94" s="378"/>
      <c r="B94" s="378"/>
      <c r="C94" s="363" t="s">
        <v>965</v>
      </c>
      <c r="D94" s="367">
        <v>90</v>
      </c>
      <c r="E94" s="393" t="s">
        <v>1437</v>
      </c>
      <c r="F94" s="393" t="s">
        <v>334</v>
      </c>
      <c r="G94" s="351">
        <v>500000</v>
      </c>
      <c r="H94" s="351">
        <v>66650</v>
      </c>
      <c r="I94" s="349">
        <f t="shared" si="18"/>
        <v>566650</v>
      </c>
      <c r="J94" s="348">
        <v>50</v>
      </c>
      <c r="K94" s="380">
        <v>11333</v>
      </c>
      <c r="L94" s="394">
        <f t="shared" si="26"/>
        <v>1333</v>
      </c>
      <c r="M94" s="394">
        <f t="shared" si="27"/>
        <v>10000</v>
      </c>
      <c r="N94" s="394">
        <f t="shared" si="19"/>
        <v>66650</v>
      </c>
      <c r="O94" s="394">
        <f t="shared" si="20"/>
        <v>0</v>
      </c>
      <c r="P94" s="348">
        <v>50</v>
      </c>
      <c r="Q94" s="354">
        <f t="shared" si="21"/>
        <v>0</v>
      </c>
      <c r="R94" s="350">
        <f t="shared" si="22"/>
        <v>566650</v>
      </c>
      <c r="S94" s="350">
        <f t="shared" si="23"/>
        <v>0</v>
      </c>
      <c r="T94" s="393"/>
    </row>
    <row r="95" spans="1:20">
      <c r="A95" s="378"/>
      <c r="B95" s="378"/>
      <c r="C95" s="115" t="s">
        <v>1402</v>
      </c>
      <c r="D95" s="367">
        <v>91</v>
      </c>
      <c r="E95" s="393" t="s">
        <v>1437</v>
      </c>
      <c r="F95" s="393" t="s">
        <v>1403</v>
      </c>
      <c r="G95" s="351">
        <v>150000</v>
      </c>
      <c r="H95" s="351">
        <v>19995</v>
      </c>
      <c r="I95" s="349">
        <f t="shared" si="18"/>
        <v>169995</v>
      </c>
      <c r="J95" s="348">
        <v>50</v>
      </c>
      <c r="K95" s="380">
        <v>3399.9</v>
      </c>
      <c r="L95" s="394">
        <f t="shared" si="26"/>
        <v>399.9</v>
      </c>
      <c r="M95" s="394">
        <f t="shared" si="27"/>
        <v>3000</v>
      </c>
      <c r="N95" s="394">
        <f t="shared" si="19"/>
        <v>5198.7</v>
      </c>
      <c r="O95" s="394">
        <f t="shared" si="20"/>
        <v>14796.3</v>
      </c>
      <c r="P95" s="348">
        <v>13</v>
      </c>
      <c r="Q95" s="354">
        <f t="shared" si="21"/>
        <v>37</v>
      </c>
      <c r="R95" s="350">
        <f t="shared" si="22"/>
        <v>44198.700000000004</v>
      </c>
      <c r="S95" s="350">
        <f t="shared" si="23"/>
        <v>125796.29999999999</v>
      </c>
      <c r="T95" s="393"/>
    </row>
    <row r="96" spans="1:20">
      <c r="A96" s="378"/>
      <c r="B96" s="378"/>
      <c r="C96" s="116" t="s">
        <v>1355</v>
      </c>
      <c r="D96" s="367">
        <v>92</v>
      </c>
      <c r="E96" s="393" t="s">
        <v>1437</v>
      </c>
      <c r="F96" s="393" t="s">
        <v>1287</v>
      </c>
      <c r="G96" s="351">
        <v>450000</v>
      </c>
      <c r="H96" s="351">
        <v>59985</v>
      </c>
      <c r="I96" s="349">
        <f t="shared" si="18"/>
        <v>509985</v>
      </c>
      <c r="J96" s="348">
        <v>50</v>
      </c>
      <c r="K96" s="380">
        <v>10199.700000000001</v>
      </c>
      <c r="L96" s="394">
        <f t="shared" si="26"/>
        <v>1199.7</v>
      </c>
      <c r="M96" s="394">
        <f t="shared" si="27"/>
        <v>9000</v>
      </c>
      <c r="N96" s="394">
        <f t="shared" si="19"/>
        <v>21594.600000000002</v>
      </c>
      <c r="O96" s="394">
        <f t="shared" si="20"/>
        <v>38390.400000000001</v>
      </c>
      <c r="P96" s="348">
        <v>18</v>
      </c>
      <c r="Q96" s="354">
        <f t="shared" si="21"/>
        <v>32</v>
      </c>
      <c r="R96" s="350">
        <f t="shared" si="22"/>
        <v>183594.6</v>
      </c>
      <c r="S96" s="350">
        <f t="shared" si="23"/>
        <v>326390.40000000002</v>
      </c>
      <c r="T96" s="393"/>
    </row>
    <row r="97" spans="1:20">
      <c r="A97" s="378"/>
      <c r="B97" s="378"/>
      <c r="C97" s="363" t="s">
        <v>1025</v>
      </c>
      <c r="D97" s="367">
        <v>93</v>
      </c>
      <c r="E97" s="393" t="s">
        <v>1437</v>
      </c>
      <c r="F97" s="393" t="s">
        <v>333</v>
      </c>
      <c r="G97" s="351">
        <v>500000</v>
      </c>
      <c r="H97" s="351">
        <v>66650</v>
      </c>
      <c r="I97" s="349">
        <f t="shared" si="18"/>
        <v>566650</v>
      </c>
      <c r="J97" s="348">
        <v>50</v>
      </c>
      <c r="K97" s="380">
        <v>11333</v>
      </c>
      <c r="L97" s="394">
        <f t="shared" si="26"/>
        <v>1333</v>
      </c>
      <c r="M97" s="394">
        <f t="shared" si="27"/>
        <v>10000</v>
      </c>
      <c r="N97" s="394">
        <f t="shared" si="19"/>
        <v>7998</v>
      </c>
      <c r="O97" s="394">
        <f t="shared" si="20"/>
        <v>58652</v>
      </c>
      <c r="P97" s="348">
        <v>6</v>
      </c>
      <c r="Q97" s="354">
        <f t="shared" si="21"/>
        <v>44</v>
      </c>
      <c r="R97" s="350">
        <f t="shared" si="22"/>
        <v>67998</v>
      </c>
      <c r="S97" s="350">
        <f t="shared" si="23"/>
        <v>498652</v>
      </c>
      <c r="T97" s="393"/>
    </row>
    <row r="98" spans="1:20">
      <c r="A98" s="378"/>
      <c r="B98" s="378"/>
      <c r="C98" s="363" t="s">
        <v>1465</v>
      </c>
      <c r="D98" s="367">
        <v>94</v>
      </c>
      <c r="E98" s="393" t="s">
        <v>1437</v>
      </c>
      <c r="F98" s="393" t="s">
        <v>1466</v>
      </c>
      <c r="G98" s="351">
        <v>500000</v>
      </c>
      <c r="H98" s="351">
        <v>66650</v>
      </c>
      <c r="I98" s="349">
        <f t="shared" si="18"/>
        <v>566650</v>
      </c>
      <c r="J98" s="348">
        <v>50</v>
      </c>
      <c r="K98" s="380">
        <v>11333</v>
      </c>
      <c r="L98" s="394">
        <f t="shared" si="26"/>
        <v>1333</v>
      </c>
      <c r="M98" s="394">
        <f t="shared" si="27"/>
        <v>10000</v>
      </c>
      <c r="N98" s="394">
        <f t="shared" si="19"/>
        <v>7998</v>
      </c>
      <c r="O98" s="394">
        <f t="shared" si="20"/>
        <v>58652</v>
      </c>
      <c r="P98" s="348">
        <v>6</v>
      </c>
      <c r="Q98" s="354">
        <f t="shared" si="21"/>
        <v>44</v>
      </c>
      <c r="R98" s="350">
        <f t="shared" si="22"/>
        <v>67998</v>
      </c>
      <c r="S98" s="350">
        <f t="shared" si="23"/>
        <v>498652</v>
      </c>
      <c r="T98" s="393"/>
    </row>
    <row r="99" spans="1:20">
      <c r="A99" s="378"/>
      <c r="B99" s="378"/>
      <c r="C99" s="364" t="s">
        <v>1351</v>
      </c>
      <c r="D99" s="367">
        <v>95</v>
      </c>
      <c r="E99" s="393" t="s">
        <v>1437</v>
      </c>
      <c r="F99" s="393" t="s">
        <v>1285</v>
      </c>
      <c r="G99" s="351">
        <v>500000</v>
      </c>
      <c r="H99" s="351">
        <v>66650</v>
      </c>
      <c r="I99" s="349">
        <f t="shared" si="18"/>
        <v>566650</v>
      </c>
      <c r="J99" s="348">
        <v>50</v>
      </c>
      <c r="K99" s="380">
        <v>11333</v>
      </c>
      <c r="L99" s="394">
        <f t="shared" si="26"/>
        <v>1333</v>
      </c>
      <c r="M99" s="394">
        <f t="shared" si="27"/>
        <v>10000</v>
      </c>
      <c r="N99" s="394">
        <f t="shared" si="19"/>
        <v>23994</v>
      </c>
      <c r="O99" s="394">
        <f t="shared" si="20"/>
        <v>42656</v>
      </c>
      <c r="P99" s="348">
        <v>18</v>
      </c>
      <c r="Q99" s="354">
        <f t="shared" si="21"/>
        <v>32</v>
      </c>
      <c r="R99" s="350">
        <f t="shared" si="22"/>
        <v>203994</v>
      </c>
      <c r="S99" s="350">
        <f t="shared" si="23"/>
        <v>362656</v>
      </c>
      <c r="T99" s="393"/>
    </row>
    <row r="100" spans="1:20">
      <c r="A100" s="378"/>
      <c r="B100" s="378"/>
      <c r="C100" s="364" t="s">
        <v>960</v>
      </c>
      <c r="D100" s="367">
        <v>96</v>
      </c>
      <c r="E100" s="393" t="s">
        <v>1437</v>
      </c>
      <c r="F100" s="393" t="s">
        <v>488</v>
      </c>
      <c r="G100" s="351">
        <v>500000</v>
      </c>
      <c r="H100" s="351">
        <v>66650</v>
      </c>
      <c r="I100" s="349">
        <f t="shared" si="18"/>
        <v>566650</v>
      </c>
      <c r="J100" s="348">
        <v>50</v>
      </c>
      <c r="K100" s="380">
        <v>11333</v>
      </c>
      <c r="L100" s="394">
        <f t="shared" si="26"/>
        <v>1333</v>
      </c>
      <c r="M100" s="394">
        <f t="shared" si="27"/>
        <v>10000</v>
      </c>
      <c r="N100" s="394">
        <f t="shared" si="19"/>
        <v>50654</v>
      </c>
      <c r="O100" s="394">
        <f t="shared" si="20"/>
        <v>15996</v>
      </c>
      <c r="P100" s="348">
        <v>38</v>
      </c>
      <c r="Q100" s="354">
        <f t="shared" si="21"/>
        <v>12</v>
      </c>
      <c r="R100" s="350">
        <f t="shared" si="22"/>
        <v>430654</v>
      </c>
      <c r="S100" s="350">
        <f t="shared" si="23"/>
        <v>135996</v>
      </c>
      <c r="T100" s="393"/>
    </row>
    <row r="101" spans="1:20">
      <c r="A101" s="378"/>
      <c r="B101" s="378"/>
      <c r="C101" s="363" t="s">
        <v>1011</v>
      </c>
      <c r="D101" s="367">
        <v>97</v>
      </c>
      <c r="E101" s="393" t="s">
        <v>1437</v>
      </c>
      <c r="F101" s="393" t="s">
        <v>863</v>
      </c>
      <c r="G101" s="351">
        <v>500000</v>
      </c>
      <c r="H101" s="351">
        <v>66650</v>
      </c>
      <c r="I101" s="349">
        <f t="shared" ref="I101:I132" si="28">SUM(G101:H101)</f>
        <v>566650</v>
      </c>
      <c r="J101" s="348">
        <v>50</v>
      </c>
      <c r="K101" s="380">
        <v>11333</v>
      </c>
      <c r="L101" s="394">
        <f t="shared" si="26"/>
        <v>1333</v>
      </c>
      <c r="M101" s="394">
        <f t="shared" si="27"/>
        <v>10000</v>
      </c>
      <c r="N101" s="394">
        <f t="shared" ref="N101:N132" si="29">L101*P101</f>
        <v>43989</v>
      </c>
      <c r="O101" s="394">
        <f t="shared" ref="O101:O132" si="30">L101*Q101</f>
        <v>22661</v>
      </c>
      <c r="P101" s="348">
        <v>33</v>
      </c>
      <c r="Q101" s="354">
        <f t="shared" ref="Q101:Q132" si="31">J101-P101</f>
        <v>17</v>
      </c>
      <c r="R101" s="350">
        <f t="shared" ref="R101:R132" si="32">K101*P101</f>
        <v>373989</v>
      </c>
      <c r="S101" s="350">
        <f t="shared" ref="S101:S132" si="33">I101-R101</f>
        <v>192661</v>
      </c>
      <c r="T101" s="393"/>
    </row>
    <row r="102" spans="1:20">
      <c r="A102" s="378"/>
      <c r="B102" s="378"/>
      <c r="C102" s="364" t="s">
        <v>1042</v>
      </c>
      <c r="D102" s="367">
        <v>98</v>
      </c>
      <c r="E102" s="393" t="s">
        <v>1437</v>
      </c>
      <c r="F102" s="393" t="s">
        <v>359</v>
      </c>
      <c r="G102" s="351">
        <v>500000</v>
      </c>
      <c r="H102" s="351">
        <v>66650</v>
      </c>
      <c r="I102" s="349">
        <f t="shared" si="28"/>
        <v>566650</v>
      </c>
      <c r="J102" s="348">
        <v>50</v>
      </c>
      <c r="K102" s="380">
        <v>11333</v>
      </c>
      <c r="L102" s="394">
        <f t="shared" si="26"/>
        <v>1333</v>
      </c>
      <c r="M102" s="394">
        <f t="shared" si="27"/>
        <v>10000</v>
      </c>
      <c r="N102" s="394">
        <f t="shared" si="29"/>
        <v>17329</v>
      </c>
      <c r="O102" s="394">
        <f t="shared" si="30"/>
        <v>49321</v>
      </c>
      <c r="P102" s="348">
        <v>13</v>
      </c>
      <c r="Q102" s="354">
        <f t="shared" si="31"/>
        <v>37</v>
      </c>
      <c r="R102" s="350">
        <f t="shared" si="32"/>
        <v>147329</v>
      </c>
      <c r="S102" s="350">
        <f t="shared" si="33"/>
        <v>419321</v>
      </c>
      <c r="T102" s="393"/>
    </row>
    <row r="103" spans="1:20">
      <c r="A103" s="378"/>
      <c r="B103" s="378"/>
      <c r="C103" s="116" t="s">
        <v>1045</v>
      </c>
      <c r="D103" s="367">
        <v>99</v>
      </c>
      <c r="E103" s="393" t="s">
        <v>1437</v>
      </c>
      <c r="F103" s="393" t="s">
        <v>867</v>
      </c>
      <c r="G103" s="351">
        <v>500000</v>
      </c>
      <c r="H103" s="351">
        <v>66650</v>
      </c>
      <c r="I103" s="349">
        <f t="shared" si="28"/>
        <v>566650</v>
      </c>
      <c r="J103" s="348">
        <v>50</v>
      </c>
      <c r="K103" s="380">
        <v>11333</v>
      </c>
      <c r="L103" s="394">
        <f t="shared" si="26"/>
        <v>1333</v>
      </c>
      <c r="M103" s="394">
        <f t="shared" si="27"/>
        <v>10000</v>
      </c>
      <c r="N103" s="394">
        <f t="shared" si="29"/>
        <v>45322</v>
      </c>
      <c r="O103" s="394">
        <f t="shared" si="30"/>
        <v>21328</v>
      </c>
      <c r="P103" s="348">
        <v>34</v>
      </c>
      <c r="Q103" s="354">
        <f t="shared" si="31"/>
        <v>16</v>
      </c>
      <c r="R103" s="350">
        <f t="shared" si="32"/>
        <v>385322</v>
      </c>
      <c r="S103" s="350">
        <f t="shared" si="33"/>
        <v>181328</v>
      </c>
      <c r="T103" s="393"/>
    </row>
    <row r="104" spans="1:20">
      <c r="A104" s="378"/>
      <c r="B104" s="378"/>
      <c r="C104" s="364" t="s">
        <v>1323</v>
      </c>
      <c r="D104" s="367">
        <v>100</v>
      </c>
      <c r="E104" s="393" t="s">
        <v>1437</v>
      </c>
      <c r="F104" s="393" t="s">
        <v>448</v>
      </c>
      <c r="G104" s="351">
        <v>500000</v>
      </c>
      <c r="H104" s="351">
        <v>66650</v>
      </c>
      <c r="I104" s="349">
        <f t="shared" si="28"/>
        <v>566650</v>
      </c>
      <c r="J104" s="348">
        <v>50</v>
      </c>
      <c r="K104" s="380">
        <v>11333</v>
      </c>
      <c r="L104" s="394">
        <f t="shared" si="26"/>
        <v>1333</v>
      </c>
      <c r="M104" s="394">
        <f t="shared" si="27"/>
        <v>10000</v>
      </c>
      <c r="N104" s="394">
        <f t="shared" si="29"/>
        <v>31992</v>
      </c>
      <c r="O104" s="394">
        <f t="shared" si="30"/>
        <v>34658</v>
      </c>
      <c r="P104" s="348">
        <v>24</v>
      </c>
      <c r="Q104" s="354">
        <f t="shared" si="31"/>
        <v>26</v>
      </c>
      <c r="R104" s="350">
        <f t="shared" si="32"/>
        <v>271992</v>
      </c>
      <c r="S104" s="350">
        <f t="shared" si="33"/>
        <v>294658</v>
      </c>
      <c r="T104" s="393"/>
    </row>
    <row r="105" spans="1:20">
      <c r="A105" s="378"/>
      <c r="B105" s="378"/>
      <c r="C105" s="363" t="s">
        <v>1483</v>
      </c>
      <c r="D105" s="367">
        <v>101</v>
      </c>
      <c r="E105" s="393" t="s">
        <v>1437</v>
      </c>
      <c r="F105" s="393" t="s">
        <v>1484</v>
      </c>
      <c r="G105" s="351">
        <v>150000</v>
      </c>
      <c r="H105" s="351">
        <v>19995</v>
      </c>
      <c r="I105" s="349">
        <f t="shared" si="28"/>
        <v>169995</v>
      </c>
      <c r="J105" s="348">
        <v>50</v>
      </c>
      <c r="K105" s="380">
        <v>3399.5</v>
      </c>
      <c r="L105" s="394">
        <f t="shared" si="26"/>
        <v>399.9</v>
      </c>
      <c r="M105" s="394">
        <f t="shared" si="27"/>
        <v>3000</v>
      </c>
      <c r="N105" s="394">
        <f t="shared" si="29"/>
        <v>8397.9</v>
      </c>
      <c r="O105" s="394">
        <f t="shared" si="30"/>
        <v>11597.099999999999</v>
      </c>
      <c r="P105" s="348">
        <v>21</v>
      </c>
      <c r="Q105" s="354">
        <f t="shared" si="31"/>
        <v>29</v>
      </c>
      <c r="R105" s="350">
        <f t="shared" si="32"/>
        <v>71389.5</v>
      </c>
      <c r="S105" s="350">
        <f t="shared" si="33"/>
        <v>98605.5</v>
      </c>
      <c r="T105" s="401"/>
    </row>
    <row r="106" spans="1:20">
      <c r="A106" s="378"/>
      <c r="B106" s="378"/>
      <c r="C106" s="363" t="s">
        <v>1037</v>
      </c>
      <c r="D106" s="367">
        <v>102</v>
      </c>
      <c r="E106" s="393" t="s">
        <v>1437</v>
      </c>
      <c r="F106" s="393" t="s">
        <v>326</v>
      </c>
      <c r="G106" s="351">
        <v>500000</v>
      </c>
      <c r="H106" s="351">
        <v>66650</v>
      </c>
      <c r="I106" s="349">
        <f t="shared" si="28"/>
        <v>566650</v>
      </c>
      <c r="J106" s="348">
        <v>50</v>
      </c>
      <c r="K106" s="380">
        <v>11333</v>
      </c>
      <c r="L106" s="394">
        <f t="shared" si="26"/>
        <v>1333</v>
      </c>
      <c r="M106" s="394">
        <f t="shared" si="27"/>
        <v>10000</v>
      </c>
      <c r="N106" s="394">
        <f t="shared" si="29"/>
        <v>65317</v>
      </c>
      <c r="O106" s="394">
        <f t="shared" si="30"/>
        <v>1333</v>
      </c>
      <c r="P106" s="348">
        <v>49</v>
      </c>
      <c r="Q106" s="354">
        <f t="shared" si="31"/>
        <v>1</v>
      </c>
      <c r="R106" s="350">
        <f t="shared" si="32"/>
        <v>555317</v>
      </c>
      <c r="S106" s="350">
        <f t="shared" si="33"/>
        <v>11333</v>
      </c>
      <c r="T106" s="393"/>
    </row>
    <row r="107" spans="1:20">
      <c r="A107" s="378"/>
      <c r="B107" s="378"/>
      <c r="C107" s="363" t="s">
        <v>1002</v>
      </c>
      <c r="D107" s="367">
        <v>103</v>
      </c>
      <c r="E107" s="393" t="s">
        <v>1437</v>
      </c>
      <c r="F107" s="393" t="s">
        <v>1003</v>
      </c>
      <c r="G107" s="351">
        <v>150000</v>
      </c>
      <c r="H107" s="351">
        <v>19995</v>
      </c>
      <c r="I107" s="349">
        <f t="shared" si="28"/>
        <v>169995</v>
      </c>
      <c r="J107" s="348">
        <v>50</v>
      </c>
      <c r="K107" s="380">
        <v>3399.9</v>
      </c>
      <c r="L107" s="394">
        <f t="shared" si="26"/>
        <v>399.9</v>
      </c>
      <c r="M107" s="394">
        <f t="shared" si="27"/>
        <v>3000</v>
      </c>
      <c r="N107" s="394">
        <f t="shared" si="29"/>
        <v>11997</v>
      </c>
      <c r="O107" s="394">
        <f t="shared" si="30"/>
        <v>7998</v>
      </c>
      <c r="P107" s="348">
        <v>30</v>
      </c>
      <c r="Q107" s="354">
        <f t="shared" si="31"/>
        <v>20</v>
      </c>
      <c r="R107" s="350">
        <f t="shared" si="32"/>
        <v>101997</v>
      </c>
      <c r="S107" s="350">
        <f t="shared" si="33"/>
        <v>67998</v>
      </c>
      <c r="T107" s="393"/>
    </row>
    <row r="108" spans="1:20">
      <c r="A108" s="378"/>
      <c r="B108" s="378"/>
      <c r="C108" s="363" t="s">
        <v>1315</v>
      </c>
      <c r="D108" s="367">
        <v>104</v>
      </c>
      <c r="E108" s="393" t="s">
        <v>1437</v>
      </c>
      <c r="F108" s="393" t="s">
        <v>1316</v>
      </c>
      <c r="G108" s="351">
        <v>450000</v>
      </c>
      <c r="H108" s="351">
        <v>28792.799999999999</v>
      </c>
      <c r="I108" s="349">
        <f t="shared" si="28"/>
        <v>478792.8</v>
      </c>
      <c r="J108" s="348">
        <v>24</v>
      </c>
      <c r="K108" s="380">
        <v>19949.7</v>
      </c>
      <c r="L108" s="394">
        <f>H108/24</f>
        <v>1199.7</v>
      </c>
      <c r="M108" s="394">
        <f t="shared" si="27"/>
        <v>9000</v>
      </c>
      <c r="N108" s="394">
        <f t="shared" si="29"/>
        <v>15596.1</v>
      </c>
      <c r="O108" s="394">
        <f t="shared" si="30"/>
        <v>13196.7</v>
      </c>
      <c r="P108" s="348">
        <v>13</v>
      </c>
      <c r="Q108" s="354">
        <f t="shared" si="31"/>
        <v>11</v>
      </c>
      <c r="R108" s="350">
        <f t="shared" si="32"/>
        <v>259346.1</v>
      </c>
      <c r="S108" s="350">
        <f t="shared" si="33"/>
        <v>219446.69999999998</v>
      </c>
      <c r="T108" s="393"/>
    </row>
    <row r="109" spans="1:20">
      <c r="A109" s="378"/>
      <c r="B109" s="378"/>
      <c r="C109" s="364" t="s">
        <v>1404</v>
      </c>
      <c r="D109" s="367">
        <v>105</v>
      </c>
      <c r="E109" s="393" t="s">
        <v>1437</v>
      </c>
      <c r="F109" s="393" t="s">
        <v>1405</v>
      </c>
      <c r="G109" s="351">
        <v>150000</v>
      </c>
      <c r="H109" s="351">
        <v>19995</v>
      </c>
      <c r="I109" s="349">
        <f t="shared" si="28"/>
        <v>169995</v>
      </c>
      <c r="J109" s="348">
        <v>50</v>
      </c>
      <c r="K109" s="380">
        <v>3399.9</v>
      </c>
      <c r="L109" s="394">
        <f t="shared" ref="L109:L114" si="34">H109/50</f>
        <v>399.9</v>
      </c>
      <c r="M109" s="394">
        <f t="shared" si="27"/>
        <v>3000</v>
      </c>
      <c r="N109" s="394">
        <f t="shared" si="29"/>
        <v>5198.7</v>
      </c>
      <c r="O109" s="394">
        <f t="shared" si="30"/>
        <v>14796.3</v>
      </c>
      <c r="P109" s="348">
        <v>13</v>
      </c>
      <c r="Q109" s="354">
        <f t="shared" si="31"/>
        <v>37</v>
      </c>
      <c r="R109" s="350">
        <f t="shared" si="32"/>
        <v>44198.700000000004</v>
      </c>
      <c r="S109" s="350">
        <f t="shared" si="33"/>
        <v>125796.29999999999</v>
      </c>
      <c r="T109" s="393"/>
    </row>
    <row r="110" spans="1:20">
      <c r="A110" s="378"/>
      <c r="B110" s="378"/>
      <c r="C110" s="363" t="s">
        <v>1381</v>
      </c>
      <c r="D110" s="367">
        <v>106</v>
      </c>
      <c r="E110" s="393" t="s">
        <v>1437</v>
      </c>
      <c r="F110" s="393" t="s">
        <v>1129</v>
      </c>
      <c r="G110" s="351">
        <v>330000</v>
      </c>
      <c r="H110" s="351">
        <v>43989</v>
      </c>
      <c r="I110" s="349">
        <f t="shared" si="28"/>
        <v>373989</v>
      </c>
      <c r="J110" s="348">
        <v>50</v>
      </c>
      <c r="K110" s="380">
        <v>7479.78</v>
      </c>
      <c r="L110" s="394">
        <f t="shared" si="34"/>
        <v>879.78</v>
      </c>
      <c r="M110" s="394">
        <f t="shared" si="27"/>
        <v>6600</v>
      </c>
      <c r="N110" s="394">
        <f t="shared" si="29"/>
        <v>21994.5</v>
      </c>
      <c r="O110" s="394">
        <f t="shared" si="30"/>
        <v>21994.5</v>
      </c>
      <c r="P110" s="348">
        <v>25</v>
      </c>
      <c r="Q110" s="354">
        <f t="shared" si="31"/>
        <v>25</v>
      </c>
      <c r="R110" s="350">
        <f t="shared" si="32"/>
        <v>186994.5</v>
      </c>
      <c r="S110" s="350">
        <f t="shared" si="33"/>
        <v>186994.5</v>
      </c>
      <c r="T110" s="393"/>
    </row>
    <row r="111" spans="1:20">
      <c r="A111" s="378"/>
      <c r="B111" s="378"/>
      <c r="C111" s="363" t="s">
        <v>1417</v>
      </c>
      <c r="D111" s="367">
        <v>107</v>
      </c>
      <c r="E111" s="393" t="s">
        <v>1437</v>
      </c>
      <c r="F111" s="393" t="s">
        <v>477</v>
      </c>
      <c r="G111" s="351">
        <v>330000</v>
      </c>
      <c r="H111" s="351">
        <v>43989</v>
      </c>
      <c r="I111" s="349">
        <f t="shared" si="28"/>
        <v>373989</v>
      </c>
      <c r="J111" s="348">
        <v>50</v>
      </c>
      <c r="K111" s="380">
        <v>7479.78</v>
      </c>
      <c r="L111" s="394">
        <f t="shared" si="34"/>
        <v>879.78</v>
      </c>
      <c r="M111" s="394">
        <f t="shared" si="27"/>
        <v>6600</v>
      </c>
      <c r="N111" s="394">
        <f t="shared" si="29"/>
        <v>9677.58</v>
      </c>
      <c r="O111" s="394">
        <f t="shared" si="30"/>
        <v>34311.42</v>
      </c>
      <c r="P111" s="348">
        <v>11</v>
      </c>
      <c r="Q111" s="354">
        <f t="shared" si="31"/>
        <v>39</v>
      </c>
      <c r="R111" s="350">
        <f t="shared" si="32"/>
        <v>82277.58</v>
      </c>
      <c r="S111" s="350">
        <f t="shared" si="33"/>
        <v>291711.42</v>
      </c>
      <c r="T111" s="393"/>
    </row>
    <row r="112" spans="1:20">
      <c r="A112" s="378"/>
      <c r="B112" s="378"/>
      <c r="C112" s="363" t="s">
        <v>1061</v>
      </c>
      <c r="D112" s="367">
        <v>108</v>
      </c>
      <c r="E112" s="393" t="s">
        <v>1437</v>
      </c>
      <c r="F112" s="393" t="s">
        <v>854</v>
      </c>
      <c r="G112" s="351">
        <v>330000</v>
      </c>
      <c r="H112" s="351">
        <v>43989</v>
      </c>
      <c r="I112" s="349">
        <f t="shared" si="28"/>
        <v>373989</v>
      </c>
      <c r="J112" s="348">
        <v>50</v>
      </c>
      <c r="K112" s="380">
        <v>7479.78</v>
      </c>
      <c r="L112" s="394">
        <f t="shared" si="34"/>
        <v>879.78</v>
      </c>
      <c r="M112" s="394">
        <f t="shared" si="27"/>
        <v>6600</v>
      </c>
      <c r="N112" s="394">
        <f t="shared" si="29"/>
        <v>27273.18</v>
      </c>
      <c r="O112" s="394">
        <f t="shared" si="30"/>
        <v>16715.82</v>
      </c>
      <c r="P112" s="348">
        <v>31</v>
      </c>
      <c r="Q112" s="354">
        <f t="shared" si="31"/>
        <v>19</v>
      </c>
      <c r="R112" s="350">
        <f t="shared" si="32"/>
        <v>231873.18</v>
      </c>
      <c r="S112" s="350">
        <f t="shared" si="33"/>
        <v>142115.82</v>
      </c>
      <c r="T112" s="393"/>
    </row>
    <row r="113" spans="1:20">
      <c r="A113" s="378"/>
      <c r="B113" s="378"/>
      <c r="C113" s="364" t="s">
        <v>969</v>
      </c>
      <c r="D113" s="367">
        <v>109</v>
      </c>
      <c r="E113" s="393" t="s">
        <v>1437</v>
      </c>
      <c r="F113" s="393" t="s">
        <v>851</v>
      </c>
      <c r="G113" s="351">
        <v>150000</v>
      </c>
      <c r="H113" s="351">
        <v>19995</v>
      </c>
      <c r="I113" s="349">
        <f t="shared" si="28"/>
        <v>169995</v>
      </c>
      <c r="J113" s="348">
        <v>50</v>
      </c>
      <c r="K113" s="380">
        <v>3399.9</v>
      </c>
      <c r="L113" s="394">
        <f t="shared" si="34"/>
        <v>399.9</v>
      </c>
      <c r="M113" s="394">
        <f t="shared" si="27"/>
        <v>3000</v>
      </c>
      <c r="N113" s="394">
        <f t="shared" si="29"/>
        <v>5198.7</v>
      </c>
      <c r="O113" s="394">
        <f t="shared" si="30"/>
        <v>14796.3</v>
      </c>
      <c r="P113" s="348">
        <v>13</v>
      </c>
      <c r="Q113" s="354">
        <f t="shared" si="31"/>
        <v>37</v>
      </c>
      <c r="R113" s="350">
        <f t="shared" si="32"/>
        <v>44198.700000000004</v>
      </c>
      <c r="S113" s="350">
        <f t="shared" si="33"/>
        <v>125796.29999999999</v>
      </c>
      <c r="T113" s="393"/>
    </row>
    <row r="114" spans="1:20">
      <c r="A114" s="378"/>
      <c r="B114" s="378"/>
      <c r="C114" s="363" t="s">
        <v>1341</v>
      </c>
      <c r="D114" s="367">
        <v>110</v>
      </c>
      <c r="E114" s="393" t="s">
        <v>1437</v>
      </c>
      <c r="F114" s="393" t="s">
        <v>1139</v>
      </c>
      <c r="G114" s="351">
        <v>500000</v>
      </c>
      <c r="H114" s="351">
        <v>66650</v>
      </c>
      <c r="I114" s="349">
        <f t="shared" si="28"/>
        <v>566650</v>
      </c>
      <c r="J114" s="348">
        <v>50</v>
      </c>
      <c r="K114" s="380">
        <v>11333</v>
      </c>
      <c r="L114" s="394">
        <f t="shared" si="34"/>
        <v>1333</v>
      </c>
      <c r="M114" s="394">
        <f t="shared" si="27"/>
        <v>10000</v>
      </c>
      <c r="N114" s="394">
        <f t="shared" si="29"/>
        <v>33325</v>
      </c>
      <c r="O114" s="394">
        <f t="shared" si="30"/>
        <v>33325</v>
      </c>
      <c r="P114" s="348">
        <v>25</v>
      </c>
      <c r="Q114" s="354">
        <f t="shared" si="31"/>
        <v>25</v>
      </c>
      <c r="R114" s="350">
        <f t="shared" si="32"/>
        <v>283325</v>
      </c>
      <c r="S114" s="350">
        <f t="shared" si="33"/>
        <v>283325</v>
      </c>
      <c r="T114" s="393"/>
    </row>
    <row r="115" spans="1:20">
      <c r="A115" s="378"/>
      <c r="B115" s="378"/>
      <c r="C115" s="363" t="s">
        <v>1497</v>
      </c>
      <c r="D115" s="367">
        <v>111</v>
      </c>
      <c r="E115" s="393" t="s">
        <v>1437</v>
      </c>
      <c r="F115" s="393" t="s">
        <v>442</v>
      </c>
      <c r="G115" s="380">
        <v>750000</v>
      </c>
      <c r="H115" s="380">
        <v>99925</v>
      </c>
      <c r="I115" s="380">
        <f t="shared" si="28"/>
        <v>849925</v>
      </c>
      <c r="J115" s="348">
        <v>60</v>
      </c>
      <c r="K115" s="380">
        <v>14166.25</v>
      </c>
      <c r="L115" s="394">
        <f>H115/60</f>
        <v>1665.4166666666667</v>
      </c>
      <c r="M115" s="394">
        <f>G115/60</f>
        <v>12500</v>
      </c>
      <c r="N115" s="394">
        <f t="shared" si="29"/>
        <v>4996.25</v>
      </c>
      <c r="O115" s="394">
        <f t="shared" si="30"/>
        <v>94928.75</v>
      </c>
      <c r="P115" s="348">
        <v>3</v>
      </c>
      <c r="Q115" s="348">
        <f t="shared" si="31"/>
        <v>57</v>
      </c>
      <c r="R115" s="380">
        <f t="shared" si="32"/>
        <v>42498.75</v>
      </c>
      <c r="S115" s="380">
        <f t="shared" si="33"/>
        <v>807426.25</v>
      </c>
      <c r="T115" s="393"/>
    </row>
    <row r="116" spans="1:20">
      <c r="A116" s="378"/>
      <c r="B116" s="378"/>
      <c r="C116" s="364" t="s">
        <v>1398</v>
      </c>
      <c r="D116" s="367">
        <v>112</v>
      </c>
      <c r="E116" s="393" t="s">
        <v>1437</v>
      </c>
      <c r="F116" s="393" t="s">
        <v>1399</v>
      </c>
      <c r="G116" s="351">
        <v>150000</v>
      </c>
      <c r="H116" s="351">
        <v>19995</v>
      </c>
      <c r="I116" s="349">
        <f t="shared" si="28"/>
        <v>169995</v>
      </c>
      <c r="J116" s="348">
        <v>50</v>
      </c>
      <c r="K116" s="380">
        <v>3399.9</v>
      </c>
      <c r="L116" s="394">
        <f t="shared" ref="L116:L124" si="35">H116/50</f>
        <v>399.9</v>
      </c>
      <c r="M116" s="394">
        <f t="shared" ref="M116:M124" si="36">G116/50</f>
        <v>3000</v>
      </c>
      <c r="N116" s="394">
        <f t="shared" si="29"/>
        <v>5198.7</v>
      </c>
      <c r="O116" s="394">
        <f t="shared" si="30"/>
        <v>14796.3</v>
      </c>
      <c r="P116" s="348">
        <v>13</v>
      </c>
      <c r="Q116" s="354">
        <f t="shared" si="31"/>
        <v>37</v>
      </c>
      <c r="R116" s="350">
        <f t="shared" si="32"/>
        <v>44198.700000000004</v>
      </c>
      <c r="S116" s="350">
        <f t="shared" si="33"/>
        <v>125796.29999999999</v>
      </c>
      <c r="T116" s="393"/>
    </row>
    <row r="117" spans="1:20">
      <c r="A117" s="378"/>
      <c r="B117" s="378"/>
      <c r="C117" s="363" t="s">
        <v>1123</v>
      </c>
      <c r="D117" s="367">
        <v>113</v>
      </c>
      <c r="E117" s="393" t="s">
        <v>1437</v>
      </c>
      <c r="F117" s="393" t="s">
        <v>439</v>
      </c>
      <c r="G117" s="351">
        <v>330000</v>
      </c>
      <c r="H117" s="351">
        <v>43989</v>
      </c>
      <c r="I117" s="349">
        <f t="shared" si="28"/>
        <v>373989</v>
      </c>
      <c r="J117" s="348">
        <v>50</v>
      </c>
      <c r="K117" s="380">
        <v>7479.78</v>
      </c>
      <c r="L117" s="394">
        <f t="shared" si="35"/>
        <v>879.78</v>
      </c>
      <c r="M117" s="394">
        <f t="shared" si="36"/>
        <v>6600</v>
      </c>
      <c r="N117" s="394">
        <f t="shared" si="29"/>
        <v>22874.28</v>
      </c>
      <c r="O117" s="394">
        <f t="shared" si="30"/>
        <v>21114.720000000001</v>
      </c>
      <c r="P117" s="348">
        <v>26</v>
      </c>
      <c r="Q117" s="354">
        <f t="shared" si="31"/>
        <v>24</v>
      </c>
      <c r="R117" s="350">
        <f t="shared" si="32"/>
        <v>194474.28</v>
      </c>
      <c r="S117" s="350">
        <f t="shared" si="33"/>
        <v>179514.72</v>
      </c>
      <c r="T117" s="393"/>
    </row>
    <row r="118" spans="1:20">
      <c r="A118" s="378"/>
      <c r="B118" s="378"/>
      <c r="C118" s="116" t="s">
        <v>1365</v>
      </c>
      <c r="D118" s="367">
        <v>114</v>
      </c>
      <c r="E118" s="393" t="s">
        <v>1437</v>
      </c>
      <c r="F118" s="393" t="s">
        <v>449</v>
      </c>
      <c r="G118" s="351">
        <v>450000</v>
      </c>
      <c r="H118" s="351">
        <v>59985</v>
      </c>
      <c r="I118" s="349">
        <f t="shared" si="28"/>
        <v>509985</v>
      </c>
      <c r="J118" s="348">
        <v>50</v>
      </c>
      <c r="K118" s="380">
        <v>10199.700000000001</v>
      </c>
      <c r="L118" s="394">
        <f t="shared" si="35"/>
        <v>1199.7</v>
      </c>
      <c r="M118" s="394">
        <f t="shared" si="36"/>
        <v>9000</v>
      </c>
      <c r="N118" s="394">
        <f t="shared" si="29"/>
        <v>21594.600000000002</v>
      </c>
      <c r="O118" s="394">
        <f t="shared" si="30"/>
        <v>38390.400000000001</v>
      </c>
      <c r="P118" s="348">
        <v>18</v>
      </c>
      <c r="Q118" s="354">
        <f t="shared" si="31"/>
        <v>32</v>
      </c>
      <c r="R118" s="350">
        <f t="shared" si="32"/>
        <v>183594.6</v>
      </c>
      <c r="S118" s="350">
        <f t="shared" si="33"/>
        <v>326390.40000000002</v>
      </c>
      <c r="T118" s="393"/>
    </row>
    <row r="119" spans="1:20">
      <c r="A119" s="378"/>
      <c r="B119" s="378"/>
      <c r="C119" s="363" t="s">
        <v>987</v>
      </c>
      <c r="D119" s="367">
        <v>115</v>
      </c>
      <c r="E119" s="393" t="s">
        <v>1437</v>
      </c>
      <c r="F119" s="393" t="s">
        <v>866</v>
      </c>
      <c r="G119" s="351">
        <v>500000</v>
      </c>
      <c r="H119" s="351">
        <v>66650</v>
      </c>
      <c r="I119" s="349">
        <f t="shared" si="28"/>
        <v>566650</v>
      </c>
      <c r="J119" s="348">
        <v>50</v>
      </c>
      <c r="K119" s="380">
        <v>11333</v>
      </c>
      <c r="L119" s="394">
        <f t="shared" si="35"/>
        <v>1333</v>
      </c>
      <c r="M119" s="394">
        <f t="shared" si="36"/>
        <v>10000</v>
      </c>
      <c r="N119" s="394">
        <f t="shared" si="29"/>
        <v>23994</v>
      </c>
      <c r="O119" s="394">
        <f t="shared" si="30"/>
        <v>42656</v>
      </c>
      <c r="P119" s="348">
        <v>18</v>
      </c>
      <c r="Q119" s="354">
        <f t="shared" si="31"/>
        <v>32</v>
      </c>
      <c r="R119" s="350">
        <f t="shared" si="32"/>
        <v>203994</v>
      </c>
      <c r="S119" s="350">
        <f t="shared" si="33"/>
        <v>362656</v>
      </c>
      <c r="T119" s="393"/>
    </row>
    <row r="120" spans="1:20">
      <c r="A120" s="378"/>
      <c r="B120" s="378"/>
      <c r="C120" s="364" t="s">
        <v>1321</v>
      </c>
      <c r="D120" s="367">
        <v>116</v>
      </c>
      <c r="E120" s="393" t="s">
        <v>1437</v>
      </c>
      <c r="F120" s="393" t="s">
        <v>403</v>
      </c>
      <c r="G120" s="351">
        <v>500000</v>
      </c>
      <c r="H120" s="351">
        <v>66650</v>
      </c>
      <c r="I120" s="349">
        <f t="shared" si="28"/>
        <v>566650</v>
      </c>
      <c r="J120" s="348">
        <v>50</v>
      </c>
      <c r="K120" s="380">
        <v>11333</v>
      </c>
      <c r="L120" s="394">
        <f t="shared" si="35"/>
        <v>1333</v>
      </c>
      <c r="M120" s="394">
        <f t="shared" si="36"/>
        <v>10000</v>
      </c>
      <c r="N120" s="394">
        <f t="shared" si="29"/>
        <v>21328</v>
      </c>
      <c r="O120" s="394">
        <f t="shared" si="30"/>
        <v>45322</v>
      </c>
      <c r="P120" s="348">
        <v>16</v>
      </c>
      <c r="Q120" s="354">
        <f t="shared" si="31"/>
        <v>34</v>
      </c>
      <c r="R120" s="350">
        <f t="shared" si="32"/>
        <v>181328</v>
      </c>
      <c r="S120" s="350">
        <f t="shared" si="33"/>
        <v>385322</v>
      </c>
      <c r="T120" s="393"/>
    </row>
    <row r="121" spans="1:20">
      <c r="A121" s="378"/>
      <c r="B121" s="378"/>
      <c r="C121" s="363" t="s">
        <v>1467</v>
      </c>
      <c r="D121" s="367">
        <v>117</v>
      </c>
      <c r="E121" s="393" t="s">
        <v>1437</v>
      </c>
      <c r="F121" s="393" t="s">
        <v>1468</v>
      </c>
      <c r="G121" s="351">
        <v>500000</v>
      </c>
      <c r="H121" s="351">
        <v>66650</v>
      </c>
      <c r="I121" s="349">
        <f t="shared" si="28"/>
        <v>566650</v>
      </c>
      <c r="J121" s="348">
        <v>50</v>
      </c>
      <c r="K121" s="380">
        <v>11333</v>
      </c>
      <c r="L121" s="394">
        <f t="shared" si="35"/>
        <v>1333</v>
      </c>
      <c r="M121" s="394">
        <f t="shared" si="36"/>
        <v>10000</v>
      </c>
      <c r="N121" s="394">
        <f t="shared" si="29"/>
        <v>7998</v>
      </c>
      <c r="O121" s="394">
        <f t="shared" si="30"/>
        <v>58652</v>
      </c>
      <c r="P121" s="348">
        <v>6</v>
      </c>
      <c r="Q121" s="354">
        <f t="shared" si="31"/>
        <v>44</v>
      </c>
      <c r="R121" s="350">
        <f t="shared" si="32"/>
        <v>67998</v>
      </c>
      <c r="S121" s="350">
        <f t="shared" si="33"/>
        <v>498652</v>
      </c>
      <c r="T121" s="393"/>
    </row>
    <row r="122" spans="1:20">
      <c r="A122" s="378"/>
      <c r="B122" s="378"/>
      <c r="C122" s="363" t="s">
        <v>1093</v>
      </c>
      <c r="D122" s="367">
        <v>118</v>
      </c>
      <c r="E122" s="393" t="s">
        <v>1437</v>
      </c>
      <c r="F122" s="393" t="s">
        <v>364</v>
      </c>
      <c r="G122" s="351">
        <v>450000</v>
      </c>
      <c r="H122" s="351">
        <v>59985</v>
      </c>
      <c r="I122" s="349">
        <f t="shared" si="28"/>
        <v>509985</v>
      </c>
      <c r="J122" s="348">
        <v>50</v>
      </c>
      <c r="K122" s="380">
        <v>10199.700000000001</v>
      </c>
      <c r="L122" s="394">
        <f t="shared" si="35"/>
        <v>1199.7</v>
      </c>
      <c r="M122" s="394">
        <f t="shared" si="36"/>
        <v>9000</v>
      </c>
      <c r="N122" s="394">
        <f t="shared" si="29"/>
        <v>58785.3</v>
      </c>
      <c r="O122" s="394">
        <f t="shared" si="30"/>
        <v>1199.7</v>
      </c>
      <c r="P122" s="348">
        <v>49</v>
      </c>
      <c r="Q122" s="354">
        <f t="shared" si="31"/>
        <v>1</v>
      </c>
      <c r="R122" s="350">
        <f t="shared" si="32"/>
        <v>499785.30000000005</v>
      </c>
      <c r="S122" s="350">
        <f t="shared" si="33"/>
        <v>10199.699999999953</v>
      </c>
      <c r="T122" s="393"/>
    </row>
    <row r="123" spans="1:20">
      <c r="A123" s="378"/>
      <c r="B123" s="378"/>
      <c r="C123" s="363" t="s">
        <v>1486</v>
      </c>
      <c r="D123" s="367">
        <v>119</v>
      </c>
      <c r="E123" s="393" t="s">
        <v>1437</v>
      </c>
      <c r="F123" s="393" t="s">
        <v>1487</v>
      </c>
      <c r="G123" s="351">
        <v>150000</v>
      </c>
      <c r="H123" s="351">
        <v>19995</v>
      </c>
      <c r="I123" s="349">
        <f t="shared" si="28"/>
        <v>169995</v>
      </c>
      <c r="J123" s="348">
        <v>50</v>
      </c>
      <c r="K123" s="380">
        <v>3399.9</v>
      </c>
      <c r="L123" s="394">
        <f t="shared" si="35"/>
        <v>399.9</v>
      </c>
      <c r="M123" s="394">
        <f t="shared" si="36"/>
        <v>3000</v>
      </c>
      <c r="N123" s="394">
        <f t="shared" si="29"/>
        <v>19195.199999999997</v>
      </c>
      <c r="O123" s="394">
        <f t="shared" si="30"/>
        <v>799.8</v>
      </c>
      <c r="P123" s="348">
        <v>48</v>
      </c>
      <c r="Q123" s="354">
        <f t="shared" si="31"/>
        <v>2</v>
      </c>
      <c r="R123" s="350">
        <f t="shared" si="32"/>
        <v>163195.20000000001</v>
      </c>
      <c r="S123" s="350">
        <f t="shared" si="33"/>
        <v>6799.7999999999884</v>
      </c>
      <c r="T123" s="393"/>
    </row>
    <row r="124" spans="1:20">
      <c r="A124" s="378"/>
      <c r="B124" s="378"/>
      <c r="C124" s="116" t="s">
        <v>1105</v>
      </c>
      <c r="D124" s="367">
        <v>120</v>
      </c>
      <c r="E124" s="393" t="s">
        <v>1437</v>
      </c>
      <c r="F124" s="393" t="s">
        <v>861</v>
      </c>
      <c r="G124" s="351">
        <v>500000</v>
      </c>
      <c r="H124" s="351">
        <v>66650</v>
      </c>
      <c r="I124" s="349">
        <f t="shared" si="28"/>
        <v>566650</v>
      </c>
      <c r="J124" s="348">
        <v>50</v>
      </c>
      <c r="K124" s="380">
        <v>11333</v>
      </c>
      <c r="L124" s="394">
        <f t="shared" si="35"/>
        <v>1333</v>
      </c>
      <c r="M124" s="394">
        <f t="shared" si="36"/>
        <v>10000</v>
      </c>
      <c r="N124" s="394">
        <f t="shared" si="29"/>
        <v>41323</v>
      </c>
      <c r="O124" s="394">
        <f t="shared" si="30"/>
        <v>25327</v>
      </c>
      <c r="P124" s="348">
        <v>31</v>
      </c>
      <c r="Q124" s="354">
        <f t="shared" si="31"/>
        <v>19</v>
      </c>
      <c r="R124" s="350">
        <f t="shared" si="32"/>
        <v>351323</v>
      </c>
      <c r="S124" s="350">
        <f t="shared" si="33"/>
        <v>215327</v>
      </c>
      <c r="T124" s="393"/>
    </row>
    <row r="125" spans="1:20">
      <c r="A125" s="378"/>
      <c r="B125" s="378"/>
      <c r="C125" s="363" t="s">
        <v>1063</v>
      </c>
      <c r="D125" s="367">
        <v>121</v>
      </c>
      <c r="E125" s="393" t="s">
        <v>1437</v>
      </c>
      <c r="F125" s="393" t="s">
        <v>1064</v>
      </c>
      <c r="G125" s="380">
        <v>600000</v>
      </c>
      <c r="H125" s="380">
        <v>79980</v>
      </c>
      <c r="I125" s="380">
        <f t="shared" si="28"/>
        <v>679980</v>
      </c>
      <c r="J125" s="348">
        <v>60</v>
      </c>
      <c r="K125" s="380">
        <v>11333</v>
      </c>
      <c r="L125" s="394">
        <f>H125/60</f>
        <v>1333</v>
      </c>
      <c r="M125" s="394">
        <f>G125/60</f>
        <v>10000</v>
      </c>
      <c r="N125" s="394">
        <f t="shared" si="29"/>
        <v>3999</v>
      </c>
      <c r="O125" s="394">
        <f t="shared" si="30"/>
        <v>75981</v>
      </c>
      <c r="P125" s="348">
        <v>3</v>
      </c>
      <c r="Q125" s="348">
        <f t="shared" si="31"/>
        <v>57</v>
      </c>
      <c r="R125" s="380">
        <f t="shared" si="32"/>
        <v>33999</v>
      </c>
      <c r="S125" s="380">
        <f t="shared" si="33"/>
        <v>645981</v>
      </c>
      <c r="T125" s="393"/>
    </row>
    <row r="126" spans="1:20">
      <c r="A126" s="378"/>
      <c r="B126" s="378"/>
      <c r="C126" s="364" t="s">
        <v>999</v>
      </c>
      <c r="D126" s="367">
        <v>122</v>
      </c>
      <c r="E126" s="393" t="s">
        <v>1437</v>
      </c>
      <c r="F126" s="393" t="s">
        <v>441</v>
      </c>
      <c r="G126" s="351">
        <v>500000</v>
      </c>
      <c r="H126" s="351">
        <v>66650</v>
      </c>
      <c r="I126" s="349">
        <f t="shared" si="28"/>
        <v>566650</v>
      </c>
      <c r="J126" s="348">
        <v>50</v>
      </c>
      <c r="K126" s="380">
        <v>11333</v>
      </c>
      <c r="L126" s="394">
        <f>H126/50</f>
        <v>1333</v>
      </c>
      <c r="M126" s="394">
        <f>G126/50</f>
        <v>10000</v>
      </c>
      <c r="N126" s="394">
        <f t="shared" si="29"/>
        <v>50654</v>
      </c>
      <c r="O126" s="394">
        <f t="shared" si="30"/>
        <v>15996</v>
      </c>
      <c r="P126" s="348">
        <v>38</v>
      </c>
      <c r="Q126" s="354">
        <f t="shared" si="31"/>
        <v>12</v>
      </c>
      <c r="R126" s="350">
        <f t="shared" si="32"/>
        <v>430654</v>
      </c>
      <c r="S126" s="350">
        <f t="shared" si="33"/>
        <v>135996</v>
      </c>
      <c r="T126" s="393"/>
    </row>
    <row r="127" spans="1:20">
      <c r="A127" s="378"/>
      <c r="B127" s="378"/>
      <c r="C127" s="363" t="s">
        <v>1479</v>
      </c>
      <c r="D127" s="367">
        <v>123</v>
      </c>
      <c r="E127" s="393" t="s">
        <v>1437</v>
      </c>
      <c r="F127" s="393" t="s">
        <v>1480</v>
      </c>
      <c r="G127" s="351">
        <v>330000</v>
      </c>
      <c r="H127" s="351">
        <v>43989</v>
      </c>
      <c r="I127" s="349">
        <f t="shared" si="28"/>
        <v>373989</v>
      </c>
      <c r="J127" s="348">
        <v>50</v>
      </c>
      <c r="K127" s="380">
        <v>7479.78</v>
      </c>
      <c r="L127" s="394">
        <f>H127/50</f>
        <v>879.78</v>
      </c>
      <c r="M127" s="394">
        <f>G127/50</f>
        <v>6600</v>
      </c>
      <c r="N127" s="394">
        <f t="shared" si="29"/>
        <v>5278.68</v>
      </c>
      <c r="O127" s="394">
        <f t="shared" si="30"/>
        <v>38710.32</v>
      </c>
      <c r="P127" s="348">
        <v>6</v>
      </c>
      <c r="Q127" s="354">
        <f t="shared" si="31"/>
        <v>44</v>
      </c>
      <c r="R127" s="350">
        <f t="shared" si="32"/>
        <v>44878.68</v>
      </c>
      <c r="S127" s="350">
        <f t="shared" si="33"/>
        <v>329110.32</v>
      </c>
      <c r="T127" s="393"/>
    </row>
    <row r="128" spans="1:20">
      <c r="A128" s="378"/>
      <c r="B128" s="378"/>
      <c r="C128" s="364" t="s">
        <v>1053</v>
      </c>
      <c r="D128" s="367">
        <v>124</v>
      </c>
      <c r="E128" s="393" t="s">
        <v>1437</v>
      </c>
      <c r="F128" s="393" t="s">
        <v>845</v>
      </c>
      <c r="G128" s="351">
        <v>150000</v>
      </c>
      <c r="H128" s="351">
        <v>19995</v>
      </c>
      <c r="I128" s="349">
        <f t="shared" si="28"/>
        <v>169995</v>
      </c>
      <c r="J128" s="348">
        <v>50</v>
      </c>
      <c r="K128" s="380">
        <v>3399.9</v>
      </c>
      <c r="L128" s="394">
        <f>H128/50</f>
        <v>399.9</v>
      </c>
      <c r="M128" s="394">
        <f>G128/50</f>
        <v>3000</v>
      </c>
      <c r="N128" s="394">
        <f t="shared" si="29"/>
        <v>19995</v>
      </c>
      <c r="O128" s="394">
        <f t="shared" si="30"/>
        <v>0</v>
      </c>
      <c r="P128" s="348">
        <v>50</v>
      </c>
      <c r="Q128" s="354">
        <f t="shared" si="31"/>
        <v>0</v>
      </c>
      <c r="R128" s="350">
        <f t="shared" si="32"/>
        <v>169995</v>
      </c>
      <c r="S128" s="350">
        <f t="shared" si="33"/>
        <v>0</v>
      </c>
      <c r="T128" s="393"/>
    </row>
    <row r="129" spans="1:20">
      <c r="A129" s="378"/>
      <c r="B129" s="378"/>
      <c r="C129" s="364" t="s">
        <v>1332</v>
      </c>
      <c r="D129" s="367">
        <v>125</v>
      </c>
      <c r="E129" s="393" t="s">
        <v>1437</v>
      </c>
      <c r="F129" s="393" t="s">
        <v>1284</v>
      </c>
      <c r="G129" s="351">
        <v>500000</v>
      </c>
      <c r="H129" s="351">
        <v>66650</v>
      </c>
      <c r="I129" s="349">
        <f t="shared" si="28"/>
        <v>566650</v>
      </c>
      <c r="J129" s="348">
        <v>50</v>
      </c>
      <c r="K129" s="380">
        <v>11333</v>
      </c>
      <c r="L129" s="394">
        <f>H129/50</f>
        <v>1333</v>
      </c>
      <c r="M129" s="394">
        <f>G129/50</f>
        <v>10000</v>
      </c>
      <c r="N129" s="394">
        <f t="shared" si="29"/>
        <v>43989</v>
      </c>
      <c r="O129" s="394">
        <f t="shared" si="30"/>
        <v>22661</v>
      </c>
      <c r="P129" s="348">
        <v>33</v>
      </c>
      <c r="Q129" s="354">
        <f t="shared" si="31"/>
        <v>17</v>
      </c>
      <c r="R129" s="350">
        <f t="shared" si="32"/>
        <v>373989</v>
      </c>
      <c r="S129" s="350">
        <f t="shared" si="33"/>
        <v>192661</v>
      </c>
      <c r="T129" s="393"/>
    </row>
    <row r="130" spans="1:20">
      <c r="A130" s="378"/>
      <c r="B130" s="378"/>
      <c r="C130" s="363" t="s">
        <v>1502</v>
      </c>
      <c r="D130" s="367">
        <v>126</v>
      </c>
      <c r="E130" s="393" t="s">
        <v>1437</v>
      </c>
      <c r="F130" s="393" t="s">
        <v>1503</v>
      </c>
      <c r="G130" s="380">
        <v>750000</v>
      </c>
      <c r="H130" s="380">
        <v>99925</v>
      </c>
      <c r="I130" s="380">
        <f t="shared" si="28"/>
        <v>849925</v>
      </c>
      <c r="J130" s="348">
        <v>60</v>
      </c>
      <c r="K130" s="380">
        <v>14166.25</v>
      </c>
      <c r="L130" s="394">
        <f>H130/60</f>
        <v>1665.4166666666667</v>
      </c>
      <c r="M130" s="394">
        <f>G130/60</f>
        <v>12500</v>
      </c>
      <c r="N130" s="394">
        <f t="shared" si="29"/>
        <v>4996.25</v>
      </c>
      <c r="O130" s="394">
        <f t="shared" si="30"/>
        <v>94928.75</v>
      </c>
      <c r="P130" s="348">
        <v>3</v>
      </c>
      <c r="Q130" s="348">
        <f t="shared" si="31"/>
        <v>57</v>
      </c>
      <c r="R130" s="380">
        <f t="shared" si="32"/>
        <v>42498.75</v>
      </c>
      <c r="S130" s="380">
        <f t="shared" si="33"/>
        <v>807426.25</v>
      </c>
      <c r="T130" s="393"/>
    </row>
    <row r="131" spans="1:20">
      <c r="A131" s="378"/>
      <c r="B131" s="378"/>
      <c r="C131" s="363" t="s">
        <v>1411</v>
      </c>
      <c r="D131" s="367">
        <v>127</v>
      </c>
      <c r="E131" s="393" t="s">
        <v>1437</v>
      </c>
      <c r="F131" s="393" t="s">
        <v>473</v>
      </c>
      <c r="G131" s="351">
        <v>500000</v>
      </c>
      <c r="H131" s="351">
        <v>66650</v>
      </c>
      <c r="I131" s="349">
        <f t="shared" si="28"/>
        <v>566650</v>
      </c>
      <c r="J131" s="348">
        <v>40</v>
      </c>
      <c r="K131" s="380">
        <v>13833</v>
      </c>
      <c r="L131" s="394">
        <f>H131/50</f>
        <v>1333</v>
      </c>
      <c r="M131" s="394">
        <f>G131/50</f>
        <v>10000</v>
      </c>
      <c r="N131" s="394">
        <f t="shared" si="29"/>
        <v>14663</v>
      </c>
      <c r="O131" s="394">
        <f t="shared" si="30"/>
        <v>38657</v>
      </c>
      <c r="P131" s="348">
        <v>11</v>
      </c>
      <c r="Q131" s="354">
        <f t="shared" si="31"/>
        <v>29</v>
      </c>
      <c r="R131" s="350">
        <f t="shared" si="32"/>
        <v>152163</v>
      </c>
      <c r="S131" s="350">
        <f t="shared" si="33"/>
        <v>414487</v>
      </c>
      <c r="T131" s="393"/>
    </row>
    <row r="132" spans="1:20">
      <c r="A132" s="378"/>
      <c r="B132" s="378"/>
      <c r="C132" s="363" t="s">
        <v>1329</v>
      </c>
      <c r="D132" s="367">
        <v>128</v>
      </c>
      <c r="E132" s="393" t="s">
        <v>1437</v>
      </c>
      <c r="F132" s="393" t="s">
        <v>463</v>
      </c>
      <c r="G132" s="351">
        <v>500000</v>
      </c>
      <c r="H132" s="351">
        <v>66650</v>
      </c>
      <c r="I132" s="349">
        <f t="shared" si="28"/>
        <v>566650</v>
      </c>
      <c r="J132" s="348">
        <v>50</v>
      </c>
      <c r="K132" s="380">
        <v>11333</v>
      </c>
      <c r="L132" s="394">
        <f>H132/50</f>
        <v>1333</v>
      </c>
      <c r="M132" s="394">
        <f>G132/50</f>
        <v>10000</v>
      </c>
      <c r="N132" s="394">
        <f t="shared" si="29"/>
        <v>30659</v>
      </c>
      <c r="O132" s="394">
        <f t="shared" si="30"/>
        <v>35991</v>
      </c>
      <c r="P132" s="348">
        <v>23</v>
      </c>
      <c r="Q132" s="354">
        <f t="shared" si="31"/>
        <v>27</v>
      </c>
      <c r="R132" s="350">
        <f t="shared" si="32"/>
        <v>260659</v>
      </c>
      <c r="S132" s="350">
        <f t="shared" si="33"/>
        <v>305991</v>
      </c>
      <c r="T132" s="393"/>
    </row>
    <row r="133" spans="1:20">
      <c r="A133" s="378"/>
      <c r="B133" s="378"/>
      <c r="C133" s="115" t="s">
        <v>1358</v>
      </c>
      <c r="D133" s="367">
        <v>129</v>
      </c>
      <c r="E133" s="393" t="s">
        <v>1437</v>
      </c>
      <c r="F133" s="393" t="s">
        <v>1359</v>
      </c>
      <c r="G133" s="351">
        <v>450000</v>
      </c>
      <c r="H133" s="351">
        <v>59985</v>
      </c>
      <c r="I133" s="349">
        <f t="shared" ref="I133:I164" si="37">SUM(G133:H133)</f>
        <v>509985</v>
      </c>
      <c r="J133" s="348">
        <v>50</v>
      </c>
      <c r="K133" s="380">
        <v>10199.700000000001</v>
      </c>
      <c r="L133" s="394">
        <f>H133/50</f>
        <v>1199.7</v>
      </c>
      <c r="M133" s="394">
        <f>G133/50</f>
        <v>9000</v>
      </c>
      <c r="N133" s="394">
        <f t="shared" ref="N133:N164" si="38">L133*P133</f>
        <v>15596.1</v>
      </c>
      <c r="O133" s="394">
        <f t="shared" ref="O133:O164" si="39">L133*Q133</f>
        <v>44388.9</v>
      </c>
      <c r="P133" s="348">
        <v>13</v>
      </c>
      <c r="Q133" s="354">
        <f t="shared" ref="Q133:Q164" si="40">J133-P133</f>
        <v>37</v>
      </c>
      <c r="R133" s="350">
        <f t="shared" ref="R133:R164" si="41">K133*P133</f>
        <v>132596.1</v>
      </c>
      <c r="S133" s="350">
        <f t="shared" ref="S133:S164" si="42">I133-R133</f>
        <v>377388.9</v>
      </c>
      <c r="T133" s="393"/>
    </row>
    <row r="134" spans="1:20">
      <c r="A134" s="378"/>
      <c r="B134" s="378"/>
      <c r="C134" s="363" t="s">
        <v>1334</v>
      </c>
      <c r="D134" s="367">
        <v>130</v>
      </c>
      <c r="E134" s="393" t="s">
        <v>1437</v>
      </c>
      <c r="F134" s="393" t="s">
        <v>1294</v>
      </c>
      <c r="G134" s="380">
        <v>600000</v>
      </c>
      <c r="H134" s="380">
        <v>79980</v>
      </c>
      <c r="I134" s="380">
        <f t="shared" si="37"/>
        <v>679980</v>
      </c>
      <c r="J134" s="348">
        <v>60</v>
      </c>
      <c r="K134" s="380">
        <v>11333</v>
      </c>
      <c r="L134" s="394">
        <f>H134/60</f>
        <v>1333</v>
      </c>
      <c r="M134" s="394">
        <f>G134/60</f>
        <v>10000</v>
      </c>
      <c r="N134" s="394">
        <f t="shared" si="38"/>
        <v>3999</v>
      </c>
      <c r="O134" s="394">
        <f t="shared" si="39"/>
        <v>75981</v>
      </c>
      <c r="P134" s="348">
        <v>3</v>
      </c>
      <c r="Q134" s="348">
        <f t="shared" si="40"/>
        <v>57</v>
      </c>
      <c r="R134" s="380">
        <f t="shared" si="41"/>
        <v>33999</v>
      </c>
      <c r="S134" s="380">
        <f t="shared" si="42"/>
        <v>645981</v>
      </c>
      <c r="T134" s="393"/>
    </row>
    <row r="135" spans="1:20">
      <c r="A135" s="378"/>
      <c r="B135" s="378"/>
      <c r="C135" s="116" t="s">
        <v>1319</v>
      </c>
      <c r="D135" s="367">
        <v>131</v>
      </c>
      <c r="E135" s="393" t="s">
        <v>1437</v>
      </c>
      <c r="F135" s="393" t="s">
        <v>305</v>
      </c>
      <c r="G135" s="351">
        <v>500000</v>
      </c>
      <c r="H135" s="351">
        <v>66650</v>
      </c>
      <c r="I135" s="349">
        <f t="shared" si="37"/>
        <v>566650</v>
      </c>
      <c r="J135" s="348">
        <v>40</v>
      </c>
      <c r="K135" s="380">
        <v>13833</v>
      </c>
      <c r="L135" s="394">
        <f>H135/50</f>
        <v>1333</v>
      </c>
      <c r="M135" s="394">
        <f>G135/50</f>
        <v>10000</v>
      </c>
      <c r="N135" s="394">
        <f t="shared" si="38"/>
        <v>17329</v>
      </c>
      <c r="O135" s="394">
        <f t="shared" si="39"/>
        <v>35991</v>
      </c>
      <c r="P135" s="348">
        <v>13</v>
      </c>
      <c r="Q135" s="354">
        <f t="shared" si="40"/>
        <v>27</v>
      </c>
      <c r="R135" s="350">
        <f t="shared" si="41"/>
        <v>179829</v>
      </c>
      <c r="S135" s="350">
        <f t="shared" si="42"/>
        <v>386821</v>
      </c>
      <c r="T135" s="393"/>
    </row>
    <row r="136" spans="1:20">
      <c r="A136" s="378"/>
      <c r="B136" s="378"/>
      <c r="C136" s="363" t="s">
        <v>988</v>
      </c>
      <c r="D136" s="367">
        <v>132</v>
      </c>
      <c r="E136" s="393" t="s">
        <v>1437</v>
      </c>
      <c r="F136" s="393" t="s">
        <v>296</v>
      </c>
      <c r="G136" s="351">
        <v>450000</v>
      </c>
      <c r="H136" s="351">
        <v>59985</v>
      </c>
      <c r="I136" s="349">
        <f t="shared" si="37"/>
        <v>509985</v>
      </c>
      <c r="J136" s="348">
        <v>50</v>
      </c>
      <c r="K136" s="380">
        <v>10199.700000000001</v>
      </c>
      <c r="L136" s="394">
        <f>H136/50</f>
        <v>1199.7</v>
      </c>
      <c r="M136" s="394">
        <f>G136/50</f>
        <v>9000</v>
      </c>
      <c r="N136" s="394">
        <f t="shared" si="38"/>
        <v>7198.2000000000007</v>
      </c>
      <c r="O136" s="394">
        <f t="shared" si="39"/>
        <v>52786.8</v>
      </c>
      <c r="P136" s="348">
        <v>6</v>
      </c>
      <c r="Q136" s="354">
        <f t="shared" si="40"/>
        <v>44</v>
      </c>
      <c r="R136" s="350">
        <f t="shared" si="41"/>
        <v>61198.200000000004</v>
      </c>
      <c r="S136" s="350">
        <f t="shared" si="42"/>
        <v>448786.8</v>
      </c>
      <c r="T136" s="393"/>
    </row>
    <row r="137" spans="1:20" ht="31.5">
      <c r="A137" s="378"/>
      <c r="B137" s="378"/>
      <c r="C137" s="363" t="s">
        <v>1498</v>
      </c>
      <c r="D137" s="367">
        <v>133</v>
      </c>
      <c r="E137" s="393" t="s">
        <v>1437</v>
      </c>
      <c r="F137" s="395" t="s">
        <v>1499</v>
      </c>
      <c r="G137" s="380">
        <v>750000</v>
      </c>
      <c r="H137" s="380">
        <v>99925</v>
      </c>
      <c r="I137" s="380">
        <f t="shared" si="37"/>
        <v>849925</v>
      </c>
      <c r="J137" s="348">
        <v>60</v>
      </c>
      <c r="K137" s="380">
        <v>14166.25</v>
      </c>
      <c r="L137" s="394">
        <f>H137/60</f>
        <v>1665.4166666666667</v>
      </c>
      <c r="M137" s="394">
        <f>G137/60</f>
        <v>12500</v>
      </c>
      <c r="N137" s="394">
        <f t="shared" si="38"/>
        <v>4996.25</v>
      </c>
      <c r="O137" s="394">
        <f t="shared" si="39"/>
        <v>94928.75</v>
      </c>
      <c r="P137" s="348">
        <v>3</v>
      </c>
      <c r="Q137" s="348">
        <f t="shared" si="40"/>
        <v>57</v>
      </c>
      <c r="R137" s="380">
        <f t="shared" si="41"/>
        <v>42498.75</v>
      </c>
      <c r="S137" s="380">
        <f t="shared" si="42"/>
        <v>807426.25</v>
      </c>
      <c r="T137" s="393"/>
    </row>
    <row r="138" spans="1:20">
      <c r="A138" s="378"/>
      <c r="B138" s="378"/>
      <c r="C138" s="116" t="s">
        <v>1388</v>
      </c>
      <c r="D138" s="367">
        <v>134</v>
      </c>
      <c r="E138" s="393" t="s">
        <v>1437</v>
      </c>
      <c r="F138" s="393" t="s">
        <v>1389</v>
      </c>
      <c r="G138" s="351">
        <v>330000</v>
      </c>
      <c r="H138" s="351">
        <v>43989</v>
      </c>
      <c r="I138" s="349">
        <f t="shared" si="37"/>
        <v>373989</v>
      </c>
      <c r="J138" s="348">
        <v>50</v>
      </c>
      <c r="K138" s="380">
        <v>7479.78</v>
      </c>
      <c r="L138" s="394">
        <f t="shared" ref="L138:L148" si="43">H138/50</f>
        <v>879.78</v>
      </c>
      <c r="M138" s="394">
        <f t="shared" ref="M138:M148" si="44">G138/50</f>
        <v>6600</v>
      </c>
      <c r="N138" s="394">
        <f t="shared" si="38"/>
        <v>13196.699999999999</v>
      </c>
      <c r="O138" s="394">
        <f t="shared" si="39"/>
        <v>30792.3</v>
      </c>
      <c r="P138" s="348">
        <v>15</v>
      </c>
      <c r="Q138" s="354">
        <f t="shared" si="40"/>
        <v>35</v>
      </c>
      <c r="R138" s="350">
        <f t="shared" si="41"/>
        <v>112196.7</v>
      </c>
      <c r="S138" s="350">
        <f t="shared" si="42"/>
        <v>261792.3</v>
      </c>
      <c r="T138" s="393"/>
    </row>
    <row r="139" spans="1:20">
      <c r="A139" s="378"/>
      <c r="B139" s="378"/>
      <c r="C139" s="363" t="s">
        <v>1360</v>
      </c>
      <c r="D139" s="367">
        <v>135</v>
      </c>
      <c r="E139" s="393" t="s">
        <v>1437</v>
      </c>
      <c r="F139" s="393" t="s">
        <v>293</v>
      </c>
      <c r="G139" s="351">
        <v>450000</v>
      </c>
      <c r="H139" s="351">
        <v>59985</v>
      </c>
      <c r="I139" s="349">
        <f t="shared" si="37"/>
        <v>509985</v>
      </c>
      <c r="J139" s="348">
        <v>50</v>
      </c>
      <c r="K139" s="380">
        <v>10199.700000000001</v>
      </c>
      <c r="L139" s="394">
        <f t="shared" si="43"/>
        <v>1199.7</v>
      </c>
      <c r="M139" s="394">
        <f t="shared" si="44"/>
        <v>9000</v>
      </c>
      <c r="N139" s="394">
        <f t="shared" si="38"/>
        <v>29992.5</v>
      </c>
      <c r="O139" s="394">
        <f t="shared" si="39"/>
        <v>29992.5</v>
      </c>
      <c r="P139" s="348">
        <v>25</v>
      </c>
      <c r="Q139" s="354">
        <f t="shared" si="40"/>
        <v>25</v>
      </c>
      <c r="R139" s="350">
        <f t="shared" si="41"/>
        <v>254992.50000000003</v>
      </c>
      <c r="S139" s="350">
        <f t="shared" si="42"/>
        <v>254992.49999999997</v>
      </c>
      <c r="T139" s="393"/>
    </row>
    <row r="140" spans="1:20">
      <c r="A140" s="378"/>
      <c r="B140" s="378"/>
      <c r="C140" s="363" t="s">
        <v>1450</v>
      </c>
      <c r="D140" s="367">
        <v>136</v>
      </c>
      <c r="E140" s="393" t="s">
        <v>1437</v>
      </c>
      <c r="F140" s="393" t="s">
        <v>1451</v>
      </c>
      <c r="G140" s="351">
        <v>450000</v>
      </c>
      <c r="H140" s="351">
        <v>59985</v>
      </c>
      <c r="I140" s="349">
        <f t="shared" si="37"/>
        <v>509985</v>
      </c>
      <c r="J140" s="348">
        <v>50</v>
      </c>
      <c r="K140" s="380">
        <v>10199.700000000001</v>
      </c>
      <c r="L140" s="394">
        <f t="shared" si="43"/>
        <v>1199.7</v>
      </c>
      <c r="M140" s="394">
        <f t="shared" si="44"/>
        <v>9000</v>
      </c>
      <c r="N140" s="394">
        <f t="shared" si="38"/>
        <v>10797.300000000001</v>
      </c>
      <c r="O140" s="394">
        <f t="shared" si="39"/>
        <v>49187.700000000004</v>
      </c>
      <c r="P140" s="348">
        <v>9</v>
      </c>
      <c r="Q140" s="354">
        <f t="shared" si="40"/>
        <v>41</v>
      </c>
      <c r="R140" s="350">
        <f t="shared" si="41"/>
        <v>91797.3</v>
      </c>
      <c r="S140" s="350">
        <f t="shared" si="42"/>
        <v>418187.7</v>
      </c>
      <c r="T140" s="393"/>
    </row>
    <row r="141" spans="1:20">
      <c r="A141" s="378"/>
      <c r="B141" s="378"/>
      <c r="C141" s="364" t="s">
        <v>1094</v>
      </c>
      <c r="D141" s="367">
        <v>137</v>
      </c>
      <c r="E141" s="393" t="s">
        <v>1437</v>
      </c>
      <c r="F141" s="393" t="s">
        <v>1095</v>
      </c>
      <c r="G141" s="351">
        <v>500000</v>
      </c>
      <c r="H141" s="351">
        <v>66650</v>
      </c>
      <c r="I141" s="349">
        <f t="shared" si="37"/>
        <v>566650</v>
      </c>
      <c r="J141" s="348">
        <v>50</v>
      </c>
      <c r="K141" s="380">
        <v>11333</v>
      </c>
      <c r="L141" s="394">
        <f t="shared" si="43"/>
        <v>1333</v>
      </c>
      <c r="M141" s="394">
        <f t="shared" si="44"/>
        <v>10000</v>
      </c>
      <c r="N141" s="394">
        <f t="shared" si="38"/>
        <v>39990</v>
      </c>
      <c r="O141" s="394">
        <f t="shared" si="39"/>
        <v>26660</v>
      </c>
      <c r="P141" s="348">
        <v>30</v>
      </c>
      <c r="Q141" s="354">
        <f t="shared" si="40"/>
        <v>20</v>
      </c>
      <c r="R141" s="350">
        <f t="shared" si="41"/>
        <v>339990</v>
      </c>
      <c r="S141" s="350">
        <f t="shared" si="42"/>
        <v>226660</v>
      </c>
      <c r="T141" s="393"/>
    </row>
    <row r="142" spans="1:20">
      <c r="A142" s="378"/>
      <c r="B142" s="378"/>
      <c r="C142" s="115" t="s">
        <v>1330</v>
      </c>
      <c r="D142" s="367">
        <v>138</v>
      </c>
      <c r="E142" s="393" t="s">
        <v>1437</v>
      </c>
      <c r="F142" s="393" t="s">
        <v>1331</v>
      </c>
      <c r="G142" s="351">
        <v>500000</v>
      </c>
      <c r="H142" s="351">
        <v>66650</v>
      </c>
      <c r="I142" s="349">
        <f t="shared" si="37"/>
        <v>566650</v>
      </c>
      <c r="J142" s="348">
        <v>50</v>
      </c>
      <c r="K142" s="380">
        <v>11333</v>
      </c>
      <c r="L142" s="394">
        <f t="shared" si="43"/>
        <v>1333</v>
      </c>
      <c r="M142" s="394">
        <f t="shared" si="44"/>
        <v>10000</v>
      </c>
      <c r="N142" s="394">
        <f t="shared" si="38"/>
        <v>33325</v>
      </c>
      <c r="O142" s="394">
        <f t="shared" si="39"/>
        <v>33325</v>
      </c>
      <c r="P142" s="348">
        <v>25</v>
      </c>
      <c r="Q142" s="354">
        <f t="shared" si="40"/>
        <v>25</v>
      </c>
      <c r="R142" s="350">
        <f t="shared" si="41"/>
        <v>283325</v>
      </c>
      <c r="S142" s="350">
        <f t="shared" si="42"/>
        <v>283325</v>
      </c>
      <c r="T142" s="393"/>
    </row>
    <row r="143" spans="1:20">
      <c r="A143" s="378"/>
      <c r="B143" s="378"/>
      <c r="C143" s="364" t="s">
        <v>1368</v>
      </c>
      <c r="D143" s="367">
        <v>139</v>
      </c>
      <c r="E143" s="393" t="s">
        <v>1437</v>
      </c>
      <c r="F143" s="393" t="s">
        <v>443</v>
      </c>
      <c r="G143" s="351">
        <v>330000</v>
      </c>
      <c r="H143" s="351">
        <v>43989</v>
      </c>
      <c r="I143" s="349">
        <f t="shared" si="37"/>
        <v>373989</v>
      </c>
      <c r="J143" s="348">
        <v>50</v>
      </c>
      <c r="K143" s="380">
        <v>7479.78</v>
      </c>
      <c r="L143" s="394">
        <f t="shared" si="43"/>
        <v>879.78</v>
      </c>
      <c r="M143" s="394">
        <f t="shared" si="44"/>
        <v>6600</v>
      </c>
      <c r="N143" s="394">
        <f t="shared" si="38"/>
        <v>15836.039999999999</v>
      </c>
      <c r="O143" s="394">
        <f t="shared" si="39"/>
        <v>28152.959999999999</v>
      </c>
      <c r="P143" s="348">
        <v>18</v>
      </c>
      <c r="Q143" s="354">
        <f t="shared" si="40"/>
        <v>32</v>
      </c>
      <c r="R143" s="350">
        <f t="shared" si="41"/>
        <v>134636.04</v>
      </c>
      <c r="S143" s="350">
        <f t="shared" si="42"/>
        <v>239352.95999999999</v>
      </c>
      <c r="T143" s="393"/>
    </row>
    <row r="144" spans="1:20">
      <c r="A144" s="378"/>
      <c r="B144" s="378"/>
      <c r="C144" s="363" t="s">
        <v>1469</v>
      </c>
      <c r="D144" s="367">
        <v>140</v>
      </c>
      <c r="E144" s="393" t="s">
        <v>1437</v>
      </c>
      <c r="F144" s="393" t="s">
        <v>1470</v>
      </c>
      <c r="G144" s="351">
        <v>500000</v>
      </c>
      <c r="H144" s="351">
        <v>66650</v>
      </c>
      <c r="I144" s="349">
        <f t="shared" si="37"/>
        <v>566650</v>
      </c>
      <c r="J144" s="348">
        <v>50</v>
      </c>
      <c r="K144" s="380">
        <v>11333</v>
      </c>
      <c r="L144" s="394">
        <f t="shared" si="43"/>
        <v>1333</v>
      </c>
      <c r="M144" s="394">
        <f t="shared" si="44"/>
        <v>10000</v>
      </c>
      <c r="N144" s="394">
        <f t="shared" si="38"/>
        <v>7998</v>
      </c>
      <c r="O144" s="394">
        <f t="shared" si="39"/>
        <v>58652</v>
      </c>
      <c r="P144" s="348">
        <v>6</v>
      </c>
      <c r="Q144" s="354">
        <f t="shared" si="40"/>
        <v>44</v>
      </c>
      <c r="R144" s="350">
        <f t="shared" si="41"/>
        <v>67998</v>
      </c>
      <c r="S144" s="350">
        <f t="shared" si="42"/>
        <v>498652</v>
      </c>
      <c r="T144" s="393"/>
    </row>
    <row r="145" spans="1:20">
      <c r="A145" s="378"/>
      <c r="B145" s="378"/>
      <c r="C145" s="364" t="s">
        <v>1006</v>
      </c>
      <c r="D145" s="367">
        <v>141</v>
      </c>
      <c r="E145" s="393" t="s">
        <v>1437</v>
      </c>
      <c r="F145" s="393" t="s">
        <v>865</v>
      </c>
      <c r="G145" s="351">
        <v>500000</v>
      </c>
      <c r="H145" s="351">
        <v>66650</v>
      </c>
      <c r="I145" s="349">
        <f t="shared" si="37"/>
        <v>566650</v>
      </c>
      <c r="J145" s="348">
        <v>50</v>
      </c>
      <c r="K145" s="380">
        <v>11333</v>
      </c>
      <c r="L145" s="394">
        <f t="shared" si="43"/>
        <v>1333</v>
      </c>
      <c r="M145" s="394">
        <f t="shared" si="44"/>
        <v>10000</v>
      </c>
      <c r="N145" s="394">
        <f t="shared" si="38"/>
        <v>85312</v>
      </c>
      <c r="O145" s="394">
        <f t="shared" si="39"/>
        <v>-18662</v>
      </c>
      <c r="P145" s="348">
        <v>64</v>
      </c>
      <c r="Q145" s="354">
        <f t="shared" si="40"/>
        <v>-14</v>
      </c>
      <c r="R145" s="350">
        <f t="shared" si="41"/>
        <v>725312</v>
      </c>
      <c r="S145" s="350">
        <f t="shared" si="42"/>
        <v>-158662</v>
      </c>
      <c r="T145" s="393"/>
    </row>
    <row r="146" spans="1:20">
      <c r="A146" s="378"/>
      <c r="B146" s="378"/>
      <c r="C146" s="363" t="s">
        <v>1414</v>
      </c>
      <c r="D146" s="367">
        <v>142</v>
      </c>
      <c r="E146" s="393" t="s">
        <v>1437</v>
      </c>
      <c r="F146" s="393" t="s">
        <v>459</v>
      </c>
      <c r="G146" s="351">
        <v>500000</v>
      </c>
      <c r="H146" s="351">
        <v>66650</v>
      </c>
      <c r="I146" s="349">
        <f t="shared" si="37"/>
        <v>566650</v>
      </c>
      <c r="J146" s="348">
        <v>50</v>
      </c>
      <c r="K146" s="380">
        <v>11333</v>
      </c>
      <c r="L146" s="394">
        <f t="shared" si="43"/>
        <v>1333</v>
      </c>
      <c r="M146" s="394">
        <f t="shared" si="44"/>
        <v>10000</v>
      </c>
      <c r="N146" s="394">
        <f t="shared" si="38"/>
        <v>14663</v>
      </c>
      <c r="O146" s="394">
        <f t="shared" si="39"/>
        <v>51987</v>
      </c>
      <c r="P146" s="348">
        <v>11</v>
      </c>
      <c r="Q146" s="354">
        <f t="shared" si="40"/>
        <v>39</v>
      </c>
      <c r="R146" s="350">
        <f t="shared" si="41"/>
        <v>124663</v>
      </c>
      <c r="S146" s="350">
        <f t="shared" si="42"/>
        <v>441987</v>
      </c>
      <c r="T146" s="393"/>
    </row>
    <row r="147" spans="1:20">
      <c r="A147" s="378"/>
      <c r="B147" s="378"/>
      <c r="C147" s="364" t="s">
        <v>1080</v>
      </c>
      <c r="D147" s="367">
        <v>143</v>
      </c>
      <c r="E147" s="393" t="s">
        <v>1437</v>
      </c>
      <c r="F147" s="393" t="s">
        <v>315</v>
      </c>
      <c r="G147" s="351">
        <v>500000</v>
      </c>
      <c r="H147" s="351">
        <v>66650</v>
      </c>
      <c r="I147" s="349">
        <f t="shared" si="37"/>
        <v>566650</v>
      </c>
      <c r="J147" s="348">
        <v>50</v>
      </c>
      <c r="K147" s="380">
        <v>11333</v>
      </c>
      <c r="L147" s="394">
        <f t="shared" si="43"/>
        <v>1333</v>
      </c>
      <c r="M147" s="394">
        <f t="shared" si="44"/>
        <v>10000</v>
      </c>
      <c r="N147" s="394">
        <f t="shared" si="38"/>
        <v>66650</v>
      </c>
      <c r="O147" s="394">
        <f t="shared" si="39"/>
        <v>0</v>
      </c>
      <c r="P147" s="348">
        <v>50</v>
      </c>
      <c r="Q147" s="354">
        <f t="shared" si="40"/>
        <v>0</v>
      </c>
      <c r="R147" s="350">
        <f t="shared" si="41"/>
        <v>566650</v>
      </c>
      <c r="S147" s="350">
        <f t="shared" si="42"/>
        <v>0</v>
      </c>
      <c r="T147" s="393"/>
    </row>
    <row r="148" spans="1:20">
      <c r="A148" s="378"/>
      <c r="B148" s="378"/>
      <c r="C148" s="364" t="s">
        <v>1084</v>
      </c>
      <c r="D148" s="367">
        <v>144</v>
      </c>
      <c r="E148" s="393" t="s">
        <v>1437</v>
      </c>
      <c r="F148" s="393" t="s">
        <v>353</v>
      </c>
      <c r="G148" s="351">
        <v>500000</v>
      </c>
      <c r="H148" s="351">
        <v>66650</v>
      </c>
      <c r="I148" s="349">
        <f t="shared" si="37"/>
        <v>566650</v>
      </c>
      <c r="J148" s="348">
        <v>50</v>
      </c>
      <c r="K148" s="380">
        <v>11333</v>
      </c>
      <c r="L148" s="394">
        <f t="shared" si="43"/>
        <v>1333</v>
      </c>
      <c r="M148" s="394">
        <f t="shared" si="44"/>
        <v>10000</v>
      </c>
      <c r="N148" s="394">
        <f t="shared" si="38"/>
        <v>66650</v>
      </c>
      <c r="O148" s="394">
        <f t="shared" si="39"/>
        <v>0</v>
      </c>
      <c r="P148" s="348">
        <v>50</v>
      </c>
      <c r="Q148" s="354">
        <f t="shared" si="40"/>
        <v>0</v>
      </c>
      <c r="R148" s="350">
        <f t="shared" si="41"/>
        <v>566650</v>
      </c>
      <c r="S148" s="350">
        <f t="shared" si="42"/>
        <v>0</v>
      </c>
      <c r="T148" s="393"/>
    </row>
    <row r="149" spans="1:20">
      <c r="A149" s="378"/>
      <c r="B149" s="378"/>
      <c r="C149" s="363" t="s">
        <v>1500</v>
      </c>
      <c r="D149" s="367">
        <v>145</v>
      </c>
      <c r="E149" s="393" t="s">
        <v>1437</v>
      </c>
      <c r="F149" s="393" t="s">
        <v>437</v>
      </c>
      <c r="G149" s="380">
        <v>750000</v>
      </c>
      <c r="H149" s="380">
        <v>99925</v>
      </c>
      <c r="I149" s="380">
        <f t="shared" si="37"/>
        <v>849925</v>
      </c>
      <c r="J149" s="348">
        <v>60</v>
      </c>
      <c r="K149" s="380">
        <v>14166.25</v>
      </c>
      <c r="L149" s="394">
        <f>H149/60</f>
        <v>1665.4166666666667</v>
      </c>
      <c r="M149" s="394">
        <f>G149/60</f>
        <v>12500</v>
      </c>
      <c r="N149" s="394">
        <f t="shared" si="38"/>
        <v>4996.25</v>
      </c>
      <c r="O149" s="394">
        <f t="shared" si="39"/>
        <v>94928.75</v>
      </c>
      <c r="P149" s="348">
        <v>3</v>
      </c>
      <c r="Q149" s="348">
        <f t="shared" si="40"/>
        <v>57</v>
      </c>
      <c r="R149" s="380">
        <f t="shared" si="41"/>
        <v>42498.75</v>
      </c>
      <c r="S149" s="380">
        <f t="shared" si="42"/>
        <v>807426.25</v>
      </c>
      <c r="T149" s="393"/>
    </row>
    <row r="150" spans="1:20">
      <c r="A150" s="378"/>
      <c r="B150" s="378"/>
      <c r="C150" s="116" t="s">
        <v>1108</v>
      </c>
      <c r="D150" s="367">
        <v>146</v>
      </c>
      <c r="E150" s="393" t="s">
        <v>1437</v>
      </c>
      <c r="F150" s="393" t="s">
        <v>802</v>
      </c>
      <c r="G150" s="351">
        <v>500000</v>
      </c>
      <c r="H150" s="351">
        <v>66650</v>
      </c>
      <c r="I150" s="349">
        <f t="shared" si="37"/>
        <v>566650</v>
      </c>
      <c r="J150" s="348">
        <v>50</v>
      </c>
      <c r="K150" s="380">
        <v>11333</v>
      </c>
      <c r="L150" s="394">
        <f>H150/50</f>
        <v>1333</v>
      </c>
      <c r="M150" s="394">
        <f>G150/50</f>
        <v>10000</v>
      </c>
      <c r="N150" s="394">
        <f t="shared" si="38"/>
        <v>53320</v>
      </c>
      <c r="O150" s="394">
        <f t="shared" si="39"/>
        <v>13330</v>
      </c>
      <c r="P150" s="348">
        <v>40</v>
      </c>
      <c r="Q150" s="354">
        <f t="shared" si="40"/>
        <v>10</v>
      </c>
      <c r="R150" s="350">
        <f t="shared" si="41"/>
        <v>453320</v>
      </c>
      <c r="S150" s="350">
        <f t="shared" si="42"/>
        <v>113330</v>
      </c>
      <c r="T150" s="393"/>
    </row>
    <row r="151" spans="1:20">
      <c r="A151" s="378"/>
      <c r="B151" s="378"/>
      <c r="C151" s="364" t="s">
        <v>1333</v>
      </c>
      <c r="D151" s="367">
        <v>147</v>
      </c>
      <c r="E151" s="393" t="s">
        <v>1437</v>
      </c>
      <c r="F151" s="393" t="s">
        <v>1281</v>
      </c>
      <c r="G151" s="351">
        <v>500000</v>
      </c>
      <c r="H151" s="351">
        <v>66650</v>
      </c>
      <c r="I151" s="349">
        <f t="shared" si="37"/>
        <v>566650</v>
      </c>
      <c r="J151" s="348">
        <v>50</v>
      </c>
      <c r="K151" s="380">
        <v>11333</v>
      </c>
      <c r="L151" s="394">
        <f>H151/50</f>
        <v>1333</v>
      </c>
      <c r="M151" s="394">
        <f>G151/50</f>
        <v>10000</v>
      </c>
      <c r="N151" s="394">
        <f t="shared" si="38"/>
        <v>23994</v>
      </c>
      <c r="O151" s="394">
        <f t="shared" si="39"/>
        <v>42656</v>
      </c>
      <c r="P151" s="348">
        <v>18</v>
      </c>
      <c r="Q151" s="354">
        <f t="shared" si="40"/>
        <v>32</v>
      </c>
      <c r="R151" s="350">
        <f t="shared" si="41"/>
        <v>203994</v>
      </c>
      <c r="S151" s="350">
        <f t="shared" si="42"/>
        <v>362656</v>
      </c>
      <c r="T151" s="393"/>
    </row>
    <row r="152" spans="1:20">
      <c r="A152" s="378"/>
      <c r="B152" s="378"/>
      <c r="C152" s="364" t="s">
        <v>1057</v>
      </c>
      <c r="D152" s="367">
        <v>148</v>
      </c>
      <c r="E152" s="393" t="s">
        <v>1437</v>
      </c>
      <c r="F152" s="393" t="s">
        <v>412</v>
      </c>
      <c r="G152" s="351">
        <v>500000</v>
      </c>
      <c r="H152" s="351">
        <v>66650</v>
      </c>
      <c r="I152" s="349">
        <f t="shared" si="37"/>
        <v>566650</v>
      </c>
      <c r="J152" s="348">
        <v>50</v>
      </c>
      <c r="K152" s="380">
        <v>11333</v>
      </c>
      <c r="L152" s="394">
        <f>H152/50</f>
        <v>1333</v>
      </c>
      <c r="M152" s="394">
        <f>G152/50</f>
        <v>10000</v>
      </c>
      <c r="N152" s="394">
        <f t="shared" si="38"/>
        <v>43989</v>
      </c>
      <c r="O152" s="394">
        <f t="shared" si="39"/>
        <v>22661</v>
      </c>
      <c r="P152" s="348">
        <v>33</v>
      </c>
      <c r="Q152" s="354">
        <f t="shared" si="40"/>
        <v>17</v>
      </c>
      <c r="R152" s="350">
        <f t="shared" si="41"/>
        <v>373989</v>
      </c>
      <c r="S152" s="350">
        <f t="shared" si="42"/>
        <v>192661</v>
      </c>
      <c r="T152" s="393"/>
    </row>
    <row r="153" spans="1:20">
      <c r="A153" s="378"/>
      <c r="B153" s="378"/>
      <c r="C153" s="363" t="s">
        <v>1471</v>
      </c>
      <c r="D153" s="367">
        <v>149</v>
      </c>
      <c r="E153" s="393" t="s">
        <v>1437</v>
      </c>
      <c r="F153" s="393" t="s">
        <v>1472</v>
      </c>
      <c r="G153" s="351">
        <v>500000</v>
      </c>
      <c r="H153" s="351">
        <v>66650</v>
      </c>
      <c r="I153" s="349">
        <f t="shared" si="37"/>
        <v>566650</v>
      </c>
      <c r="J153" s="348">
        <v>50</v>
      </c>
      <c r="K153" s="380">
        <v>11333</v>
      </c>
      <c r="L153" s="394">
        <f>H153/50</f>
        <v>1333</v>
      </c>
      <c r="M153" s="394">
        <f>G153/50</f>
        <v>10000</v>
      </c>
      <c r="N153" s="394">
        <f t="shared" si="38"/>
        <v>7998</v>
      </c>
      <c r="O153" s="394">
        <f t="shared" si="39"/>
        <v>58652</v>
      </c>
      <c r="P153" s="348">
        <v>6</v>
      </c>
      <c r="Q153" s="354">
        <f t="shared" si="40"/>
        <v>44</v>
      </c>
      <c r="R153" s="350">
        <f t="shared" si="41"/>
        <v>67998</v>
      </c>
      <c r="S153" s="350">
        <f t="shared" si="42"/>
        <v>498652</v>
      </c>
      <c r="T153" s="393"/>
    </row>
    <row r="154" spans="1:20">
      <c r="A154" s="378"/>
      <c r="B154" s="378"/>
      <c r="C154" s="364" t="s">
        <v>1091</v>
      </c>
      <c r="D154" s="367">
        <v>150</v>
      </c>
      <c r="E154" s="393" t="s">
        <v>1437</v>
      </c>
      <c r="F154" s="393" t="s">
        <v>1092</v>
      </c>
      <c r="G154" s="351">
        <v>500000</v>
      </c>
      <c r="H154" s="351">
        <v>66650</v>
      </c>
      <c r="I154" s="349">
        <f t="shared" si="37"/>
        <v>566650</v>
      </c>
      <c r="J154" s="348">
        <v>50</v>
      </c>
      <c r="K154" s="380">
        <v>11333</v>
      </c>
      <c r="L154" s="394">
        <f>H154/50</f>
        <v>1333</v>
      </c>
      <c r="M154" s="394">
        <f>G154/50</f>
        <v>10000</v>
      </c>
      <c r="N154" s="394">
        <f t="shared" si="38"/>
        <v>83979</v>
      </c>
      <c r="O154" s="394">
        <f t="shared" si="39"/>
        <v>-17329</v>
      </c>
      <c r="P154" s="348">
        <v>63</v>
      </c>
      <c r="Q154" s="354">
        <f t="shared" si="40"/>
        <v>-13</v>
      </c>
      <c r="R154" s="350">
        <f t="shared" si="41"/>
        <v>713979</v>
      </c>
      <c r="S154" s="350">
        <f t="shared" si="42"/>
        <v>-147329</v>
      </c>
      <c r="T154" s="393"/>
    </row>
    <row r="155" spans="1:20">
      <c r="A155" s="378"/>
      <c r="B155" s="378"/>
      <c r="C155" s="363" t="s">
        <v>1493</v>
      </c>
      <c r="D155" s="367">
        <v>151</v>
      </c>
      <c r="E155" s="393" t="s">
        <v>1437</v>
      </c>
      <c r="F155" s="393" t="s">
        <v>461</v>
      </c>
      <c r="G155" s="380">
        <v>750000</v>
      </c>
      <c r="H155" s="380">
        <v>79980</v>
      </c>
      <c r="I155" s="380">
        <f t="shared" si="37"/>
        <v>829980</v>
      </c>
      <c r="J155" s="348">
        <v>48</v>
      </c>
      <c r="K155" s="380">
        <v>17291.25</v>
      </c>
      <c r="L155" s="394">
        <f>H155/48</f>
        <v>1666.25</v>
      </c>
      <c r="M155" s="394">
        <f>G155/48</f>
        <v>15625</v>
      </c>
      <c r="N155" s="394">
        <f t="shared" si="38"/>
        <v>4998.75</v>
      </c>
      <c r="O155" s="394">
        <f t="shared" si="39"/>
        <v>74981.25</v>
      </c>
      <c r="P155" s="348">
        <v>3</v>
      </c>
      <c r="Q155" s="348">
        <f t="shared" si="40"/>
        <v>45</v>
      </c>
      <c r="R155" s="380">
        <f t="shared" si="41"/>
        <v>51873.75</v>
      </c>
      <c r="S155" s="380">
        <f t="shared" si="42"/>
        <v>778106.25</v>
      </c>
      <c r="T155" s="393"/>
    </row>
    <row r="156" spans="1:20">
      <c r="A156" s="378"/>
      <c r="B156" s="378"/>
      <c r="C156" s="363" t="s">
        <v>1324</v>
      </c>
      <c r="D156" s="367">
        <v>152</v>
      </c>
      <c r="E156" s="393" t="s">
        <v>1437</v>
      </c>
      <c r="F156" s="393" t="s">
        <v>1325</v>
      </c>
      <c r="G156" s="351">
        <v>500000</v>
      </c>
      <c r="H156" s="351">
        <v>66650</v>
      </c>
      <c r="I156" s="349">
        <f t="shared" si="37"/>
        <v>566650</v>
      </c>
      <c r="J156" s="348">
        <v>50</v>
      </c>
      <c r="K156" s="380">
        <v>11333</v>
      </c>
      <c r="L156" s="394">
        <f>H156/50</f>
        <v>1333</v>
      </c>
      <c r="M156" s="394">
        <f>G156/50</f>
        <v>10000</v>
      </c>
      <c r="N156" s="394">
        <f t="shared" si="38"/>
        <v>21328</v>
      </c>
      <c r="O156" s="394">
        <f t="shared" si="39"/>
        <v>45322</v>
      </c>
      <c r="P156" s="348">
        <v>16</v>
      </c>
      <c r="Q156" s="354">
        <f t="shared" si="40"/>
        <v>34</v>
      </c>
      <c r="R156" s="350">
        <f t="shared" si="41"/>
        <v>181328</v>
      </c>
      <c r="S156" s="350">
        <f t="shared" si="42"/>
        <v>385322</v>
      </c>
      <c r="T156" s="393"/>
    </row>
    <row r="157" spans="1:20">
      <c r="A157" s="378"/>
      <c r="B157" s="378"/>
      <c r="C157" s="363" t="s">
        <v>1340</v>
      </c>
      <c r="D157" s="367">
        <v>153</v>
      </c>
      <c r="E157" s="393" t="s">
        <v>1437</v>
      </c>
      <c r="F157" s="393" t="s">
        <v>410</v>
      </c>
      <c r="G157" s="351">
        <v>500000</v>
      </c>
      <c r="H157" s="351">
        <v>66650</v>
      </c>
      <c r="I157" s="349">
        <f t="shared" si="37"/>
        <v>566650</v>
      </c>
      <c r="J157" s="348">
        <v>50</v>
      </c>
      <c r="K157" s="380">
        <v>11333</v>
      </c>
      <c r="L157" s="394">
        <f>H157/50</f>
        <v>1333</v>
      </c>
      <c r="M157" s="394">
        <f>G157/50</f>
        <v>10000</v>
      </c>
      <c r="N157" s="394">
        <f t="shared" si="38"/>
        <v>21328</v>
      </c>
      <c r="O157" s="394">
        <f t="shared" si="39"/>
        <v>45322</v>
      </c>
      <c r="P157" s="348">
        <v>16</v>
      </c>
      <c r="Q157" s="354">
        <f t="shared" si="40"/>
        <v>34</v>
      </c>
      <c r="R157" s="350">
        <f t="shared" si="41"/>
        <v>181328</v>
      </c>
      <c r="S157" s="350">
        <f t="shared" si="42"/>
        <v>385322</v>
      </c>
      <c r="T157" s="393"/>
    </row>
    <row r="158" spans="1:20">
      <c r="A158" s="378"/>
      <c r="B158" s="378"/>
      <c r="C158" s="363" t="s">
        <v>1085</v>
      </c>
      <c r="D158" s="367">
        <v>154</v>
      </c>
      <c r="E158" s="393" t="s">
        <v>1437</v>
      </c>
      <c r="F158" s="393" t="s">
        <v>1086</v>
      </c>
      <c r="G158" s="380">
        <v>750000</v>
      </c>
      <c r="H158" s="380">
        <v>99925</v>
      </c>
      <c r="I158" s="380">
        <f t="shared" si="37"/>
        <v>849925</v>
      </c>
      <c r="J158" s="348">
        <v>60</v>
      </c>
      <c r="K158" s="380">
        <v>14166.25</v>
      </c>
      <c r="L158" s="394">
        <f>H158/60</f>
        <v>1665.4166666666667</v>
      </c>
      <c r="M158" s="394">
        <f>G158/60</f>
        <v>12500</v>
      </c>
      <c r="N158" s="394">
        <f t="shared" si="38"/>
        <v>4996.25</v>
      </c>
      <c r="O158" s="394">
        <f t="shared" si="39"/>
        <v>94928.75</v>
      </c>
      <c r="P158" s="348">
        <v>3</v>
      </c>
      <c r="Q158" s="348">
        <f t="shared" si="40"/>
        <v>57</v>
      </c>
      <c r="R158" s="380">
        <f t="shared" si="41"/>
        <v>42498.75</v>
      </c>
      <c r="S158" s="380">
        <f t="shared" si="42"/>
        <v>807426.25</v>
      </c>
      <c r="T158" s="393"/>
    </row>
    <row r="159" spans="1:20">
      <c r="A159" s="378"/>
      <c r="B159" s="378"/>
      <c r="C159" s="363" t="s">
        <v>1021</v>
      </c>
      <c r="D159" s="367">
        <v>155</v>
      </c>
      <c r="E159" s="393" t="s">
        <v>1437</v>
      </c>
      <c r="F159" s="393" t="s">
        <v>1022</v>
      </c>
      <c r="G159" s="351">
        <v>330000</v>
      </c>
      <c r="H159" s="351">
        <v>43989</v>
      </c>
      <c r="I159" s="349">
        <f t="shared" si="37"/>
        <v>373989</v>
      </c>
      <c r="J159" s="348">
        <v>50</v>
      </c>
      <c r="K159" s="380">
        <v>7479.78</v>
      </c>
      <c r="L159" s="394">
        <f>H159/50</f>
        <v>879.78</v>
      </c>
      <c r="M159" s="394">
        <f>G159/50</f>
        <v>6600</v>
      </c>
      <c r="N159" s="394">
        <f t="shared" si="38"/>
        <v>26393.399999999998</v>
      </c>
      <c r="O159" s="394">
        <f t="shared" si="39"/>
        <v>17595.599999999999</v>
      </c>
      <c r="P159" s="348">
        <v>30</v>
      </c>
      <c r="Q159" s="354">
        <f t="shared" si="40"/>
        <v>20</v>
      </c>
      <c r="R159" s="350">
        <f t="shared" si="41"/>
        <v>224393.4</v>
      </c>
      <c r="S159" s="350">
        <f t="shared" si="42"/>
        <v>149595.6</v>
      </c>
      <c r="T159" s="393"/>
    </row>
    <row r="160" spans="1:20">
      <c r="A160" s="378"/>
      <c r="B160" s="378"/>
      <c r="C160" s="363" t="s">
        <v>1481</v>
      </c>
      <c r="D160" s="367">
        <v>156</v>
      </c>
      <c r="E160" s="393" t="s">
        <v>1437</v>
      </c>
      <c r="F160" s="393" t="s">
        <v>1482</v>
      </c>
      <c r="G160" s="351">
        <v>330000</v>
      </c>
      <c r="H160" s="351">
        <v>43989</v>
      </c>
      <c r="I160" s="349">
        <f t="shared" si="37"/>
        <v>373989</v>
      </c>
      <c r="J160" s="348">
        <v>50</v>
      </c>
      <c r="K160" s="380">
        <v>7479.78</v>
      </c>
      <c r="L160" s="394">
        <f>H160/50</f>
        <v>879.78</v>
      </c>
      <c r="M160" s="394">
        <f>G160/50</f>
        <v>6600</v>
      </c>
      <c r="N160" s="394">
        <f t="shared" si="38"/>
        <v>5278.68</v>
      </c>
      <c r="O160" s="394">
        <f t="shared" si="39"/>
        <v>38710.32</v>
      </c>
      <c r="P160" s="348">
        <v>6</v>
      </c>
      <c r="Q160" s="354">
        <f t="shared" si="40"/>
        <v>44</v>
      </c>
      <c r="R160" s="350">
        <f t="shared" si="41"/>
        <v>44878.68</v>
      </c>
      <c r="S160" s="350">
        <f t="shared" si="42"/>
        <v>329110.32</v>
      </c>
      <c r="T160" s="393"/>
    </row>
    <row r="161" spans="1:21">
      <c r="A161" s="378"/>
      <c r="B161" s="378"/>
      <c r="C161" s="364" t="s">
        <v>1385</v>
      </c>
      <c r="D161" s="367">
        <v>157</v>
      </c>
      <c r="E161" s="393" t="s">
        <v>1437</v>
      </c>
      <c r="F161" s="393" t="s">
        <v>1295</v>
      </c>
      <c r="G161" s="351">
        <v>330000</v>
      </c>
      <c r="H161" s="351">
        <v>43989</v>
      </c>
      <c r="I161" s="349">
        <f t="shared" si="37"/>
        <v>373989</v>
      </c>
      <c r="J161" s="348">
        <v>50</v>
      </c>
      <c r="K161" s="380">
        <v>7479.78</v>
      </c>
      <c r="L161" s="394">
        <f>H161/50</f>
        <v>879.78</v>
      </c>
      <c r="M161" s="394">
        <f>G161/50</f>
        <v>6600</v>
      </c>
      <c r="N161" s="394">
        <f t="shared" si="38"/>
        <v>15836.039999999999</v>
      </c>
      <c r="O161" s="394">
        <f t="shared" si="39"/>
        <v>28152.959999999999</v>
      </c>
      <c r="P161" s="348">
        <v>18</v>
      </c>
      <c r="Q161" s="354">
        <f t="shared" si="40"/>
        <v>32</v>
      </c>
      <c r="R161" s="350">
        <f t="shared" si="41"/>
        <v>134636.04</v>
      </c>
      <c r="S161" s="350">
        <f t="shared" si="42"/>
        <v>239352.95999999999</v>
      </c>
      <c r="T161" s="393"/>
      <c r="U161" s="392"/>
    </row>
    <row r="162" spans="1:21" s="392" customFormat="1">
      <c r="A162" s="378"/>
      <c r="C162" s="363" t="s">
        <v>1128</v>
      </c>
      <c r="D162" s="367">
        <v>158</v>
      </c>
      <c r="E162" s="393" t="s">
        <v>1437</v>
      </c>
      <c r="F162" s="393" t="s">
        <v>462</v>
      </c>
      <c r="G162" s="351">
        <v>450000</v>
      </c>
      <c r="H162" s="351">
        <v>59985</v>
      </c>
      <c r="I162" s="349">
        <f t="shared" si="37"/>
        <v>509985</v>
      </c>
      <c r="J162" s="348">
        <v>50</v>
      </c>
      <c r="K162" s="380">
        <v>10199.700000000001</v>
      </c>
      <c r="L162" s="394">
        <f>H162/50</f>
        <v>1199.7</v>
      </c>
      <c r="M162" s="394">
        <f>G162/50</f>
        <v>9000</v>
      </c>
      <c r="N162" s="394">
        <f t="shared" si="38"/>
        <v>10797.300000000001</v>
      </c>
      <c r="O162" s="394">
        <f t="shared" si="39"/>
        <v>49187.700000000004</v>
      </c>
      <c r="P162" s="348">
        <v>9</v>
      </c>
      <c r="Q162" s="354">
        <f t="shared" si="40"/>
        <v>41</v>
      </c>
      <c r="R162" s="350">
        <f t="shared" si="41"/>
        <v>91797.3</v>
      </c>
      <c r="S162" s="350">
        <f t="shared" si="42"/>
        <v>418187.7</v>
      </c>
      <c r="T162" s="393"/>
      <c r="U162" s="336"/>
    </row>
    <row r="163" spans="1:21">
      <c r="A163" s="378"/>
      <c r="C163" s="363" t="s">
        <v>1507</v>
      </c>
      <c r="D163" s="367">
        <v>159</v>
      </c>
      <c r="E163" s="393" t="s">
        <v>1437</v>
      </c>
      <c r="F163" s="393" t="s">
        <v>1508</v>
      </c>
      <c r="G163" s="380">
        <v>600000</v>
      </c>
      <c r="H163" s="380">
        <v>79980</v>
      </c>
      <c r="I163" s="380">
        <f t="shared" si="37"/>
        <v>679980</v>
      </c>
      <c r="J163" s="348">
        <v>60</v>
      </c>
      <c r="K163" s="380">
        <v>11333</v>
      </c>
      <c r="L163" s="394">
        <f>H163/60</f>
        <v>1333</v>
      </c>
      <c r="M163" s="394">
        <f>G163/60</f>
        <v>10000</v>
      </c>
      <c r="N163" s="394">
        <f t="shared" si="38"/>
        <v>3999</v>
      </c>
      <c r="O163" s="394">
        <f t="shared" si="39"/>
        <v>75981</v>
      </c>
      <c r="P163" s="348">
        <v>3</v>
      </c>
      <c r="Q163" s="348">
        <f t="shared" si="40"/>
        <v>57</v>
      </c>
      <c r="R163" s="380">
        <f t="shared" si="41"/>
        <v>33999</v>
      </c>
      <c r="S163" s="380">
        <f t="shared" si="42"/>
        <v>645981</v>
      </c>
      <c r="T163" s="393"/>
    </row>
    <row r="164" spans="1:21">
      <c r="A164" s="378"/>
      <c r="C164" s="364" t="s">
        <v>1004</v>
      </c>
      <c r="D164" s="367">
        <v>160</v>
      </c>
      <c r="E164" s="393" t="s">
        <v>1437</v>
      </c>
      <c r="F164" s="393" t="s">
        <v>107</v>
      </c>
      <c r="G164" s="351">
        <v>450000</v>
      </c>
      <c r="H164" s="351">
        <v>59985</v>
      </c>
      <c r="I164" s="349">
        <f t="shared" si="37"/>
        <v>509985</v>
      </c>
      <c r="J164" s="348">
        <v>50</v>
      </c>
      <c r="K164" s="380">
        <v>10199.700000000001</v>
      </c>
      <c r="L164" s="394">
        <f t="shared" ref="L164:L182" si="45">H164/50</f>
        <v>1199.7</v>
      </c>
      <c r="M164" s="394">
        <f t="shared" ref="M164:M182" si="46">G164/50</f>
        <v>9000</v>
      </c>
      <c r="N164" s="394">
        <f t="shared" si="38"/>
        <v>31192.2</v>
      </c>
      <c r="O164" s="394">
        <f t="shared" si="39"/>
        <v>28792.800000000003</v>
      </c>
      <c r="P164" s="348">
        <v>26</v>
      </c>
      <c r="Q164" s="354">
        <f t="shared" si="40"/>
        <v>24</v>
      </c>
      <c r="R164" s="350">
        <f t="shared" si="41"/>
        <v>265192.2</v>
      </c>
      <c r="S164" s="350">
        <f t="shared" si="42"/>
        <v>244792.8</v>
      </c>
      <c r="T164" s="393"/>
    </row>
    <row r="165" spans="1:21">
      <c r="A165" s="378"/>
      <c r="C165" s="364" t="s">
        <v>1136</v>
      </c>
      <c r="D165" s="367">
        <v>161</v>
      </c>
      <c r="E165" s="393" t="s">
        <v>1437</v>
      </c>
      <c r="F165" s="393" t="s">
        <v>1137</v>
      </c>
      <c r="G165" s="351">
        <v>330000</v>
      </c>
      <c r="H165" s="351">
        <v>43989</v>
      </c>
      <c r="I165" s="349">
        <f t="shared" ref="I165:I186" si="47">SUM(G165:H165)</f>
        <v>373989</v>
      </c>
      <c r="J165" s="348">
        <v>50</v>
      </c>
      <c r="K165" s="380">
        <v>7479.78</v>
      </c>
      <c r="L165" s="394">
        <f t="shared" si="45"/>
        <v>879.78</v>
      </c>
      <c r="M165" s="394">
        <f t="shared" si="46"/>
        <v>6600</v>
      </c>
      <c r="N165" s="394">
        <f t="shared" ref="N165:N186" si="48">L165*P165</f>
        <v>22874.28</v>
      </c>
      <c r="O165" s="394">
        <f t="shared" ref="O165:O186" si="49">L165*Q165</f>
        <v>21114.720000000001</v>
      </c>
      <c r="P165" s="348">
        <v>26</v>
      </c>
      <c r="Q165" s="354">
        <f t="shared" ref="Q165:Q180" si="50">J165-P165</f>
        <v>24</v>
      </c>
      <c r="R165" s="350">
        <f t="shared" ref="R165:R180" si="51">K165*P165</f>
        <v>194474.28</v>
      </c>
      <c r="S165" s="350">
        <f t="shared" ref="S165:S180" si="52">I165-R165</f>
        <v>179514.72</v>
      </c>
      <c r="T165" s="393"/>
    </row>
    <row r="166" spans="1:21">
      <c r="A166" s="378"/>
      <c r="C166" s="363" t="s">
        <v>1452</v>
      </c>
      <c r="D166" s="367">
        <v>162</v>
      </c>
      <c r="E166" s="393" t="s">
        <v>1437</v>
      </c>
      <c r="F166" s="393" t="s">
        <v>1453</v>
      </c>
      <c r="G166" s="351">
        <v>500000</v>
      </c>
      <c r="H166" s="351">
        <v>66650</v>
      </c>
      <c r="I166" s="349">
        <f t="shared" si="47"/>
        <v>566650</v>
      </c>
      <c r="J166" s="348">
        <v>50</v>
      </c>
      <c r="K166" s="380">
        <v>11333</v>
      </c>
      <c r="L166" s="394">
        <f t="shared" si="45"/>
        <v>1333</v>
      </c>
      <c r="M166" s="394">
        <f t="shared" si="46"/>
        <v>10000</v>
      </c>
      <c r="N166" s="394">
        <f t="shared" si="48"/>
        <v>11997</v>
      </c>
      <c r="O166" s="394">
        <f t="shared" si="49"/>
        <v>54653</v>
      </c>
      <c r="P166" s="348">
        <v>9</v>
      </c>
      <c r="Q166" s="354">
        <f t="shared" si="50"/>
        <v>41</v>
      </c>
      <c r="R166" s="350">
        <f t="shared" si="51"/>
        <v>101997</v>
      </c>
      <c r="S166" s="350">
        <f t="shared" si="52"/>
        <v>464653</v>
      </c>
      <c r="T166" s="393"/>
    </row>
    <row r="167" spans="1:21">
      <c r="A167" s="378"/>
      <c r="C167" s="363" t="s">
        <v>1408</v>
      </c>
      <c r="D167" s="367">
        <v>163</v>
      </c>
      <c r="E167" s="393" t="s">
        <v>1437</v>
      </c>
      <c r="F167" s="393" t="s">
        <v>406</v>
      </c>
      <c r="G167" s="351">
        <v>500000</v>
      </c>
      <c r="H167" s="351">
        <v>66650</v>
      </c>
      <c r="I167" s="349">
        <f t="shared" si="47"/>
        <v>566650</v>
      </c>
      <c r="J167" s="348">
        <v>40</v>
      </c>
      <c r="K167" s="380">
        <v>13833</v>
      </c>
      <c r="L167" s="394">
        <f t="shared" si="45"/>
        <v>1333</v>
      </c>
      <c r="M167" s="394">
        <f t="shared" si="46"/>
        <v>10000</v>
      </c>
      <c r="N167" s="394">
        <f t="shared" si="48"/>
        <v>15996</v>
      </c>
      <c r="O167" s="394">
        <f t="shared" si="49"/>
        <v>37324</v>
      </c>
      <c r="P167" s="348">
        <v>12</v>
      </c>
      <c r="Q167" s="354">
        <f t="shared" si="50"/>
        <v>28</v>
      </c>
      <c r="R167" s="350">
        <f t="shared" si="51"/>
        <v>165996</v>
      </c>
      <c r="S167" s="350">
        <f t="shared" si="52"/>
        <v>400654</v>
      </c>
      <c r="T167" s="393"/>
    </row>
    <row r="168" spans="1:21">
      <c r="A168" s="378"/>
      <c r="C168" s="364" t="s">
        <v>1134</v>
      </c>
      <c r="D168" s="367">
        <v>164</v>
      </c>
      <c r="E168" s="393" t="s">
        <v>1437</v>
      </c>
      <c r="F168" s="393" t="s">
        <v>1135</v>
      </c>
      <c r="G168" s="351">
        <v>500000</v>
      </c>
      <c r="H168" s="351">
        <v>66650</v>
      </c>
      <c r="I168" s="349">
        <f t="shared" si="47"/>
        <v>566650</v>
      </c>
      <c r="J168" s="348">
        <v>50</v>
      </c>
      <c r="K168" s="380">
        <v>11333</v>
      </c>
      <c r="L168" s="394">
        <f t="shared" si="45"/>
        <v>1333</v>
      </c>
      <c r="M168" s="394">
        <f t="shared" si="46"/>
        <v>10000</v>
      </c>
      <c r="N168" s="394">
        <f t="shared" si="48"/>
        <v>34658</v>
      </c>
      <c r="O168" s="394">
        <f t="shared" si="49"/>
        <v>31992</v>
      </c>
      <c r="P168" s="348">
        <v>26</v>
      </c>
      <c r="Q168" s="354">
        <f t="shared" si="50"/>
        <v>24</v>
      </c>
      <c r="R168" s="350">
        <f t="shared" si="51"/>
        <v>294658</v>
      </c>
      <c r="S168" s="350">
        <f t="shared" si="52"/>
        <v>271992</v>
      </c>
      <c r="T168" s="393"/>
    </row>
    <row r="169" spans="1:21">
      <c r="A169" s="378"/>
      <c r="C169" s="115" t="s">
        <v>1048</v>
      </c>
      <c r="D169" s="367">
        <v>165</v>
      </c>
      <c r="E169" s="393" t="s">
        <v>1437</v>
      </c>
      <c r="F169" s="393" t="s">
        <v>1049</v>
      </c>
      <c r="G169" s="351">
        <v>450000</v>
      </c>
      <c r="H169" s="351">
        <v>59985</v>
      </c>
      <c r="I169" s="349">
        <f t="shared" si="47"/>
        <v>509985</v>
      </c>
      <c r="J169" s="348">
        <v>50</v>
      </c>
      <c r="K169" s="380">
        <v>10199.700000000001</v>
      </c>
      <c r="L169" s="394">
        <f t="shared" si="45"/>
        <v>1199.7</v>
      </c>
      <c r="M169" s="394">
        <f t="shared" si="46"/>
        <v>9000</v>
      </c>
      <c r="N169" s="394">
        <f t="shared" si="48"/>
        <v>58785.3</v>
      </c>
      <c r="O169" s="394">
        <f t="shared" si="49"/>
        <v>1199.7</v>
      </c>
      <c r="P169" s="348">
        <v>49</v>
      </c>
      <c r="Q169" s="354">
        <f t="shared" si="50"/>
        <v>1</v>
      </c>
      <c r="R169" s="350">
        <f t="shared" si="51"/>
        <v>499785.30000000005</v>
      </c>
      <c r="S169" s="350">
        <f t="shared" si="52"/>
        <v>10199.699999999953</v>
      </c>
      <c r="T169" s="393"/>
    </row>
    <row r="170" spans="1:21">
      <c r="A170" s="378"/>
      <c r="C170" s="364" t="s">
        <v>1090</v>
      </c>
      <c r="D170" s="367">
        <v>166</v>
      </c>
      <c r="E170" s="393" t="s">
        <v>1437</v>
      </c>
      <c r="F170" s="393" t="s">
        <v>295</v>
      </c>
      <c r="G170" s="351">
        <v>500000</v>
      </c>
      <c r="H170" s="351">
        <v>66650</v>
      </c>
      <c r="I170" s="349">
        <f t="shared" si="47"/>
        <v>566650</v>
      </c>
      <c r="J170" s="348">
        <v>50</v>
      </c>
      <c r="K170" s="380">
        <v>11333</v>
      </c>
      <c r="L170" s="394">
        <f t="shared" si="45"/>
        <v>1333</v>
      </c>
      <c r="M170" s="394">
        <f t="shared" si="46"/>
        <v>10000</v>
      </c>
      <c r="N170" s="394">
        <f t="shared" si="48"/>
        <v>43989</v>
      </c>
      <c r="O170" s="394">
        <f t="shared" si="49"/>
        <v>22661</v>
      </c>
      <c r="P170" s="348">
        <v>33</v>
      </c>
      <c r="Q170" s="354">
        <f t="shared" si="50"/>
        <v>17</v>
      </c>
      <c r="R170" s="350">
        <f t="shared" si="51"/>
        <v>373989</v>
      </c>
      <c r="S170" s="350">
        <f t="shared" si="52"/>
        <v>192661</v>
      </c>
      <c r="T170" s="393"/>
    </row>
    <row r="171" spans="1:21">
      <c r="A171" s="378"/>
      <c r="C171" s="364" t="s">
        <v>1337</v>
      </c>
      <c r="D171" s="367">
        <v>167</v>
      </c>
      <c r="E171" s="393" t="s">
        <v>1437</v>
      </c>
      <c r="F171" s="393" t="s">
        <v>1280</v>
      </c>
      <c r="G171" s="351">
        <v>500000</v>
      </c>
      <c r="H171" s="351">
        <v>66650</v>
      </c>
      <c r="I171" s="349">
        <f t="shared" si="47"/>
        <v>566650</v>
      </c>
      <c r="J171" s="348">
        <v>50</v>
      </c>
      <c r="K171" s="380">
        <v>11333</v>
      </c>
      <c r="L171" s="394">
        <f t="shared" si="45"/>
        <v>1333</v>
      </c>
      <c r="M171" s="394">
        <f t="shared" si="46"/>
        <v>10000</v>
      </c>
      <c r="N171" s="394">
        <f t="shared" si="48"/>
        <v>23994</v>
      </c>
      <c r="O171" s="394">
        <f t="shared" si="49"/>
        <v>42656</v>
      </c>
      <c r="P171" s="348">
        <v>18</v>
      </c>
      <c r="Q171" s="354">
        <f t="shared" si="50"/>
        <v>32</v>
      </c>
      <c r="R171" s="350">
        <f t="shared" si="51"/>
        <v>203994</v>
      </c>
      <c r="S171" s="350">
        <f t="shared" si="52"/>
        <v>362656</v>
      </c>
      <c r="T171" s="393"/>
    </row>
    <row r="172" spans="1:21">
      <c r="A172" s="378"/>
      <c r="C172" s="363" t="s">
        <v>1415</v>
      </c>
      <c r="D172" s="367">
        <v>168</v>
      </c>
      <c r="E172" s="393" t="s">
        <v>1437</v>
      </c>
      <c r="F172" s="393" t="s">
        <v>1416</v>
      </c>
      <c r="G172" s="351">
        <v>500000</v>
      </c>
      <c r="H172" s="351">
        <v>66650</v>
      </c>
      <c r="I172" s="349">
        <f t="shared" si="47"/>
        <v>566650</v>
      </c>
      <c r="J172" s="348">
        <v>50</v>
      </c>
      <c r="K172" s="380">
        <v>11333</v>
      </c>
      <c r="L172" s="394">
        <f t="shared" si="45"/>
        <v>1333</v>
      </c>
      <c r="M172" s="394">
        <f t="shared" si="46"/>
        <v>10000</v>
      </c>
      <c r="N172" s="394">
        <f t="shared" si="48"/>
        <v>14663</v>
      </c>
      <c r="O172" s="394">
        <f t="shared" si="49"/>
        <v>51987</v>
      </c>
      <c r="P172" s="348">
        <v>11</v>
      </c>
      <c r="Q172" s="354">
        <f t="shared" si="50"/>
        <v>39</v>
      </c>
      <c r="R172" s="350">
        <f t="shared" si="51"/>
        <v>124663</v>
      </c>
      <c r="S172" s="350">
        <f t="shared" si="52"/>
        <v>441987</v>
      </c>
      <c r="T172" s="393"/>
    </row>
    <row r="173" spans="1:21">
      <c r="A173" s="378"/>
      <c r="C173" s="364" t="s">
        <v>1354</v>
      </c>
      <c r="D173" s="367">
        <v>169</v>
      </c>
      <c r="E173" s="393" t="s">
        <v>1437</v>
      </c>
      <c r="F173" s="393" t="s">
        <v>450</v>
      </c>
      <c r="G173" s="351">
        <v>450000</v>
      </c>
      <c r="H173" s="351">
        <v>59985</v>
      </c>
      <c r="I173" s="349">
        <f t="shared" si="47"/>
        <v>509985</v>
      </c>
      <c r="J173" s="348">
        <v>50</v>
      </c>
      <c r="K173" s="380">
        <v>10199.700000000001</v>
      </c>
      <c r="L173" s="394">
        <f t="shared" si="45"/>
        <v>1199.7</v>
      </c>
      <c r="M173" s="394">
        <f t="shared" si="46"/>
        <v>9000</v>
      </c>
      <c r="N173" s="394">
        <f t="shared" si="48"/>
        <v>29992.5</v>
      </c>
      <c r="O173" s="394">
        <f t="shared" si="49"/>
        <v>29992.5</v>
      </c>
      <c r="P173" s="348">
        <v>25</v>
      </c>
      <c r="Q173" s="354">
        <f t="shared" si="50"/>
        <v>25</v>
      </c>
      <c r="R173" s="350">
        <f t="shared" si="51"/>
        <v>254992.50000000003</v>
      </c>
      <c r="S173" s="350">
        <f t="shared" si="52"/>
        <v>254992.49999999997</v>
      </c>
      <c r="T173" s="393"/>
    </row>
    <row r="174" spans="1:21">
      <c r="A174" s="378"/>
      <c r="C174" s="363" t="s">
        <v>968</v>
      </c>
      <c r="D174" s="367">
        <v>170</v>
      </c>
      <c r="E174" s="393" t="s">
        <v>1437</v>
      </c>
      <c r="F174" s="393" t="s">
        <v>490</v>
      </c>
      <c r="G174" s="351">
        <v>330000</v>
      </c>
      <c r="H174" s="351">
        <v>43989</v>
      </c>
      <c r="I174" s="349">
        <f t="shared" si="47"/>
        <v>373989</v>
      </c>
      <c r="J174" s="348">
        <v>50</v>
      </c>
      <c r="K174" s="380">
        <v>7479.78</v>
      </c>
      <c r="L174" s="394">
        <f t="shared" si="45"/>
        <v>879.78</v>
      </c>
      <c r="M174" s="394">
        <f t="shared" si="46"/>
        <v>6600</v>
      </c>
      <c r="N174" s="394">
        <f t="shared" si="48"/>
        <v>33431.64</v>
      </c>
      <c r="O174" s="394">
        <f t="shared" si="49"/>
        <v>10557.36</v>
      </c>
      <c r="P174" s="348">
        <v>38</v>
      </c>
      <c r="Q174" s="354">
        <f t="shared" si="50"/>
        <v>12</v>
      </c>
      <c r="R174" s="350">
        <f t="shared" si="51"/>
        <v>284231.64</v>
      </c>
      <c r="S174" s="350">
        <f t="shared" si="52"/>
        <v>89757.359999999986</v>
      </c>
      <c r="T174" s="393"/>
    </row>
    <row r="175" spans="1:21">
      <c r="A175" s="378"/>
      <c r="C175" s="115" t="s">
        <v>1036</v>
      </c>
      <c r="D175" s="367">
        <v>171</v>
      </c>
      <c r="E175" s="393" t="s">
        <v>1437</v>
      </c>
      <c r="F175" s="393" t="s">
        <v>216</v>
      </c>
      <c r="G175" s="351">
        <v>60000</v>
      </c>
      <c r="H175" s="351">
        <v>7998</v>
      </c>
      <c r="I175" s="349">
        <f t="shared" si="47"/>
        <v>67998</v>
      </c>
      <c r="J175" s="348">
        <v>40</v>
      </c>
      <c r="K175" s="380">
        <v>1699.95</v>
      </c>
      <c r="L175" s="394">
        <f t="shared" si="45"/>
        <v>159.96</v>
      </c>
      <c r="M175" s="394">
        <f t="shared" si="46"/>
        <v>1200</v>
      </c>
      <c r="N175" s="394">
        <f t="shared" si="48"/>
        <v>6238.4400000000005</v>
      </c>
      <c r="O175" s="394">
        <f t="shared" si="49"/>
        <v>159.96</v>
      </c>
      <c r="P175" s="348">
        <v>39</v>
      </c>
      <c r="Q175" s="354">
        <f t="shared" si="50"/>
        <v>1</v>
      </c>
      <c r="R175" s="350">
        <f t="shared" si="51"/>
        <v>66298.05</v>
      </c>
      <c r="S175" s="350">
        <f t="shared" si="52"/>
        <v>1699.9499999999971</v>
      </c>
      <c r="T175" s="393"/>
    </row>
    <row r="176" spans="1:21">
      <c r="A176" s="378"/>
      <c r="C176" s="363" t="s">
        <v>1379</v>
      </c>
      <c r="D176" s="367">
        <v>172</v>
      </c>
      <c r="E176" s="393" t="s">
        <v>1437</v>
      </c>
      <c r="F176" s="393" t="s">
        <v>1380</v>
      </c>
      <c r="G176" s="351">
        <v>330000</v>
      </c>
      <c r="H176" s="351">
        <v>43989</v>
      </c>
      <c r="I176" s="349">
        <f t="shared" si="47"/>
        <v>373989</v>
      </c>
      <c r="J176" s="348">
        <v>50</v>
      </c>
      <c r="K176" s="380">
        <v>7479.78</v>
      </c>
      <c r="L176" s="394">
        <f t="shared" si="45"/>
        <v>879.78</v>
      </c>
      <c r="M176" s="394">
        <f t="shared" si="46"/>
        <v>6600</v>
      </c>
      <c r="N176" s="394">
        <f t="shared" si="48"/>
        <v>11437.14</v>
      </c>
      <c r="O176" s="394">
        <f t="shared" si="49"/>
        <v>32551.86</v>
      </c>
      <c r="P176" s="348">
        <v>13</v>
      </c>
      <c r="Q176" s="354">
        <f t="shared" si="50"/>
        <v>37</v>
      </c>
      <c r="R176" s="350">
        <f t="shared" si="51"/>
        <v>97237.14</v>
      </c>
      <c r="S176" s="350">
        <f t="shared" si="52"/>
        <v>276751.86</v>
      </c>
      <c r="T176" s="393"/>
    </row>
    <row r="177" spans="1:20">
      <c r="A177" s="378"/>
      <c r="C177" s="364" t="s">
        <v>1372</v>
      </c>
      <c r="D177" s="367">
        <v>173</v>
      </c>
      <c r="E177" s="393" t="s">
        <v>1437</v>
      </c>
      <c r="F177" s="393" t="s">
        <v>1297</v>
      </c>
      <c r="G177" s="351">
        <v>330000</v>
      </c>
      <c r="H177" s="351">
        <v>43989</v>
      </c>
      <c r="I177" s="349">
        <f t="shared" si="47"/>
        <v>373989</v>
      </c>
      <c r="J177" s="348">
        <v>50</v>
      </c>
      <c r="K177" s="380">
        <v>7479.78</v>
      </c>
      <c r="L177" s="394">
        <f t="shared" si="45"/>
        <v>879.78</v>
      </c>
      <c r="M177" s="394">
        <f t="shared" si="46"/>
        <v>6600</v>
      </c>
      <c r="N177" s="394">
        <f t="shared" si="48"/>
        <v>21114.720000000001</v>
      </c>
      <c r="O177" s="394">
        <f t="shared" si="49"/>
        <v>22874.28</v>
      </c>
      <c r="P177" s="348">
        <v>24</v>
      </c>
      <c r="Q177" s="354">
        <f t="shared" si="50"/>
        <v>26</v>
      </c>
      <c r="R177" s="350">
        <f t="shared" si="51"/>
        <v>179514.72</v>
      </c>
      <c r="S177" s="350">
        <f t="shared" si="52"/>
        <v>194474.28</v>
      </c>
      <c r="T177" s="393"/>
    </row>
    <row r="178" spans="1:20">
      <c r="A178" s="378"/>
      <c r="C178" s="363" t="s">
        <v>1447</v>
      </c>
      <c r="D178" s="367">
        <v>174</v>
      </c>
      <c r="E178" s="393" t="s">
        <v>1437</v>
      </c>
      <c r="F178" s="393" t="s">
        <v>1448</v>
      </c>
      <c r="G178" s="351">
        <v>450000</v>
      </c>
      <c r="H178" s="351">
        <v>59985</v>
      </c>
      <c r="I178" s="349">
        <f t="shared" si="47"/>
        <v>509985</v>
      </c>
      <c r="J178" s="348">
        <v>50</v>
      </c>
      <c r="K178" s="380">
        <v>10199.700000000001</v>
      </c>
      <c r="L178" s="394">
        <f t="shared" si="45"/>
        <v>1199.7</v>
      </c>
      <c r="M178" s="394">
        <f t="shared" si="46"/>
        <v>9000</v>
      </c>
      <c r="N178" s="394">
        <f t="shared" si="48"/>
        <v>10797.300000000001</v>
      </c>
      <c r="O178" s="394">
        <f t="shared" si="49"/>
        <v>49187.700000000004</v>
      </c>
      <c r="P178" s="348">
        <v>9</v>
      </c>
      <c r="Q178" s="354">
        <f t="shared" si="50"/>
        <v>41</v>
      </c>
      <c r="R178" s="350">
        <f t="shared" si="51"/>
        <v>91797.3</v>
      </c>
      <c r="S178" s="350">
        <f t="shared" si="52"/>
        <v>418187.7</v>
      </c>
      <c r="T178" s="393"/>
    </row>
    <row r="179" spans="1:20">
      <c r="A179" s="378"/>
      <c r="C179" s="115" t="s">
        <v>1373</v>
      </c>
      <c r="D179" s="367">
        <v>175</v>
      </c>
      <c r="E179" s="393" t="s">
        <v>1437</v>
      </c>
      <c r="F179" s="393" t="s">
        <v>1374</v>
      </c>
      <c r="G179" s="351">
        <v>330000</v>
      </c>
      <c r="H179" s="351">
        <v>43989</v>
      </c>
      <c r="I179" s="349">
        <f t="shared" si="47"/>
        <v>373989</v>
      </c>
      <c r="J179" s="348">
        <v>50</v>
      </c>
      <c r="K179" s="380">
        <v>7479.78</v>
      </c>
      <c r="L179" s="394">
        <f t="shared" si="45"/>
        <v>879.78</v>
      </c>
      <c r="M179" s="394">
        <f t="shared" si="46"/>
        <v>6600</v>
      </c>
      <c r="N179" s="394">
        <f t="shared" si="48"/>
        <v>11437.14</v>
      </c>
      <c r="O179" s="394">
        <f t="shared" si="49"/>
        <v>32551.86</v>
      </c>
      <c r="P179" s="348">
        <v>13</v>
      </c>
      <c r="Q179" s="354">
        <f t="shared" si="50"/>
        <v>37</v>
      </c>
      <c r="R179" s="350">
        <f t="shared" si="51"/>
        <v>97237.14</v>
      </c>
      <c r="S179" s="350">
        <f t="shared" si="52"/>
        <v>276751.86</v>
      </c>
      <c r="T179" s="393"/>
    </row>
    <row r="180" spans="1:20">
      <c r="A180" s="378"/>
      <c r="C180" s="115" t="s">
        <v>1367</v>
      </c>
      <c r="D180" s="367">
        <v>176</v>
      </c>
      <c r="E180" s="393" t="s">
        <v>1437</v>
      </c>
      <c r="F180" s="393" t="s">
        <v>465</v>
      </c>
      <c r="G180" s="351">
        <v>450000</v>
      </c>
      <c r="H180" s="351">
        <v>59985</v>
      </c>
      <c r="I180" s="349">
        <f t="shared" si="47"/>
        <v>509985</v>
      </c>
      <c r="J180" s="348">
        <v>50</v>
      </c>
      <c r="K180" s="380">
        <v>10199.700000000001</v>
      </c>
      <c r="L180" s="394">
        <f t="shared" si="45"/>
        <v>1199.7</v>
      </c>
      <c r="M180" s="394">
        <f t="shared" si="46"/>
        <v>9000</v>
      </c>
      <c r="N180" s="394">
        <f t="shared" si="48"/>
        <v>39590.1</v>
      </c>
      <c r="O180" s="394">
        <f t="shared" si="49"/>
        <v>20394.900000000001</v>
      </c>
      <c r="P180" s="348">
        <v>33</v>
      </c>
      <c r="Q180" s="354">
        <f t="shared" si="50"/>
        <v>17</v>
      </c>
      <c r="R180" s="350">
        <f t="shared" si="51"/>
        <v>336590.10000000003</v>
      </c>
      <c r="S180" s="350">
        <f t="shared" si="52"/>
        <v>173394.89999999997</v>
      </c>
      <c r="T180" s="393"/>
    </row>
    <row r="181" spans="1:20">
      <c r="A181" s="378"/>
      <c r="C181" s="363" t="s">
        <v>1530</v>
      </c>
      <c r="D181" s="367">
        <v>177</v>
      </c>
      <c r="E181" s="393" t="s">
        <v>1437</v>
      </c>
      <c r="F181" s="393" t="s">
        <v>1531</v>
      </c>
      <c r="G181" s="351">
        <v>500000</v>
      </c>
      <c r="H181" s="351">
        <v>66650</v>
      </c>
      <c r="I181" s="349">
        <f t="shared" si="47"/>
        <v>566650</v>
      </c>
      <c r="J181" s="348">
        <v>50</v>
      </c>
      <c r="K181" s="380">
        <v>11333</v>
      </c>
      <c r="L181" s="394">
        <f t="shared" si="45"/>
        <v>1333</v>
      </c>
      <c r="M181" s="394">
        <f t="shared" si="46"/>
        <v>10000</v>
      </c>
      <c r="N181" s="394">
        <f t="shared" si="48"/>
        <v>0</v>
      </c>
      <c r="O181" s="394">
        <f t="shared" si="49"/>
        <v>0</v>
      </c>
      <c r="P181" s="348"/>
      <c r="Q181" s="348"/>
      <c r="R181" s="350">
        <f t="shared" ref="R181:R182" si="53">K181*P181</f>
        <v>0</v>
      </c>
      <c r="S181" s="350">
        <f t="shared" ref="S181:S182" si="54">I181-R181</f>
        <v>566650</v>
      </c>
      <c r="T181" s="393"/>
    </row>
    <row r="182" spans="1:20">
      <c r="A182" s="378"/>
      <c r="C182" s="363" t="s">
        <v>1532</v>
      </c>
      <c r="D182" s="367">
        <v>178</v>
      </c>
      <c r="E182" s="393" t="s">
        <v>1437</v>
      </c>
      <c r="F182" s="393" t="s">
        <v>1533</v>
      </c>
      <c r="G182" s="351">
        <v>450000</v>
      </c>
      <c r="H182" s="351">
        <v>59985</v>
      </c>
      <c r="I182" s="349">
        <f t="shared" si="47"/>
        <v>509985</v>
      </c>
      <c r="J182" s="348">
        <v>50</v>
      </c>
      <c r="K182" s="380">
        <v>20400</v>
      </c>
      <c r="L182" s="394">
        <f t="shared" si="45"/>
        <v>1199.7</v>
      </c>
      <c r="M182" s="394">
        <f t="shared" si="46"/>
        <v>9000</v>
      </c>
      <c r="N182" s="394">
        <f t="shared" si="48"/>
        <v>0</v>
      </c>
      <c r="O182" s="394">
        <f t="shared" si="49"/>
        <v>0</v>
      </c>
      <c r="P182" s="348"/>
      <c r="Q182" s="348"/>
      <c r="R182" s="350">
        <f t="shared" si="53"/>
        <v>0</v>
      </c>
      <c r="S182" s="350">
        <f t="shared" si="54"/>
        <v>509985</v>
      </c>
      <c r="T182" s="393"/>
    </row>
    <row r="183" spans="1:20">
      <c r="A183" s="378"/>
      <c r="C183" s="393"/>
      <c r="D183" s="367">
        <v>179</v>
      </c>
      <c r="E183" s="393" t="s">
        <v>1437</v>
      </c>
      <c r="F183" s="393" t="s">
        <v>1519</v>
      </c>
      <c r="G183" s="380">
        <v>750000</v>
      </c>
      <c r="H183" s="403">
        <v>49987.5</v>
      </c>
      <c r="I183" s="380">
        <f t="shared" si="47"/>
        <v>799987.5</v>
      </c>
      <c r="J183" s="348">
        <v>30</v>
      </c>
      <c r="K183" s="380">
        <v>26666.25</v>
      </c>
      <c r="L183" s="394">
        <f>H183/30</f>
        <v>1666.25</v>
      </c>
      <c r="M183" s="394">
        <f>G183/30</f>
        <v>25000</v>
      </c>
      <c r="N183" s="394">
        <f t="shared" si="48"/>
        <v>4998.75</v>
      </c>
      <c r="O183" s="394">
        <f t="shared" si="49"/>
        <v>44988.75</v>
      </c>
      <c r="P183" s="348">
        <v>3</v>
      </c>
      <c r="Q183" s="354">
        <f>J183-P183</f>
        <v>27</v>
      </c>
      <c r="R183" s="350">
        <f>K183*P183</f>
        <v>79998.75</v>
      </c>
      <c r="S183" s="350">
        <f>I183-R183</f>
        <v>719988.75</v>
      </c>
      <c r="T183" s="393"/>
    </row>
    <row r="184" spans="1:20">
      <c r="A184" s="378"/>
      <c r="C184" s="393"/>
      <c r="D184" s="367">
        <v>180</v>
      </c>
      <c r="E184" s="393" t="s">
        <v>1437</v>
      </c>
      <c r="F184" s="393" t="s">
        <v>1268</v>
      </c>
      <c r="G184" s="351">
        <v>500000</v>
      </c>
      <c r="H184" s="351">
        <v>66650</v>
      </c>
      <c r="I184" s="349">
        <f t="shared" si="47"/>
        <v>566650</v>
      </c>
      <c r="J184" s="348">
        <v>50</v>
      </c>
      <c r="K184" s="380">
        <v>11749.67</v>
      </c>
      <c r="L184" s="394">
        <f>H184/50</f>
        <v>1333</v>
      </c>
      <c r="M184" s="394">
        <f>G184/50</f>
        <v>10000</v>
      </c>
      <c r="N184" s="394">
        <f t="shared" si="48"/>
        <v>50654</v>
      </c>
      <c r="O184" s="394">
        <f t="shared" si="49"/>
        <v>15996</v>
      </c>
      <c r="P184" s="348">
        <v>38</v>
      </c>
      <c r="Q184" s="354">
        <f>J184-P184</f>
        <v>12</v>
      </c>
      <c r="R184" s="350">
        <f>K184*P184</f>
        <v>446487.46</v>
      </c>
      <c r="S184" s="350">
        <f>I184-R184</f>
        <v>120162.53999999998</v>
      </c>
      <c r="T184" s="393"/>
    </row>
    <row r="185" spans="1:20">
      <c r="A185" s="378"/>
      <c r="C185" s="393"/>
      <c r="D185" s="367">
        <v>181</v>
      </c>
      <c r="E185" s="393" t="s">
        <v>1437</v>
      </c>
      <c r="F185" s="393" t="s">
        <v>1420</v>
      </c>
      <c r="G185" s="351">
        <v>450000</v>
      </c>
      <c r="H185" s="351">
        <v>59985</v>
      </c>
      <c r="I185" s="349">
        <f t="shared" si="47"/>
        <v>509985</v>
      </c>
      <c r="J185" s="348">
        <v>50</v>
      </c>
      <c r="K185" s="380">
        <v>10199.700000000001</v>
      </c>
      <c r="L185" s="394">
        <f>H185/50</f>
        <v>1199.7</v>
      </c>
      <c r="M185" s="394">
        <f>G185/50</f>
        <v>9000</v>
      </c>
      <c r="N185" s="394">
        <f t="shared" si="48"/>
        <v>15596.1</v>
      </c>
      <c r="O185" s="394">
        <f t="shared" si="49"/>
        <v>44388.9</v>
      </c>
      <c r="P185" s="348">
        <v>13</v>
      </c>
      <c r="Q185" s="354">
        <f>J185-P185</f>
        <v>37</v>
      </c>
      <c r="R185" s="350">
        <f>K185*P185</f>
        <v>132596.1</v>
      </c>
      <c r="S185" s="350">
        <f>I185-R185</f>
        <v>377388.9</v>
      </c>
      <c r="T185" s="393"/>
    </row>
    <row r="186" spans="1:20">
      <c r="A186" s="378"/>
      <c r="C186" s="393"/>
      <c r="D186" s="367">
        <v>182</v>
      </c>
      <c r="E186" s="393" t="s">
        <v>1437</v>
      </c>
      <c r="F186" s="393" t="s">
        <v>1269</v>
      </c>
      <c r="G186" s="380">
        <v>750000</v>
      </c>
      <c r="H186" s="380">
        <v>99925</v>
      </c>
      <c r="I186" s="380">
        <f t="shared" si="47"/>
        <v>849925</v>
      </c>
      <c r="J186" s="348">
        <v>60</v>
      </c>
      <c r="K186" s="351">
        <v>14166.25</v>
      </c>
      <c r="L186" s="394">
        <f>H186/60</f>
        <v>1665.4166666666667</v>
      </c>
      <c r="M186" s="394">
        <f>G186/60</f>
        <v>12500</v>
      </c>
      <c r="N186" s="394">
        <f t="shared" si="48"/>
        <v>4996.25</v>
      </c>
      <c r="O186" s="394">
        <f t="shared" si="49"/>
        <v>94928.75</v>
      </c>
      <c r="P186" s="348">
        <v>3</v>
      </c>
      <c r="Q186" s="354">
        <f>J186-P186</f>
        <v>57</v>
      </c>
      <c r="R186" s="350">
        <f>K186*P186</f>
        <v>42498.75</v>
      </c>
      <c r="S186" s="350">
        <f>I186-R186</f>
        <v>807426.25</v>
      </c>
      <c r="T186" s="393"/>
    </row>
    <row r="187" spans="1:20">
      <c r="C187" s="393"/>
      <c r="D187" s="393"/>
      <c r="E187" s="393"/>
      <c r="F187" s="393"/>
      <c r="G187" s="404">
        <f>SUM(G5:G186)</f>
        <v>82180000</v>
      </c>
      <c r="H187" s="404">
        <f>SUM(H5:H186)</f>
        <v>10736098.5</v>
      </c>
      <c r="I187" s="405">
        <f>SUM(I5:I186)</f>
        <v>92916098.5</v>
      </c>
      <c r="J187" s="351"/>
      <c r="K187" s="351">
        <f>SUM(K5:K186)</f>
        <v>1897025.1299999992</v>
      </c>
      <c r="L187" s="351">
        <f>SUM(L5:L186)</f>
        <v>212351.06333333332</v>
      </c>
      <c r="M187" s="351">
        <f>SUM(M5:M186)</f>
        <v>1614975</v>
      </c>
      <c r="N187" s="351">
        <f>SUM(N5:N186)</f>
        <v>4369346.5499999989</v>
      </c>
      <c r="O187" s="351">
        <f>SUM(O5:O186)</f>
        <v>6130544.3500000006</v>
      </c>
      <c r="P187" s="348"/>
      <c r="Q187" s="348"/>
      <c r="R187" s="351">
        <f>SUM(R5:R186)</f>
        <v>38014150.459999993</v>
      </c>
      <c r="S187" s="405">
        <f>SUM(S5:S186)</f>
        <v>54901948.039999999</v>
      </c>
      <c r="T187" s="393"/>
    </row>
  </sheetData>
  <sortState ref="C5:T182">
    <sortCondition ref="C5:C182"/>
  </sortState>
  <mergeCells count="3">
    <mergeCell ref="D1:T1"/>
    <mergeCell ref="D2:T2"/>
    <mergeCell ref="D3:T3"/>
  </mergeCells>
  <conditionalFormatting sqref="C86">
    <cfRule type="duplicateValues" dxfId="9" priority="2"/>
  </conditionalFormatting>
  <conditionalFormatting sqref="C112:C122 C100:C105 C92:C95 C4:C80 C86">
    <cfRule type="duplicateValues" dxfId="8" priority="4"/>
  </conditionalFormatting>
  <pageMargins left="0.2" right="0.2" top="0.25" bottom="0.25" header="0.3" footer="0.3"/>
  <pageSetup paperSize="9" scale="55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V176"/>
  <sheetViews>
    <sheetView topLeftCell="J153" zoomScale="90" zoomScaleNormal="90" workbookViewId="0">
      <selection activeCell="P166" sqref="P166"/>
    </sheetView>
  </sheetViews>
  <sheetFormatPr defaultRowHeight="15.75"/>
  <cols>
    <col min="1" max="3" width="14.5703125" style="336" customWidth="1"/>
    <col min="4" max="4" width="18.7109375" style="392" customWidth="1"/>
    <col min="5" max="5" width="5.42578125" style="392" customWidth="1"/>
    <col min="6" max="6" width="13.5703125" style="392" customWidth="1"/>
    <col min="7" max="7" width="36.5703125" style="392" customWidth="1"/>
    <col min="8" max="8" width="16.85546875" style="406" customWidth="1"/>
    <col min="9" max="9" width="16" style="406" customWidth="1"/>
    <col min="10" max="10" width="17.42578125" style="406" customWidth="1"/>
    <col min="11" max="11" width="8.28515625" style="407" customWidth="1"/>
    <col min="12" max="12" width="16.5703125" style="406" customWidth="1"/>
    <col min="13" max="13" width="14.140625" style="408" customWidth="1"/>
    <col min="14" max="14" width="16.85546875" style="408" customWidth="1"/>
    <col min="15" max="15" width="16.5703125" style="408" customWidth="1"/>
    <col min="16" max="16" width="15.85546875" style="408" customWidth="1"/>
    <col min="17" max="17" width="10.140625" style="396" customWidth="1"/>
    <col min="18" max="18" width="12.140625" style="396" customWidth="1"/>
    <col min="19" max="19" width="17" style="406" customWidth="1"/>
    <col min="20" max="20" width="16.85546875" style="406" customWidth="1"/>
    <col min="21" max="21" width="9.5703125" style="392" customWidth="1"/>
    <col min="22" max="16384" width="9.140625" style="336"/>
  </cols>
  <sheetData>
    <row r="1" spans="1:21" ht="22.5">
      <c r="E1" s="427" t="s">
        <v>1421</v>
      </c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  <c r="U1" s="427"/>
    </row>
    <row r="2" spans="1:21" customFormat="1" ht="20.25">
      <c r="D2" s="398"/>
      <c r="E2" s="428" t="s">
        <v>245</v>
      </c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  <c r="U2" s="428"/>
    </row>
    <row r="3" spans="1:21" customFormat="1" ht="18">
      <c r="D3" s="398"/>
      <c r="E3" s="429" t="s">
        <v>1524</v>
      </c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  <c r="U3" s="429"/>
    </row>
    <row r="4" spans="1:21" s="372" customFormat="1" ht="68.25" customHeight="1">
      <c r="D4" s="117" t="s">
        <v>869</v>
      </c>
      <c r="E4" s="369" t="s">
        <v>0</v>
      </c>
      <c r="F4" s="370" t="s">
        <v>1422</v>
      </c>
      <c r="G4" s="370" t="s">
        <v>292</v>
      </c>
      <c r="H4" s="370" t="s">
        <v>1423</v>
      </c>
      <c r="I4" s="369" t="s">
        <v>1424</v>
      </c>
      <c r="J4" s="370" t="s">
        <v>1425</v>
      </c>
      <c r="K4" s="370" t="s">
        <v>1426</v>
      </c>
      <c r="L4" s="370" t="s">
        <v>1427</v>
      </c>
      <c r="M4" s="371" t="s">
        <v>1428</v>
      </c>
      <c r="N4" s="371" t="s">
        <v>1429</v>
      </c>
      <c r="O4" s="371" t="s">
        <v>1430</v>
      </c>
      <c r="P4" s="371" t="s">
        <v>1431</v>
      </c>
      <c r="Q4" s="368" t="s">
        <v>1432</v>
      </c>
      <c r="R4" s="373" t="s">
        <v>1433</v>
      </c>
      <c r="S4" s="370" t="s">
        <v>1434</v>
      </c>
      <c r="T4" s="370" t="s">
        <v>1435</v>
      </c>
      <c r="U4" s="383" t="s">
        <v>1436</v>
      </c>
    </row>
    <row r="5" spans="1:21">
      <c r="A5" s="378"/>
      <c r="B5" s="378"/>
      <c r="C5" s="378"/>
      <c r="D5" s="116" t="s">
        <v>1369</v>
      </c>
      <c r="E5" s="367">
        <v>1</v>
      </c>
      <c r="F5" s="393" t="s">
        <v>1437</v>
      </c>
      <c r="G5" s="399" t="s">
        <v>1282</v>
      </c>
      <c r="H5" s="350">
        <v>330000</v>
      </c>
      <c r="I5" s="350">
        <v>43989</v>
      </c>
      <c r="J5" s="349">
        <f t="shared" ref="J5:J36" si="0">SUM(H5:I5)</f>
        <v>373989</v>
      </c>
      <c r="K5" s="347">
        <v>50</v>
      </c>
      <c r="L5" s="379">
        <v>7479.78</v>
      </c>
      <c r="M5" s="394">
        <f>I5/50</f>
        <v>879.78</v>
      </c>
      <c r="N5" s="394">
        <f>H5/50</f>
        <v>6600</v>
      </c>
      <c r="O5" s="394">
        <f t="shared" ref="O5:O36" si="1">M5*Q5</f>
        <v>16715.82</v>
      </c>
      <c r="P5" s="394">
        <f t="shared" ref="P5:P36" si="2">M5*R5</f>
        <v>27273.18</v>
      </c>
      <c r="Q5" s="352">
        <v>19</v>
      </c>
      <c r="R5" s="354">
        <f t="shared" ref="R5:R36" si="3">K5-Q5</f>
        <v>31</v>
      </c>
      <c r="S5" s="350">
        <f t="shared" ref="S5:S36" si="4">L5*Q5</f>
        <v>142115.82</v>
      </c>
      <c r="T5" s="350">
        <f t="shared" ref="T5:T36" si="5">J5-S5</f>
        <v>231873.18</v>
      </c>
      <c r="U5" s="400"/>
    </row>
    <row r="6" spans="1:21">
      <c r="A6" s="378"/>
      <c r="B6" s="378"/>
      <c r="C6" s="378"/>
      <c r="D6" s="116" t="s">
        <v>1396</v>
      </c>
      <c r="E6" s="367">
        <v>2</v>
      </c>
      <c r="F6" s="393" t="s">
        <v>1437</v>
      </c>
      <c r="G6" s="400" t="s">
        <v>1397</v>
      </c>
      <c r="H6" s="350">
        <v>150000</v>
      </c>
      <c r="I6" s="350">
        <v>19995</v>
      </c>
      <c r="J6" s="349">
        <f t="shared" si="0"/>
        <v>169995</v>
      </c>
      <c r="K6" s="347">
        <v>50</v>
      </c>
      <c r="L6" s="379">
        <v>3399.9</v>
      </c>
      <c r="M6" s="394">
        <f>I6/50</f>
        <v>399.9</v>
      </c>
      <c r="N6" s="394">
        <f>H6/50</f>
        <v>3000</v>
      </c>
      <c r="O6" s="394">
        <f t="shared" si="1"/>
        <v>8397.9</v>
      </c>
      <c r="P6" s="394">
        <f t="shared" si="2"/>
        <v>11597.099999999999</v>
      </c>
      <c r="Q6" s="352">
        <v>21</v>
      </c>
      <c r="R6" s="354">
        <f t="shared" si="3"/>
        <v>29</v>
      </c>
      <c r="S6" s="350">
        <f t="shared" si="4"/>
        <v>71397.900000000009</v>
      </c>
      <c r="T6" s="350">
        <f t="shared" si="5"/>
        <v>98597.099999999991</v>
      </c>
      <c r="U6" s="400"/>
    </row>
    <row r="7" spans="1:21">
      <c r="A7" s="378"/>
      <c r="B7" s="378"/>
      <c r="C7" s="378"/>
      <c r="D7" s="363" t="s">
        <v>1412</v>
      </c>
      <c r="E7" s="367">
        <v>3</v>
      </c>
      <c r="F7" s="393" t="s">
        <v>1437</v>
      </c>
      <c r="G7" s="393" t="s">
        <v>468</v>
      </c>
      <c r="H7" s="351">
        <v>500000</v>
      </c>
      <c r="I7" s="351">
        <v>66650</v>
      </c>
      <c r="J7" s="349">
        <f t="shared" si="0"/>
        <v>566650</v>
      </c>
      <c r="K7" s="348">
        <v>50</v>
      </c>
      <c r="L7" s="380">
        <v>11333</v>
      </c>
      <c r="M7" s="394">
        <f>I7/50</f>
        <v>1333</v>
      </c>
      <c r="N7" s="394">
        <f>H7/50</f>
        <v>10000</v>
      </c>
      <c r="O7" s="394">
        <f t="shared" si="1"/>
        <v>15996</v>
      </c>
      <c r="P7" s="394">
        <f t="shared" si="2"/>
        <v>50654</v>
      </c>
      <c r="Q7" s="348">
        <v>12</v>
      </c>
      <c r="R7" s="354">
        <f t="shared" si="3"/>
        <v>38</v>
      </c>
      <c r="S7" s="350">
        <f t="shared" si="4"/>
        <v>135996</v>
      </c>
      <c r="T7" s="350">
        <f t="shared" si="5"/>
        <v>430654</v>
      </c>
      <c r="U7" s="393"/>
    </row>
    <row r="8" spans="1:21">
      <c r="A8" s="378"/>
      <c r="B8" s="378"/>
      <c r="C8" s="378"/>
      <c r="D8" s="363" t="s">
        <v>1014</v>
      </c>
      <c r="E8" s="367">
        <v>4</v>
      </c>
      <c r="F8" s="393" t="s">
        <v>1437</v>
      </c>
      <c r="G8" s="393" t="s">
        <v>1015</v>
      </c>
      <c r="H8" s="380">
        <v>750000</v>
      </c>
      <c r="I8" s="380">
        <v>66650</v>
      </c>
      <c r="J8" s="380">
        <f t="shared" si="0"/>
        <v>816650</v>
      </c>
      <c r="K8" s="348">
        <v>40</v>
      </c>
      <c r="L8" s="380">
        <v>20416.25</v>
      </c>
      <c r="M8" s="394">
        <f>I8/40</f>
        <v>1666.25</v>
      </c>
      <c r="N8" s="394">
        <f>H8/40</f>
        <v>18750</v>
      </c>
      <c r="O8" s="394">
        <f t="shared" si="1"/>
        <v>6665</v>
      </c>
      <c r="P8" s="394">
        <f t="shared" si="2"/>
        <v>59985</v>
      </c>
      <c r="Q8" s="348">
        <v>4</v>
      </c>
      <c r="R8" s="348">
        <f t="shared" si="3"/>
        <v>36</v>
      </c>
      <c r="S8" s="380">
        <f t="shared" si="4"/>
        <v>81665</v>
      </c>
      <c r="T8" s="380">
        <f t="shared" si="5"/>
        <v>734985</v>
      </c>
      <c r="U8" s="393"/>
    </row>
    <row r="9" spans="1:21">
      <c r="A9" s="378"/>
      <c r="B9" s="378"/>
      <c r="C9" s="378"/>
      <c r="D9" s="363" t="s">
        <v>1489</v>
      </c>
      <c r="E9" s="367">
        <v>5</v>
      </c>
      <c r="F9" s="393" t="s">
        <v>1437</v>
      </c>
      <c r="G9" s="393" t="s">
        <v>1490</v>
      </c>
      <c r="H9" s="351">
        <v>330000</v>
      </c>
      <c r="I9" s="351">
        <v>43989</v>
      </c>
      <c r="J9" s="349">
        <f t="shared" si="0"/>
        <v>373989</v>
      </c>
      <c r="K9" s="348">
        <v>50</v>
      </c>
      <c r="L9" s="380">
        <v>7479.78</v>
      </c>
      <c r="M9" s="394">
        <f>I9/50</f>
        <v>879.78</v>
      </c>
      <c r="N9" s="394">
        <f>H9/50</f>
        <v>6600</v>
      </c>
      <c r="O9" s="394">
        <f t="shared" si="1"/>
        <v>4398.8999999999996</v>
      </c>
      <c r="P9" s="394">
        <f t="shared" si="2"/>
        <v>39590.1</v>
      </c>
      <c r="Q9" s="348">
        <v>5</v>
      </c>
      <c r="R9" s="354">
        <f t="shared" si="3"/>
        <v>45</v>
      </c>
      <c r="S9" s="350">
        <f t="shared" si="4"/>
        <v>37398.9</v>
      </c>
      <c r="T9" s="350">
        <f t="shared" si="5"/>
        <v>336590.1</v>
      </c>
      <c r="U9" s="393"/>
    </row>
    <row r="10" spans="1:21">
      <c r="A10" s="378"/>
      <c r="B10" s="378"/>
      <c r="C10" s="378"/>
      <c r="D10" s="363" t="s">
        <v>1460</v>
      </c>
      <c r="E10" s="367">
        <v>6</v>
      </c>
      <c r="F10" s="393" t="s">
        <v>1437</v>
      </c>
      <c r="G10" s="393" t="s">
        <v>1461</v>
      </c>
      <c r="H10" s="351">
        <v>500000</v>
      </c>
      <c r="I10" s="351">
        <v>66650</v>
      </c>
      <c r="J10" s="349">
        <f t="shared" si="0"/>
        <v>566650</v>
      </c>
      <c r="K10" s="348">
        <v>50</v>
      </c>
      <c r="L10" s="380">
        <v>11333</v>
      </c>
      <c r="M10" s="394">
        <f>I10/50</f>
        <v>1333</v>
      </c>
      <c r="N10" s="394">
        <f>H10/50</f>
        <v>10000</v>
      </c>
      <c r="O10" s="394">
        <f t="shared" si="1"/>
        <v>9331</v>
      </c>
      <c r="P10" s="394">
        <f t="shared" si="2"/>
        <v>57319</v>
      </c>
      <c r="Q10" s="348">
        <v>7</v>
      </c>
      <c r="R10" s="354">
        <f t="shared" si="3"/>
        <v>43</v>
      </c>
      <c r="S10" s="350">
        <f t="shared" si="4"/>
        <v>79331</v>
      </c>
      <c r="T10" s="350">
        <f t="shared" si="5"/>
        <v>487319</v>
      </c>
      <c r="U10" s="401"/>
    </row>
    <row r="11" spans="1:21">
      <c r="A11" s="378"/>
      <c r="B11" s="378"/>
      <c r="C11" s="378"/>
      <c r="D11" s="363" t="s">
        <v>1511</v>
      </c>
      <c r="E11" s="367">
        <v>7</v>
      </c>
      <c r="F11" s="393" t="s">
        <v>1437</v>
      </c>
      <c r="G11" s="393" t="s">
        <v>1512</v>
      </c>
      <c r="H11" s="380">
        <v>450000</v>
      </c>
      <c r="I11" s="380">
        <v>59985</v>
      </c>
      <c r="J11" s="380">
        <f t="shared" si="0"/>
        <v>509985</v>
      </c>
      <c r="K11" s="348">
        <v>60</v>
      </c>
      <c r="L11" s="380">
        <v>8499.75</v>
      </c>
      <c r="M11" s="394">
        <f>I11/60</f>
        <v>999.75</v>
      </c>
      <c r="N11" s="394">
        <f>H11/60</f>
        <v>7500</v>
      </c>
      <c r="O11" s="394">
        <f t="shared" si="1"/>
        <v>3999</v>
      </c>
      <c r="P11" s="394">
        <f t="shared" si="2"/>
        <v>55986</v>
      </c>
      <c r="Q11" s="348">
        <v>4</v>
      </c>
      <c r="R11" s="348">
        <f t="shared" si="3"/>
        <v>56</v>
      </c>
      <c r="S11" s="380">
        <f t="shared" si="4"/>
        <v>33999</v>
      </c>
      <c r="T11" s="380">
        <f t="shared" si="5"/>
        <v>475986</v>
      </c>
      <c r="U11" s="393"/>
    </row>
    <row r="12" spans="1:21">
      <c r="A12" s="378"/>
      <c r="B12" s="378"/>
      <c r="C12" s="378"/>
      <c r="D12" s="363" t="s">
        <v>1418</v>
      </c>
      <c r="E12" s="367">
        <v>8</v>
      </c>
      <c r="F12" s="393" t="s">
        <v>1437</v>
      </c>
      <c r="G12" s="393" t="s">
        <v>455</v>
      </c>
      <c r="H12" s="351">
        <v>150000</v>
      </c>
      <c r="I12" s="351">
        <v>19995</v>
      </c>
      <c r="J12" s="349">
        <f t="shared" si="0"/>
        <v>169995</v>
      </c>
      <c r="K12" s="348">
        <v>50</v>
      </c>
      <c r="L12" s="380">
        <v>3399.9</v>
      </c>
      <c r="M12" s="394">
        <f>I12/50</f>
        <v>399.9</v>
      </c>
      <c r="N12" s="394">
        <f>H12/50</f>
        <v>3000</v>
      </c>
      <c r="O12" s="394">
        <f t="shared" si="1"/>
        <v>4798.7999999999993</v>
      </c>
      <c r="P12" s="394">
        <f t="shared" si="2"/>
        <v>15196.199999999999</v>
      </c>
      <c r="Q12" s="348">
        <v>12</v>
      </c>
      <c r="R12" s="354">
        <f t="shared" si="3"/>
        <v>38</v>
      </c>
      <c r="S12" s="350">
        <f t="shared" si="4"/>
        <v>40798.800000000003</v>
      </c>
      <c r="T12" s="350">
        <f t="shared" si="5"/>
        <v>129196.2</v>
      </c>
      <c r="U12" s="393"/>
    </row>
    <row r="13" spans="1:21">
      <c r="A13" s="378"/>
      <c r="B13" s="378"/>
      <c r="C13" s="378"/>
      <c r="D13" s="363" t="s">
        <v>1034</v>
      </c>
      <c r="E13" s="367">
        <v>9</v>
      </c>
      <c r="F13" s="393" t="s">
        <v>1437</v>
      </c>
      <c r="G13" s="400" t="s">
        <v>1035</v>
      </c>
      <c r="H13" s="350">
        <v>500000</v>
      </c>
      <c r="I13" s="350">
        <v>66650</v>
      </c>
      <c r="J13" s="349">
        <f t="shared" si="0"/>
        <v>566650</v>
      </c>
      <c r="K13" s="347">
        <v>50</v>
      </c>
      <c r="L13" s="379">
        <v>11333</v>
      </c>
      <c r="M13" s="394">
        <f>I13/50</f>
        <v>1333</v>
      </c>
      <c r="N13" s="394">
        <f>H13/50</f>
        <v>10000</v>
      </c>
      <c r="O13" s="394">
        <f t="shared" si="1"/>
        <v>45322</v>
      </c>
      <c r="P13" s="394">
        <f t="shared" si="2"/>
        <v>21328</v>
      </c>
      <c r="Q13" s="347">
        <v>34</v>
      </c>
      <c r="R13" s="354">
        <f t="shared" si="3"/>
        <v>16</v>
      </c>
      <c r="S13" s="350">
        <f t="shared" si="4"/>
        <v>385322</v>
      </c>
      <c r="T13" s="350">
        <f t="shared" si="5"/>
        <v>181328</v>
      </c>
      <c r="U13" s="400"/>
    </row>
    <row r="14" spans="1:21">
      <c r="A14" s="378"/>
      <c r="B14" s="378"/>
      <c r="C14" s="378"/>
      <c r="D14" s="363" t="s">
        <v>1462</v>
      </c>
      <c r="E14" s="367">
        <v>10</v>
      </c>
      <c r="F14" s="393" t="s">
        <v>1437</v>
      </c>
      <c r="G14" s="393" t="s">
        <v>458</v>
      </c>
      <c r="H14" s="351">
        <v>500000</v>
      </c>
      <c r="I14" s="351">
        <v>66650</v>
      </c>
      <c r="J14" s="349">
        <f t="shared" si="0"/>
        <v>566650</v>
      </c>
      <c r="K14" s="348">
        <v>50</v>
      </c>
      <c r="L14" s="380">
        <v>11333</v>
      </c>
      <c r="M14" s="394">
        <f>I14/50</f>
        <v>1333</v>
      </c>
      <c r="N14" s="394">
        <f>H14/50</f>
        <v>10000</v>
      </c>
      <c r="O14" s="394">
        <f t="shared" si="1"/>
        <v>9331</v>
      </c>
      <c r="P14" s="394">
        <f t="shared" si="2"/>
        <v>57319</v>
      </c>
      <c r="Q14" s="348">
        <v>7</v>
      </c>
      <c r="R14" s="354">
        <f t="shared" si="3"/>
        <v>43</v>
      </c>
      <c r="S14" s="350">
        <f t="shared" si="4"/>
        <v>79331</v>
      </c>
      <c r="T14" s="350">
        <f t="shared" si="5"/>
        <v>487319</v>
      </c>
      <c r="U14" s="393"/>
    </row>
    <row r="15" spans="1:21">
      <c r="A15" s="378"/>
      <c r="B15" s="378"/>
      <c r="C15" s="378"/>
      <c r="D15" s="363" t="s">
        <v>1496</v>
      </c>
      <c r="E15" s="367">
        <v>11</v>
      </c>
      <c r="F15" s="393" t="s">
        <v>1437</v>
      </c>
      <c r="G15" s="393" t="s">
        <v>447</v>
      </c>
      <c r="H15" s="380">
        <v>750000</v>
      </c>
      <c r="I15" s="380">
        <v>99925</v>
      </c>
      <c r="J15" s="380">
        <f t="shared" si="0"/>
        <v>849925</v>
      </c>
      <c r="K15" s="348">
        <v>60</v>
      </c>
      <c r="L15" s="380">
        <v>14166.25</v>
      </c>
      <c r="M15" s="394">
        <f>I15/60</f>
        <v>1665.4166666666667</v>
      </c>
      <c r="N15" s="394">
        <f>H15/60</f>
        <v>12500</v>
      </c>
      <c r="O15" s="394">
        <f t="shared" si="1"/>
        <v>6661.666666666667</v>
      </c>
      <c r="P15" s="394">
        <f t="shared" si="2"/>
        <v>93263.333333333343</v>
      </c>
      <c r="Q15" s="348">
        <v>4</v>
      </c>
      <c r="R15" s="348">
        <f t="shared" si="3"/>
        <v>56</v>
      </c>
      <c r="S15" s="380">
        <f t="shared" si="4"/>
        <v>56665</v>
      </c>
      <c r="T15" s="380">
        <f t="shared" si="5"/>
        <v>793260</v>
      </c>
      <c r="U15" s="393"/>
    </row>
    <row r="16" spans="1:21">
      <c r="A16" s="378"/>
      <c r="B16" s="378"/>
      <c r="C16" s="378"/>
      <c r="D16" s="363" t="s">
        <v>1101</v>
      </c>
      <c r="E16" s="367">
        <v>12</v>
      </c>
      <c r="F16" s="393" t="s">
        <v>1437</v>
      </c>
      <c r="G16" s="393" t="s">
        <v>290</v>
      </c>
      <c r="H16" s="351">
        <v>330000</v>
      </c>
      <c r="I16" s="351">
        <v>43989</v>
      </c>
      <c r="J16" s="349">
        <f t="shared" si="0"/>
        <v>373989</v>
      </c>
      <c r="K16" s="348">
        <v>50</v>
      </c>
      <c r="L16" s="380">
        <v>7479.78</v>
      </c>
      <c r="M16" s="394">
        <f t="shared" ref="M16:M26" si="6">I16/50</f>
        <v>879.78</v>
      </c>
      <c r="N16" s="394">
        <f t="shared" ref="N16:N26" si="7">H16/50</f>
        <v>6600</v>
      </c>
      <c r="O16" s="394">
        <f t="shared" si="1"/>
        <v>6158.46</v>
      </c>
      <c r="P16" s="394">
        <f t="shared" si="2"/>
        <v>37830.54</v>
      </c>
      <c r="Q16" s="348">
        <v>7</v>
      </c>
      <c r="R16" s="354">
        <f t="shared" si="3"/>
        <v>43</v>
      </c>
      <c r="S16" s="350">
        <f t="shared" si="4"/>
        <v>52358.46</v>
      </c>
      <c r="T16" s="350">
        <f t="shared" si="5"/>
        <v>321630.53999999998</v>
      </c>
      <c r="U16" s="393"/>
    </row>
    <row r="17" spans="1:21">
      <c r="A17" s="378"/>
      <c r="B17" s="378"/>
      <c r="C17" s="378"/>
      <c r="D17" s="364" t="s">
        <v>1382</v>
      </c>
      <c r="E17" s="367">
        <v>13</v>
      </c>
      <c r="F17" s="393" t="s">
        <v>1437</v>
      </c>
      <c r="G17" s="400" t="s">
        <v>1130</v>
      </c>
      <c r="H17" s="350">
        <v>330000</v>
      </c>
      <c r="I17" s="350">
        <v>43989</v>
      </c>
      <c r="J17" s="349">
        <f t="shared" si="0"/>
        <v>373989</v>
      </c>
      <c r="K17" s="347">
        <v>50</v>
      </c>
      <c r="L17" s="379">
        <v>7479.78</v>
      </c>
      <c r="M17" s="394">
        <f t="shared" si="6"/>
        <v>879.78</v>
      </c>
      <c r="N17" s="394">
        <f t="shared" si="7"/>
        <v>6600</v>
      </c>
      <c r="O17" s="394">
        <f t="shared" si="1"/>
        <v>22874.28</v>
      </c>
      <c r="P17" s="394">
        <f t="shared" si="2"/>
        <v>21114.720000000001</v>
      </c>
      <c r="Q17" s="353">
        <v>26</v>
      </c>
      <c r="R17" s="354">
        <f t="shared" si="3"/>
        <v>24</v>
      </c>
      <c r="S17" s="350">
        <f t="shared" si="4"/>
        <v>194474.28</v>
      </c>
      <c r="T17" s="350">
        <f t="shared" si="5"/>
        <v>179514.72</v>
      </c>
      <c r="U17" s="400"/>
    </row>
    <row r="18" spans="1:21">
      <c r="A18" s="378"/>
      <c r="B18" s="378"/>
      <c r="C18" s="378"/>
      <c r="D18" s="364" t="s">
        <v>1350</v>
      </c>
      <c r="E18" s="367">
        <v>14</v>
      </c>
      <c r="F18" s="393" t="s">
        <v>1437</v>
      </c>
      <c r="G18" s="399" t="s">
        <v>1117</v>
      </c>
      <c r="H18" s="350">
        <v>500000</v>
      </c>
      <c r="I18" s="350">
        <v>66650</v>
      </c>
      <c r="J18" s="349">
        <f t="shared" si="0"/>
        <v>566650</v>
      </c>
      <c r="K18" s="347">
        <v>50</v>
      </c>
      <c r="L18" s="379">
        <v>11333</v>
      </c>
      <c r="M18" s="394">
        <f t="shared" si="6"/>
        <v>1333</v>
      </c>
      <c r="N18" s="394">
        <f t="shared" si="7"/>
        <v>10000</v>
      </c>
      <c r="O18" s="394">
        <f t="shared" si="1"/>
        <v>34658</v>
      </c>
      <c r="P18" s="394">
        <f t="shared" si="2"/>
        <v>31992</v>
      </c>
      <c r="Q18" s="352">
        <v>26</v>
      </c>
      <c r="R18" s="354">
        <f t="shared" si="3"/>
        <v>24</v>
      </c>
      <c r="S18" s="350">
        <f t="shared" si="4"/>
        <v>294658</v>
      </c>
      <c r="T18" s="350">
        <f t="shared" si="5"/>
        <v>271992</v>
      </c>
      <c r="U18" s="400"/>
    </row>
    <row r="19" spans="1:21">
      <c r="A19" s="378"/>
      <c r="B19" s="378"/>
      <c r="C19" s="378"/>
      <c r="D19" s="116" t="s">
        <v>1338</v>
      </c>
      <c r="E19" s="367">
        <v>15</v>
      </c>
      <c r="F19" s="393" t="s">
        <v>1437</v>
      </c>
      <c r="G19" s="400" t="s">
        <v>438</v>
      </c>
      <c r="H19" s="350">
        <v>500000</v>
      </c>
      <c r="I19" s="350">
        <v>66650</v>
      </c>
      <c r="J19" s="349">
        <f t="shared" si="0"/>
        <v>566650</v>
      </c>
      <c r="K19" s="347">
        <v>50</v>
      </c>
      <c r="L19" s="379">
        <v>11333</v>
      </c>
      <c r="M19" s="394">
        <f t="shared" si="6"/>
        <v>1333</v>
      </c>
      <c r="N19" s="394">
        <f t="shared" si="7"/>
        <v>10000</v>
      </c>
      <c r="O19" s="394">
        <f t="shared" si="1"/>
        <v>18662</v>
      </c>
      <c r="P19" s="394">
        <f t="shared" si="2"/>
        <v>47988</v>
      </c>
      <c r="Q19" s="352">
        <v>14</v>
      </c>
      <c r="R19" s="354">
        <f t="shared" si="3"/>
        <v>36</v>
      </c>
      <c r="S19" s="350">
        <f t="shared" si="4"/>
        <v>158662</v>
      </c>
      <c r="T19" s="350">
        <f t="shared" si="5"/>
        <v>407988</v>
      </c>
      <c r="U19" s="400"/>
    </row>
    <row r="20" spans="1:21">
      <c r="A20" s="378"/>
      <c r="B20" s="378"/>
      <c r="C20" s="378"/>
      <c r="D20" s="363" t="s">
        <v>1413</v>
      </c>
      <c r="E20" s="367">
        <v>16</v>
      </c>
      <c r="F20" s="393" t="s">
        <v>1437</v>
      </c>
      <c r="G20" s="393" t="s">
        <v>454</v>
      </c>
      <c r="H20" s="351">
        <v>500000</v>
      </c>
      <c r="I20" s="351">
        <v>66650</v>
      </c>
      <c r="J20" s="349">
        <f t="shared" si="0"/>
        <v>566650</v>
      </c>
      <c r="K20" s="348">
        <v>50</v>
      </c>
      <c r="L20" s="380">
        <v>11333</v>
      </c>
      <c r="M20" s="394">
        <f t="shared" si="6"/>
        <v>1333</v>
      </c>
      <c r="N20" s="394">
        <f t="shared" si="7"/>
        <v>10000</v>
      </c>
      <c r="O20" s="394">
        <f t="shared" si="1"/>
        <v>15996</v>
      </c>
      <c r="P20" s="394">
        <f t="shared" si="2"/>
        <v>50654</v>
      </c>
      <c r="Q20" s="348">
        <v>12</v>
      </c>
      <c r="R20" s="354">
        <f t="shared" si="3"/>
        <v>38</v>
      </c>
      <c r="S20" s="350">
        <f t="shared" si="4"/>
        <v>135996</v>
      </c>
      <c r="T20" s="350">
        <f t="shared" si="5"/>
        <v>430654</v>
      </c>
      <c r="U20" s="393"/>
    </row>
    <row r="21" spans="1:21">
      <c r="A21" s="378"/>
      <c r="B21" s="378"/>
      <c r="C21" s="378"/>
      <c r="D21" s="116" t="s">
        <v>1343</v>
      </c>
      <c r="E21" s="367">
        <v>17</v>
      </c>
      <c r="F21" s="393" t="s">
        <v>1437</v>
      </c>
      <c r="G21" s="400" t="s">
        <v>451</v>
      </c>
      <c r="H21" s="350">
        <v>500000</v>
      </c>
      <c r="I21" s="350">
        <v>66650</v>
      </c>
      <c r="J21" s="349">
        <f t="shared" si="0"/>
        <v>566650</v>
      </c>
      <c r="K21" s="347">
        <v>50</v>
      </c>
      <c r="L21" s="379">
        <v>11333</v>
      </c>
      <c r="M21" s="394">
        <f t="shared" si="6"/>
        <v>1333</v>
      </c>
      <c r="N21" s="394">
        <f t="shared" si="7"/>
        <v>10000</v>
      </c>
      <c r="O21" s="394">
        <f t="shared" si="1"/>
        <v>33325</v>
      </c>
      <c r="P21" s="394">
        <f t="shared" si="2"/>
        <v>33325</v>
      </c>
      <c r="Q21" s="353">
        <v>25</v>
      </c>
      <c r="R21" s="354">
        <f t="shared" si="3"/>
        <v>25</v>
      </c>
      <c r="S21" s="350">
        <f t="shared" si="4"/>
        <v>283325</v>
      </c>
      <c r="T21" s="350">
        <f t="shared" si="5"/>
        <v>283325</v>
      </c>
      <c r="U21" s="400"/>
    </row>
    <row r="22" spans="1:21">
      <c r="A22" s="378"/>
      <c r="B22" s="378"/>
      <c r="C22" s="378"/>
      <c r="D22" s="363" t="s">
        <v>1463</v>
      </c>
      <c r="E22" s="367">
        <v>18</v>
      </c>
      <c r="F22" s="393" t="s">
        <v>1437</v>
      </c>
      <c r="G22" s="393" t="s">
        <v>472</v>
      </c>
      <c r="H22" s="351">
        <v>500000</v>
      </c>
      <c r="I22" s="351">
        <v>66650</v>
      </c>
      <c r="J22" s="349">
        <f t="shared" si="0"/>
        <v>566650</v>
      </c>
      <c r="K22" s="348">
        <v>50</v>
      </c>
      <c r="L22" s="380">
        <v>11333</v>
      </c>
      <c r="M22" s="394">
        <f t="shared" si="6"/>
        <v>1333</v>
      </c>
      <c r="N22" s="394">
        <f t="shared" si="7"/>
        <v>10000</v>
      </c>
      <c r="O22" s="394">
        <f t="shared" si="1"/>
        <v>9331</v>
      </c>
      <c r="P22" s="394">
        <f t="shared" si="2"/>
        <v>57319</v>
      </c>
      <c r="Q22" s="348">
        <v>7</v>
      </c>
      <c r="R22" s="354">
        <f t="shared" si="3"/>
        <v>43</v>
      </c>
      <c r="S22" s="350">
        <f t="shared" si="4"/>
        <v>79331</v>
      </c>
      <c r="T22" s="350">
        <f t="shared" si="5"/>
        <v>487319</v>
      </c>
      <c r="U22" s="393"/>
    </row>
    <row r="23" spans="1:21">
      <c r="A23" s="378"/>
      <c r="B23" s="378"/>
      <c r="C23" s="378"/>
      <c r="D23" s="363" t="s">
        <v>1107</v>
      </c>
      <c r="E23" s="367">
        <v>19</v>
      </c>
      <c r="F23" s="393" t="s">
        <v>1437</v>
      </c>
      <c r="G23" s="400" t="s">
        <v>734</v>
      </c>
      <c r="H23" s="350">
        <v>500000</v>
      </c>
      <c r="I23" s="350">
        <v>66650</v>
      </c>
      <c r="J23" s="349">
        <f t="shared" si="0"/>
        <v>566650</v>
      </c>
      <c r="K23" s="347">
        <v>50</v>
      </c>
      <c r="L23" s="379">
        <v>11333</v>
      </c>
      <c r="M23" s="394">
        <f t="shared" si="6"/>
        <v>1333</v>
      </c>
      <c r="N23" s="394">
        <f t="shared" si="7"/>
        <v>10000</v>
      </c>
      <c r="O23" s="394">
        <f t="shared" si="1"/>
        <v>18662</v>
      </c>
      <c r="P23" s="394">
        <f t="shared" si="2"/>
        <v>47988</v>
      </c>
      <c r="Q23" s="353">
        <v>14</v>
      </c>
      <c r="R23" s="354">
        <f t="shared" si="3"/>
        <v>36</v>
      </c>
      <c r="S23" s="350">
        <f t="shared" si="4"/>
        <v>158662</v>
      </c>
      <c r="T23" s="350">
        <f t="shared" si="5"/>
        <v>407988</v>
      </c>
      <c r="U23" s="400"/>
    </row>
    <row r="24" spans="1:21">
      <c r="A24" s="378"/>
      <c r="B24" s="378"/>
      <c r="C24" s="378"/>
      <c r="D24" s="363" t="s">
        <v>1344</v>
      </c>
      <c r="E24" s="367">
        <v>20</v>
      </c>
      <c r="F24" s="393" t="s">
        <v>1437</v>
      </c>
      <c r="G24" s="400" t="s">
        <v>1345</v>
      </c>
      <c r="H24" s="350">
        <v>500000</v>
      </c>
      <c r="I24" s="350">
        <v>66650</v>
      </c>
      <c r="J24" s="349">
        <f t="shared" si="0"/>
        <v>566650</v>
      </c>
      <c r="K24" s="347">
        <v>50</v>
      </c>
      <c r="L24" s="379">
        <v>11333</v>
      </c>
      <c r="M24" s="394">
        <f t="shared" si="6"/>
        <v>1333</v>
      </c>
      <c r="N24" s="394">
        <f t="shared" si="7"/>
        <v>10000</v>
      </c>
      <c r="O24" s="394">
        <f t="shared" si="1"/>
        <v>22661</v>
      </c>
      <c r="P24" s="394">
        <f t="shared" si="2"/>
        <v>43989</v>
      </c>
      <c r="Q24" s="352">
        <v>17</v>
      </c>
      <c r="R24" s="354">
        <f t="shared" si="3"/>
        <v>33</v>
      </c>
      <c r="S24" s="350">
        <f t="shared" si="4"/>
        <v>192661</v>
      </c>
      <c r="T24" s="350">
        <f t="shared" si="5"/>
        <v>373989</v>
      </c>
      <c r="U24" s="400"/>
    </row>
    <row r="25" spans="1:21">
      <c r="A25" s="378"/>
      <c r="B25" s="378"/>
      <c r="C25" s="378"/>
      <c r="D25" s="364" t="s">
        <v>989</v>
      </c>
      <c r="E25" s="367">
        <v>21</v>
      </c>
      <c r="F25" s="393" t="s">
        <v>1437</v>
      </c>
      <c r="G25" s="399" t="s">
        <v>864</v>
      </c>
      <c r="H25" s="350">
        <v>500000</v>
      </c>
      <c r="I25" s="350">
        <v>66650</v>
      </c>
      <c r="J25" s="349">
        <f t="shared" si="0"/>
        <v>566650</v>
      </c>
      <c r="K25" s="347">
        <v>50</v>
      </c>
      <c r="L25" s="379">
        <v>11333</v>
      </c>
      <c r="M25" s="394">
        <f t="shared" si="6"/>
        <v>1333</v>
      </c>
      <c r="N25" s="394">
        <f t="shared" si="7"/>
        <v>10000</v>
      </c>
      <c r="O25" s="394">
        <f t="shared" si="1"/>
        <v>45322</v>
      </c>
      <c r="P25" s="394">
        <f t="shared" si="2"/>
        <v>21328</v>
      </c>
      <c r="Q25" s="352">
        <v>34</v>
      </c>
      <c r="R25" s="354">
        <f t="shared" si="3"/>
        <v>16</v>
      </c>
      <c r="S25" s="350">
        <f t="shared" si="4"/>
        <v>385322</v>
      </c>
      <c r="T25" s="350">
        <f t="shared" si="5"/>
        <v>181328</v>
      </c>
      <c r="U25" s="400"/>
    </row>
    <row r="26" spans="1:21">
      <c r="A26" s="378"/>
      <c r="B26" s="378"/>
      <c r="C26" s="378"/>
      <c r="D26" s="363" t="s">
        <v>1038</v>
      </c>
      <c r="E26" s="367">
        <v>22</v>
      </c>
      <c r="F26" s="393" t="s">
        <v>1437</v>
      </c>
      <c r="G26" s="393" t="s">
        <v>375</v>
      </c>
      <c r="H26" s="351">
        <v>450000</v>
      </c>
      <c r="I26" s="351">
        <v>59985</v>
      </c>
      <c r="J26" s="349">
        <f t="shared" si="0"/>
        <v>509985</v>
      </c>
      <c r="K26" s="348">
        <v>50</v>
      </c>
      <c r="L26" s="380">
        <v>10199.700000000001</v>
      </c>
      <c r="M26" s="394">
        <f t="shared" si="6"/>
        <v>1199.7</v>
      </c>
      <c r="N26" s="394">
        <f t="shared" si="7"/>
        <v>9000</v>
      </c>
      <c r="O26" s="394">
        <f t="shared" si="1"/>
        <v>11997</v>
      </c>
      <c r="P26" s="394">
        <f t="shared" si="2"/>
        <v>47988</v>
      </c>
      <c r="Q26" s="348">
        <v>10</v>
      </c>
      <c r="R26" s="354">
        <f t="shared" si="3"/>
        <v>40</v>
      </c>
      <c r="S26" s="350">
        <f t="shared" si="4"/>
        <v>101997</v>
      </c>
      <c r="T26" s="350">
        <f t="shared" si="5"/>
        <v>407988</v>
      </c>
      <c r="U26" s="393"/>
    </row>
    <row r="27" spans="1:21">
      <c r="A27" s="378"/>
      <c r="B27" s="378"/>
      <c r="C27" s="378"/>
      <c r="D27" s="363" t="s">
        <v>1505</v>
      </c>
      <c r="E27" s="367">
        <v>23</v>
      </c>
      <c r="F27" s="393" t="s">
        <v>1437</v>
      </c>
      <c r="G27" s="393" t="s">
        <v>1506</v>
      </c>
      <c r="H27" s="380">
        <v>600000</v>
      </c>
      <c r="I27" s="380">
        <v>79980</v>
      </c>
      <c r="J27" s="380">
        <f t="shared" si="0"/>
        <v>679980</v>
      </c>
      <c r="K27" s="348">
        <v>60</v>
      </c>
      <c r="L27" s="380">
        <v>11333</v>
      </c>
      <c r="M27" s="394">
        <f>I27/60</f>
        <v>1333</v>
      </c>
      <c r="N27" s="394">
        <f>H27/60</f>
        <v>10000</v>
      </c>
      <c r="O27" s="394">
        <f t="shared" si="1"/>
        <v>5332</v>
      </c>
      <c r="P27" s="394">
        <f t="shared" si="2"/>
        <v>74648</v>
      </c>
      <c r="Q27" s="348">
        <v>4</v>
      </c>
      <c r="R27" s="348">
        <f t="shared" si="3"/>
        <v>56</v>
      </c>
      <c r="S27" s="380">
        <f t="shared" si="4"/>
        <v>45332</v>
      </c>
      <c r="T27" s="380">
        <f t="shared" si="5"/>
        <v>634648</v>
      </c>
      <c r="U27" s="393"/>
    </row>
    <row r="28" spans="1:21">
      <c r="A28" s="378"/>
      <c r="B28" s="378"/>
      <c r="C28" s="378"/>
      <c r="D28" s="363" t="s">
        <v>1352</v>
      </c>
      <c r="E28" s="367">
        <v>24</v>
      </c>
      <c r="F28" s="393" t="s">
        <v>1437</v>
      </c>
      <c r="G28" s="400" t="s">
        <v>1353</v>
      </c>
      <c r="H28" s="350">
        <v>500000</v>
      </c>
      <c r="I28" s="350">
        <v>66650</v>
      </c>
      <c r="J28" s="349">
        <f t="shared" si="0"/>
        <v>566650</v>
      </c>
      <c r="K28" s="347">
        <v>50</v>
      </c>
      <c r="L28" s="379">
        <v>11333</v>
      </c>
      <c r="M28" s="394">
        <f>I28/50</f>
        <v>1333</v>
      </c>
      <c r="N28" s="394">
        <f>H28/50</f>
        <v>10000</v>
      </c>
      <c r="O28" s="394">
        <f t="shared" si="1"/>
        <v>18662</v>
      </c>
      <c r="P28" s="394">
        <f t="shared" si="2"/>
        <v>47988</v>
      </c>
      <c r="Q28" s="347">
        <v>14</v>
      </c>
      <c r="R28" s="354">
        <f t="shared" si="3"/>
        <v>36</v>
      </c>
      <c r="S28" s="350">
        <f t="shared" si="4"/>
        <v>158662</v>
      </c>
      <c r="T28" s="350">
        <f t="shared" si="5"/>
        <v>407988</v>
      </c>
      <c r="U28" s="400"/>
    </row>
    <row r="29" spans="1:21">
      <c r="A29" s="378"/>
      <c r="B29" s="378"/>
      <c r="C29" s="378"/>
      <c r="D29" s="364" t="s">
        <v>1141</v>
      </c>
      <c r="E29" s="367">
        <v>25</v>
      </c>
      <c r="F29" s="393" t="s">
        <v>1437</v>
      </c>
      <c r="G29" s="399" t="s">
        <v>1142</v>
      </c>
      <c r="H29" s="350">
        <v>330000</v>
      </c>
      <c r="I29" s="350">
        <v>43989</v>
      </c>
      <c r="J29" s="349">
        <f t="shared" si="0"/>
        <v>373989</v>
      </c>
      <c r="K29" s="347">
        <v>50</v>
      </c>
      <c r="L29" s="379">
        <v>7479.78</v>
      </c>
      <c r="M29" s="394">
        <f>I29/50</f>
        <v>879.78</v>
      </c>
      <c r="N29" s="394">
        <f>H29/50</f>
        <v>6600</v>
      </c>
      <c r="O29" s="394">
        <f t="shared" si="1"/>
        <v>23754.059999999998</v>
      </c>
      <c r="P29" s="394">
        <f t="shared" si="2"/>
        <v>20234.939999999999</v>
      </c>
      <c r="Q29" s="352">
        <v>27</v>
      </c>
      <c r="R29" s="354">
        <f t="shared" si="3"/>
        <v>23</v>
      </c>
      <c r="S29" s="350">
        <f t="shared" si="4"/>
        <v>201954.06</v>
      </c>
      <c r="T29" s="350">
        <f t="shared" si="5"/>
        <v>172034.94</v>
      </c>
      <c r="U29" s="400"/>
    </row>
    <row r="30" spans="1:21" ht="31.5">
      <c r="A30" s="378"/>
      <c r="B30" s="378"/>
      <c r="C30" s="378"/>
      <c r="D30" s="363" t="s">
        <v>972</v>
      </c>
      <c r="E30" s="367">
        <v>26</v>
      </c>
      <c r="F30" s="393" t="s">
        <v>1437</v>
      </c>
      <c r="G30" s="395" t="s">
        <v>312</v>
      </c>
      <c r="H30" s="380">
        <v>750000</v>
      </c>
      <c r="I30" s="380">
        <v>99925</v>
      </c>
      <c r="J30" s="380">
        <f t="shared" si="0"/>
        <v>849925</v>
      </c>
      <c r="K30" s="348">
        <v>60</v>
      </c>
      <c r="L30" s="380">
        <v>14166.25</v>
      </c>
      <c r="M30" s="394">
        <f>I30/60</f>
        <v>1665.4166666666667</v>
      </c>
      <c r="N30" s="394">
        <f>H30/60</f>
        <v>12500</v>
      </c>
      <c r="O30" s="394">
        <f t="shared" si="1"/>
        <v>6661.666666666667</v>
      </c>
      <c r="P30" s="394">
        <f t="shared" si="2"/>
        <v>93263.333333333343</v>
      </c>
      <c r="Q30" s="348">
        <v>4</v>
      </c>
      <c r="R30" s="348">
        <f t="shared" si="3"/>
        <v>56</v>
      </c>
      <c r="S30" s="380">
        <f t="shared" si="4"/>
        <v>56665</v>
      </c>
      <c r="T30" s="380">
        <f t="shared" si="5"/>
        <v>793260</v>
      </c>
      <c r="U30" s="393"/>
    </row>
    <row r="31" spans="1:21">
      <c r="A31" s="378"/>
      <c r="B31" s="378"/>
      <c r="C31" s="378"/>
      <c r="D31" s="363" t="s">
        <v>1509</v>
      </c>
      <c r="E31" s="367">
        <v>27</v>
      </c>
      <c r="F31" s="393" t="s">
        <v>1437</v>
      </c>
      <c r="G31" s="393" t="s">
        <v>1510</v>
      </c>
      <c r="H31" s="380">
        <v>450000</v>
      </c>
      <c r="I31" s="380">
        <v>59985</v>
      </c>
      <c r="J31" s="380">
        <f t="shared" si="0"/>
        <v>509985</v>
      </c>
      <c r="K31" s="348">
        <v>60</v>
      </c>
      <c r="L31" s="380">
        <v>8499.75</v>
      </c>
      <c r="M31" s="394">
        <f>I31/60</f>
        <v>999.75</v>
      </c>
      <c r="N31" s="394">
        <f>H31/60</f>
        <v>7500</v>
      </c>
      <c r="O31" s="394">
        <f t="shared" si="1"/>
        <v>3999</v>
      </c>
      <c r="P31" s="394">
        <f t="shared" si="2"/>
        <v>55986</v>
      </c>
      <c r="Q31" s="348">
        <v>4</v>
      </c>
      <c r="R31" s="348">
        <f t="shared" si="3"/>
        <v>56</v>
      </c>
      <c r="S31" s="380">
        <f t="shared" si="4"/>
        <v>33999</v>
      </c>
      <c r="T31" s="380">
        <f t="shared" si="5"/>
        <v>475986</v>
      </c>
      <c r="U31" s="393"/>
    </row>
    <row r="32" spans="1:21" ht="21">
      <c r="A32" s="378"/>
      <c r="B32" s="378"/>
      <c r="C32" s="378"/>
      <c r="D32" s="363" t="s">
        <v>1521</v>
      </c>
      <c r="E32" s="367">
        <v>28</v>
      </c>
      <c r="F32" s="393" t="s">
        <v>1437</v>
      </c>
      <c r="G32" s="393" t="s">
        <v>481</v>
      </c>
      <c r="H32" s="380">
        <v>750000</v>
      </c>
      <c r="I32" s="380">
        <v>99925</v>
      </c>
      <c r="J32" s="380">
        <f t="shared" si="0"/>
        <v>849925</v>
      </c>
      <c r="K32" s="348">
        <v>60</v>
      </c>
      <c r="L32" s="380">
        <v>14166.25</v>
      </c>
      <c r="M32" s="394">
        <f>I32/60</f>
        <v>1665.4166666666667</v>
      </c>
      <c r="N32" s="394">
        <f>H32/60</f>
        <v>12500</v>
      </c>
      <c r="O32" s="394">
        <f t="shared" si="1"/>
        <v>6661.666666666667</v>
      </c>
      <c r="P32" s="394">
        <f t="shared" si="2"/>
        <v>93263.333333333343</v>
      </c>
      <c r="Q32" s="348">
        <v>4</v>
      </c>
      <c r="R32" s="354">
        <f t="shared" si="3"/>
        <v>56</v>
      </c>
      <c r="S32" s="350">
        <f t="shared" si="4"/>
        <v>56665</v>
      </c>
      <c r="T32" s="350">
        <f t="shared" si="5"/>
        <v>793260</v>
      </c>
      <c r="U32" s="401" t="s">
        <v>1522</v>
      </c>
    </row>
    <row r="33" spans="1:21">
      <c r="A33" s="378"/>
      <c r="B33" s="378"/>
      <c r="C33" s="378"/>
      <c r="D33" s="364" t="s">
        <v>993</v>
      </c>
      <c r="E33" s="367">
        <v>29</v>
      </c>
      <c r="F33" s="393" t="s">
        <v>1437</v>
      </c>
      <c r="G33" s="393" t="s">
        <v>994</v>
      </c>
      <c r="H33" s="351">
        <v>150000</v>
      </c>
      <c r="I33" s="351">
        <v>19995</v>
      </c>
      <c r="J33" s="349">
        <f t="shared" si="0"/>
        <v>169995</v>
      </c>
      <c r="K33" s="348">
        <v>50</v>
      </c>
      <c r="L33" s="380">
        <v>3399.9</v>
      </c>
      <c r="M33" s="394">
        <f t="shared" ref="M33:M39" si="8">I33/50</f>
        <v>399.9</v>
      </c>
      <c r="N33" s="394">
        <f t="shared" ref="N33:N47" si="9">H33/50</f>
        <v>3000</v>
      </c>
      <c r="O33" s="394">
        <f t="shared" si="1"/>
        <v>13596.599999999999</v>
      </c>
      <c r="P33" s="394">
        <f t="shared" si="2"/>
        <v>6398.4</v>
      </c>
      <c r="Q33" s="348">
        <v>34</v>
      </c>
      <c r="R33" s="354">
        <f t="shared" si="3"/>
        <v>16</v>
      </c>
      <c r="S33" s="350">
        <f t="shared" si="4"/>
        <v>115596.6</v>
      </c>
      <c r="T33" s="350">
        <f t="shared" si="5"/>
        <v>54398.399999999994</v>
      </c>
      <c r="U33" s="393"/>
    </row>
    <row r="34" spans="1:21">
      <c r="A34" s="378"/>
      <c r="B34" s="378"/>
      <c r="C34" s="378"/>
      <c r="D34" s="364" t="s">
        <v>1099</v>
      </c>
      <c r="E34" s="367">
        <v>30</v>
      </c>
      <c r="F34" s="393" t="s">
        <v>1437</v>
      </c>
      <c r="G34" s="393" t="s">
        <v>487</v>
      </c>
      <c r="H34" s="351">
        <v>500000</v>
      </c>
      <c r="I34" s="351">
        <v>66650</v>
      </c>
      <c r="J34" s="349">
        <f t="shared" si="0"/>
        <v>566650</v>
      </c>
      <c r="K34" s="348">
        <v>50</v>
      </c>
      <c r="L34" s="380">
        <v>11333</v>
      </c>
      <c r="M34" s="394">
        <f t="shared" si="8"/>
        <v>1333</v>
      </c>
      <c r="N34" s="394">
        <f t="shared" si="9"/>
        <v>10000</v>
      </c>
      <c r="O34" s="394">
        <f t="shared" si="1"/>
        <v>51987</v>
      </c>
      <c r="P34" s="394">
        <f t="shared" si="2"/>
        <v>14663</v>
      </c>
      <c r="Q34" s="348">
        <v>39</v>
      </c>
      <c r="R34" s="354">
        <f t="shared" si="3"/>
        <v>11</v>
      </c>
      <c r="S34" s="350">
        <f t="shared" si="4"/>
        <v>441987</v>
      </c>
      <c r="T34" s="350">
        <f t="shared" si="5"/>
        <v>124663</v>
      </c>
      <c r="U34" s="393"/>
    </row>
    <row r="35" spans="1:21">
      <c r="A35" s="378"/>
      <c r="B35" s="378"/>
      <c r="C35" s="378"/>
      <c r="D35" s="363" t="s">
        <v>1445</v>
      </c>
      <c r="E35" s="367">
        <v>31</v>
      </c>
      <c r="F35" s="393" t="s">
        <v>1437</v>
      </c>
      <c r="G35" s="393" t="s">
        <v>1446</v>
      </c>
      <c r="H35" s="351">
        <v>500000</v>
      </c>
      <c r="I35" s="351">
        <v>66650</v>
      </c>
      <c r="J35" s="349">
        <f t="shared" si="0"/>
        <v>566650</v>
      </c>
      <c r="K35" s="348">
        <v>50</v>
      </c>
      <c r="L35" s="380">
        <v>11333</v>
      </c>
      <c r="M35" s="394">
        <f t="shared" si="8"/>
        <v>1333</v>
      </c>
      <c r="N35" s="394">
        <f t="shared" si="9"/>
        <v>10000</v>
      </c>
      <c r="O35" s="394">
        <f t="shared" si="1"/>
        <v>13330</v>
      </c>
      <c r="P35" s="394">
        <f t="shared" si="2"/>
        <v>53320</v>
      </c>
      <c r="Q35" s="348">
        <v>10</v>
      </c>
      <c r="R35" s="354">
        <f t="shared" si="3"/>
        <v>40</v>
      </c>
      <c r="S35" s="350">
        <f t="shared" si="4"/>
        <v>113330</v>
      </c>
      <c r="T35" s="350">
        <f t="shared" si="5"/>
        <v>453320</v>
      </c>
      <c r="U35" s="393"/>
    </row>
    <row r="36" spans="1:21">
      <c r="A36" s="378"/>
      <c r="B36" s="378"/>
      <c r="C36" s="378"/>
      <c r="D36" s="364" t="s">
        <v>1046</v>
      </c>
      <c r="E36" s="367">
        <v>32</v>
      </c>
      <c r="F36" s="393" t="s">
        <v>1437</v>
      </c>
      <c r="G36" s="393" t="s">
        <v>349</v>
      </c>
      <c r="H36" s="351">
        <v>500000</v>
      </c>
      <c r="I36" s="351">
        <v>66650</v>
      </c>
      <c r="J36" s="349">
        <f t="shared" si="0"/>
        <v>566650</v>
      </c>
      <c r="K36" s="348">
        <v>50</v>
      </c>
      <c r="L36" s="380">
        <v>11333</v>
      </c>
      <c r="M36" s="394">
        <f t="shared" si="8"/>
        <v>1333</v>
      </c>
      <c r="N36" s="394">
        <f t="shared" si="9"/>
        <v>10000</v>
      </c>
      <c r="O36" s="394">
        <f t="shared" si="1"/>
        <v>57319</v>
      </c>
      <c r="P36" s="394">
        <f t="shared" si="2"/>
        <v>9331</v>
      </c>
      <c r="Q36" s="348">
        <v>43</v>
      </c>
      <c r="R36" s="354">
        <f t="shared" si="3"/>
        <v>7</v>
      </c>
      <c r="S36" s="350">
        <f t="shared" si="4"/>
        <v>487319</v>
      </c>
      <c r="T36" s="350">
        <f t="shared" si="5"/>
        <v>79331</v>
      </c>
      <c r="U36" s="393"/>
    </row>
    <row r="37" spans="1:21">
      <c r="A37" s="378"/>
      <c r="B37" s="378"/>
      <c r="C37" s="378"/>
      <c r="D37" s="363" t="s">
        <v>1504</v>
      </c>
      <c r="E37" s="367">
        <v>33</v>
      </c>
      <c r="F37" s="393" t="s">
        <v>1437</v>
      </c>
      <c r="G37" s="393" t="s">
        <v>483</v>
      </c>
      <c r="H37" s="351">
        <v>500000</v>
      </c>
      <c r="I37" s="351">
        <v>66650</v>
      </c>
      <c r="J37" s="380">
        <f t="shared" ref="J37:J68" si="10">SUM(H37:I37)</f>
        <v>566650</v>
      </c>
      <c r="K37" s="348">
        <v>50</v>
      </c>
      <c r="L37" s="380">
        <v>11333</v>
      </c>
      <c r="M37" s="394">
        <f t="shared" si="8"/>
        <v>1333</v>
      </c>
      <c r="N37" s="394">
        <f t="shared" si="9"/>
        <v>10000</v>
      </c>
      <c r="O37" s="394">
        <f t="shared" ref="O37:O68" si="11">M37*Q37</f>
        <v>15996</v>
      </c>
      <c r="P37" s="394">
        <f t="shared" ref="P37:P68" si="12">M37*R37</f>
        <v>50654</v>
      </c>
      <c r="Q37" s="348">
        <v>12</v>
      </c>
      <c r="R37" s="354">
        <f t="shared" ref="R37:R68" si="13">K37-Q37</f>
        <v>38</v>
      </c>
      <c r="S37" s="350">
        <f t="shared" ref="S37:S68" si="14">L37*Q37</f>
        <v>135996</v>
      </c>
      <c r="T37" s="350">
        <f t="shared" ref="T37:T68" si="15">J37-S37</f>
        <v>430654</v>
      </c>
      <c r="U37" s="393"/>
    </row>
    <row r="38" spans="1:21">
      <c r="A38" s="378"/>
      <c r="B38" s="378"/>
      <c r="C38" s="378"/>
      <c r="D38" s="116" t="s">
        <v>1342</v>
      </c>
      <c r="E38" s="367">
        <v>34</v>
      </c>
      <c r="F38" s="393" t="s">
        <v>1437</v>
      </c>
      <c r="G38" s="393" t="s">
        <v>1290</v>
      </c>
      <c r="H38" s="351">
        <v>500000</v>
      </c>
      <c r="I38" s="351">
        <v>66650</v>
      </c>
      <c r="J38" s="349">
        <f t="shared" si="10"/>
        <v>566650</v>
      </c>
      <c r="K38" s="348">
        <v>50</v>
      </c>
      <c r="L38" s="380">
        <v>11333</v>
      </c>
      <c r="M38" s="394">
        <f t="shared" si="8"/>
        <v>1333</v>
      </c>
      <c r="N38" s="394">
        <f t="shared" si="9"/>
        <v>10000</v>
      </c>
      <c r="O38" s="394">
        <f t="shared" si="11"/>
        <v>31992</v>
      </c>
      <c r="P38" s="394">
        <f t="shared" si="12"/>
        <v>34658</v>
      </c>
      <c r="Q38" s="348">
        <v>24</v>
      </c>
      <c r="R38" s="354">
        <f t="shared" si="13"/>
        <v>26</v>
      </c>
      <c r="S38" s="350">
        <f t="shared" si="14"/>
        <v>271992</v>
      </c>
      <c r="T38" s="350">
        <f t="shared" si="15"/>
        <v>294658</v>
      </c>
      <c r="U38" s="393"/>
    </row>
    <row r="39" spans="1:21">
      <c r="A39" s="378"/>
      <c r="B39" s="378"/>
      <c r="C39" s="378"/>
      <c r="D39" s="364" t="s">
        <v>998</v>
      </c>
      <c r="E39" s="367">
        <v>35</v>
      </c>
      <c r="F39" s="393" t="s">
        <v>1437</v>
      </c>
      <c r="G39" s="393" t="s">
        <v>363</v>
      </c>
      <c r="H39" s="351">
        <v>450000</v>
      </c>
      <c r="I39" s="351">
        <v>59985</v>
      </c>
      <c r="J39" s="349">
        <f t="shared" si="10"/>
        <v>509985</v>
      </c>
      <c r="K39" s="348">
        <v>50</v>
      </c>
      <c r="L39" s="380">
        <v>10199.700000000001</v>
      </c>
      <c r="M39" s="394">
        <f t="shared" si="8"/>
        <v>1199.7</v>
      </c>
      <c r="N39" s="394">
        <f t="shared" si="9"/>
        <v>9000</v>
      </c>
      <c r="O39" s="394">
        <f t="shared" si="11"/>
        <v>51587.1</v>
      </c>
      <c r="P39" s="394">
        <f t="shared" si="12"/>
        <v>8397.9</v>
      </c>
      <c r="Q39" s="348">
        <v>43</v>
      </c>
      <c r="R39" s="354">
        <f t="shared" si="13"/>
        <v>7</v>
      </c>
      <c r="S39" s="350">
        <f t="shared" si="14"/>
        <v>438587.10000000003</v>
      </c>
      <c r="T39" s="350">
        <f t="shared" si="15"/>
        <v>71397.899999999965</v>
      </c>
      <c r="U39" s="393"/>
    </row>
    <row r="40" spans="1:21">
      <c r="A40" s="378"/>
      <c r="B40" s="378"/>
      <c r="C40" s="378"/>
      <c r="D40" s="363" t="s">
        <v>1079</v>
      </c>
      <c r="E40" s="367">
        <v>36</v>
      </c>
      <c r="F40" s="393" t="s">
        <v>1437</v>
      </c>
      <c r="G40" s="393" t="s">
        <v>302</v>
      </c>
      <c r="H40" s="351">
        <v>500000</v>
      </c>
      <c r="I40" s="351">
        <v>31992</v>
      </c>
      <c r="J40" s="349">
        <f t="shared" si="10"/>
        <v>531992</v>
      </c>
      <c r="K40" s="348">
        <v>24</v>
      </c>
      <c r="L40" s="380">
        <v>22166.34</v>
      </c>
      <c r="M40" s="394">
        <f>I40/24</f>
        <v>1333</v>
      </c>
      <c r="N40" s="394">
        <f t="shared" si="9"/>
        <v>10000</v>
      </c>
      <c r="O40" s="394">
        <f t="shared" si="11"/>
        <v>15996</v>
      </c>
      <c r="P40" s="394">
        <f t="shared" si="12"/>
        <v>15996</v>
      </c>
      <c r="Q40" s="348">
        <v>12</v>
      </c>
      <c r="R40" s="354">
        <f t="shared" si="13"/>
        <v>12</v>
      </c>
      <c r="S40" s="350">
        <f t="shared" si="14"/>
        <v>265996.08</v>
      </c>
      <c r="T40" s="350">
        <f t="shared" si="15"/>
        <v>265995.92</v>
      </c>
      <c r="U40" s="393"/>
    </row>
    <row r="41" spans="1:21">
      <c r="A41" s="378"/>
      <c r="B41" s="378"/>
      <c r="C41" s="378"/>
      <c r="D41" s="116" t="s">
        <v>1320</v>
      </c>
      <c r="E41" s="367">
        <v>37</v>
      </c>
      <c r="F41" s="393" t="s">
        <v>1437</v>
      </c>
      <c r="G41" s="393" t="s">
        <v>464</v>
      </c>
      <c r="H41" s="351">
        <v>500000</v>
      </c>
      <c r="I41" s="351">
        <v>66650</v>
      </c>
      <c r="J41" s="349">
        <f t="shared" si="10"/>
        <v>566650</v>
      </c>
      <c r="K41" s="348">
        <v>40</v>
      </c>
      <c r="L41" s="380">
        <v>13833</v>
      </c>
      <c r="M41" s="394">
        <f t="shared" ref="M41:M47" si="16">I41/50</f>
        <v>1333</v>
      </c>
      <c r="N41" s="394">
        <f t="shared" si="9"/>
        <v>10000</v>
      </c>
      <c r="O41" s="394">
        <f t="shared" si="11"/>
        <v>18662</v>
      </c>
      <c r="P41" s="394">
        <f t="shared" si="12"/>
        <v>34658</v>
      </c>
      <c r="Q41" s="348">
        <v>14</v>
      </c>
      <c r="R41" s="354">
        <f t="shared" si="13"/>
        <v>26</v>
      </c>
      <c r="S41" s="350">
        <f t="shared" si="14"/>
        <v>193662</v>
      </c>
      <c r="T41" s="350">
        <f t="shared" si="15"/>
        <v>372988</v>
      </c>
      <c r="U41" s="393"/>
    </row>
    <row r="42" spans="1:21">
      <c r="A42" s="378"/>
      <c r="B42" s="378"/>
      <c r="C42" s="378"/>
      <c r="D42" s="363" t="s">
        <v>1348</v>
      </c>
      <c r="E42" s="367">
        <v>38</v>
      </c>
      <c r="F42" s="393" t="s">
        <v>1437</v>
      </c>
      <c r="G42" s="393" t="s">
        <v>1349</v>
      </c>
      <c r="H42" s="351">
        <v>500000</v>
      </c>
      <c r="I42" s="351">
        <v>66650</v>
      </c>
      <c r="J42" s="349">
        <f t="shared" si="10"/>
        <v>566650</v>
      </c>
      <c r="K42" s="348">
        <v>50</v>
      </c>
      <c r="L42" s="380">
        <v>11333</v>
      </c>
      <c r="M42" s="394">
        <f t="shared" si="16"/>
        <v>1333</v>
      </c>
      <c r="N42" s="394">
        <f t="shared" si="9"/>
        <v>10000</v>
      </c>
      <c r="O42" s="394">
        <f t="shared" si="11"/>
        <v>22661</v>
      </c>
      <c r="P42" s="394">
        <f t="shared" si="12"/>
        <v>43989</v>
      </c>
      <c r="Q42" s="348">
        <v>17</v>
      </c>
      <c r="R42" s="354">
        <f t="shared" si="13"/>
        <v>33</v>
      </c>
      <c r="S42" s="350">
        <f t="shared" si="14"/>
        <v>192661</v>
      </c>
      <c r="T42" s="350">
        <f t="shared" si="15"/>
        <v>373989</v>
      </c>
      <c r="U42" s="393"/>
    </row>
    <row r="43" spans="1:21">
      <c r="A43" s="378"/>
      <c r="B43" s="378"/>
      <c r="C43" s="378"/>
      <c r="D43" s="364" t="s">
        <v>1012</v>
      </c>
      <c r="E43" s="367">
        <v>39</v>
      </c>
      <c r="F43" s="393" t="s">
        <v>1437</v>
      </c>
      <c r="G43" s="393" t="s">
        <v>852</v>
      </c>
      <c r="H43" s="351">
        <v>330000</v>
      </c>
      <c r="I43" s="351">
        <v>43989</v>
      </c>
      <c r="J43" s="349">
        <f t="shared" si="10"/>
        <v>373989</v>
      </c>
      <c r="K43" s="348">
        <v>50</v>
      </c>
      <c r="L43" s="380">
        <v>7479.78</v>
      </c>
      <c r="M43" s="394">
        <f t="shared" si="16"/>
        <v>879.78</v>
      </c>
      <c r="N43" s="394">
        <f t="shared" si="9"/>
        <v>6600</v>
      </c>
      <c r="O43" s="394">
        <f t="shared" si="11"/>
        <v>29912.52</v>
      </c>
      <c r="P43" s="394">
        <f t="shared" si="12"/>
        <v>14076.48</v>
      </c>
      <c r="Q43" s="348">
        <v>34</v>
      </c>
      <c r="R43" s="354">
        <f t="shared" si="13"/>
        <v>16</v>
      </c>
      <c r="S43" s="350">
        <f t="shared" si="14"/>
        <v>254312.52</v>
      </c>
      <c r="T43" s="350">
        <f t="shared" si="15"/>
        <v>119676.48000000001</v>
      </c>
      <c r="U43" s="393"/>
    </row>
    <row r="44" spans="1:21">
      <c r="A44" s="378"/>
      <c r="B44" s="378"/>
      <c r="C44" s="378"/>
      <c r="D44" s="363" t="s">
        <v>1065</v>
      </c>
      <c r="E44" s="367">
        <v>40</v>
      </c>
      <c r="F44" s="393" t="s">
        <v>1437</v>
      </c>
      <c r="G44" s="393" t="s">
        <v>1066</v>
      </c>
      <c r="H44" s="351">
        <v>330000</v>
      </c>
      <c r="I44" s="351">
        <v>43989</v>
      </c>
      <c r="J44" s="349">
        <f t="shared" si="10"/>
        <v>373989</v>
      </c>
      <c r="K44" s="348">
        <v>50</v>
      </c>
      <c r="L44" s="380">
        <v>7479.78</v>
      </c>
      <c r="M44" s="394">
        <f t="shared" si="16"/>
        <v>879.78</v>
      </c>
      <c r="N44" s="394">
        <f t="shared" si="9"/>
        <v>6600</v>
      </c>
      <c r="O44" s="394">
        <f t="shared" si="11"/>
        <v>27273.18</v>
      </c>
      <c r="P44" s="394">
        <f t="shared" si="12"/>
        <v>16715.82</v>
      </c>
      <c r="Q44" s="348">
        <v>31</v>
      </c>
      <c r="R44" s="354">
        <f t="shared" si="13"/>
        <v>19</v>
      </c>
      <c r="S44" s="350">
        <f t="shared" si="14"/>
        <v>231873.18</v>
      </c>
      <c r="T44" s="350">
        <f t="shared" si="15"/>
        <v>142115.82</v>
      </c>
      <c r="U44" s="393"/>
    </row>
    <row r="45" spans="1:21">
      <c r="A45" s="378"/>
      <c r="B45" s="378"/>
      <c r="C45" s="378"/>
      <c r="D45" s="363" t="s">
        <v>1449</v>
      </c>
      <c r="E45" s="367">
        <v>41</v>
      </c>
      <c r="F45" s="393" t="s">
        <v>1437</v>
      </c>
      <c r="G45" s="393" t="s">
        <v>389</v>
      </c>
      <c r="H45" s="351">
        <v>500000</v>
      </c>
      <c r="I45" s="351">
        <v>66650</v>
      </c>
      <c r="J45" s="349">
        <f t="shared" si="10"/>
        <v>566650</v>
      </c>
      <c r="K45" s="348">
        <v>50</v>
      </c>
      <c r="L45" s="380">
        <v>11333</v>
      </c>
      <c r="M45" s="394">
        <f t="shared" si="16"/>
        <v>1333</v>
      </c>
      <c r="N45" s="394">
        <f t="shared" si="9"/>
        <v>10000</v>
      </c>
      <c r="O45" s="394">
        <f t="shared" si="11"/>
        <v>13330</v>
      </c>
      <c r="P45" s="394">
        <f t="shared" si="12"/>
        <v>53320</v>
      </c>
      <c r="Q45" s="348">
        <v>10</v>
      </c>
      <c r="R45" s="354">
        <f t="shared" si="13"/>
        <v>40</v>
      </c>
      <c r="S45" s="350">
        <f t="shared" si="14"/>
        <v>113330</v>
      </c>
      <c r="T45" s="350">
        <f t="shared" si="15"/>
        <v>453320</v>
      </c>
      <c r="U45" s="393"/>
    </row>
    <row r="46" spans="1:21">
      <c r="A46" s="378"/>
      <c r="B46" s="378"/>
      <c r="C46" s="378"/>
      <c r="D46" s="364" t="s">
        <v>1029</v>
      </c>
      <c r="E46" s="367">
        <v>42</v>
      </c>
      <c r="F46" s="393" t="s">
        <v>1437</v>
      </c>
      <c r="G46" s="393" t="s">
        <v>1030</v>
      </c>
      <c r="H46" s="351">
        <v>450000</v>
      </c>
      <c r="I46" s="351">
        <v>59985</v>
      </c>
      <c r="J46" s="349">
        <f t="shared" si="10"/>
        <v>509985</v>
      </c>
      <c r="K46" s="348">
        <v>50</v>
      </c>
      <c r="L46" s="380">
        <v>10199.700000000001</v>
      </c>
      <c r="M46" s="394">
        <f t="shared" si="16"/>
        <v>1199.7</v>
      </c>
      <c r="N46" s="394">
        <f t="shared" si="9"/>
        <v>9000</v>
      </c>
      <c r="O46" s="394">
        <f t="shared" si="11"/>
        <v>37190.700000000004</v>
      </c>
      <c r="P46" s="394">
        <f t="shared" si="12"/>
        <v>22794.3</v>
      </c>
      <c r="Q46" s="348">
        <v>31</v>
      </c>
      <c r="R46" s="354">
        <f t="shared" si="13"/>
        <v>19</v>
      </c>
      <c r="S46" s="350">
        <f t="shared" si="14"/>
        <v>316190.7</v>
      </c>
      <c r="T46" s="350">
        <f t="shared" si="15"/>
        <v>193794.3</v>
      </c>
      <c r="U46" s="393"/>
    </row>
    <row r="47" spans="1:21">
      <c r="A47" s="378"/>
      <c r="B47" s="378"/>
      <c r="C47" s="378"/>
      <c r="D47" s="116" t="s">
        <v>1377</v>
      </c>
      <c r="E47" s="367">
        <v>43</v>
      </c>
      <c r="F47" s="393" t="s">
        <v>1437</v>
      </c>
      <c r="G47" s="393" t="s">
        <v>1378</v>
      </c>
      <c r="H47" s="351">
        <v>330000</v>
      </c>
      <c r="I47" s="351">
        <v>43989</v>
      </c>
      <c r="J47" s="349">
        <f t="shared" si="10"/>
        <v>373989</v>
      </c>
      <c r="K47" s="348">
        <v>50</v>
      </c>
      <c r="L47" s="380">
        <v>7479.78</v>
      </c>
      <c r="M47" s="394">
        <f t="shared" si="16"/>
        <v>879.78</v>
      </c>
      <c r="N47" s="394">
        <f t="shared" si="9"/>
        <v>6600</v>
      </c>
      <c r="O47" s="394">
        <f t="shared" si="11"/>
        <v>14956.26</v>
      </c>
      <c r="P47" s="394">
        <f t="shared" si="12"/>
        <v>29032.739999999998</v>
      </c>
      <c r="Q47" s="348">
        <v>17</v>
      </c>
      <c r="R47" s="354">
        <f t="shared" si="13"/>
        <v>33</v>
      </c>
      <c r="S47" s="350">
        <f t="shared" si="14"/>
        <v>127156.26</v>
      </c>
      <c r="T47" s="350">
        <f t="shared" si="15"/>
        <v>246832.74</v>
      </c>
      <c r="U47" s="393"/>
    </row>
    <row r="48" spans="1:21">
      <c r="A48" s="378"/>
      <c r="B48" s="378"/>
      <c r="C48" s="378"/>
      <c r="D48" s="363" t="s">
        <v>1513</v>
      </c>
      <c r="E48" s="367">
        <v>44</v>
      </c>
      <c r="F48" s="393" t="s">
        <v>1437</v>
      </c>
      <c r="G48" s="393" t="s">
        <v>1514</v>
      </c>
      <c r="H48" s="380">
        <v>450000</v>
      </c>
      <c r="I48" s="380">
        <v>59985</v>
      </c>
      <c r="J48" s="380">
        <f t="shared" si="10"/>
        <v>509985</v>
      </c>
      <c r="K48" s="348">
        <v>60</v>
      </c>
      <c r="L48" s="380">
        <v>8499.75</v>
      </c>
      <c r="M48" s="394">
        <f>I48/60</f>
        <v>999.75</v>
      </c>
      <c r="N48" s="394">
        <f>H48/60</f>
        <v>7500</v>
      </c>
      <c r="O48" s="394">
        <f t="shared" si="11"/>
        <v>3999</v>
      </c>
      <c r="P48" s="394">
        <f t="shared" si="12"/>
        <v>55986</v>
      </c>
      <c r="Q48" s="348">
        <v>4</v>
      </c>
      <c r="R48" s="348">
        <f t="shared" si="13"/>
        <v>56</v>
      </c>
      <c r="S48" s="380">
        <f t="shared" si="14"/>
        <v>33999</v>
      </c>
      <c r="T48" s="380">
        <f t="shared" si="15"/>
        <v>475986</v>
      </c>
      <c r="U48" s="393"/>
    </row>
    <row r="49" spans="1:21">
      <c r="A49" s="378"/>
      <c r="B49" s="378"/>
      <c r="C49" s="378"/>
      <c r="D49" s="116" t="s">
        <v>1339</v>
      </c>
      <c r="E49" s="367">
        <v>45</v>
      </c>
      <c r="F49" s="393" t="s">
        <v>1437</v>
      </c>
      <c r="G49" s="393" t="s">
        <v>408</v>
      </c>
      <c r="H49" s="351">
        <v>500000</v>
      </c>
      <c r="I49" s="351">
        <v>66650</v>
      </c>
      <c r="J49" s="349">
        <f t="shared" si="10"/>
        <v>566650</v>
      </c>
      <c r="K49" s="348">
        <v>50</v>
      </c>
      <c r="L49" s="380">
        <v>11333</v>
      </c>
      <c r="M49" s="394">
        <f>I49/50</f>
        <v>1333</v>
      </c>
      <c r="N49" s="394">
        <f>H49/50</f>
        <v>10000</v>
      </c>
      <c r="O49" s="394">
        <f t="shared" si="11"/>
        <v>18662</v>
      </c>
      <c r="P49" s="394">
        <f t="shared" si="12"/>
        <v>47988</v>
      </c>
      <c r="Q49" s="348">
        <v>14</v>
      </c>
      <c r="R49" s="354">
        <f t="shared" si="13"/>
        <v>36</v>
      </c>
      <c r="S49" s="350">
        <f t="shared" si="14"/>
        <v>158662</v>
      </c>
      <c r="T49" s="350">
        <f t="shared" si="15"/>
        <v>407988</v>
      </c>
      <c r="U49" s="393"/>
    </row>
    <row r="50" spans="1:21">
      <c r="A50" s="378"/>
      <c r="B50" s="378"/>
      <c r="C50" s="378"/>
      <c r="D50" s="363" t="s">
        <v>1515</v>
      </c>
      <c r="E50" s="367">
        <v>46</v>
      </c>
      <c r="F50" s="393" t="s">
        <v>1437</v>
      </c>
      <c r="G50" s="393" t="s">
        <v>1516</v>
      </c>
      <c r="H50" s="380">
        <v>450000</v>
      </c>
      <c r="I50" s="380">
        <v>59985</v>
      </c>
      <c r="J50" s="380">
        <f t="shared" si="10"/>
        <v>509985</v>
      </c>
      <c r="K50" s="348">
        <v>60</v>
      </c>
      <c r="L50" s="380">
        <v>8499.75</v>
      </c>
      <c r="M50" s="394">
        <f>I50/60</f>
        <v>999.75</v>
      </c>
      <c r="N50" s="394">
        <f>H50/60</f>
        <v>7500</v>
      </c>
      <c r="O50" s="394">
        <f t="shared" si="11"/>
        <v>3999</v>
      </c>
      <c r="P50" s="394">
        <f t="shared" si="12"/>
        <v>55986</v>
      </c>
      <c r="Q50" s="348">
        <v>4</v>
      </c>
      <c r="R50" s="348">
        <f t="shared" si="13"/>
        <v>56</v>
      </c>
      <c r="S50" s="380">
        <f t="shared" si="14"/>
        <v>33999</v>
      </c>
      <c r="T50" s="380">
        <f t="shared" si="15"/>
        <v>475986</v>
      </c>
      <c r="U50" s="393"/>
    </row>
    <row r="51" spans="1:21">
      <c r="A51" s="378"/>
      <c r="B51" s="378"/>
      <c r="C51" s="378"/>
      <c r="D51" s="363" t="s">
        <v>1473</v>
      </c>
      <c r="E51" s="367">
        <v>47</v>
      </c>
      <c r="F51" s="393" t="s">
        <v>1437</v>
      </c>
      <c r="G51" s="393" t="s">
        <v>1474</v>
      </c>
      <c r="H51" s="351">
        <v>330000</v>
      </c>
      <c r="I51" s="351">
        <v>43989</v>
      </c>
      <c r="J51" s="349">
        <f t="shared" si="10"/>
        <v>373989</v>
      </c>
      <c r="K51" s="348">
        <v>50</v>
      </c>
      <c r="L51" s="380">
        <v>7479.78</v>
      </c>
      <c r="M51" s="394">
        <f>I51/50</f>
        <v>879.78</v>
      </c>
      <c r="N51" s="394">
        <f>H51/50</f>
        <v>6600</v>
      </c>
      <c r="O51" s="394">
        <f t="shared" si="11"/>
        <v>6158.46</v>
      </c>
      <c r="P51" s="394">
        <f t="shared" si="12"/>
        <v>37830.54</v>
      </c>
      <c r="Q51" s="348">
        <v>7</v>
      </c>
      <c r="R51" s="354">
        <f t="shared" si="13"/>
        <v>43</v>
      </c>
      <c r="S51" s="350">
        <f t="shared" si="14"/>
        <v>52358.46</v>
      </c>
      <c r="T51" s="350">
        <f t="shared" si="15"/>
        <v>321630.53999999998</v>
      </c>
      <c r="U51" s="393"/>
    </row>
    <row r="52" spans="1:21">
      <c r="A52" s="378"/>
      <c r="B52" s="378"/>
      <c r="C52" s="378"/>
      <c r="D52" s="363" t="s">
        <v>1475</v>
      </c>
      <c r="E52" s="367">
        <v>48</v>
      </c>
      <c r="F52" s="393" t="s">
        <v>1437</v>
      </c>
      <c r="G52" s="393" t="s">
        <v>1476</v>
      </c>
      <c r="H52" s="351">
        <v>330000</v>
      </c>
      <c r="I52" s="351">
        <v>43989</v>
      </c>
      <c r="J52" s="349">
        <f t="shared" si="10"/>
        <v>373989</v>
      </c>
      <c r="K52" s="348">
        <v>50</v>
      </c>
      <c r="L52" s="380">
        <v>7479.78</v>
      </c>
      <c r="M52" s="394">
        <f>I52/50</f>
        <v>879.78</v>
      </c>
      <c r="N52" s="394">
        <f>H52/50</f>
        <v>6600</v>
      </c>
      <c r="O52" s="394">
        <f t="shared" si="11"/>
        <v>6158.46</v>
      </c>
      <c r="P52" s="394">
        <f t="shared" si="12"/>
        <v>37830.54</v>
      </c>
      <c r="Q52" s="348">
        <v>7</v>
      </c>
      <c r="R52" s="354">
        <f t="shared" si="13"/>
        <v>43</v>
      </c>
      <c r="S52" s="350">
        <f t="shared" si="14"/>
        <v>52358.46</v>
      </c>
      <c r="T52" s="350">
        <f t="shared" si="15"/>
        <v>321630.53999999998</v>
      </c>
      <c r="U52" s="393"/>
    </row>
    <row r="53" spans="1:21">
      <c r="A53" s="378"/>
      <c r="B53" s="378"/>
      <c r="C53" s="378"/>
      <c r="D53" s="363" t="s">
        <v>1383</v>
      </c>
      <c r="E53" s="367">
        <v>49</v>
      </c>
      <c r="F53" s="393" t="s">
        <v>1437</v>
      </c>
      <c r="G53" s="393" t="s">
        <v>1384</v>
      </c>
      <c r="H53" s="351">
        <v>330000</v>
      </c>
      <c r="I53" s="351">
        <v>43989</v>
      </c>
      <c r="J53" s="349">
        <f t="shared" si="10"/>
        <v>373989</v>
      </c>
      <c r="K53" s="348">
        <v>50</v>
      </c>
      <c r="L53" s="380">
        <v>7479.78</v>
      </c>
      <c r="M53" s="394">
        <f>I53/50</f>
        <v>879.78</v>
      </c>
      <c r="N53" s="394">
        <f>H53/50</f>
        <v>6600</v>
      </c>
      <c r="O53" s="394">
        <f t="shared" si="11"/>
        <v>12316.92</v>
      </c>
      <c r="P53" s="394">
        <f t="shared" si="12"/>
        <v>31672.079999999998</v>
      </c>
      <c r="Q53" s="348">
        <v>14</v>
      </c>
      <c r="R53" s="354">
        <f t="shared" si="13"/>
        <v>36</v>
      </c>
      <c r="S53" s="350">
        <f t="shared" si="14"/>
        <v>104716.92</v>
      </c>
      <c r="T53" s="350">
        <f t="shared" si="15"/>
        <v>269272.08</v>
      </c>
      <c r="U53" s="393"/>
    </row>
    <row r="54" spans="1:21">
      <c r="A54" s="378"/>
      <c r="B54" s="378"/>
      <c r="C54" s="378"/>
      <c r="D54" s="363" t="s">
        <v>1517</v>
      </c>
      <c r="E54" s="367">
        <v>50</v>
      </c>
      <c r="F54" s="393" t="s">
        <v>1437</v>
      </c>
      <c r="G54" s="393" t="s">
        <v>1518</v>
      </c>
      <c r="H54" s="380">
        <v>450000</v>
      </c>
      <c r="I54" s="380">
        <v>59985</v>
      </c>
      <c r="J54" s="380">
        <f t="shared" si="10"/>
        <v>509985</v>
      </c>
      <c r="K54" s="348">
        <v>60</v>
      </c>
      <c r="L54" s="380">
        <v>8499.75</v>
      </c>
      <c r="M54" s="394">
        <f>I54/60</f>
        <v>999.75</v>
      </c>
      <c r="N54" s="394">
        <f>H54/60</f>
        <v>7500</v>
      </c>
      <c r="O54" s="394">
        <f t="shared" si="11"/>
        <v>3999</v>
      </c>
      <c r="P54" s="394">
        <f t="shared" si="12"/>
        <v>55986</v>
      </c>
      <c r="Q54" s="348">
        <v>4</v>
      </c>
      <c r="R54" s="348">
        <f t="shared" si="13"/>
        <v>56</v>
      </c>
      <c r="S54" s="380">
        <f t="shared" si="14"/>
        <v>33999</v>
      </c>
      <c r="T54" s="380">
        <f t="shared" si="15"/>
        <v>475986</v>
      </c>
      <c r="U54" s="393"/>
    </row>
    <row r="55" spans="1:21">
      <c r="A55" s="378"/>
      <c r="B55" s="378"/>
      <c r="C55" s="378"/>
      <c r="D55" s="363" t="s">
        <v>1370</v>
      </c>
      <c r="E55" s="367">
        <v>51</v>
      </c>
      <c r="F55" s="393" t="s">
        <v>1437</v>
      </c>
      <c r="G55" s="393" t="s">
        <v>1371</v>
      </c>
      <c r="H55" s="351">
        <v>330000</v>
      </c>
      <c r="I55" s="351">
        <v>43989</v>
      </c>
      <c r="J55" s="349">
        <f t="shared" si="10"/>
        <v>373989</v>
      </c>
      <c r="K55" s="348">
        <v>50</v>
      </c>
      <c r="L55" s="380">
        <v>7479.78</v>
      </c>
      <c r="M55" s="394">
        <f>I55/50</f>
        <v>879.78</v>
      </c>
      <c r="N55" s="394">
        <f t="shared" ref="N55:N61" si="17">H55/50</f>
        <v>6600</v>
      </c>
      <c r="O55" s="394">
        <f t="shared" si="11"/>
        <v>14956.26</v>
      </c>
      <c r="P55" s="394">
        <f t="shared" si="12"/>
        <v>29032.739999999998</v>
      </c>
      <c r="Q55" s="348">
        <v>17</v>
      </c>
      <c r="R55" s="354">
        <f t="shared" si="13"/>
        <v>33</v>
      </c>
      <c r="S55" s="350">
        <f t="shared" si="14"/>
        <v>127156.26</v>
      </c>
      <c r="T55" s="350">
        <f t="shared" si="15"/>
        <v>246832.74</v>
      </c>
      <c r="U55" s="393"/>
    </row>
    <row r="56" spans="1:21">
      <c r="A56" s="378"/>
      <c r="B56" s="378"/>
      <c r="C56" s="378"/>
      <c r="D56" s="116" t="s">
        <v>1313</v>
      </c>
      <c r="E56" s="367">
        <v>52</v>
      </c>
      <c r="F56" s="393" t="s">
        <v>1437</v>
      </c>
      <c r="G56" s="393" t="s">
        <v>1314</v>
      </c>
      <c r="H56" s="351">
        <v>450000</v>
      </c>
      <c r="I56" s="351">
        <v>28792.799999999999</v>
      </c>
      <c r="J56" s="349">
        <f t="shared" si="10"/>
        <v>478792.8</v>
      </c>
      <c r="K56" s="348">
        <v>24</v>
      </c>
      <c r="L56" s="380">
        <v>19949.7</v>
      </c>
      <c r="M56" s="394">
        <f>I56/24</f>
        <v>1199.7</v>
      </c>
      <c r="N56" s="394">
        <f t="shared" si="17"/>
        <v>9000</v>
      </c>
      <c r="O56" s="394">
        <f t="shared" si="11"/>
        <v>16795.8</v>
      </c>
      <c r="P56" s="394">
        <f t="shared" si="12"/>
        <v>11997</v>
      </c>
      <c r="Q56" s="348">
        <v>14</v>
      </c>
      <c r="R56" s="354">
        <f t="shared" si="13"/>
        <v>10</v>
      </c>
      <c r="S56" s="350">
        <f t="shared" si="14"/>
        <v>279295.8</v>
      </c>
      <c r="T56" s="350">
        <f t="shared" si="15"/>
        <v>199497</v>
      </c>
      <c r="U56" s="393"/>
    </row>
    <row r="57" spans="1:21">
      <c r="A57" s="378"/>
      <c r="B57" s="378"/>
      <c r="C57" s="378"/>
      <c r="D57" s="364" t="s">
        <v>1386</v>
      </c>
      <c r="E57" s="367">
        <v>53</v>
      </c>
      <c r="F57" s="393" t="s">
        <v>1437</v>
      </c>
      <c r="G57" s="393" t="s">
        <v>1387</v>
      </c>
      <c r="H57" s="351">
        <v>330000</v>
      </c>
      <c r="I57" s="351">
        <v>43989</v>
      </c>
      <c r="J57" s="349">
        <f t="shared" si="10"/>
        <v>373989</v>
      </c>
      <c r="K57" s="348">
        <v>50</v>
      </c>
      <c r="L57" s="380">
        <v>7479.78</v>
      </c>
      <c r="M57" s="394">
        <f>I57/50</f>
        <v>879.78</v>
      </c>
      <c r="N57" s="394">
        <f t="shared" si="17"/>
        <v>6600</v>
      </c>
      <c r="O57" s="394">
        <f t="shared" si="11"/>
        <v>22874.28</v>
      </c>
      <c r="P57" s="394">
        <f t="shared" si="12"/>
        <v>21114.720000000001</v>
      </c>
      <c r="Q57" s="348">
        <v>26</v>
      </c>
      <c r="R57" s="354">
        <f t="shared" si="13"/>
        <v>24</v>
      </c>
      <c r="S57" s="350">
        <f t="shared" si="14"/>
        <v>194474.28</v>
      </c>
      <c r="T57" s="350">
        <f t="shared" si="15"/>
        <v>179514.72</v>
      </c>
      <c r="U57" s="393"/>
    </row>
    <row r="58" spans="1:21" ht="31.5">
      <c r="A58" s="378"/>
      <c r="B58" s="378"/>
      <c r="C58" s="378"/>
      <c r="D58" s="364" t="s">
        <v>975</v>
      </c>
      <c r="E58" s="367">
        <v>54</v>
      </c>
      <c r="F58" s="393" t="s">
        <v>1437</v>
      </c>
      <c r="G58" s="395" t="s">
        <v>875</v>
      </c>
      <c r="H58" s="351">
        <v>450000</v>
      </c>
      <c r="I58" s="351">
        <v>59985</v>
      </c>
      <c r="J58" s="349">
        <f t="shared" si="10"/>
        <v>509985</v>
      </c>
      <c r="K58" s="348">
        <v>50</v>
      </c>
      <c r="L58" s="380">
        <v>10199.700000000001</v>
      </c>
      <c r="M58" s="394">
        <f>I58/50</f>
        <v>1199.7</v>
      </c>
      <c r="N58" s="394">
        <f t="shared" si="17"/>
        <v>9000</v>
      </c>
      <c r="O58" s="394">
        <f t="shared" si="11"/>
        <v>40789.800000000003</v>
      </c>
      <c r="P58" s="394">
        <f t="shared" si="12"/>
        <v>19195.2</v>
      </c>
      <c r="Q58" s="348">
        <v>34</v>
      </c>
      <c r="R58" s="354">
        <f t="shared" si="13"/>
        <v>16</v>
      </c>
      <c r="S58" s="350">
        <f t="shared" si="14"/>
        <v>346789.80000000005</v>
      </c>
      <c r="T58" s="350">
        <f t="shared" si="15"/>
        <v>163195.19999999995</v>
      </c>
      <c r="U58" s="393"/>
    </row>
    <row r="59" spans="1:21">
      <c r="A59" s="378"/>
      <c r="B59" s="378"/>
      <c r="C59" s="378"/>
      <c r="D59" s="364" t="s">
        <v>1357</v>
      </c>
      <c r="E59" s="367">
        <v>55</v>
      </c>
      <c r="F59" s="393" t="s">
        <v>1437</v>
      </c>
      <c r="G59" s="393" t="s">
        <v>858</v>
      </c>
      <c r="H59" s="351">
        <v>450000</v>
      </c>
      <c r="I59" s="351">
        <v>59985</v>
      </c>
      <c r="J59" s="349">
        <f t="shared" si="10"/>
        <v>509985</v>
      </c>
      <c r="K59" s="348">
        <v>50</v>
      </c>
      <c r="L59" s="380">
        <v>10199.700000000001</v>
      </c>
      <c r="M59" s="394">
        <f>I59/50</f>
        <v>1199.7</v>
      </c>
      <c r="N59" s="394">
        <f t="shared" si="17"/>
        <v>9000</v>
      </c>
      <c r="O59" s="394">
        <f t="shared" si="11"/>
        <v>31192.2</v>
      </c>
      <c r="P59" s="394">
        <f t="shared" si="12"/>
        <v>28792.800000000003</v>
      </c>
      <c r="Q59" s="348">
        <v>26</v>
      </c>
      <c r="R59" s="354">
        <f t="shared" si="13"/>
        <v>24</v>
      </c>
      <c r="S59" s="350">
        <f t="shared" si="14"/>
        <v>265192.2</v>
      </c>
      <c r="T59" s="350">
        <f t="shared" si="15"/>
        <v>244792.8</v>
      </c>
      <c r="U59" s="393"/>
    </row>
    <row r="60" spans="1:21">
      <c r="A60" s="378"/>
      <c r="B60" s="378"/>
      <c r="C60" s="378"/>
      <c r="D60" s="116" t="s">
        <v>1346</v>
      </c>
      <c r="E60" s="367">
        <v>56</v>
      </c>
      <c r="F60" s="393" t="s">
        <v>1437</v>
      </c>
      <c r="G60" s="393" t="s">
        <v>1347</v>
      </c>
      <c r="H60" s="351">
        <v>500000</v>
      </c>
      <c r="I60" s="351">
        <v>66650</v>
      </c>
      <c r="J60" s="349">
        <f t="shared" si="10"/>
        <v>566650</v>
      </c>
      <c r="K60" s="348">
        <v>50</v>
      </c>
      <c r="L60" s="380">
        <v>11333</v>
      </c>
      <c r="M60" s="394">
        <f>I60/50</f>
        <v>1333</v>
      </c>
      <c r="N60" s="394">
        <f t="shared" si="17"/>
        <v>10000</v>
      </c>
      <c r="O60" s="394">
        <f t="shared" si="11"/>
        <v>25327</v>
      </c>
      <c r="P60" s="394">
        <f t="shared" si="12"/>
        <v>41323</v>
      </c>
      <c r="Q60" s="348">
        <v>19</v>
      </c>
      <c r="R60" s="354">
        <f t="shared" si="13"/>
        <v>31</v>
      </c>
      <c r="S60" s="350">
        <f t="shared" si="14"/>
        <v>215327</v>
      </c>
      <c r="T60" s="350">
        <f t="shared" si="15"/>
        <v>351323</v>
      </c>
      <c r="U60" s="393"/>
    </row>
    <row r="61" spans="1:21">
      <c r="A61" s="378"/>
      <c r="B61" s="378"/>
      <c r="C61" s="378"/>
      <c r="D61" s="364" t="s">
        <v>1356</v>
      </c>
      <c r="E61" s="367">
        <v>57</v>
      </c>
      <c r="F61" s="393" t="s">
        <v>1437</v>
      </c>
      <c r="G61" s="393" t="s">
        <v>1286</v>
      </c>
      <c r="H61" s="351">
        <v>450000</v>
      </c>
      <c r="I61" s="351">
        <v>59985</v>
      </c>
      <c r="J61" s="349">
        <f t="shared" si="10"/>
        <v>509985</v>
      </c>
      <c r="K61" s="348">
        <v>50</v>
      </c>
      <c r="L61" s="380">
        <v>10199.700000000001</v>
      </c>
      <c r="M61" s="394">
        <f>I61/50</f>
        <v>1199.7</v>
      </c>
      <c r="N61" s="394">
        <f t="shared" si="17"/>
        <v>9000</v>
      </c>
      <c r="O61" s="394">
        <f t="shared" si="11"/>
        <v>22794.3</v>
      </c>
      <c r="P61" s="394">
        <f t="shared" si="12"/>
        <v>37190.700000000004</v>
      </c>
      <c r="Q61" s="348">
        <v>19</v>
      </c>
      <c r="R61" s="354">
        <f t="shared" si="13"/>
        <v>31</v>
      </c>
      <c r="S61" s="350">
        <f t="shared" si="14"/>
        <v>193794.30000000002</v>
      </c>
      <c r="T61" s="350">
        <f t="shared" si="15"/>
        <v>316190.69999999995</v>
      </c>
      <c r="U61" s="393"/>
    </row>
    <row r="62" spans="1:21">
      <c r="A62" s="378"/>
      <c r="B62" s="378"/>
      <c r="C62" s="378"/>
      <c r="D62" s="363" t="s">
        <v>1501</v>
      </c>
      <c r="E62" s="367">
        <v>58</v>
      </c>
      <c r="F62" s="393" t="s">
        <v>1437</v>
      </c>
      <c r="G62" s="393" t="s">
        <v>484</v>
      </c>
      <c r="H62" s="380">
        <v>750000</v>
      </c>
      <c r="I62" s="380">
        <v>99925</v>
      </c>
      <c r="J62" s="380">
        <f t="shared" si="10"/>
        <v>849925</v>
      </c>
      <c r="K62" s="348">
        <v>60</v>
      </c>
      <c r="L62" s="380">
        <v>14166.25</v>
      </c>
      <c r="M62" s="394">
        <f>I62/60</f>
        <v>1665.4166666666667</v>
      </c>
      <c r="N62" s="394">
        <f>H62/60</f>
        <v>12500</v>
      </c>
      <c r="O62" s="394">
        <f t="shared" si="11"/>
        <v>6661.666666666667</v>
      </c>
      <c r="P62" s="394">
        <f t="shared" si="12"/>
        <v>93263.333333333343</v>
      </c>
      <c r="Q62" s="348">
        <v>4</v>
      </c>
      <c r="R62" s="348">
        <f t="shared" si="13"/>
        <v>56</v>
      </c>
      <c r="S62" s="380">
        <f t="shared" si="14"/>
        <v>56665</v>
      </c>
      <c r="T62" s="380">
        <f t="shared" si="15"/>
        <v>793260</v>
      </c>
      <c r="U62" s="393"/>
    </row>
    <row r="63" spans="1:21">
      <c r="A63" s="378"/>
      <c r="B63" s="378"/>
      <c r="C63" s="378"/>
      <c r="D63" s="364" t="s">
        <v>1043</v>
      </c>
      <c r="E63" s="367">
        <v>59</v>
      </c>
      <c r="F63" s="393" t="s">
        <v>1437</v>
      </c>
      <c r="G63" s="393" t="s">
        <v>444</v>
      </c>
      <c r="H63" s="351">
        <v>500000</v>
      </c>
      <c r="I63" s="351">
        <v>66650</v>
      </c>
      <c r="J63" s="349">
        <f t="shared" si="10"/>
        <v>566650</v>
      </c>
      <c r="K63" s="348">
        <v>50</v>
      </c>
      <c r="L63" s="380">
        <v>11333</v>
      </c>
      <c r="M63" s="394">
        <f t="shared" ref="M63:M68" si="18">I63/50</f>
        <v>1333</v>
      </c>
      <c r="N63" s="394">
        <f t="shared" ref="N63:N68" si="19">H63/50</f>
        <v>10000</v>
      </c>
      <c r="O63" s="394">
        <f t="shared" si="11"/>
        <v>51987</v>
      </c>
      <c r="P63" s="394">
        <f t="shared" si="12"/>
        <v>14663</v>
      </c>
      <c r="Q63" s="348">
        <v>39</v>
      </c>
      <c r="R63" s="354">
        <f t="shared" si="13"/>
        <v>11</v>
      </c>
      <c r="S63" s="350">
        <f t="shared" si="14"/>
        <v>441987</v>
      </c>
      <c r="T63" s="350">
        <f t="shared" si="15"/>
        <v>124663</v>
      </c>
      <c r="U63" s="393"/>
    </row>
    <row r="64" spans="1:21">
      <c r="A64" s="378"/>
      <c r="B64" s="378"/>
      <c r="C64" s="378"/>
      <c r="D64" s="363" t="s">
        <v>1001</v>
      </c>
      <c r="E64" s="367">
        <v>60</v>
      </c>
      <c r="F64" s="393" t="s">
        <v>1437</v>
      </c>
      <c r="G64" s="393" t="s">
        <v>834</v>
      </c>
      <c r="H64" s="351">
        <v>330000</v>
      </c>
      <c r="I64" s="351">
        <v>43989</v>
      </c>
      <c r="J64" s="349">
        <f t="shared" si="10"/>
        <v>373989</v>
      </c>
      <c r="K64" s="348">
        <v>50</v>
      </c>
      <c r="L64" s="380">
        <v>7479.78</v>
      </c>
      <c r="M64" s="394">
        <f t="shared" si="18"/>
        <v>879.78</v>
      </c>
      <c r="N64" s="394">
        <f t="shared" si="19"/>
        <v>6600</v>
      </c>
      <c r="O64" s="394">
        <f t="shared" si="11"/>
        <v>34311.42</v>
      </c>
      <c r="P64" s="394">
        <f t="shared" si="12"/>
        <v>9677.58</v>
      </c>
      <c r="Q64" s="348">
        <v>39</v>
      </c>
      <c r="R64" s="354">
        <f t="shared" si="13"/>
        <v>11</v>
      </c>
      <c r="S64" s="350">
        <f t="shared" si="14"/>
        <v>291711.42</v>
      </c>
      <c r="T64" s="350">
        <f t="shared" si="15"/>
        <v>82277.580000000016</v>
      </c>
      <c r="U64" s="393"/>
    </row>
    <row r="65" spans="1:21">
      <c r="A65" s="378"/>
      <c r="B65" s="378"/>
      <c r="C65" s="378"/>
      <c r="D65" s="116" t="s">
        <v>996</v>
      </c>
      <c r="E65" s="367">
        <v>61</v>
      </c>
      <c r="F65" s="393" t="s">
        <v>1437</v>
      </c>
      <c r="G65" s="393" t="s">
        <v>338</v>
      </c>
      <c r="H65" s="351">
        <v>500000</v>
      </c>
      <c r="I65" s="351">
        <v>66650</v>
      </c>
      <c r="J65" s="349">
        <f t="shared" si="10"/>
        <v>566650</v>
      </c>
      <c r="K65" s="348">
        <v>40</v>
      </c>
      <c r="L65" s="380">
        <v>13833</v>
      </c>
      <c r="M65" s="394">
        <f t="shared" si="18"/>
        <v>1333</v>
      </c>
      <c r="N65" s="394">
        <f t="shared" si="19"/>
        <v>10000</v>
      </c>
      <c r="O65" s="394">
        <f t="shared" si="11"/>
        <v>18662</v>
      </c>
      <c r="P65" s="394">
        <f t="shared" si="12"/>
        <v>34658</v>
      </c>
      <c r="Q65" s="348">
        <v>14</v>
      </c>
      <c r="R65" s="354">
        <f t="shared" si="13"/>
        <v>26</v>
      </c>
      <c r="S65" s="350">
        <f t="shared" si="14"/>
        <v>193662</v>
      </c>
      <c r="T65" s="350">
        <f t="shared" si="15"/>
        <v>372988</v>
      </c>
      <c r="U65" s="393"/>
    </row>
    <row r="66" spans="1:21">
      <c r="A66" s="378"/>
      <c r="B66" s="378"/>
      <c r="C66" s="378"/>
      <c r="D66" s="116" t="s">
        <v>1335</v>
      </c>
      <c r="E66" s="367">
        <v>62</v>
      </c>
      <c r="F66" s="393" t="s">
        <v>1437</v>
      </c>
      <c r="G66" s="393" t="s">
        <v>1336</v>
      </c>
      <c r="H66" s="351">
        <v>500000</v>
      </c>
      <c r="I66" s="351">
        <v>66650</v>
      </c>
      <c r="J66" s="349">
        <f t="shared" si="10"/>
        <v>566650</v>
      </c>
      <c r="K66" s="348">
        <v>50</v>
      </c>
      <c r="L66" s="380">
        <v>11333</v>
      </c>
      <c r="M66" s="394">
        <f t="shared" si="18"/>
        <v>1333</v>
      </c>
      <c r="N66" s="394">
        <f t="shared" si="19"/>
        <v>10000</v>
      </c>
      <c r="O66" s="394">
        <f t="shared" si="11"/>
        <v>27993</v>
      </c>
      <c r="P66" s="394">
        <f t="shared" si="12"/>
        <v>38657</v>
      </c>
      <c r="Q66" s="348">
        <v>21</v>
      </c>
      <c r="R66" s="354">
        <f t="shared" si="13"/>
        <v>29</v>
      </c>
      <c r="S66" s="350">
        <f t="shared" si="14"/>
        <v>237993</v>
      </c>
      <c r="T66" s="350">
        <f t="shared" si="15"/>
        <v>328657</v>
      </c>
      <c r="U66" s="393"/>
    </row>
    <row r="67" spans="1:21">
      <c r="A67" s="378"/>
      <c r="B67" s="378"/>
      <c r="C67" s="378"/>
      <c r="D67" s="364" t="s">
        <v>1312</v>
      </c>
      <c r="E67" s="367">
        <v>63</v>
      </c>
      <c r="F67" s="393" t="s">
        <v>1437</v>
      </c>
      <c r="G67" s="393" t="s">
        <v>436</v>
      </c>
      <c r="H67" s="351">
        <v>500000</v>
      </c>
      <c r="I67" s="351">
        <v>66650</v>
      </c>
      <c r="J67" s="349">
        <f t="shared" si="10"/>
        <v>566650</v>
      </c>
      <c r="K67" s="348">
        <v>25</v>
      </c>
      <c r="L67" s="380">
        <v>21333</v>
      </c>
      <c r="M67" s="394">
        <f t="shared" si="18"/>
        <v>1333</v>
      </c>
      <c r="N67" s="394">
        <f t="shared" si="19"/>
        <v>10000</v>
      </c>
      <c r="O67" s="394">
        <f t="shared" si="11"/>
        <v>25327</v>
      </c>
      <c r="P67" s="394">
        <f t="shared" si="12"/>
        <v>7998</v>
      </c>
      <c r="Q67" s="348">
        <v>19</v>
      </c>
      <c r="R67" s="354">
        <f t="shared" si="13"/>
        <v>6</v>
      </c>
      <c r="S67" s="350">
        <f t="shared" si="14"/>
        <v>405327</v>
      </c>
      <c r="T67" s="350">
        <f t="shared" si="15"/>
        <v>161323</v>
      </c>
      <c r="U67" s="393"/>
    </row>
    <row r="68" spans="1:21">
      <c r="A68" s="378"/>
      <c r="B68" s="378"/>
      <c r="C68" s="378"/>
      <c r="D68" s="116" t="s">
        <v>1044</v>
      </c>
      <c r="E68" s="367">
        <v>64</v>
      </c>
      <c r="F68" s="393" t="s">
        <v>1437</v>
      </c>
      <c r="G68" s="393" t="s">
        <v>844</v>
      </c>
      <c r="H68" s="351">
        <v>150000</v>
      </c>
      <c r="I68" s="351">
        <v>19995</v>
      </c>
      <c r="J68" s="349">
        <f t="shared" si="10"/>
        <v>169995</v>
      </c>
      <c r="K68" s="348">
        <v>50</v>
      </c>
      <c r="L68" s="380">
        <v>3399.9</v>
      </c>
      <c r="M68" s="394">
        <f t="shared" si="18"/>
        <v>399.9</v>
      </c>
      <c r="N68" s="394">
        <f t="shared" si="19"/>
        <v>3000</v>
      </c>
      <c r="O68" s="394">
        <f t="shared" si="11"/>
        <v>15596.099999999999</v>
      </c>
      <c r="P68" s="394">
        <f t="shared" si="12"/>
        <v>4398.8999999999996</v>
      </c>
      <c r="Q68" s="348">
        <v>39</v>
      </c>
      <c r="R68" s="354">
        <f t="shared" si="13"/>
        <v>11</v>
      </c>
      <c r="S68" s="350">
        <f t="shared" si="14"/>
        <v>132596.1</v>
      </c>
      <c r="T68" s="350">
        <f t="shared" si="15"/>
        <v>37398.899999999994</v>
      </c>
      <c r="U68" s="393"/>
    </row>
    <row r="69" spans="1:21">
      <c r="A69" s="378"/>
      <c r="B69" s="378"/>
      <c r="C69" s="378"/>
      <c r="D69" s="363" t="s">
        <v>1494</v>
      </c>
      <c r="E69" s="367">
        <v>65</v>
      </c>
      <c r="F69" s="393" t="s">
        <v>1437</v>
      </c>
      <c r="G69" s="393" t="s">
        <v>1495</v>
      </c>
      <c r="H69" s="380">
        <v>750000</v>
      </c>
      <c r="I69" s="380">
        <v>99925</v>
      </c>
      <c r="J69" s="380">
        <f t="shared" ref="J69:J100" si="20">SUM(H69:I69)</f>
        <v>849925</v>
      </c>
      <c r="K69" s="348">
        <v>60</v>
      </c>
      <c r="L69" s="380">
        <v>14166.25</v>
      </c>
      <c r="M69" s="394">
        <f>I69/60</f>
        <v>1665.4166666666667</v>
      </c>
      <c r="N69" s="394">
        <f>H69/60</f>
        <v>12500</v>
      </c>
      <c r="O69" s="394">
        <f t="shared" ref="O69:O100" si="21">M69*Q69</f>
        <v>6661.666666666667</v>
      </c>
      <c r="P69" s="394">
        <f t="shared" ref="P69:P100" si="22">M69*R69</f>
        <v>93263.333333333343</v>
      </c>
      <c r="Q69" s="348">
        <v>4</v>
      </c>
      <c r="R69" s="348">
        <f t="shared" ref="R69:R100" si="23">K69-Q69</f>
        <v>56</v>
      </c>
      <c r="S69" s="380">
        <f t="shared" ref="S69:S100" si="24">L69*Q69</f>
        <v>56665</v>
      </c>
      <c r="T69" s="380">
        <f t="shared" ref="T69:T100" si="25">J69-S69</f>
        <v>793260</v>
      </c>
      <c r="U69" s="393"/>
    </row>
    <row r="70" spans="1:21">
      <c r="A70" s="378"/>
      <c r="B70" s="378"/>
      <c r="C70" s="378"/>
      <c r="D70" s="364" t="s">
        <v>1328</v>
      </c>
      <c r="E70" s="367">
        <v>66</v>
      </c>
      <c r="F70" s="393" t="s">
        <v>1437</v>
      </c>
      <c r="G70" s="393" t="s">
        <v>433</v>
      </c>
      <c r="H70" s="351">
        <v>500000</v>
      </c>
      <c r="I70" s="351">
        <v>66650</v>
      </c>
      <c r="J70" s="349">
        <f t="shared" si="20"/>
        <v>566650</v>
      </c>
      <c r="K70" s="348">
        <v>50</v>
      </c>
      <c r="L70" s="380">
        <v>11333</v>
      </c>
      <c r="M70" s="394">
        <f t="shared" ref="M70:M95" si="26">I70/50</f>
        <v>1333</v>
      </c>
      <c r="N70" s="394">
        <f t="shared" ref="N70:N102" si="27">H70/50</f>
        <v>10000</v>
      </c>
      <c r="O70" s="394">
        <f t="shared" si="21"/>
        <v>33325</v>
      </c>
      <c r="P70" s="394">
        <f t="shared" si="22"/>
        <v>33325</v>
      </c>
      <c r="Q70" s="348">
        <v>25</v>
      </c>
      <c r="R70" s="354">
        <f t="shared" si="23"/>
        <v>25</v>
      </c>
      <c r="S70" s="350">
        <f t="shared" si="24"/>
        <v>283325</v>
      </c>
      <c r="T70" s="350">
        <f t="shared" si="25"/>
        <v>283325</v>
      </c>
      <c r="U70" s="393"/>
    </row>
    <row r="71" spans="1:21">
      <c r="A71" s="378"/>
      <c r="B71" s="378"/>
      <c r="C71" s="378"/>
      <c r="D71" s="364" t="s">
        <v>1322</v>
      </c>
      <c r="E71" s="367">
        <v>67</v>
      </c>
      <c r="F71" s="393" t="s">
        <v>1437</v>
      </c>
      <c r="G71" s="393" t="s">
        <v>1122</v>
      </c>
      <c r="H71" s="351">
        <v>500000</v>
      </c>
      <c r="I71" s="351">
        <v>66650</v>
      </c>
      <c r="J71" s="349">
        <f t="shared" si="20"/>
        <v>566650</v>
      </c>
      <c r="K71" s="348">
        <v>50</v>
      </c>
      <c r="L71" s="380">
        <v>11333</v>
      </c>
      <c r="M71" s="394">
        <f t="shared" si="26"/>
        <v>1333</v>
      </c>
      <c r="N71" s="394">
        <f t="shared" si="27"/>
        <v>10000</v>
      </c>
      <c r="O71" s="394">
        <f t="shared" si="21"/>
        <v>34658</v>
      </c>
      <c r="P71" s="394">
        <f t="shared" si="22"/>
        <v>31992</v>
      </c>
      <c r="Q71" s="348">
        <v>26</v>
      </c>
      <c r="R71" s="354">
        <f t="shared" si="23"/>
        <v>24</v>
      </c>
      <c r="S71" s="350">
        <f t="shared" si="24"/>
        <v>294658</v>
      </c>
      <c r="T71" s="350">
        <f t="shared" si="25"/>
        <v>271992</v>
      </c>
      <c r="U71" s="393"/>
    </row>
    <row r="72" spans="1:21">
      <c r="A72" s="378"/>
      <c r="B72" s="378"/>
      <c r="C72" s="378"/>
      <c r="D72" s="363" t="s">
        <v>1464</v>
      </c>
      <c r="E72" s="367">
        <v>68</v>
      </c>
      <c r="F72" s="393" t="s">
        <v>1437</v>
      </c>
      <c r="G72" s="393" t="s">
        <v>445</v>
      </c>
      <c r="H72" s="351">
        <v>500000</v>
      </c>
      <c r="I72" s="351">
        <v>66650</v>
      </c>
      <c r="J72" s="349">
        <f t="shared" si="20"/>
        <v>566650</v>
      </c>
      <c r="K72" s="348">
        <v>50</v>
      </c>
      <c r="L72" s="380">
        <v>11333</v>
      </c>
      <c r="M72" s="394">
        <f t="shared" si="26"/>
        <v>1333</v>
      </c>
      <c r="N72" s="394">
        <f t="shared" si="27"/>
        <v>10000</v>
      </c>
      <c r="O72" s="394">
        <f t="shared" si="21"/>
        <v>9331</v>
      </c>
      <c r="P72" s="394">
        <f t="shared" si="22"/>
        <v>57319</v>
      </c>
      <c r="Q72" s="348">
        <v>7</v>
      </c>
      <c r="R72" s="354">
        <f t="shared" si="23"/>
        <v>43</v>
      </c>
      <c r="S72" s="350">
        <f t="shared" si="24"/>
        <v>79331</v>
      </c>
      <c r="T72" s="350">
        <f t="shared" si="25"/>
        <v>487319</v>
      </c>
      <c r="U72" s="393"/>
    </row>
    <row r="73" spans="1:21">
      <c r="A73" s="378"/>
      <c r="B73" s="378"/>
      <c r="C73" s="378"/>
      <c r="D73" s="364" t="s">
        <v>1125</v>
      </c>
      <c r="E73" s="367">
        <v>69</v>
      </c>
      <c r="F73" s="393" t="s">
        <v>1437</v>
      </c>
      <c r="G73" s="393" t="s">
        <v>452</v>
      </c>
      <c r="H73" s="351">
        <v>500000</v>
      </c>
      <c r="I73" s="351">
        <v>66650</v>
      </c>
      <c r="J73" s="349">
        <f t="shared" si="20"/>
        <v>566650</v>
      </c>
      <c r="K73" s="348">
        <v>50</v>
      </c>
      <c r="L73" s="380">
        <v>11333</v>
      </c>
      <c r="M73" s="394">
        <f t="shared" si="26"/>
        <v>1333</v>
      </c>
      <c r="N73" s="394">
        <f t="shared" si="27"/>
        <v>10000</v>
      </c>
      <c r="O73" s="394">
        <f t="shared" si="21"/>
        <v>35991</v>
      </c>
      <c r="P73" s="394">
        <f t="shared" si="22"/>
        <v>30659</v>
      </c>
      <c r="Q73" s="348">
        <v>27</v>
      </c>
      <c r="R73" s="354">
        <f t="shared" si="23"/>
        <v>23</v>
      </c>
      <c r="S73" s="350">
        <f t="shared" si="24"/>
        <v>305991</v>
      </c>
      <c r="T73" s="350">
        <f t="shared" si="25"/>
        <v>260659</v>
      </c>
      <c r="U73" s="393"/>
    </row>
    <row r="74" spans="1:21">
      <c r="A74" s="378"/>
      <c r="B74" s="378"/>
      <c r="C74" s="378"/>
      <c r="D74" s="364" t="s">
        <v>1390</v>
      </c>
      <c r="E74" s="367">
        <v>70</v>
      </c>
      <c r="F74" s="393" t="s">
        <v>1437</v>
      </c>
      <c r="G74" s="393" t="s">
        <v>1391</v>
      </c>
      <c r="H74" s="351">
        <v>150000</v>
      </c>
      <c r="I74" s="351">
        <v>19995</v>
      </c>
      <c r="J74" s="349">
        <f t="shared" si="20"/>
        <v>169995</v>
      </c>
      <c r="K74" s="348">
        <v>40</v>
      </c>
      <c r="L74" s="380">
        <v>4149.8999999999996</v>
      </c>
      <c r="M74" s="394">
        <f t="shared" si="26"/>
        <v>399.9</v>
      </c>
      <c r="N74" s="394">
        <f t="shared" si="27"/>
        <v>3000</v>
      </c>
      <c r="O74" s="394">
        <f t="shared" si="21"/>
        <v>10397.4</v>
      </c>
      <c r="P74" s="394">
        <f t="shared" si="22"/>
        <v>5598.5999999999995</v>
      </c>
      <c r="Q74" s="348">
        <v>26</v>
      </c>
      <c r="R74" s="354">
        <f t="shared" si="23"/>
        <v>14</v>
      </c>
      <c r="S74" s="350">
        <f t="shared" si="24"/>
        <v>107897.4</v>
      </c>
      <c r="T74" s="350">
        <f t="shared" si="25"/>
        <v>62097.600000000006</v>
      </c>
      <c r="U74" s="393"/>
    </row>
    <row r="75" spans="1:21">
      <c r="A75" s="378"/>
      <c r="B75" s="378"/>
      <c r="C75" s="378"/>
      <c r="D75" s="363" t="s">
        <v>1477</v>
      </c>
      <c r="E75" s="367">
        <v>71</v>
      </c>
      <c r="F75" s="393" t="s">
        <v>1437</v>
      </c>
      <c r="G75" s="393" t="s">
        <v>1478</v>
      </c>
      <c r="H75" s="351">
        <v>330000</v>
      </c>
      <c r="I75" s="351">
        <v>43989</v>
      </c>
      <c r="J75" s="349">
        <f t="shared" si="20"/>
        <v>373989</v>
      </c>
      <c r="K75" s="348">
        <v>50</v>
      </c>
      <c r="L75" s="380">
        <v>7479.78</v>
      </c>
      <c r="M75" s="394">
        <f t="shared" si="26"/>
        <v>879.78</v>
      </c>
      <c r="N75" s="394">
        <f t="shared" si="27"/>
        <v>6600</v>
      </c>
      <c r="O75" s="394">
        <f t="shared" si="21"/>
        <v>6158.46</v>
      </c>
      <c r="P75" s="394">
        <f t="shared" si="22"/>
        <v>37830.54</v>
      </c>
      <c r="Q75" s="348">
        <v>7</v>
      </c>
      <c r="R75" s="354">
        <f t="shared" si="23"/>
        <v>43</v>
      </c>
      <c r="S75" s="350">
        <f t="shared" si="24"/>
        <v>52358.46</v>
      </c>
      <c r="T75" s="350">
        <f t="shared" si="25"/>
        <v>321630.53999999998</v>
      </c>
      <c r="U75" s="393"/>
    </row>
    <row r="76" spans="1:21">
      <c r="A76" s="378"/>
      <c r="B76" s="378"/>
      <c r="C76" s="378"/>
      <c r="D76" s="364" t="s">
        <v>1067</v>
      </c>
      <c r="E76" s="367">
        <v>72</v>
      </c>
      <c r="F76" s="393" t="s">
        <v>1437</v>
      </c>
      <c r="G76" s="393" t="s">
        <v>368</v>
      </c>
      <c r="H76" s="351">
        <v>450000</v>
      </c>
      <c r="I76" s="351">
        <v>59985</v>
      </c>
      <c r="J76" s="349">
        <f t="shared" si="20"/>
        <v>509985</v>
      </c>
      <c r="K76" s="348">
        <v>50</v>
      </c>
      <c r="L76" s="380">
        <v>10199.700000000001</v>
      </c>
      <c r="M76" s="394">
        <f t="shared" si="26"/>
        <v>1199.7</v>
      </c>
      <c r="N76" s="394">
        <f t="shared" si="27"/>
        <v>9000</v>
      </c>
      <c r="O76" s="394">
        <f t="shared" si="21"/>
        <v>59985</v>
      </c>
      <c r="P76" s="394">
        <f t="shared" si="22"/>
        <v>0</v>
      </c>
      <c r="Q76" s="348">
        <v>50</v>
      </c>
      <c r="R76" s="354">
        <f t="shared" si="23"/>
        <v>0</v>
      </c>
      <c r="S76" s="350">
        <f t="shared" si="24"/>
        <v>509985.00000000006</v>
      </c>
      <c r="T76" s="350">
        <f t="shared" si="25"/>
        <v>0</v>
      </c>
      <c r="U76" s="393"/>
    </row>
    <row r="77" spans="1:21">
      <c r="A77" s="378"/>
      <c r="B77" s="378"/>
      <c r="C77" s="378"/>
      <c r="D77" s="364" t="s">
        <v>1078</v>
      </c>
      <c r="E77" s="367">
        <v>73</v>
      </c>
      <c r="F77" s="393" t="s">
        <v>1437</v>
      </c>
      <c r="G77" s="393" t="s">
        <v>446</v>
      </c>
      <c r="H77" s="351">
        <v>330000</v>
      </c>
      <c r="I77" s="351">
        <v>43989</v>
      </c>
      <c r="J77" s="349">
        <f t="shared" si="20"/>
        <v>373989</v>
      </c>
      <c r="K77" s="348">
        <v>50</v>
      </c>
      <c r="L77" s="380">
        <v>7479.78</v>
      </c>
      <c r="M77" s="394">
        <f t="shared" si="26"/>
        <v>879.78</v>
      </c>
      <c r="N77" s="394">
        <f t="shared" si="27"/>
        <v>6600</v>
      </c>
      <c r="O77" s="394">
        <f t="shared" si="21"/>
        <v>29912.52</v>
      </c>
      <c r="P77" s="394">
        <f t="shared" si="22"/>
        <v>14076.48</v>
      </c>
      <c r="Q77" s="348">
        <v>34</v>
      </c>
      <c r="R77" s="354">
        <f t="shared" si="23"/>
        <v>16</v>
      </c>
      <c r="S77" s="350">
        <f t="shared" si="24"/>
        <v>254312.52</v>
      </c>
      <c r="T77" s="350">
        <f t="shared" si="25"/>
        <v>119676.48000000001</v>
      </c>
      <c r="U77" s="393"/>
    </row>
    <row r="78" spans="1:21">
      <c r="A78" s="378"/>
      <c r="B78" s="378"/>
      <c r="C78" s="378"/>
      <c r="D78" s="363" t="s">
        <v>971</v>
      </c>
      <c r="E78" s="367">
        <v>74</v>
      </c>
      <c r="F78" s="393" t="s">
        <v>1437</v>
      </c>
      <c r="G78" s="393" t="s">
        <v>112</v>
      </c>
      <c r="H78" s="351">
        <v>330000</v>
      </c>
      <c r="I78" s="351">
        <v>43989</v>
      </c>
      <c r="J78" s="349">
        <f t="shared" si="20"/>
        <v>373989</v>
      </c>
      <c r="K78" s="348">
        <v>50</v>
      </c>
      <c r="L78" s="380">
        <v>7479.78</v>
      </c>
      <c r="M78" s="394">
        <f t="shared" si="26"/>
        <v>879.78</v>
      </c>
      <c r="N78" s="394">
        <f t="shared" si="27"/>
        <v>6600</v>
      </c>
      <c r="O78" s="394">
        <f t="shared" si="21"/>
        <v>8797.7999999999993</v>
      </c>
      <c r="P78" s="394">
        <f t="shared" si="22"/>
        <v>35191.199999999997</v>
      </c>
      <c r="Q78" s="348">
        <v>10</v>
      </c>
      <c r="R78" s="354">
        <f t="shared" si="23"/>
        <v>40</v>
      </c>
      <c r="S78" s="350">
        <f t="shared" si="24"/>
        <v>74797.8</v>
      </c>
      <c r="T78" s="350">
        <f t="shared" si="25"/>
        <v>299191.2</v>
      </c>
      <c r="U78" s="393"/>
    </row>
    <row r="79" spans="1:21">
      <c r="A79" s="378"/>
      <c r="B79" s="378"/>
      <c r="C79" s="378"/>
      <c r="D79" s="364" t="s">
        <v>1375</v>
      </c>
      <c r="E79" s="367">
        <v>75</v>
      </c>
      <c r="F79" s="393" t="s">
        <v>1437</v>
      </c>
      <c r="G79" s="393" t="s">
        <v>1376</v>
      </c>
      <c r="H79" s="351">
        <v>330000</v>
      </c>
      <c r="I79" s="351">
        <v>43989</v>
      </c>
      <c r="J79" s="349">
        <f t="shared" si="20"/>
        <v>373989</v>
      </c>
      <c r="K79" s="348">
        <v>50</v>
      </c>
      <c r="L79" s="380">
        <v>7479.78</v>
      </c>
      <c r="M79" s="394">
        <f t="shared" si="26"/>
        <v>879.78</v>
      </c>
      <c r="N79" s="394">
        <f t="shared" si="27"/>
        <v>6600</v>
      </c>
      <c r="O79" s="394">
        <f t="shared" si="21"/>
        <v>14956.26</v>
      </c>
      <c r="P79" s="394">
        <f t="shared" si="22"/>
        <v>29032.739999999998</v>
      </c>
      <c r="Q79" s="348">
        <v>17</v>
      </c>
      <c r="R79" s="354">
        <f t="shared" si="23"/>
        <v>33</v>
      </c>
      <c r="S79" s="350">
        <f t="shared" si="24"/>
        <v>127156.26</v>
      </c>
      <c r="T79" s="350">
        <f t="shared" si="25"/>
        <v>246832.74</v>
      </c>
      <c r="U79" s="393"/>
    </row>
    <row r="80" spans="1:21">
      <c r="A80" s="378"/>
      <c r="B80" s="378"/>
      <c r="C80" s="378"/>
      <c r="D80" s="364" t="s">
        <v>1392</v>
      </c>
      <c r="E80" s="367">
        <v>76</v>
      </c>
      <c r="F80" s="393" t="s">
        <v>1437</v>
      </c>
      <c r="G80" s="393" t="s">
        <v>1393</v>
      </c>
      <c r="H80" s="351">
        <v>150000</v>
      </c>
      <c r="I80" s="351">
        <v>19995</v>
      </c>
      <c r="J80" s="349">
        <f t="shared" si="20"/>
        <v>169995</v>
      </c>
      <c r="K80" s="348">
        <v>40</v>
      </c>
      <c r="L80" s="380">
        <v>4149.8999999999996</v>
      </c>
      <c r="M80" s="394">
        <f t="shared" si="26"/>
        <v>399.9</v>
      </c>
      <c r="N80" s="394">
        <f t="shared" si="27"/>
        <v>3000</v>
      </c>
      <c r="O80" s="394">
        <f t="shared" si="21"/>
        <v>10397.4</v>
      </c>
      <c r="P80" s="394">
        <f t="shared" si="22"/>
        <v>5598.5999999999995</v>
      </c>
      <c r="Q80" s="348">
        <v>26</v>
      </c>
      <c r="R80" s="354">
        <f t="shared" si="23"/>
        <v>14</v>
      </c>
      <c r="S80" s="350">
        <f t="shared" si="24"/>
        <v>107897.4</v>
      </c>
      <c r="T80" s="350">
        <f t="shared" si="25"/>
        <v>62097.600000000006</v>
      </c>
      <c r="U80" s="393"/>
    </row>
    <row r="81" spans="1:21">
      <c r="A81" s="378"/>
      <c r="B81" s="378"/>
      <c r="C81" s="378"/>
      <c r="D81" s="363" t="s">
        <v>1438</v>
      </c>
      <c r="E81" s="367">
        <v>77</v>
      </c>
      <c r="F81" s="393" t="s">
        <v>1437</v>
      </c>
      <c r="G81" s="393" t="s">
        <v>1439</v>
      </c>
      <c r="H81" s="351">
        <v>450000</v>
      </c>
      <c r="I81" s="351">
        <v>59985</v>
      </c>
      <c r="J81" s="349">
        <f t="shared" si="20"/>
        <v>509985</v>
      </c>
      <c r="K81" s="348">
        <v>50</v>
      </c>
      <c r="L81" s="380">
        <v>10199.700000000001</v>
      </c>
      <c r="M81" s="394">
        <f t="shared" si="26"/>
        <v>1199.7</v>
      </c>
      <c r="N81" s="394">
        <f t="shared" si="27"/>
        <v>9000</v>
      </c>
      <c r="O81" s="394">
        <f t="shared" si="21"/>
        <v>57585.600000000006</v>
      </c>
      <c r="P81" s="394">
        <f t="shared" si="22"/>
        <v>2399.4</v>
      </c>
      <c r="Q81" s="348">
        <v>48</v>
      </c>
      <c r="R81" s="354">
        <f t="shared" si="23"/>
        <v>2</v>
      </c>
      <c r="S81" s="350">
        <f t="shared" si="24"/>
        <v>489585.60000000003</v>
      </c>
      <c r="T81" s="350">
        <f t="shared" si="25"/>
        <v>20399.399999999965</v>
      </c>
      <c r="U81" s="402"/>
    </row>
    <row r="82" spans="1:21">
      <c r="A82" s="378"/>
      <c r="B82" s="378"/>
      <c r="C82" s="378"/>
      <c r="D82" s="364" t="s">
        <v>982</v>
      </c>
      <c r="E82" s="367">
        <v>78</v>
      </c>
      <c r="F82" s="393" t="s">
        <v>1437</v>
      </c>
      <c r="G82" s="393" t="s">
        <v>350</v>
      </c>
      <c r="H82" s="351">
        <v>500000</v>
      </c>
      <c r="I82" s="351">
        <v>66650</v>
      </c>
      <c r="J82" s="349">
        <f t="shared" si="20"/>
        <v>566650</v>
      </c>
      <c r="K82" s="348">
        <v>50</v>
      </c>
      <c r="L82" s="380">
        <v>11333</v>
      </c>
      <c r="M82" s="394">
        <f t="shared" si="26"/>
        <v>1333</v>
      </c>
      <c r="N82" s="394">
        <f t="shared" si="27"/>
        <v>10000</v>
      </c>
      <c r="O82" s="394">
        <f t="shared" si="21"/>
        <v>57319</v>
      </c>
      <c r="P82" s="394">
        <f t="shared" si="22"/>
        <v>9331</v>
      </c>
      <c r="Q82" s="348">
        <v>43</v>
      </c>
      <c r="R82" s="354">
        <f t="shared" si="23"/>
        <v>7</v>
      </c>
      <c r="S82" s="350">
        <f t="shared" si="24"/>
        <v>487319</v>
      </c>
      <c r="T82" s="350">
        <f t="shared" si="25"/>
        <v>79331</v>
      </c>
      <c r="U82" s="393"/>
    </row>
    <row r="83" spans="1:21">
      <c r="A83" s="378"/>
      <c r="B83" s="378"/>
      <c r="C83" s="378"/>
      <c r="D83" s="363" t="s">
        <v>965</v>
      </c>
      <c r="E83" s="367">
        <v>79</v>
      </c>
      <c r="F83" s="393" t="s">
        <v>1437</v>
      </c>
      <c r="G83" s="393" t="s">
        <v>334</v>
      </c>
      <c r="H83" s="351">
        <v>500000</v>
      </c>
      <c r="I83" s="351">
        <v>66650</v>
      </c>
      <c r="J83" s="349">
        <f t="shared" si="20"/>
        <v>566650</v>
      </c>
      <c r="K83" s="348">
        <v>50</v>
      </c>
      <c r="L83" s="380">
        <v>11333</v>
      </c>
      <c r="M83" s="394">
        <f t="shared" si="26"/>
        <v>1333</v>
      </c>
      <c r="N83" s="394">
        <f t="shared" si="27"/>
        <v>10000</v>
      </c>
      <c r="O83" s="394">
        <f t="shared" si="21"/>
        <v>67983</v>
      </c>
      <c r="P83" s="394">
        <f t="shared" si="22"/>
        <v>-1333</v>
      </c>
      <c r="Q83" s="348">
        <v>51</v>
      </c>
      <c r="R83" s="354">
        <f t="shared" si="23"/>
        <v>-1</v>
      </c>
      <c r="S83" s="350">
        <f t="shared" si="24"/>
        <v>577983</v>
      </c>
      <c r="T83" s="350">
        <f t="shared" si="25"/>
        <v>-11333</v>
      </c>
      <c r="U83" s="393"/>
    </row>
    <row r="84" spans="1:21">
      <c r="A84" s="378"/>
      <c r="B84" s="378"/>
      <c r="C84" s="378"/>
      <c r="D84" s="115" t="s">
        <v>1402</v>
      </c>
      <c r="E84" s="367">
        <v>80</v>
      </c>
      <c r="F84" s="393" t="s">
        <v>1437</v>
      </c>
      <c r="G84" s="393" t="s">
        <v>1403</v>
      </c>
      <c r="H84" s="351">
        <v>150000</v>
      </c>
      <c r="I84" s="351">
        <v>19995</v>
      </c>
      <c r="J84" s="349">
        <f t="shared" si="20"/>
        <v>169995</v>
      </c>
      <c r="K84" s="348">
        <v>50</v>
      </c>
      <c r="L84" s="380">
        <v>3399.9</v>
      </c>
      <c r="M84" s="394">
        <f t="shared" si="26"/>
        <v>399.9</v>
      </c>
      <c r="N84" s="394">
        <f t="shared" si="27"/>
        <v>3000</v>
      </c>
      <c r="O84" s="394">
        <f t="shared" si="21"/>
        <v>5598.5999999999995</v>
      </c>
      <c r="P84" s="394">
        <f t="shared" si="22"/>
        <v>14396.4</v>
      </c>
      <c r="Q84" s="348">
        <v>14</v>
      </c>
      <c r="R84" s="354">
        <f t="shared" si="23"/>
        <v>36</v>
      </c>
      <c r="S84" s="350">
        <f t="shared" si="24"/>
        <v>47598.6</v>
      </c>
      <c r="T84" s="350">
        <f t="shared" si="25"/>
        <v>122396.4</v>
      </c>
      <c r="U84" s="393"/>
    </row>
    <row r="85" spans="1:21">
      <c r="A85" s="378"/>
      <c r="B85" s="378"/>
      <c r="C85" s="378"/>
      <c r="D85" s="116" t="s">
        <v>1355</v>
      </c>
      <c r="E85" s="367">
        <v>81</v>
      </c>
      <c r="F85" s="393" t="s">
        <v>1437</v>
      </c>
      <c r="G85" s="393" t="s">
        <v>1287</v>
      </c>
      <c r="H85" s="351">
        <v>450000</v>
      </c>
      <c r="I85" s="351">
        <v>59985</v>
      </c>
      <c r="J85" s="349">
        <f t="shared" si="20"/>
        <v>509985</v>
      </c>
      <c r="K85" s="348">
        <v>50</v>
      </c>
      <c r="L85" s="380">
        <v>10199.700000000001</v>
      </c>
      <c r="M85" s="394">
        <f t="shared" si="26"/>
        <v>1199.7</v>
      </c>
      <c r="N85" s="394">
        <f t="shared" si="27"/>
        <v>9000</v>
      </c>
      <c r="O85" s="394">
        <f t="shared" si="21"/>
        <v>22794.3</v>
      </c>
      <c r="P85" s="394">
        <f t="shared" si="22"/>
        <v>37190.700000000004</v>
      </c>
      <c r="Q85" s="348">
        <v>19</v>
      </c>
      <c r="R85" s="354">
        <f t="shared" si="23"/>
        <v>31</v>
      </c>
      <c r="S85" s="350">
        <f t="shared" si="24"/>
        <v>193794.30000000002</v>
      </c>
      <c r="T85" s="350">
        <f t="shared" si="25"/>
        <v>316190.69999999995</v>
      </c>
      <c r="U85" s="393"/>
    </row>
    <row r="86" spans="1:21">
      <c r="A86" s="378"/>
      <c r="B86" s="378"/>
      <c r="C86" s="378"/>
      <c r="D86" s="363" t="s">
        <v>1025</v>
      </c>
      <c r="E86" s="367">
        <v>82</v>
      </c>
      <c r="F86" s="393" t="s">
        <v>1437</v>
      </c>
      <c r="G86" s="393" t="s">
        <v>333</v>
      </c>
      <c r="H86" s="351">
        <v>500000</v>
      </c>
      <c r="I86" s="351">
        <v>66650</v>
      </c>
      <c r="J86" s="349">
        <f t="shared" si="20"/>
        <v>566650</v>
      </c>
      <c r="K86" s="348">
        <v>50</v>
      </c>
      <c r="L86" s="380">
        <v>11333</v>
      </c>
      <c r="M86" s="394">
        <f t="shared" si="26"/>
        <v>1333</v>
      </c>
      <c r="N86" s="394">
        <f t="shared" si="27"/>
        <v>10000</v>
      </c>
      <c r="O86" s="394">
        <f t="shared" si="21"/>
        <v>9331</v>
      </c>
      <c r="P86" s="394">
        <f t="shared" si="22"/>
        <v>57319</v>
      </c>
      <c r="Q86" s="348">
        <v>7</v>
      </c>
      <c r="R86" s="354">
        <f t="shared" si="23"/>
        <v>43</v>
      </c>
      <c r="S86" s="350">
        <f t="shared" si="24"/>
        <v>79331</v>
      </c>
      <c r="T86" s="350">
        <f t="shared" si="25"/>
        <v>487319</v>
      </c>
      <c r="U86" s="393"/>
    </row>
    <row r="87" spans="1:21">
      <c r="A87" s="378"/>
      <c r="B87" s="378"/>
      <c r="C87" s="378"/>
      <c r="D87" s="363" t="s">
        <v>1465</v>
      </c>
      <c r="E87" s="367">
        <v>83</v>
      </c>
      <c r="F87" s="393" t="s">
        <v>1437</v>
      </c>
      <c r="G87" s="393" t="s">
        <v>1466</v>
      </c>
      <c r="H87" s="351">
        <v>500000</v>
      </c>
      <c r="I87" s="351">
        <v>66650</v>
      </c>
      <c r="J87" s="349">
        <f t="shared" si="20"/>
        <v>566650</v>
      </c>
      <c r="K87" s="348">
        <v>50</v>
      </c>
      <c r="L87" s="380">
        <v>11333</v>
      </c>
      <c r="M87" s="394">
        <f t="shared" si="26"/>
        <v>1333</v>
      </c>
      <c r="N87" s="394">
        <f t="shared" si="27"/>
        <v>10000</v>
      </c>
      <c r="O87" s="394">
        <f t="shared" si="21"/>
        <v>9331</v>
      </c>
      <c r="P87" s="394">
        <f t="shared" si="22"/>
        <v>57319</v>
      </c>
      <c r="Q87" s="348">
        <v>7</v>
      </c>
      <c r="R87" s="354">
        <f t="shared" si="23"/>
        <v>43</v>
      </c>
      <c r="S87" s="350">
        <f t="shared" si="24"/>
        <v>79331</v>
      </c>
      <c r="T87" s="350">
        <f t="shared" si="25"/>
        <v>487319</v>
      </c>
      <c r="U87" s="393"/>
    </row>
    <row r="88" spans="1:21">
      <c r="A88" s="378"/>
      <c r="B88" s="378"/>
      <c r="C88" s="378"/>
      <c r="D88" s="364" t="s">
        <v>1351</v>
      </c>
      <c r="E88" s="367">
        <v>84</v>
      </c>
      <c r="F88" s="393" t="s">
        <v>1437</v>
      </c>
      <c r="G88" s="393" t="s">
        <v>1285</v>
      </c>
      <c r="H88" s="351">
        <v>500000</v>
      </c>
      <c r="I88" s="351">
        <v>66650</v>
      </c>
      <c r="J88" s="349">
        <f t="shared" si="20"/>
        <v>566650</v>
      </c>
      <c r="K88" s="348">
        <v>50</v>
      </c>
      <c r="L88" s="380">
        <v>11333</v>
      </c>
      <c r="M88" s="394">
        <f t="shared" si="26"/>
        <v>1333</v>
      </c>
      <c r="N88" s="394">
        <f t="shared" si="27"/>
        <v>10000</v>
      </c>
      <c r="O88" s="394">
        <f t="shared" si="21"/>
        <v>25327</v>
      </c>
      <c r="P88" s="394">
        <f t="shared" si="22"/>
        <v>41323</v>
      </c>
      <c r="Q88" s="348">
        <v>19</v>
      </c>
      <c r="R88" s="354">
        <f t="shared" si="23"/>
        <v>31</v>
      </c>
      <c r="S88" s="350">
        <f t="shared" si="24"/>
        <v>215327</v>
      </c>
      <c r="T88" s="350">
        <f t="shared" si="25"/>
        <v>351323</v>
      </c>
      <c r="U88" s="393"/>
    </row>
    <row r="89" spans="1:21">
      <c r="A89" s="378"/>
      <c r="B89" s="378"/>
      <c r="C89" s="378"/>
      <c r="D89" s="364" t="s">
        <v>960</v>
      </c>
      <c r="E89" s="367">
        <v>85</v>
      </c>
      <c r="F89" s="393" t="s">
        <v>1437</v>
      </c>
      <c r="G89" s="393" t="s">
        <v>488</v>
      </c>
      <c r="H89" s="351">
        <v>500000</v>
      </c>
      <c r="I89" s="351">
        <v>66650</v>
      </c>
      <c r="J89" s="349">
        <f t="shared" si="20"/>
        <v>566650</v>
      </c>
      <c r="K89" s="348">
        <v>50</v>
      </c>
      <c r="L89" s="380">
        <v>11333</v>
      </c>
      <c r="M89" s="394">
        <f t="shared" si="26"/>
        <v>1333</v>
      </c>
      <c r="N89" s="394">
        <f t="shared" si="27"/>
        <v>10000</v>
      </c>
      <c r="O89" s="394">
        <f t="shared" si="21"/>
        <v>51987</v>
      </c>
      <c r="P89" s="394">
        <f t="shared" si="22"/>
        <v>14663</v>
      </c>
      <c r="Q89" s="348">
        <v>39</v>
      </c>
      <c r="R89" s="354">
        <f t="shared" si="23"/>
        <v>11</v>
      </c>
      <c r="S89" s="350">
        <f t="shared" si="24"/>
        <v>441987</v>
      </c>
      <c r="T89" s="350">
        <f t="shared" si="25"/>
        <v>124663</v>
      </c>
      <c r="U89" s="393"/>
    </row>
    <row r="90" spans="1:21">
      <c r="A90" s="378"/>
      <c r="B90" s="378"/>
      <c r="C90" s="378"/>
      <c r="D90" s="363" t="s">
        <v>1011</v>
      </c>
      <c r="E90" s="367">
        <v>86</v>
      </c>
      <c r="F90" s="393" t="s">
        <v>1437</v>
      </c>
      <c r="G90" s="393" t="s">
        <v>863</v>
      </c>
      <c r="H90" s="351">
        <v>500000</v>
      </c>
      <c r="I90" s="351">
        <v>66650</v>
      </c>
      <c r="J90" s="349">
        <f t="shared" si="20"/>
        <v>566650</v>
      </c>
      <c r="K90" s="348">
        <v>50</v>
      </c>
      <c r="L90" s="380">
        <v>11333</v>
      </c>
      <c r="M90" s="394">
        <f t="shared" si="26"/>
        <v>1333</v>
      </c>
      <c r="N90" s="394">
        <f t="shared" si="27"/>
        <v>10000</v>
      </c>
      <c r="O90" s="394">
        <f t="shared" si="21"/>
        <v>45322</v>
      </c>
      <c r="P90" s="394">
        <f t="shared" si="22"/>
        <v>21328</v>
      </c>
      <c r="Q90" s="348">
        <v>34</v>
      </c>
      <c r="R90" s="354">
        <f t="shared" si="23"/>
        <v>16</v>
      </c>
      <c r="S90" s="350">
        <f t="shared" si="24"/>
        <v>385322</v>
      </c>
      <c r="T90" s="350">
        <f t="shared" si="25"/>
        <v>181328</v>
      </c>
      <c r="U90" s="393"/>
    </row>
    <row r="91" spans="1:21">
      <c r="A91" s="378"/>
      <c r="B91" s="378"/>
      <c r="C91" s="378"/>
      <c r="D91" s="364" t="s">
        <v>1042</v>
      </c>
      <c r="E91" s="367">
        <v>87</v>
      </c>
      <c r="F91" s="393" t="s">
        <v>1437</v>
      </c>
      <c r="G91" s="393" t="s">
        <v>359</v>
      </c>
      <c r="H91" s="351">
        <v>500000</v>
      </c>
      <c r="I91" s="351">
        <v>66650</v>
      </c>
      <c r="J91" s="349">
        <f t="shared" si="20"/>
        <v>566650</v>
      </c>
      <c r="K91" s="348">
        <v>50</v>
      </c>
      <c r="L91" s="380">
        <v>11333</v>
      </c>
      <c r="M91" s="394">
        <f t="shared" si="26"/>
        <v>1333</v>
      </c>
      <c r="N91" s="394">
        <f t="shared" si="27"/>
        <v>10000</v>
      </c>
      <c r="O91" s="394">
        <f t="shared" si="21"/>
        <v>18662</v>
      </c>
      <c r="P91" s="394">
        <f t="shared" si="22"/>
        <v>47988</v>
      </c>
      <c r="Q91" s="348">
        <v>14</v>
      </c>
      <c r="R91" s="354">
        <f t="shared" si="23"/>
        <v>36</v>
      </c>
      <c r="S91" s="350">
        <f t="shared" si="24"/>
        <v>158662</v>
      </c>
      <c r="T91" s="350">
        <f t="shared" si="25"/>
        <v>407988</v>
      </c>
      <c r="U91" s="393"/>
    </row>
    <row r="92" spans="1:21">
      <c r="A92" s="378"/>
      <c r="B92" s="378"/>
      <c r="C92" s="378"/>
      <c r="D92" s="116" t="s">
        <v>1045</v>
      </c>
      <c r="E92" s="367">
        <v>88</v>
      </c>
      <c r="F92" s="393" t="s">
        <v>1437</v>
      </c>
      <c r="G92" s="393" t="s">
        <v>867</v>
      </c>
      <c r="H92" s="351">
        <v>500000</v>
      </c>
      <c r="I92" s="351">
        <v>66650</v>
      </c>
      <c r="J92" s="349">
        <f t="shared" si="20"/>
        <v>566650</v>
      </c>
      <c r="K92" s="348">
        <v>50</v>
      </c>
      <c r="L92" s="380">
        <v>11333</v>
      </c>
      <c r="M92" s="394">
        <f t="shared" si="26"/>
        <v>1333</v>
      </c>
      <c r="N92" s="394">
        <f t="shared" si="27"/>
        <v>10000</v>
      </c>
      <c r="O92" s="394">
        <f t="shared" si="21"/>
        <v>46655</v>
      </c>
      <c r="P92" s="394">
        <f t="shared" si="22"/>
        <v>19995</v>
      </c>
      <c r="Q92" s="348">
        <v>35</v>
      </c>
      <c r="R92" s="354">
        <f t="shared" si="23"/>
        <v>15</v>
      </c>
      <c r="S92" s="350">
        <f t="shared" si="24"/>
        <v>396655</v>
      </c>
      <c r="T92" s="350">
        <f t="shared" si="25"/>
        <v>169995</v>
      </c>
      <c r="U92" s="393"/>
    </row>
    <row r="93" spans="1:21">
      <c r="A93" s="378"/>
      <c r="B93" s="378"/>
      <c r="C93" s="378"/>
      <c r="D93" s="364" t="s">
        <v>1323</v>
      </c>
      <c r="E93" s="367">
        <v>89</v>
      </c>
      <c r="F93" s="393" t="s">
        <v>1437</v>
      </c>
      <c r="G93" s="393" t="s">
        <v>448</v>
      </c>
      <c r="H93" s="351">
        <v>500000</v>
      </c>
      <c r="I93" s="351">
        <v>66650</v>
      </c>
      <c r="J93" s="349">
        <f t="shared" si="20"/>
        <v>566650</v>
      </c>
      <c r="K93" s="348">
        <v>50</v>
      </c>
      <c r="L93" s="380">
        <v>11333</v>
      </c>
      <c r="M93" s="394">
        <f t="shared" si="26"/>
        <v>1333</v>
      </c>
      <c r="N93" s="394">
        <f t="shared" si="27"/>
        <v>10000</v>
      </c>
      <c r="O93" s="394">
        <f t="shared" si="21"/>
        <v>33325</v>
      </c>
      <c r="P93" s="394">
        <f t="shared" si="22"/>
        <v>33325</v>
      </c>
      <c r="Q93" s="348">
        <v>25</v>
      </c>
      <c r="R93" s="354">
        <f t="shared" si="23"/>
        <v>25</v>
      </c>
      <c r="S93" s="350">
        <f t="shared" si="24"/>
        <v>283325</v>
      </c>
      <c r="T93" s="350">
        <f t="shared" si="25"/>
        <v>283325</v>
      </c>
      <c r="U93" s="393"/>
    </row>
    <row r="94" spans="1:21">
      <c r="A94" s="378"/>
      <c r="B94" s="378"/>
      <c r="C94" s="378"/>
      <c r="D94" s="363" t="s">
        <v>1483</v>
      </c>
      <c r="E94" s="367">
        <v>90</v>
      </c>
      <c r="F94" s="393" t="s">
        <v>1437</v>
      </c>
      <c r="G94" s="393" t="s">
        <v>1484</v>
      </c>
      <c r="H94" s="351">
        <v>150000</v>
      </c>
      <c r="I94" s="351">
        <v>19995</v>
      </c>
      <c r="J94" s="349">
        <f t="shared" si="20"/>
        <v>169995</v>
      </c>
      <c r="K94" s="348">
        <v>50</v>
      </c>
      <c r="L94" s="380">
        <v>3399.5</v>
      </c>
      <c r="M94" s="394">
        <f t="shared" si="26"/>
        <v>399.9</v>
      </c>
      <c r="N94" s="394">
        <f t="shared" si="27"/>
        <v>3000</v>
      </c>
      <c r="O94" s="394">
        <f t="shared" si="21"/>
        <v>8797.7999999999993</v>
      </c>
      <c r="P94" s="394">
        <f t="shared" si="22"/>
        <v>11197.199999999999</v>
      </c>
      <c r="Q94" s="348">
        <v>22</v>
      </c>
      <c r="R94" s="354">
        <f t="shared" si="23"/>
        <v>28</v>
      </c>
      <c r="S94" s="350">
        <f t="shared" si="24"/>
        <v>74789</v>
      </c>
      <c r="T94" s="350">
        <f t="shared" si="25"/>
        <v>95206</v>
      </c>
      <c r="U94" s="401"/>
    </row>
    <row r="95" spans="1:21">
      <c r="A95" s="378"/>
      <c r="B95" s="378"/>
      <c r="C95" s="378"/>
      <c r="D95" s="363" t="s">
        <v>1002</v>
      </c>
      <c r="E95" s="367">
        <v>91</v>
      </c>
      <c r="F95" s="393" t="s">
        <v>1437</v>
      </c>
      <c r="G95" s="393" t="s">
        <v>1003</v>
      </c>
      <c r="H95" s="351">
        <v>150000</v>
      </c>
      <c r="I95" s="351">
        <v>19995</v>
      </c>
      <c r="J95" s="349">
        <f t="shared" si="20"/>
        <v>169995</v>
      </c>
      <c r="K95" s="348">
        <v>50</v>
      </c>
      <c r="L95" s="380">
        <v>3399.9</v>
      </c>
      <c r="M95" s="394">
        <f t="shared" si="26"/>
        <v>399.9</v>
      </c>
      <c r="N95" s="394">
        <f t="shared" si="27"/>
        <v>3000</v>
      </c>
      <c r="O95" s="394">
        <f t="shared" si="21"/>
        <v>12396.9</v>
      </c>
      <c r="P95" s="394">
        <f t="shared" si="22"/>
        <v>7598.0999999999995</v>
      </c>
      <c r="Q95" s="348">
        <v>31</v>
      </c>
      <c r="R95" s="354">
        <f t="shared" si="23"/>
        <v>19</v>
      </c>
      <c r="S95" s="350">
        <f t="shared" si="24"/>
        <v>105396.90000000001</v>
      </c>
      <c r="T95" s="350">
        <f t="shared" si="25"/>
        <v>64598.099999999991</v>
      </c>
      <c r="U95" s="393"/>
    </row>
    <row r="96" spans="1:21">
      <c r="A96" s="378"/>
      <c r="B96" s="378"/>
      <c r="C96" s="378"/>
      <c r="D96" s="363" t="s">
        <v>1315</v>
      </c>
      <c r="E96" s="367">
        <v>92</v>
      </c>
      <c r="F96" s="393" t="s">
        <v>1437</v>
      </c>
      <c r="G96" s="393" t="s">
        <v>1316</v>
      </c>
      <c r="H96" s="351">
        <v>450000</v>
      </c>
      <c r="I96" s="351">
        <v>28792.799999999999</v>
      </c>
      <c r="J96" s="349">
        <f t="shared" si="20"/>
        <v>478792.8</v>
      </c>
      <c r="K96" s="348">
        <v>24</v>
      </c>
      <c r="L96" s="380">
        <v>19949.7</v>
      </c>
      <c r="M96" s="394">
        <f>I96/24</f>
        <v>1199.7</v>
      </c>
      <c r="N96" s="394">
        <f t="shared" si="27"/>
        <v>9000</v>
      </c>
      <c r="O96" s="394">
        <f t="shared" si="21"/>
        <v>16795.8</v>
      </c>
      <c r="P96" s="394">
        <f t="shared" si="22"/>
        <v>11997</v>
      </c>
      <c r="Q96" s="348">
        <v>14</v>
      </c>
      <c r="R96" s="354">
        <f t="shared" si="23"/>
        <v>10</v>
      </c>
      <c r="S96" s="350">
        <f t="shared" si="24"/>
        <v>279295.8</v>
      </c>
      <c r="T96" s="350">
        <f t="shared" si="25"/>
        <v>199497</v>
      </c>
      <c r="U96" s="393"/>
    </row>
    <row r="97" spans="1:21">
      <c r="A97" s="378"/>
      <c r="B97" s="378"/>
      <c r="C97" s="378"/>
      <c r="D97" s="364" t="s">
        <v>1404</v>
      </c>
      <c r="E97" s="367">
        <v>93</v>
      </c>
      <c r="F97" s="393" t="s">
        <v>1437</v>
      </c>
      <c r="G97" s="393" t="s">
        <v>1405</v>
      </c>
      <c r="H97" s="351">
        <v>150000</v>
      </c>
      <c r="I97" s="351">
        <v>19995</v>
      </c>
      <c r="J97" s="349">
        <f t="shared" si="20"/>
        <v>169995</v>
      </c>
      <c r="K97" s="348">
        <v>50</v>
      </c>
      <c r="L97" s="380">
        <v>3399.9</v>
      </c>
      <c r="M97" s="394">
        <f t="shared" ref="M97:M102" si="28">I97/50</f>
        <v>399.9</v>
      </c>
      <c r="N97" s="394">
        <f t="shared" si="27"/>
        <v>3000</v>
      </c>
      <c r="O97" s="394">
        <f t="shared" si="21"/>
        <v>5598.5999999999995</v>
      </c>
      <c r="P97" s="394">
        <f t="shared" si="22"/>
        <v>14396.4</v>
      </c>
      <c r="Q97" s="348">
        <v>14</v>
      </c>
      <c r="R97" s="354">
        <f t="shared" si="23"/>
        <v>36</v>
      </c>
      <c r="S97" s="350">
        <f t="shared" si="24"/>
        <v>47598.6</v>
      </c>
      <c r="T97" s="350">
        <f t="shared" si="25"/>
        <v>122396.4</v>
      </c>
      <c r="U97" s="393"/>
    </row>
    <row r="98" spans="1:21">
      <c r="A98" s="378"/>
      <c r="B98" s="378"/>
      <c r="C98" s="378"/>
      <c r="D98" s="363" t="s">
        <v>1381</v>
      </c>
      <c r="E98" s="367">
        <v>94</v>
      </c>
      <c r="F98" s="393" t="s">
        <v>1437</v>
      </c>
      <c r="G98" s="393" t="s">
        <v>1129</v>
      </c>
      <c r="H98" s="351">
        <v>330000</v>
      </c>
      <c r="I98" s="351">
        <v>43989</v>
      </c>
      <c r="J98" s="349">
        <f t="shared" si="20"/>
        <v>373989</v>
      </c>
      <c r="K98" s="348">
        <v>50</v>
      </c>
      <c r="L98" s="380">
        <v>7479.78</v>
      </c>
      <c r="M98" s="394">
        <f t="shared" si="28"/>
        <v>879.78</v>
      </c>
      <c r="N98" s="394">
        <f t="shared" si="27"/>
        <v>6600</v>
      </c>
      <c r="O98" s="394">
        <f t="shared" si="21"/>
        <v>22874.28</v>
      </c>
      <c r="P98" s="394">
        <f t="shared" si="22"/>
        <v>21114.720000000001</v>
      </c>
      <c r="Q98" s="348">
        <v>26</v>
      </c>
      <c r="R98" s="354">
        <f t="shared" si="23"/>
        <v>24</v>
      </c>
      <c r="S98" s="350">
        <f t="shared" si="24"/>
        <v>194474.28</v>
      </c>
      <c r="T98" s="350">
        <f t="shared" si="25"/>
        <v>179514.72</v>
      </c>
      <c r="U98" s="393"/>
    </row>
    <row r="99" spans="1:21">
      <c r="A99" s="378"/>
      <c r="B99" s="378"/>
      <c r="C99" s="378"/>
      <c r="D99" s="363" t="s">
        <v>1417</v>
      </c>
      <c r="E99" s="367">
        <v>95</v>
      </c>
      <c r="F99" s="393" t="s">
        <v>1437</v>
      </c>
      <c r="G99" s="393" t="s">
        <v>477</v>
      </c>
      <c r="H99" s="351">
        <v>330000</v>
      </c>
      <c r="I99" s="351">
        <v>43989</v>
      </c>
      <c r="J99" s="349">
        <f t="shared" si="20"/>
        <v>373989</v>
      </c>
      <c r="K99" s="348">
        <v>50</v>
      </c>
      <c r="L99" s="380">
        <v>7479.78</v>
      </c>
      <c r="M99" s="394">
        <f t="shared" si="28"/>
        <v>879.78</v>
      </c>
      <c r="N99" s="394">
        <f t="shared" si="27"/>
        <v>6600</v>
      </c>
      <c r="O99" s="394">
        <f t="shared" si="21"/>
        <v>10557.36</v>
      </c>
      <c r="P99" s="394">
        <f t="shared" si="22"/>
        <v>33431.64</v>
      </c>
      <c r="Q99" s="348">
        <v>12</v>
      </c>
      <c r="R99" s="354">
        <f t="shared" si="23"/>
        <v>38</v>
      </c>
      <c r="S99" s="350">
        <f t="shared" si="24"/>
        <v>89757.36</v>
      </c>
      <c r="T99" s="350">
        <f t="shared" si="25"/>
        <v>284231.64</v>
      </c>
      <c r="U99" s="393"/>
    </row>
    <row r="100" spans="1:21">
      <c r="A100" s="378"/>
      <c r="B100" s="378"/>
      <c r="C100" s="378"/>
      <c r="D100" s="363" t="s">
        <v>1061</v>
      </c>
      <c r="E100" s="367">
        <v>96</v>
      </c>
      <c r="F100" s="393" t="s">
        <v>1437</v>
      </c>
      <c r="G100" s="393" t="s">
        <v>854</v>
      </c>
      <c r="H100" s="351">
        <v>330000</v>
      </c>
      <c r="I100" s="351">
        <v>43989</v>
      </c>
      <c r="J100" s="349">
        <f t="shared" si="20"/>
        <v>373989</v>
      </c>
      <c r="K100" s="348">
        <v>50</v>
      </c>
      <c r="L100" s="380">
        <v>7479.78</v>
      </c>
      <c r="M100" s="394">
        <f t="shared" si="28"/>
        <v>879.78</v>
      </c>
      <c r="N100" s="394">
        <f t="shared" si="27"/>
        <v>6600</v>
      </c>
      <c r="O100" s="394">
        <f t="shared" si="21"/>
        <v>28152.959999999999</v>
      </c>
      <c r="P100" s="394">
        <f t="shared" si="22"/>
        <v>15836.039999999999</v>
      </c>
      <c r="Q100" s="348">
        <v>32</v>
      </c>
      <c r="R100" s="354">
        <f t="shared" si="23"/>
        <v>18</v>
      </c>
      <c r="S100" s="350">
        <f t="shared" si="24"/>
        <v>239352.95999999999</v>
      </c>
      <c r="T100" s="350">
        <f t="shared" si="25"/>
        <v>134636.04</v>
      </c>
      <c r="U100" s="393"/>
    </row>
    <row r="101" spans="1:21">
      <c r="A101" s="378"/>
      <c r="B101" s="378"/>
      <c r="C101" s="378"/>
      <c r="D101" s="364" t="s">
        <v>969</v>
      </c>
      <c r="E101" s="367">
        <v>97</v>
      </c>
      <c r="F101" s="393" t="s">
        <v>1437</v>
      </c>
      <c r="G101" s="393" t="s">
        <v>851</v>
      </c>
      <c r="H101" s="351">
        <v>150000</v>
      </c>
      <c r="I101" s="351">
        <v>19995</v>
      </c>
      <c r="J101" s="349">
        <f t="shared" ref="J101:J132" si="29">SUM(H101:I101)</f>
        <v>169995</v>
      </c>
      <c r="K101" s="348">
        <v>50</v>
      </c>
      <c r="L101" s="380">
        <v>3399.9</v>
      </c>
      <c r="M101" s="394">
        <f t="shared" si="28"/>
        <v>399.9</v>
      </c>
      <c r="N101" s="394">
        <f t="shared" si="27"/>
        <v>3000</v>
      </c>
      <c r="O101" s="394">
        <f t="shared" ref="O101:O132" si="30">M101*Q101</f>
        <v>5598.5999999999995</v>
      </c>
      <c r="P101" s="394">
        <f t="shared" ref="P101:P132" si="31">M101*R101</f>
        <v>14396.4</v>
      </c>
      <c r="Q101" s="348">
        <v>14</v>
      </c>
      <c r="R101" s="354">
        <f t="shared" ref="R101:R132" si="32">K101-Q101</f>
        <v>36</v>
      </c>
      <c r="S101" s="350">
        <f t="shared" ref="S101:S132" si="33">L101*Q101</f>
        <v>47598.6</v>
      </c>
      <c r="T101" s="350">
        <f t="shared" ref="T101:T132" si="34">J101-S101</f>
        <v>122396.4</v>
      </c>
      <c r="U101" s="393"/>
    </row>
    <row r="102" spans="1:21">
      <c r="A102" s="378"/>
      <c r="B102" s="378"/>
      <c r="C102" s="378"/>
      <c r="D102" s="363" t="s">
        <v>1341</v>
      </c>
      <c r="E102" s="367">
        <v>98</v>
      </c>
      <c r="F102" s="393" t="s">
        <v>1437</v>
      </c>
      <c r="G102" s="393" t="s">
        <v>1139</v>
      </c>
      <c r="H102" s="351">
        <v>500000</v>
      </c>
      <c r="I102" s="351">
        <v>66650</v>
      </c>
      <c r="J102" s="349">
        <f t="shared" si="29"/>
        <v>566650</v>
      </c>
      <c r="K102" s="348">
        <v>50</v>
      </c>
      <c r="L102" s="380">
        <v>11333</v>
      </c>
      <c r="M102" s="394">
        <f t="shared" si="28"/>
        <v>1333</v>
      </c>
      <c r="N102" s="394">
        <f t="shared" si="27"/>
        <v>10000</v>
      </c>
      <c r="O102" s="394">
        <f t="shared" si="30"/>
        <v>34658</v>
      </c>
      <c r="P102" s="394">
        <f t="shared" si="31"/>
        <v>31992</v>
      </c>
      <c r="Q102" s="348">
        <v>26</v>
      </c>
      <c r="R102" s="354">
        <f t="shared" si="32"/>
        <v>24</v>
      </c>
      <c r="S102" s="350">
        <f t="shared" si="33"/>
        <v>294658</v>
      </c>
      <c r="T102" s="350">
        <f t="shared" si="34"/>
        <v>271992</v>
      </c>
      <c r="U102" s="393"/>
    </row>
    <row r="103" spans="1:21">
      <c r="A103" s="378"/>
      <c r="B103" s="378"/>
      <c r="C103" s="378"/>
      <c r="D103" s="363" t="s">
        <v>1497</v>
      </c>
      <c r="E103" s="367">
        <v>99</v>
      </c>
      <c r="F103" s="393" t="s">
        <v>1437</v>
      </c>
      <c r="G103" s="393" t="s">
        <v>442</v>
      </c>
      <c r="H103" s="380">
        <v>750000</v>
      </c>
      <c r="I103" s="380">
        <v>99925</v>
      </c>
      <c r="J103" s="380">
        <f t="shared" si="29"/>
        <v>849925</v>
      </c>
      <c r="K103" s="348">
        <v>60</v>
      </c>
      <c r="L103" s="380">
        <v>14166.25</v>
      </c>
      <c r="M103" s="394">
        <f>I103/60</f>
        <v>1665.4166666666667</v>
      </c>
      <c r="N103" s="394">
        <f>H103/60</f>
        <v>12500</v>
      </c>
      <c r="O103" s="394">
        <f t="shared" si="30"/>
        <v>6661.666666666667</v>
      </c>
      <c r="P103" s="394">
        <f t="shared" si="31"/>
        <v>93263.333333333343</v>
      </c>
      <c r="Q103" s="348">
        <v>4</v>
      </c>
      <c r="R103" s="348">
        <f t="shared" si="32"/>
        <v>56</v>
      </c>
      <c r="S103" s="380">
        <f t="shared" si="33"/>
        <v>56665</v>
      </c>
      <c r="T103" s="380">
        <f t="shared" si="34"/>
        <v>793260</v>
      </c>
      <c r="U103" s="393"/>
    </row>
    <row r="104" spans="1:21">
      <c r="A104" s="378"/>
      <c r="B104" s="378"/>
      <c r="C104" s="378"/>
      <c r="D104" s="364" t="s">
        <v>1398</v>
      </c>
      <c r="E104" s="367">
        <v>100</v>
      </c>
      <c r="F104" s="393" t="s">
        <v>1437</v>
      </c>
      <c r="G104" s="393" t="s">
        <v>1399</v>
      </c>
      <c r="H104" s="351">
        <v>150000</v>
      </c>
      <c r="I104" s="351">
        <v>19995</v>
      </c>
      <c r="J104" s="349">
        <f t="shared" si="29"/>
        <v>169995</v>
      </c>
      <c r="K104" s="348">
        <v>50</v>
      </c>
      <c r="L104" s="380">
        <v>3399.9</v>
      </c>
      <c r="M104" s="394">
        <f t="shared" ref="M104:M111" si="35">I104/50</f>
        <v>399.9</v>
      </c>
      <c r="N104" s="394">
        <f t="shared" ref="N104:N111" si="36">H104/50</f>
        <v>3000</v>
      </c>
      <c r="O104" s="394">
        <f t="shared" si="30"/>
        <v>5598.5999999999995</v>
      </c>
      <c r="P104" s="394">
        <f t="shared" si="31"/>
        <v>14396.4</v>
      </c>
      <c r="Q104" s="348">
        <v>14</v>
      </c>
      <c r="R104" s="354">
        <f t="shared" si="32"/>
        <v>36</v>
      </c>
      <c r="S104" s="350">
        <f t="shared" si="33"/>
        <v>47598.6</v>
      </c>
      <c r="T104" s="350">
        <f t="shared" si="34"/>
        <v>122396.4</v>
      </c>
      <c r="U104" s="393"/>
    </row>
    <row r="105" spans="1:21">
      <c r="A105" s="378"/>
      <c r="B105" s="378"/>
      <c r="C105" s="378"/>
      <c r="D105" s="363" t="s">
        <v>1123</v>
      </c>
      <c r="E105" s="367">
        <v>101</v>
      </c>
      <c r="F105" s="393" t="s">
        <v>1437</v>
      </c>
      <c r="G105" s="393" t="s">
        <v>439</v>
      </c>
      <c r="H105" s="351">
        <v>330000</v>
      </c>
      <c r="I105" s="351">
        <v>43989</v>
      </c>
      <c r="J105" s="349">
        <f t="shared" si="29"/>
        <v>373989</v>
      </c>
      <c r="K105" s="348">
        <v>50</v>
      </c>
      <c r="L105" s="380">
        <v>7479.78</v>
      </c>
      <c r="M105" s="394">
        <f t="shared" si="35"/>
        <v>879.78</v>
      </c>
      <c r="N105" s="394">
        <f t="shared" si="36"/>
        <v>6600</v>
      </c>
      <c r="O105" s="394">
        <f t="shared" si="30"/>
        <v>23754.059999999998</v>
      </c>
      <c r="P105" s="394">
        <f t="shared" si="31"/>
        <v>20234.939999999999</v>
      </c>
      <c r="Q105" s="348">
        <v>27</v>
      </c>
      <c r="R105" s="354">
        <f t="shared" si="32"/>
        <v>23</v>
      </c>
      <c r="S105" s="350">
        <f t="shared" si="33"/>
        <v>201954.06</v>
      </c>
      <c r="T105" s="350">
        <f t="shared" si="34"/>
        <v>172034.94</v>
      </c>
      <c r="U105" s="393"/>
    </row>
    <row r="106" spans="1:21">
      <c r="A106" s="378"/>
      <c r="B106" s="378"/>
      <c r="C106" s="378"/>
      <c r="D106" s="116" t="s">
        <v>1365</v>
      </c>
      <c r="E106" s="367">
        <v>102</v>
      </c>
      <c r="F106" s="393" t="s">
        <v>1437</v>
      </c>
      <c r="G106" s="393" t="s">
        <v>449</v>
      </c>
      <c r="H106" s="351">
        <v>450000</v>
      </c>
      <c r="I106" s="351">
        <v>59985</v>
      </c>
      <c r="J106" s="349">
        <f t="shared" si="29"/>
        <v>509985</v>
      </c>
      <c r="K106" s="348">
        <v>50</v>
      </c>
      <c r="L106" s="380">
        <v>10199.700000000001</v>
      </c>
      <c r="M106" s="394">
        <f t="shared" si="35"/>
        <v>1199.7</v>
      </c>
      <c r="N106" s="394">
        <f t="shared" si="36"/>
        <v>9000</v>
      </c>
      <c r="O106" s="394">
        <f t="shared" si="30"/>
        <v>22794.3</v>
      </c>
      <c r="P106" s="394">
        <f t="shared" si="31"/>
        <v>37190.700000000004</v>
      </c>
      <c r="Q106" s="348">
        <v>19</v>
      </c>
      <c r="R106" s="354">
        <f t="shared" si="32"/>
        <v>31</v>
      </c>
      <c r="S106" s="350">
        <f t="shared" si="33"/>
        <v>193794.30000000002</v>
      </c>
      <c r="T106" s="350">
        <f t="shared" si="34"/>
        <v>316190.69999999995</v>
      </c>
      <c r="U106" s="393"/>
    </row>
    <row r="107" spans="1:21">
      <c r="A107" s="378"/>
      <c r="B107" s="378"/>
      <c r="C107" s="378"/>
      <c r="D107" s="363" t="s">
        <v>987</v>
      </c>
      <c r="E107" s="367">
        <v>103</v>
      </c>
      <c r="F107" s="393" t="s">
        <v>1437</v>
      </c>
      <c r="G107" s="393" t="s">
        <v>866</v>
      </c>
      <c r="H107" s="351">
        <v>500000</v>
      </c>
      <c r="I107" s="351">
        <v>66650</v>
      </c>
      <c r="J107" s="349">
        <f t="shared" si="29"/>
        <v>566650</v>
      </c>
      <c r="K107" s="348">
        <v>50</v>
      </c>
      <c r="L107" s="380">
        <v>11333</v>
      </c>
      <c r="M107" s="394">
        <f t="shared" si="35"/>
        <v>1333</v>
      </c>
      <c r="N107" s="394">
        <f t="shared" si="36"/>
        <v>10000</v>
      </c>
      <c r="O107" s="394">
        <f t="shared" si="30"/>
        <v>25327</v>
      </c>
      <c r="P107" s="394">
        <f t="shared" si="31"/>
        <v>41323</v>
      </c>
      <c r="Q107" s="348">
        <v>19</v>
      </c>
      <c r="R107" s="354">
        <f t="shared" si="32"/>
        <v>31</v>
      </c>
      <c r="S107" s="350">
        <f t="shared" si="33"/>
        <v>215327</v>
      </c>
      <c r="T107" s="350">
        <f t="shared" si="34"/>
        <v>351323</v>
      </c>
      <c r="U107" s="393"/>
    </row>
    <row r="108" spans="1:21">
      <c r="A108" s="378"/>
      <c r="B108" s="378"/>
      <c r="C108" s="378"/>
      <c r="D108" s="364" t="s">
        <v>1321</v>
      </c>
      <c r="E108" s="367">
        <v>104</v>
      </c>
      <c r="F108" s="393" t="s">
        <v>1437</v>
      </c>
      <c r="G108" s="393" t="s">
        <v>403</v>
      </c>
      <c r="H108" s="351">
        <v>500000</v>
      </c>
      <c r="I108" s="351">
        <v>66650</v>
      </c>
      <c r="J108" s="349">
        <f t="shared" si="29"/>
        <v>566650</v>
      </c>
      <c r="K108" s="348">
        <v>50</v>
      </c>
      <c r="L108" s="380">
        <v>11333</v>
      </c>
      <c r="M108" s="394">
        <f t="shared" si="35"/>
        <v>1333</v>
      </c>
      <c r="N108" s="394">
        <f t="shared" si="36"/>
        <v>10000</v>
      </c>
      <c r="O108" s="394">
        <f t="shared" si="30"/>
        <v>22661</v>
      </c>
      <c r="P108" s="394">
        <f t="shared" si="31"/>
        <v>43989</v>
      </c>
      <c r="Q108" s="348">
        <v>17</v>
      </c>
      <c r="R108" s="354">
        <f t="shared" si="32"/>
        <v>33</v>
      </c>
      <c r="S108" s="350">
        <f t="shared" si="33"/>
        <v>192661</v>
      </c>
      <c r="T108" s="350">
        <f t="shared" si="34"/>
        <v>373989</v>
      </c>
      <c r="U108" s="393"/>
    </row>
    <row r="109" spans="1:21">
      <c r="A109" s="378"/>
      <c r="B109" s="378"/>
      <c r="C109" s="378"/>
      <c r="D109" s="363" t="s">
        <v>1467</v>
      </c>
      <c r="E109" s="367">
        <v>105</v>
      </c>
      <c r="F109" s="393" t="s">
        <v>1437</v>
      </c>
      <c r="G109" s="393" t="s">
        <v>1468</v>
      </c>
      <c r="H109" s="351">
        <v>500000</v>
      </c>
      <c r="I109" s="351">
        <v>66650</v>
      </c>
      <c r="J109" s="349">
        <f t="shared" si="29"/>
        <v>566650</v>
      </c>
      <c r="K109" s="348">
        <v>50</v>
      </c>
      <c r="L109" s="380">
        <v>11333</v>
      </c>
      <c r="M109" s="394">
        <f t="shared" si="35"/>
        <v>1333</v>
      </c>
      <c r="N109" s="394">
        <f t="shared" si="36"/>
        <v>10000</v>
      </c>
      <c r="O109" s="394">
        <f t="shared" si="30"/>
        <v>9331</v>
      </c>
      <c r="P109" s="394">
        <f t="shared" si="31"/>
        <v>57319</v>
      </c>
      <c r="Q109" s="348">
        <v>7</v>
      </c>
      <c r="R109" s="354">
        <f t="shared" si="32"/>
        <v>43</v>
      </c>
      <c r="S109" s="350">
        <f t="shared" si="33"/>
        <v>79331</v>
      </c>
      <c r="T109" s="350">
        <f t="shared" si="34"/>
        <v>487319</v>
      </c>
      <c r="U109" s="393"/>
    </row>
    <row r="110" spans="1:21">
      <c r="A110" s="378"/>
      <c r="B110" s="378"/>
      <c r="C110" s="378"/>
      <c r="D110" s="363" t="s">
        <v>1486</v>
      </c>
      <c r="E110" s="367">
        <v>106</v>
      </c>
      <c r="F110" s="393" t="s">
        <v>1437</v>
      </c>
      <c r="G110" s="393" t="s">
        <v>1487</v>
      </c>
      <c r="H110" s="351">
        <v>150000</v>
      </c>
      <c r="I110" s="351">
        <v>19995</v>
      </c>
      <c r="J110" s="349">
        <f t="shared" si="29"/>
        <v>169995</v>
      </c>
      <c r="K110" s="348">
        <v>50</v>
      </c>
      <c r="L110" s="380">
        <v>3399.9</v>
      </c>
      <c r="M110" s="394">
        <f t="shared" si="35"/>
        <v>399.9</v>
      </c>
      <c r="N110" s="394">
        <f t="shared" si="36"/>
        <v>3000</v>
      </c>
      <c r="O110" s="394">
        <f t="shared" si="30"/>
        <v>19595.099999999999</v>
      </c>
      <c r="P110" s="394">
        <f t="shared" si="31"/>
        <v>399.9</v>
      </c>
      <c r="Q110" s="348">
        <v>49</v>
      </c>
      <c r="R110" s="354">
        <f t="shared" si="32"/>
        <v>1</v>
      </c>
      <c r="S110" s="350">
        <f t="shared" si="33"/>
        <v>166595.1</v>
      </c>
      <c r="T110" s="350">
        <f t="shared" si="34"/>
        <v>3399.8999999999942</v>
      </c>
      <c r="U110" s="393"/>
    </row>
    <row r="111" spans="1:21">
      <c r="A111" s="378"/>
      <c r="B111" s="378"/>
      <c r="C111" s="378"/>
      <c r="D111" s="116" t="s">
        <v>1105</v>
      </c>
      <c r="E111" s="367">
        <v>107</v>
      </c>
      <c r="F111" s="393" t="s">
        <v>1437</v>
      </c>
      <c r="G111" s="393" t="s">
        <v>861</v>
      </c>
      <c r="H111" s="351">
        <v>500000</v>
      </c>
      <c r="I111" s="351">
        <v>66650</v>
      </c>
      <c r="J111" s="349">
        <f t="shared" si="29"/>
        <v>566650</v>
      </c>
      <c r="K111" s="348">
        <v>50</v>
      </c>
      <c r="L111" s="380">
        <v>11333</v>
      </c>
      <c r="M111" s="394">
        <f t="shared" si="35"/>
        <v>1333</v>
      </c>
      <c r="N111" s="394">
        <f t="shared" si="36"/>
        <v>10000</v>
      </c>
      <c r="O111" s="394">
        <f t="shared" si="30"/>
        <v>42656</v>
      </c>
      <c r="P111" s="394">
        <f t="shared" si="31"/>
        <v>23994</v>
      </c>
      <c r="Q111" s="348">
        <v>32</v>
      </c>
      <c r="R111" s="354">
        <f t="shared" si="32"/>
        <v>18</v>
      </c>
      <c r="S111" s="350">
        <f t="shared" si="33"/>
        <v>362656</v>
      </c>
      <c r="T111" s="350">
        <f t="shared" si="34"/>
        <v>203994</v>
      </c>
      <c r="U111" s="393"/>
    </row>
    <row r="112" spans="1:21">
      <c r="A112" s="378"/>
      <c r="B112" s="378"/>
      <c r="C112" s="378"/>
      <c r="D112" s="363" t="s">
        <v>1063</v>
      </c>
      <c r="E112" s="367">
        <v>108</v>
      </c>
      <c r="F112" s="393" t="s">
        <v>1437</v>
      </c>
      <c r="G112" s="393" t="s">
        <v>1064</v>
      </c>
      <c r="H112" s="380">
        <v>600000</v>
      </c>
      <c r="I112" s="380">
        <v>79980</v>
      </c>
      <c r="J112" s="380">
        <f t="shared" si="29"/>
        <v>679980</v>
      </c>
      <c r="K112" s="348">
        <v>60</v>
      </c>
      <c r="L112" s="380">
        <v>11333</v>
      </c>
      <c r="M112" s="394">
        <f>I112/60</f>
        <v>1333</v>
      </c>
      <c r="N112" s="394">
        <f>H112/60</f>
        <v>10000</v>
      </c>
      <c r="O112" s="394">
        <f t="shared" si="30"/>
        <v>5332</v>
      </c>
      <c r="P112" s="394">
        <f t="shared" si="31"/>
        <v>74648</v>
      </c>
      <c r="Q112" s="348">
        <v>4</v>
      </c>
      <c r="R112" s="348">
        <f t="shared" si="32"/>
        <v>56</v>
      </c>
      <c r="S112" s="380">
        <f t="shared" si="33"/>
        <v>45332</v>
      </c>
      <c r="T112" s="380">
        <f t="shared" si="34"/>
        <v>634648</v>
      </c>
      <c r="U112" s="393"/>
    </row>
    <row r="113" spans="1:21">
      <c r="A113" s="378"/>
      <c r="B113" s="378"/>
      <c r="C113" s="378"/>
      <c r="D113" s="364" t="s">
        <v>999</v>
      </c>
      <c r="E113" s="367">
        <v>109</v>
      </c>
      <c r="F113" s="393" t="s">
        <v>1437</v>
      </c>
      <c r="G113" s="393" t="s">
        <v>441</v>
      </c>
      <c r="H113" s="351">
        <v>500000</v>
      </c>
      <c r="I113" s="351">
        <v>66650</v>
      </c>
      <c r="J113" s="349">
        <f t="shared" si="29"/>
        <v>566650</v>
      </c>
      <c r="K113" s="348">
        <v>50</v>
      </c>
      <c r="L113" s="380">
        <v>11333</v>
      </c>
      <c r="M113" s="394">
        <f>I113/50</f>
        <v>1333</v>
      </c>
      <c r="N113" s="394">
        <f>H113/50</f>
        <v>10000</v>
      </c>
      <c r="O113" s="394">
        <f t="shared" si="30"/>
        <v>51987</v>
      </c>
      <c r="P113" s="394">
        <f t="shared" si="31"/>
        <v>14663</v>
      </c>
      <c r="Q113" s="348">
        <v>39</v>
      </c>
      <c r="R113" s="354">
        <f t="shared" si="32"/>
        <v>11</v>
      </c>
      <c r="S113" s="350">
        <f t="shared" si="33"/>
        <v>441987</v>
      </c>
      <c r="T113" s="350">
        <f t="shared" si="34"/>
        <v>124663</v>
      </c>
      <c r="U113" s="393"/>
    </row>
    <row r="114" spans="1:21">
      <c r="A114" s="378"/>
      <c r="B114" s="378"/>
      <c r="C114" s="378"/>
      <c r="D114" s="363" t="s">
        <v>1479</v>
      </c>
      <c r="E114" s="367">
        <v>110</v>
      </c>
      <c r="F114" s="393" t="s">
        <v>1437</v>
      </c>
      <c r="G114" s="393" t="s">
        <v>1480</v>
      </c>
      <c r="H114" s="351">
        <v>330000</v>
      </c>
      <c r="I114" s="351">
        <v>43989</v>
      </c>
      <c r="J114" s="349">
        <f t="shared" si="29"/>
        <v>373989</v>
      </c>
      <c r="K114" s="348">
        <v>50</v>
      </c>
      <c r="L114" s="380">
        <v>7479.78</v>
      </c>
      <c r="M114" s="394">
        <f>I114/50</f>
        <v>879.78</v>
      </c>
      <c r="N114" s="394">
        <f>H114/50</f>
        <v>6600</v>
      </c>
      <c r="O114" s="394">
        <f t="shared" si="30"/>
        <v>6158.46</v>
      </c>
      <c r="P114" s="394">
        <f t="shared" si="31"/>
        <v>37830.54</v>
      </c>
      <c r="Q114" s="348">
        <v>7</v>
      </c>
      <c r="R114" s="354">
        <f t="shared" si="32"/>
        <v>43</v>
      </c>
      <c r="S114" s="350">
        <f t="shared" si="33"/>
        <v>52358.46</v>
      </c>
      <c r="T114" s="350">
        <f t="shared" si="34"/>
        <v>321630.53999999998</v>
      </c>
      <c r="U114" s="393"/>
    </row>
    <row r="115" spans="1:21">
      <c r="A115" s="378"/>
      <c r="B115" s="378"/>
      <c r="C115" s="378"/>
      <c r="D115" s="364" t="s">
        <v>1332</v>
      </c>
      <c r="E115" s="367">
        <v>111</v>
      </c>
      <c r="F115" s="393" t="s">
        <v>1437</v>
      </c>
      <c r="G115" s="393" t="s">
        <v>1284</v>
      </c>
      <c r="H115" s="351">
        <v>500000</v>
      </c>
      <c r="I115" s="351">
        <v>66650</v>
      </c>
      <c r="J115" s="349">
        <f t="shared" si="29"/>
        <v>566650</v>
      </c>
      <c r="K115" s="348">
        <v>50</v>
      </c>
      <c r="L115" s="380">
        <v>11333</v>
      </c>
      <c r="M115" s="394">
        <f>I115/50</f>
        <v>1333</v>
      </c>
      <c r="N115" s="394">
        <f>H115/50</f>
        <v>10000</v>
      </c>
      <c r="O115" s="394">
        <f t="shared" si="30"/>
        <v>45322</v>
      </c>
      <c r="P115" s="394">
        <f t="shared" si="31"/>
        <v>21328</v>
      </c>
      <c r="Q115" s="348">
        <v>34</v>
      </c>
      <c r="R115" s="354">
        <f t="shared" si="32"/>
        <v>16</v>
      </c>
      <c r="S115" s="350">
        <f t="shared" si="33"/>
        <v>385322</v>
      </c>
      <c r="T115" s="350">
        <f t="shared" si="34"/>
        <v>181328</v>
      </c>
      <c r="U115" s="393"/>
    </row>
    <row r="116" spans="1:21">
      <c r="A116" s="378"/>
      <c r="B116" s="378"/>
      <c r="C116" s="378"/>
      <c r="D116" s="363" t="s">
        <v>1502</v>
      </c>
      <c r="E116" s="367">
        <v>112</v>
      </c>
      <c r="F116" s="393" t="s">
        <v>1437</v>
      </c>
      <c r="G116" s="393" t="s">
        <v>1503</v>
      </c>
      <c r="H116" s="380">
        <v>750000</v>
      </c>
      <c r="I116" s="380">
        <v>99925</v>
      </c>
      <c r="J116" s="380">
        <f t="shared" si="29"/>
        <v>849925</v>
      </c>
      <c r="K116" s="348">
        <v>60</v>
      </c>
      <c r="L116" s="380">
        <v>14166.25</v>
      </c>
      <c r="M116" s="394">
        <f>I116/60</f>
        <v>1665.4166666666667</v>
      </c>
      <c r="N116" s="394">
        <f>H116/60</f>
        <v>12500</v>
      </c>
      <c r="O116" s="394">
        <f t="shared" si="30"/>
        <v>6661.666666666667</v>
      </c>
      <c r="P116" s="394">
        <f t="shared" si="31"/>
        <v>93263.333333333343</v>
      </c>
      <c r="Q116" s="348">
        <v>4</v>
      </c>
      <c r="R116" s="348">
        <f t="shared" si="32"/>
        <v>56</v>
      </c>
      <c r="S116" s="380">
        <f t="shared" si="33"/>
        <v>56665</v>
      </c>
      <c r="T116" s="380">
        <f t="shared" si="34"/>
        <v>793260</v>
      </c>
      <c r="U116" s="393"/>
    </row>
    <row r="117" spans="1:21">
      <c r="A117" s="378"/>
      <c r="B117" s="378"/>
      <c r="C117" s="378"/>
      <c r="D117" s="363" t="s">
        <v>1411</v>
      </c>
      <c r="E117" s="367">
        <v>113</v>
      </c>
      <c r="F117" s="393" t="s">
        <v>1437</v>
      </c>
      <c r="G117" s="393" t="s">
        <v>473</v>
      </c>
      <c r="H117" s="351">
        <v>500000</v>
      </c>
      <c r="I117" s="351">
        <v>66650</v>
      </c>
      <c r="J117" s="349">
        <f t="shared" si="29"/>
        <v>566650</v>
      </c>
      <c r="K117" s="348">
        <v>40</v>
      </c>
      <c r="L117" s="380">
        <v>13833</v>
      </c>
      <c r="M117" s="394">
        <f>I117/50</f>
        <v>1333</v>
      </c>
      <c r="N117" s="394">
        <f>H117/50</f>
        <v>10000</v>
      </c>
      <c r="O117" s="394">
        <f t="shared" si="30"/>
        <v>15996</v>
      </c>
      <c r="P117" s="394">
        <f t="shared" si="31"/>
        <v>37324</v>
      </c>
      <c r="Q117" s="348">
        <v>12</v>
      </c>
      <c r="R117" s="354">
        <f t="shared" si="32"/>
        <v>28</v>
      </c>
      <c r="S117" s="350">
        <f t="shared" si="33"/>
        <v>165996</v>
      </c>
      <c r="T117" s="350">
        <f t="shared" si="34"/>
        <v>400654</v>
      </c>
      <c r="U117" s="393"/>
    </row>
    <row r="118" spans="1:21">
      <c r="A118" s="378"/>
      <c r="B118" s="378"/>
      <c r="C118" s="378"/>
      <c r="D118" s="363" t="s">
        <v>1329</v>
      </c>
      <c r="E118" s="367">
        <v>114</v>
      </c>
      <c r="F118" s="393" t="s">
        <v>1437</v>
      </c>
      <c r="G118" s="393" t="s">
        <v>463</v>
      </c>
      <c r="H118" s="351">
        <v>500000</v>
      </c>
      <c r="I118" s="351">
        <v>66650</v>
      </c>
      <c r="J118" s="349">
        <f t="shared" si="29"/>
        <v>566650</v>
      </c>
      <c r="K118" s="348">
        <v>50</v>
      </c>
      <c r="L118" s="380">
        <v>11333</v>
      </c>
      <c r="M118" s="394">
        <f>I118/50</f>
        <v>1333</v>
      </c>
      <c r="N118" s="394">
        <f>H118/50</f>
        <v>10000</v>
      </c>
      <c r="O118" s="394">
        <f t="shared" si="30"/>
        <v>31992</v>
      </c>
      <c r="P118" s="394">
        <f t="shared" si="31"/>
        <v>34658</v>
      </c>
      <c r="Q118" s="348">
        <v>24</v>
      </c>
      <c r="R118" s="354">
        <f t="shared" si="32"/>
        <v>26</v>
      </c>
      <c r="S118" s="350">
        <f t="shared" si="33"/>
        <v>271992</v>
      </c>
      <c r="T118" s="350">
        <f t="shared" si="34"/>
        <v>294658</v>
      </c>
      <c r="U118" s="393"/>
    </row>
    <row r="119" spans="1:21">
      <c r="A119" s="378"/>
      <c r="B119" s="378"/>
      <c r="C119" s="378"/>
      <c r="D119" s="115" t="s">
        <v>1358</v>
      </c>
      <c r="E119" s="367">
        <v>115</v>
      </c>
      <c r="F119" s="393" t="s">
        <v>1437</v>
      </c>
      <c r="G119" s="393" t="s">
        <v>1359</v>
      </c>
      <c r="H119" s="351">
        <v>450000</v>
      </c>
      <c r="I119" s="351">
        <v>59985</v>
      </c>
      <c r="J119" s="349">
        <f t="shared" si="29"/>
        <v>509985</v>
      </c>
      <c r="K119" s="348">
        <v>50</v>
      </c>
      <c r="L119" s="380">
        <v>10199.700000000001</v>
      </c>
      <c r="M119" s="394">
        <f>I119/50</f>
        <v>1199.7</v>
      </c>
      <c r="N119" s="394">
        <f>H119/50</f>
        <v>9000</v>
      </c>
      <c r="O119" s="394">
        <f t="shared" si="30"/>
        <v>16795.8</v>
      </c>
      <c r="P119" s="394">
        <f t="shared" si="31"/>
        <v>43189.200000000004</v>
      </c>
      <c r="Q119" s="348">
        <v>14</v>
      </c>
      <c r="R119" s="354">
        <f t="shared" si="32"/>
        <v>36</v>
      </c>
      <c r="S119" s="350">
        <f t="shared" si="33"/>
        <v>142795.80000000002</v>
      </c>
      <c r="T119" s="350">
        <f t="shared" si="34"/>
        <v>367189.19999999995</v>
      </c>
      <c r="U119" s="393"/>
    </row>
    <row r="120" spans="1:21">
      <c r="A120" s="378"/>
      <c r="B120" s="378"/>
      <c r="C120" s="378"/>
      <c r="D120" s="363" t="s">
        <v>1334</v>
      </c>
      <c r="E120" s="367">
        <v>116</v>
      </c>
      <c r="F120" s="393" t="s">
        <v>1437</v>
      </c>
      <c r="G120" s="393" t="s">
        <v>1294</v>
      </c>
      <c r="H120" s="380">
        <v>600000</v>
      </c>
      <c r="I120" s="380">
        <v>79980</v>
      </c>
      <c r="J120" s="380">
        <f t="shared" si="29"/>
        <v>679980</v>
      </c>
      <c r="K120" s="348">
        <v>60</v>
      </c>
      <c r="L120" s="380">
        <v>11333</v>
      </c>
      <c r="M120" s="394">
        <f>I120/60</f>
        <v>1333</v>
      </c>
      <c r="N120" s="394">
        <f>H120/60</f>
        <v>10000</v>
      </c>
      <c r="O120" s="394">
        <f t="shared" si="30"/>
        <v>5332</v>
      </c>
      <c r="P120" s="394">
        <f t="shared" si="31"/>
        <v>74648</v>
      </c>
      <c r="Q120" s="348">
        <v>4</v>
      </c>
      <c r="R120" s="348">
        <f t="shared" si="32"/>
        <v>56</v>
      </c>
      <c r="S120" s="380">
        <f t="shared" si="33"/>
        <v>45332</v>
      </c>
      <c r="T120" s="380">
        <f t="shared" si="34"/>
        <v>634648</v>
      </c>
      <c r="U120" s="393"/>
    </row>
    <row r="121" spans="1:21">
      <c r="A121" s="378"/>
      <c r="B121" s="378"/>
      <c r="C121" s="378"/>
      <c r="D121" s="116" t="s">
        <v>1319</v>
      </c>
      <c r="E121" s="367">
        <v>117</v>
      </c>
      <c r="F121" s="393" t="s">
        <v>1437</v>
      </c>
      <c r="G121" s="393" t="s">
        <v>305</v>
      </c>
      <c r="H121" s="351">
        <v>500000</v>
      </c>
      <c r="I121" s="351">
        <v>66650</v>
      </c>
      <c r="J121" s="349">
        <f t="shared" si="29"/>
        <v>566650</v>
      </c>
      <c r="K121" s="348">
        <v>40</v>
      </c>
      <c r="L121" s="380">
        <v>13833</v>
      </c>
      <c r="M121" s="394">
        <f>I121/50</f>
        <v>1333</v>
      </c>
      <c r="N121" s="394">
        <f>H121/50</f>
        <v>10000</v>
      </c>
      <c r="O121" s="394">
        <f t="shared" si="30"/>
        <v>18662</v>
      </c>
      <c r="P121" s="394">
        <f t="shared" si="31"/>
        <v>34658</v>
      </c>
      <c r="Q121" s="348">
        <v>14</v>
      </c>
      <c r="R121" s="354">
        <f t="shared" si="32"/>
        <v>26</v>
      </c>
      <c r="S121" s="350">
        <f t="shared" si="33"/>
        <v>193662</v>
      </c>
      <c r="T121" s="350">
        <f t="shared" si="34"/>
        <v>372988</v>
      </c>
      <c r="U121" s="393"/>
    </row>
    <row r="122" spans="1:21">
      <c r="A122" s="378"/>
      <c r="B122" s="378"/>
      <c r="C122" s="378"/>
      <c r="D122" s="363" t="s">
        <v>988</v>
      </c>
      <c r="E122" s="367">
        <v>118</v>
      </c>
      <c r="F122" s="393" t="s">
        <v>1437</v>
      </c>
      <c r="G122" s="393" t="s">
        <v>296</v>
      </c>
      <c r="H122" s="351">
        <v>450000</v>
      </c>
      <c r="I122" s="351">
        <v>59985</v>
      </c>
      <c r="J122" s="349">
        <f t="shared" si="29"/>
        <v>509985</v>
      </c>
      <c r="K122" s="348">
        <v>50</v>
      </c>
      <c r="L122" s="380">
        <v>10199.700000000001</v>
      </c>
      <c r="M122" s="394">
        <f>I122/50</f>
        <v>1199.7</v>
      </c>
      <c r="N122" s="394">
        <f>H122/50</f>
        <v>9000</v>
      </c>
      <c r="O122" s="394">
        <f t="shared" si="30"/>
        <v>8397.9</v>
      </c>
      <c r="P122" s="394">
        <f t="shared" si="31"/>
        <v>51587.1</v>
      </c>
      <c r="Q122" s="348">
        <v>7</v>
      </c>
      <c r="R122" s="354">
        <f t="shared" si="32"/>
        <v>43</v>
      </c>
      <c r="S122" s="350">
        <f t="shared" si="33"/>
        <v>71397.900000000009</v>
      </c>
      <c r="T122" s="350">
        <f t="shared" si="34"/>
        <v>438587.1</v>
      </c>
      <c r="U122" s="393"/>
    </row>
    <row r="123" spans="1:21" ht="31.5">
      <c r="A123" s="378"/>
      <c r="B123" s="378"/>
      <c r="C123" s="378"/>
      <c r="D123" s="363" t="s">
        <v>1498</v>
      </c>
      <c r="E123" s="367">
        <v>119</v>
      </c>
      <c r="F123" s="393" t="s">
        <v>1437</v>
      </c>
      <c r="G123" s="395" t="s">
        <v>1499</v>
      </c>
      <c r="H123" s="380">
        <v>750000</v>
      </c>
      <c r="I123" s="380">
        <v>99925</v>
      </c>
      <c r="J123" s="380">
        <f t="shared" si="29"/>
        <v>849925</v>
      </c>
      <c r="K123" s="348">
        <v>60</v>
      </c>
      <c r="L123" s="380">
        <v>14166.25</v>
      </c>
      <c r="M123" s="394">
        <f>I123/60</f>
        <v>1665.4166666666667</v>
      </c>
      <c r="N123" s="394">
        <f>H123/60</f>
        <v>12500</v>
      </c>
      <c r="O123" s="394">
        <f t="shared" si="30"/>
        <v>6661.666666666667</v>
      </c>
      <c r="P123" s="394">
        <f t="shared" si="31"/>
        <v>93263.333333333343</v>
      </c>
      <c r="Q123" s="348">
        <v>4</v>
      </c>
      <c r="R123" s="348">
        <f t="shared" si="32"/>
        <v>56</v>
      </c>
      <c r="S123" s="380">
        <f t="shared" si="33"/>
        <v>56665</v>
      </c>
      <c r="T123" s="380">
        <f t="shared" si="34"/>
        <v>793260</v>
      </c>
      <c r="U123" s="393"/>
    </row>
    <row r="124" spans="1:21">
      <c r="A124" s="378"/>
      <c r="B124" s="378"/>
      <c r="C124" s="378"/>
      <c r="D124" s="116" t="s">
        <v>1388</v>
      </c>
      <c r="E124" s="367">
        <v>120</v>
      </c>
      <c r="F124" s="393" t="s">
        <v>1437</v>
      </c>
      <c r="G124" s="393" t="s">
        <v>1389</v>
      </c>
      <c r="H124" s="351">
        <v>330000</v>
      </c>
      <c r="I124" s="351">
        <v>43989</v>
      </c>
      <c r="J124" s="349">
        <f t="shared" si="29"/>
        <v>373989</v>
      </c>
      <c r="K124" s="348">
        <v>50</v>
      </c>
      <c r="L124" s="380">
        <v>7479.78</v>
      </c>
      <c r="M124" s="394">
        <f t="shared" ref="M124:M133" si="37">I124/50</f>
        <v>879.78</v>
      </c>
      <c r="N124" s="394">
        <f t="shared" ref="N124:N133" si="38">H124/50</f>
        <v>6600</v>
      </c>
      <c r="O124" s="394">
        <f t="shared" si="30"/>
        <v>14076.48</v>
      </c>
      <c r="P124" s="394">
        <f t="shared" si="31"/>
        <v>29912.52</v>
      </c>
      <c r="Q124" s="348">
        <v>16</v>
      </c>
      <c r="R124" s="354">
        <f t="shared" si="32"/>
        <v>34</v>
      </c>
      <c r="S124" s="350">
        <f t="shared" si="33"/>
        <v>119676.48</v>
      </c>
      <c r="T124" s="350">
        <f t="shared" si="34"/>
        <v>254312.52000000002</v>
      </c>
      <c r="U124" s="393"/>
    </row>
    <row r="125" spans="1:21">
      <c r="A125" s="378"/>
      <c r="B125" s="378"/>
      <c r="C125" s="378"/>
      <c r="D125" s="363" t="s">
        <v>1360</v>
      </c>
      <c r="E125" s="367">
        <v>121</v>
      </c>
      <c r="F125" s="393" t="s">
        <v>1437</v>
      </c>
      <c r="G125" s="393" t="s">
        <v>293</v>
      </c>
      <c r="H125" s="351">
        <v>450000</v>
      </c>
      <c r="I125" s="351">
        <v>59985</v>
      </c>
      <c r="J125" s="349">
        <f t="shared" si="29"/>
        <v>509985</v>
      </c>
      <c r="K125" s="348">
        <v>50</v>
      </c>
      <c r="L125" s="380">
        <v>10199.700000000001</v>
      </c>
      <c r="M125" s="394">
        <f t="shared" si="37"/>
        <v>1199.7</v>
      </c>
      <c r="N125" s="394">
        <f t="shared" si="38"/>
        <v>9000</v>
      </c>
      <c r="O125" s="394">
        <f t="shared" si="30"/>
        <v>31192.2</v>
      </c>
      <c r="P125" s="394">
        <f t="shared" si="31"/>
        <v>28792.800000000003</v>
      </c>
      <c r="Q125" s="348">
        <v>26</v>
      </c>
      <c r="R125" s="354">
        <f t="shared" si="32"/>
        <v>24</v>
      </c>
      <c r="S125" s="350">
        <f t="shared" si="33"/>
        <v>265192.2</v>
      </c>
      <c r="T125" s="350">
        <f t="shared" si="34"/>
        <v>244792.8</v>
      </c>
      <c r="U125" s="393"/>
    </row>
    <row r="126" spans="1:21">
      <c r="A126" s="378"/>
      <c r="B126" s="378"/>
      <c r="C126" s="378"/>
      <c r="D126" s="363" t="s">
        <v>1450</v>
      </c>
      <c r="E126" s="367">
        <v>122</v>
      </c>
      <c r="F126" s="393" t="s">
        <v>1437</v>
      </c>
      <c r="G126" s="393" t="s">
        <v>1451</v>
      </c>
      <c r="H126" s="351">
        <v>450000</v>
      </c>
      <c r="I126" s="351">
        <v>59985</v>
      </c>
      <c r="J126" s="349">
        <f t="shared" si="29"/>
        <v>509985</v>
      </c>
      <c r="K126" s="348">
        <v>50</v>
      </c>
      <c r="L126" s="380">
        <v>10199.700000000001</v>
      </c>
      <c r="M126" s="394">
        <f t="shared" si="37"/>
        <v>1199.7</v>
      </c>
      <c r="N126" s="394">
        <f t="shared" si="38"/>
        <v>9000</v>
      </c>
      <c r="O126" s="394">
        <f t="shared" si="30"/>
        <v>11997</v>
      </c>
      <c r="P126" s="394">
        <f t="shared" si="31"/>
        <v>47988</v>
      </c>
      <c r="Q126" s="348">
        <v>10</v>
      </c>
      <c r="R126" s="354">
        <f t="shared" si="32"/>
        <v>40</v>
      </c>
      <c r="S126" s="350">
        <f t="shared" si="33"/>
        <v>101997</v>
      </c>
      <c r="T126" s="350">
        <f t="shared" si="34"/>
        <v>407988</v>
      </c>
      <c r="U126" s="393"/>
    </row>
    <row r="127" spans="1:21">
      <c r="A127" s="378"/>
      <c r="B127" s="378"/>
      <c r="C127" s="378"/>
      <c r="D127" s="364" t="s">
        <v>1094</v>
      </c>
      <c r="E127" s="367">
        <v>123</v>
      </c>
      <c r="F127" s="393" t="s">
        <v>1437</v>
      </c>
      <c r="G127" s="393" t="s">
        <v>1095</v>
      </c>
      <c r="H127" s="351">
        <v>500000</v>
      </c>
      <c r="I127" s="351">
        <v>66650</v>
      </c>
      <c r="J127" s="349">
        <f t="shared" si="29"/>
        <v>566650</v>
      </c>
      <c r="K127" s="348">
        <v>50</v>
      </c>
      <c r="L127" s="380">
        <v>11333</v>
      </c>
      <c r="M127" s="394">
        <f t="shared" si="37"/>
        <v>1333</v>
      </c>
      <c r="N127" s="394">
        <f t="shared" si="38"/>
        <v>10000</v>
      </c>
      <c r="O127" s="394">
        <f t="shared" si="30"/>
        <v>41323</v>
      </c>
      <c r="P127" s="394">
        <f t="shared" si="31"/>
        <v>25327</v>
      </c>
      <c r="Q127" s="348">
        <v>31</v>
      </c>
      <c r="R127" s="354">
        <f t="shared" si="32"/>
        <v>19</v>
      </c>
      <c r="S127" s="350">
        <f t="shared" si="33"/>
        <v>351323</v>
      </c>
      <c r="T127" s="350">
        <f t="shared" si="34"/>
        <v>215327</v>
      </c>
      <c r="U127" s="393"/>
    </row>
    <row r="128" spans="1:21">
      <c r="A128" s="378"/>
      <c r="B128" s="378"/>
      <c r="C128" s="378"/>
      <c r="D128" s="115" t="s">
        <v>1330</v>
      </c>
      <c r="E128" s="367">
        <v>124</v>
      </c>
      <c r="F128" s="393" t="s">
        <v>1437</v>
      </c>
      <c r="G128" s="393" t="s">
        <v>1331</v>
      </c>
      <c r="H128" s="351">
        <v>500000</v>
      </c>
      <c r="I128" s="351">
        <v>66650</v>
      </c>
      <c r="J128" s="349">
        <f t="shared" si="29"/>
        <v>566650</v>
      </c>
      <c r="K128" s="348">
        <v>50</v>
      </c>
      <c r="L128" s="380">
        <v>11333</v>
      </c>
      <c r="M128" s="394">
        <f t="shared" si="37"/>
        <v>1333</v>
      </c>
      <c r="N128" s="394">
        <f t="shared" si="38"/>
        <v>10000</v>
      </c>
      <c r="O128" s="394">
        <f t="shared" si="30"/>
        <v>34658</v>
      </c>
      <c r="P128" s="394">
        <f t="shared" si="31"/>
        <v>31992</v>
      </c>
      <c r="Q128" s="348">
        <v>26</v>
      </c>
      <c r="R128" s="354">
        <f t="shared" si="32"/>
        <v>24</v>
      </c>
      <c r="S128" s="350">
        <f t="shared" si="33"/>
        <v>294658</v>
      </c>
      <c r="T128" s="350">
        <f t="shared" si="34"/>
        <v>271992</v>
      </c>
      <c r="U128" s="393"/>
    </row>
    <row r="129" spans="1:21">
      <c r="A129" s="378"/>
      <c r="B129" s="378"/>
      <c r="C129" s="378"/>
      <c r="D129" s="364" t="s">
        <v>1368</v>
      </c>
      <c r="E129" s="367">
        <v>125</v>
      </c>
      <c r="F129" s="393" t="s">
        <v>1437</v>
      </c>
      <c r="G129" s="393" t="s">
        <v>443</v>
      </c>
      <c r="H129" s="351">
        <v>330000</v>
      </c>
      <c r="I129" s="351">
        <v>43989</v>
      </c>
      <c r="J129" s="349">
        <f t="shared" si="29"/>
        <v>373989</v>
      </c>
      <c r="K129" s="348">
        <v>50</v>
      </c>
      <c r="L129" s="380">
        <v>7479.78</v>
      </c>
      <c r="M129" s="394">
        <f t="shared" si="37"/>
        <v>879.78</v>
      </c>
      <c r="N129" s="394">
        <f t="shared" si="38"/>
        <v>6600</v>
      </c>
      <c r="O129" s="394">
        <f t="shared" si="30"/>
        <v>16715.82</v>
      </c>
      <c r="P129" s="394">
        <f t="shared" si="31"/>
        <v>27273.18</v>
      </c>
      <c r="Q129" s="348">
        <v>19</v>
      </c>
      <c r="R129" s="354">
        <f t="shared" si="32"/>
        <v>31</v>
      </c>
      <c r="S129" s="350">
        <f t="shared" si="33"/>
        <v>142115.82</v>
      </c>
      <c r="T129" s="350">
        <f t="shared" si="34"/>
        <v>231873.18</v>
      </c>
      <c r="U129" s="393"/>
    </row>
    <row r="130" spans="1:21">
      <c r="A130" s="378"/>
      <c r="B130" s="378"/>
      <c r="C130" s="378"/>
      <c r="D130" s="363" t="s">
        <v>1469</v>
      </c>
      <c r="E130" s="367">
        <v>126</v>
      </c>
      <c r="F130" s="393" t="s">
        <v>1437</v>
      </c>
      <c r="G130" s="393" t="s">
        <v>1470</v>
      </c>
      <c r="H130" s="351">
        <v>500000</v>
      </c>
      <c r="I130" s="351">
        <v>66650</v>
      </c>
      <c r="J130" s="349">
        <f t="shared" si="29"/>
        <v>566650</v>
      </c>
      <c r="K130" s="348">
        <v>50</v>
      </c>
      <c r="L130" s="380">
        <v>11333</v>
      </c>
      <c r="M130" s="394">
        <f t="shared" si="37"/>
        <v>1333</v>
      </c>
      <c r="N130" s="394">
        <f t="shared" si="38"/>
        <v>10000</v>
      </c>
      <c r="O130" s="394">
        <f t="shared" si="30"/>
        <v>9331</v>
      </c>
      <c r="P130" s="394">
        <f t="shared" si="31"/>
        <v>57319</v>
      </c>
      <c r="Q130" s="348">
        <v>7</v>
      </c>
      <c r="R130" s="354">
        <f t="shared" si="32"/>
        <v>43</v>
      </c>
      <c r="S130" s="350">
        <f t="shared" si="33"/>
        <v>79331</v>
      </c>
      <c r="T130" s="350">
        <f t="shared" si="34"/>
        <v>487319</v>
      </c>
      <c r="U130" s="393"/>
    </row>
    <row r="131" spans="1:21">
      <c r="A131" s="378"/>
      <c r="B131" s="378"/>
      <c r="C131" s="378"/>
      <c r="D131" s="364" t="s">
        <v>1006</v>
      </c>
      <c r="E131" s="367">
        <v>127</v>
      </c>
      <c r="F131" s="393" t="s">
        <v>1437</v>
      </c>
      <c r="G131" s="393" t="s">
        <v>865</v>
      </c>
      <c r="H131" s="351">
        <v>500000</v>
      </c>
      <c r="I131" s="351">
        <v>66650</v>
      </c>
      <c r="J131" s="349">
        <f t="shared" si="29"/>
        <v>566650</v>
      </c>
      <c r="K131" s="348">
        <v>50</v>
      </c>
      <c r="L131" s="380">
        <v>11333</v>
      </c>
      <c r="M131" s="394">
        <f t="shared" si="37"/>
        <v>1333</v>
      </c>
      <c r="N131" s="394">
        <f t="shared" si="38"/>
        <v>10000</v>
      </c>
      <c r="O131" s="394">
        <f t="shared" si="30"/>
        <v>86645</v>
      </c>
      <c r="P131" s="394">
        <f t="shared" si="31"/>
        <v>-19995</v>
      </c>
      <c r="Q131" s="348">
        <v>65</v>
      </c>
      <c r="R131" s="354">
        <f t="shared" si="32"/>
        <v>-15</v>
      </c>
      <c r="S131" s="350">
        <f t="shared" si="33"/>
        <v>736645</v>
      </c>
      <c r="T131" s="350">
        <f t="shared" si="34"/>
        <v>-169995</v>
      </c>
      <c r="U131" s="393"/>
    </row>
    <row r="132" spans="1:21">
      <c r="A132" s="378"/>
      <c r="B132" s="378"/>
      <c r="C132" s="378"/>
      <c r="D132" s="363" t="s">
        <v>1414</v>
      </c>
      <c r="E132" s="367">
        <v>128</v>
      </c>
      <c r="F132" s="393" t="s">
        <v>1437</v>
      </c>
      <c r="G132" s="393" t="s">
        <v>459</v>
      </c>
      <c r="H132" s="351">
        <v>500000</v>
      </c>
      <c r="I132" s="351">
        <v>66650</v>
      </c>
      <c r="J132" s="349">
        <f t="shared" si="29"/>
        <v>566650</v>
      </c>
      <c r="K132" s="348">
        <v>50</v>
      </c>
      <c r="L132" s="380">
        <v>11333</v>
      </c>
      <c r="M132" s="394">
        <f t="shared" si="37"/>
        <v>1333</v>
      </c>
      <c r="N132" s="394">
        <f t="shared" si="38"/>
        <v>10000</v>
      </c>
      <c r="O132" s="394">
        <f t="shared" si="30"/>
        <v>15996</v>
      </c>
      <c r="P132" s="394">
        <f t="shared" si="31"/>
        <v>50654</v>
      </c>
      <c r="Q132" s="348">
        <v>12</v>
      </c>
      <c r="R132" s="354">
        <f t="shared" si="32"/>
        <v>38</v>
      </c>
      <c r="S132" s="350">
        <f t="shared" si="33"/>
        <v>135996</v>
      </c>
      <c r="T132" s="350">
        <f t="shared" si="34"/>
        <v>430654</v>
      </c>
      <c r="U132" s="393"/>
    </row>
    <row r="133" spans="1:21">
      <c r="A133" s="378"/>
      <c r="B133" s="378"/>
      <c r="C133" s="378"/>
      <c r="D133" s="364" t="s">
        <v>1084</v>
      </c>
      <c r="E133" s="367">
        <v>129</v>
      </c>
      <c r="F133" s="393" t="s">
        <v>1437</v>
      </c>
      <c r="G133" s="393" t="s">
        <v>353</v>
      </c>
      <c r="H133" s="351">
        <v>500000</v>
      </c>
      <c r="I133" s="351">
        <v>66650</v>
      </c>
      <c r="J133" s="349">
        <f t="shared" ref="J133:J164" si="39">SUM(H133:I133)</f>
        <v>566650</v>
      </c>
      <c r="K133" s="348">
        <v>50</v>
      </c>
      <c r="L133" s="380">
        <v>11333</v>
      </c>
      <c r="M133" s="394">
        <f t="shared" si="37"/>
        <v>1333</v>
      </c>
      <c r="N133" s="394">
        <f t="shared" si="38"/>
        <v>10000</v>
      </c>
      <c r="O133" s="394">
        <f t="shared" ref="O133:O164" si="40">M133*Q133</f>
        <v>67983</v>
      </c>
      <c r="P133" s="394">
        <f t="shared" ref="P133:P164" si="41">M133*R133</f>
        <v>-1333</v>
      </c>
      <c r="Q133" s="348">
        <v>51</v>
      </c>
      <c r="R133" s="354">
        <f t="shared" ref="R133:R161" si="42">K133-Q133</f>
        <v>-1</v>
      </c>
      <c r="S133" s="350">
        <f t="shared" ref="S133:S161" si="43">L133*Q133</f>
        <v>577983</v>
      </c>
      <c r="T133" s="350">
        <f t="shared" ref="T133:T164" si="44">J133-S133</f>
        <v>-11333</v>
      </c>
      <c r="U133" s="393"/>
    </row>
    <row r="134" spans="1:21">
      <c r="A134" s="378"/>
      <c r="B134" s="378"/>
      <c r="C134" s="378"/>
      <c r="D134" s="363" t="s">
        <v>1500</v>
      </c>
      <c r="E134" s="367">
        <v>130</v>
      </c>
      <c r="F134" s="393" t="s">
        <v>1437</v>
      </c>
      <c r="G134" s="393" t="s">
        <v>437</v>
      </c>
      <c r="H134" s="380">
        <v>750000</v>
      </c>
      <c r="I134" s="380">
        <v>99925</v>
      </c>
      <c r="J134" s="380">
        <f t="shared" si="39"/>
        <v>849925</v>
      </c>
      <c r="K134" s="348">
        <v>60</v>
      </c>
      <c r="L134" s="380">
        <v>14166.25</v>
      </c>
      <c r="M134" s="394">
        <f>I134/60</f>
        <v>1665.4166666666667</v>
      </c>
      <c r="N134" s="394">
        <f>H134/60</f>
        <v>12500</v>
      </c>
      <c r="O134" s="394">
        <f t="shared" si="40"/>
        <v>6661.666666666667</v>
      </c>
      <c r="P134" s="394">
        <f t="shared" si="41"/>
        <v>93263.333333333343</v>
      </c>
      <c r="Q134" s="348">
        <v>4</v>
      </c>
      <c r="R134" s="348">
        <f t="shared" si="42"/>
        <v>56</v>
      </c>
      <c r="S134" s="380">
        <f t="shared" si="43"/>
        <v>56665</v>
      </c>
      <c r="T134" s="380">
        <f t="shared" si="44"/>
        <v>793260</v>
      </c>
      <c r="U134" s="393"/>
    </row>
    <row r="135" spans="1:21">
      <c r="A135" s="378"/>
      <c r="B135" s="378"/>
      <c r="C135" s="378"/>
      <c r="D135" s="364" t="s">
        <v>1333</v>
      </c>
      <c r="E135" s="367">
        <v>131</v>
      </c>
      <c r="F135" s="393" t="s">
        <v>1437</v>
      </c>
      <c r="G135" s="393" t="s">
        <v>1281</v>
      </c>
      <c r="H135" s="351">
        <v>500000</v>
      </c>
      <c r="I135" s="351">
        <v>66650</v>
      </c>
      <c r="J135" s="349">
        <f t="shared" si="39"/>
        <v>566650</v>
      </c>
      <c r="K135" s="348">
        <v>50</v>
      </c>
      <c r="L135" s="380">
        <v>11333</v>
      </c>
      <c r="M135" s="394">
        <f>I135/50</f>
        <v>1333</v>
      </c>
      <c r="N135" s="394">
        <f>H135/50</f>
        <v>10000</v>
      </c>
      <c r="O135" s="394">
        <f t="shared" si="40"/>
        <v>25327</v>
      </c>
      <c r="P135" s="394">
        <f t="shared" si="41"/>
        <v>41323</v>
      </c>
      <c r="Q135" s="348">
        <v>19</v>
      </c>
      <c r="R135" s="354">
        <f t="shared" si="42"/>
        <v>31</v>
      </c>
      <c r="S135" s="350">
        <f t="shared" si="43"/>
        <v>215327</v>
      </c>
      <c r="T135" s="350">
        <f t="shared" si="44"/>
        <v>351323</v>
      </c>
      <c r="U135" s="393"/>
    </row>
    <row r="136" spans="1:21">
      <c r="A136" s="378"/>
      <c r="B136" s="378"/>
      <c r="C136" s="378"/>
      <c r="D136" s="363" t="s">
        <v>1471</v>
      </c>
      <c r="E136" s="367">
        <v>132</v>
      </c>
      <c r="F136" s="393" t="s">
        <v>1437</v>
      </c>
      <c r="G136" s="393" t="s">
        <v>1472</v>
      </c>
      <c r="H136" s="351">
        <v>500000</v>
      </c>
      <c r="I136" s="351">
        <v>66650</v>
      </c>
      <c r="J136" s="349">
        <f t="shared" si="39"/>
        <v>566650</v>
      </c>
      <c r="K136" s="348">
        <v>50</v>
      </c>
      <c r="L136" s="380">
        <v>11333</v>
      </c>
      <c r="M136" s="394">
        <f>I136/50</f>
        <v>1333</v>
      </c>
      <c r="N136" s="394">
        <f>H136/50</f>
        <v>10000</v>
      </c>
      <c r="O136" s="394">
        <f t="shared" si="40"/>
        <v>9331</v>
      </c>
      <c r="P136" s="394">
        <f t="shared" si="41"/>
        <v>57319</v>
      </c>
      <c r="Q136" s="348">
        <v>7</v>
      </c>
      <c r="R136" s="354">
        <f t="shared" si="42"/>
        <v>43</v>
      </c>
      <c r="S136" s="350">
        <f t="shared" si="43"/>
        <v>79331</v>
      </c>
      <c r="T136" s="350">
        <f t="shared" si="44"/>
        <v>487319</v>
      </c>
      <c r="U136" s="393"/>
    </row>
    <row r="137" spans="1:21">
      <c r="A137" s="378"/>
      <c r="B137" s="378"/>
      <c r="C137" s="378"/>
      <c r="D137" s="364" t="s">
        <v>1091</v>
      </c>
      <c r="E137" s="367">
        <v>133</v>
      </c>
      <c r="F137" s="393" t="s">
        <v>1437</v>
      </c>
      <c r="G137" s="393" t="s">
        <v>1092</v>
      </c>
      <c r="H137" s="351">
        <v>500000</v>
      </c>
      <c r="I137" s="351">
        <v>66650</v>
      </c>
      <c r="J137" s="349">
        <f t="shared" si="39"/>
        <v>566650</v>
      </c>
      <c r="K137" s="348">
        <v>50</v>
      </c>
      <c r="L137" s="380">
        <v>11333</v>
      </c>
      <c r="M137" s="394">
        <f>I137/50</f>
        <v>1333</v>
      </c>
      <c r="N137" s="394">
        <f>H137/50</f>
        <v>10000</v>
      </c>
      <c r="O137" s="394">
        <f t="shared" si="40"/>
        <v>85312</v>
      </c>
      <c r="P137" s="394">
        <f t="shared" si="41"/>
        <v>-18662</v>
      </c>
      <c r="Q137" s="348">
        <v>64</v>
      </c>
      <c r="R137" s="354">
        <f t="shared" si="42"/>
        <v>-14</v>
      </c>
      <c r="S137" s="350">
        <f t="shared" si="43"/>
        <v>725312</v>
      </c>
      <c r="T137" s="350">
        <f t="shared" si="44"/>
        <v>-158662</v>
      </c>
      <c r="U137" s="393"/>
    </row>
    <row r="138" spans="1:21">
      <c r="A138" s="378"/>
      <c r="B138" s="378"/>
      <c r="C138" s="378"/>
      <c r="D138" s="363" t="s">
        <v>1493</v>
      </c>
      <c r="E138" s="367">
        <v>134</v>
      </c>
      <c r="F138" s="393" t="s">
        <v>1437</v>
      </c>
      <c r="G138" s="393" t="s">
        <v>461</v>
      </c>
      <c r="H138" s="380">
        <v>750000</v>
      </c>
      <c r="I138" s="380">
        <v>79980</v>
      </c>
      <c r="J138" s="380">
        <f t="shared" si="39"/>
        <v>829980</v>
      </c>
      <c r="K138" s="348">
        <v>48</v>
      </c>
      <c r="L138" s="380">
        <v>17291.25</v>
      </c>
      <c r="M138" s="394">
        <f>I138/48</f>
        <v>1666.25</v>
      </c>
      <c r="N138" s="394">
        <f>H138/48</f>
        <v>15625</v>
      </c>
      <c r="O138" s="394">
        <f t="shared" si="40"/>
        <v>6665</v>
      </c>
      <c r="P138" s="394">
        <f t="shared" si="41"/>
        <v>73315</v>
      </c>
      <c r="Q138" s="348">
        <v>4</v>
      </c>
      <c r="R138" s="348">
        <f t="shared" si="42"/>
        <v>44</v>
      </c>
      <c r="S138" s="380">
        <f t="shared" si="43"/>
        <v>69165</v>
      </c>
      <c r="T138" s="380">
        <f t="shared" si="44"/>
        <v>760815</v>
      </c>
      <c r="U138" s="393"/>
    </row>
    <row r="139" spans="1:21">
      <c r="A139" s="378"/>
      <c r="B139" s="378"/>
      <c r="C139" s="378"/>
      <c r="D139" s="363" t="s">
        <v>1324</v>
      </c>
      <c r="E139" s="367">
        <v>135</v>
      </c>
      <c r="F139" s="393" t="s">
        <v>1437</v>
      </c>
      <c r="G139" s="393" t="s">
        <v>1325</v>
      </c>
      <c r="H139" s="351">
        <v>500000</v>
      </c>
      <c r="I139" s="351">
        <v>66650</v>
      </c>
      <c r="J139" s="349">
        <f t="shared" si="39"/>
        <v>566650</v>
      </c>
      <c r="K139" s="348">
        <v>50</v>
      </c>
      <c r="L139" s="380">
        <v>11333</v>
      </c>
      <c r="M139" s="394">
        <f>I139/50</f>
        <v>1333</v>
      </c>
      <c r="N139" s="394">
        <f>H139/50</f>
        <v>10000</v>
      </c>
      <c r="O139" s="394">
        <f t="shared" si="40"/>
        <v>22661</v>
      </c>
      <c r="P139" s="394">
        <f t="shared" si="41"/>
        <v>43989</v>
      </c>
      <c r="Q139" s="348">
        <v>17</v>
      </c>
      <c r="R139" s="354">
        <f t="shared" si="42"/>
        <v>33</v>
      </c>
      <c r="S139" s="350">
        <f t="shared" si="43"/>
        <v>192661</v>
      </c>
      <c r="T139" s="350">
        <f t="shared" si="44"/>
        <v>373989</v>
      </c>
      <c r="U139" s="393"/>
    </row>
    <row r="140" spans="1:21">
      <c r="A140" s="378"/>
      <c r="B140" s="378"/>
      <c r="C140" s="378"/>
      <c r="D140" s="363" t="s">
        <v>1340</v>
      </c>
      <c r="E140" s="367">
        <v>136</v>
      </c>
      <c r="F140" s="393" t="s">
        <v>1437</v>
      </c>
      <c r="G140" s="393" t="s">
        <v>410</v>
      </c>
      <c r="H140" s="351">
        <v>500000</v>
      </c>
      <c r="I140" s="351">
        <v>66650</v>
      </c>
      <c r="J140" s="349">
        <f t="shared" si="39"/>
        <v>566650</v>
      </c>
      <c r="K140" s="348">
        <v>50</v>
      </c>
      <c r="L140" s="380">
        <v>11333</v>
      </c>
      <c r="M140" s="394">
        <f>I140/50</f>
        <v>1333</v>
      </c>
      <c r="N140" s="394">
        <f>H140/50</f>
        <v>10000</v>
      </c>
      <c r="O140" s="394">
        <f t="shared" si="40"/>
        <v>22661</v>
      </c>
      <c r="P140" s="394">
        <f t="shared" si="41"/>
        <v>43989</v>
      </c>
      <c r="Q140" s="348">
        <v>17</v>
      </c>
      <c r="R140" s="354">
        <f t="shared" si="42"/>
        <v>33</v>
      </c>
      <c r="S140" s="350">
        <f t="shared" si="43"/>
        <v>192661</v>
      </c>
      <c r="T140" s="350">
        <f t="shared" si="44"/>
        <v>373989</v>
      </c>
      <c r="U140" s="393"/>
    </row>
    <row r="141" spans="1:21">
      <c r="A141" s="378"/>
      <c r="B141" s="378"/>
      <c r="C141" s="378"/>
      <c r="D141" s="363" t="s">
        <v>1085</v>
      </c>
      <c r="E141" s="367">
        <v>137</v>
      </c>
      <c r="F141" s="393" t="s">
        <v>1437</v>
      </c>
      <c r="G141" s="393" t="s">
        <v>1086</v>
      </c>
      <c r="H141" s="380">
        <v>750000</v>
      </c>
      <c r="I141" s="380">
        <v>99925</v>
      </c>
      <c r="J141" s="380">
        <f t="shared" si="39"/>
        <v>849925</v>
      </c>
      <c r="K141" s="348">
        <v>60</v>
      </c>
      <c r="L141" s="380">
        <v>14166.25</v>
      </c>
      <c r="M141" s="394">
        <f>I141/60</f>
        <v>1665.4166666666667</v>
      </c>
      <c r="N141" s="394">
        <f>H141/60</f>
        <v>12500</v>
      </c>
      <c r="O141" s="394">
        <f t="shared" si="40"/>
        <v>6661.666666666667</v>
      </c>
      <c r="P141" s="394">
        <f t="shared" si="41"/>
        <v>93263.333333333343</v>
      </c>
      <c r="Q141" s="348">
        <v>4</v>
      </c>
      <c r="R141" s="348">
        <f t="shared" si="42"/>
        <v>56</v>
      </c>
      <c r="S141" s="380">
        <f t="shared" si="43"/>
        <v>56665</v>
      </c>
      <c r="T141" s="380">
        <f t="shared" si="44"/>
        <v>793260</v>
      </c>
      <c r="U141" s="393"/>
    </row>
    <row r="142" spans="1:21">
      <c r="A142" s="378"/>
      <c r="B142" s="378"/>
      <c r="C142" s="378"/>
      <c r="D142" s="363" t="s">
        <v>1021</v>
      </c>
      <c r="E142" s="367">
        <v>138</v>
      </c>
      <c r="F142" s="393" t="s">
        <v>1437</v>
      </c>
      <c r="G142" s="393" t="s">
        <v>1022</v>
      </c>
      <c r="H142" s="351">
        <v>330000</v>
      </c>
      <c r="I142" s="351">
        <v>43989</v>
      </c>
      <c r="J142" s="349">
        <f t="shared" si="39"/>
        <v>373989</v>
      </c>
      <c r="K142" s="348">
        <v>50</v>
      </c>
      <c r="L142" s="380">
        <v>7479.78</v>
      </c>
      <c r="M142" s="394">
        <f>I142/50</f>
        <v>879.78</v>
      </c>
      <c r="N142" s="394">
        <f>H142/50</f>
        <v>6600</v>
      </c>
      <c r="O142" s="394">
        <f t="shared" si="40"/>
        <v>27273.18</v>
      </c>
      <c r="P142" s="394">
        <f t="shared" si="41"/>
        <v>16715.82</v>
      </c>
      <c r="Q142" s="348">
        <v>31</v>
      </c>
      <c r="R142" s="354">
        <f t="shared" si="42"/>
        <v>19</v>
      </c>
      <c r="S142" s="350">
        <f t="shared" si="43"/>
        <v>231873.18</v>
      </c>
      <c r="T142" s="350">
        <f t="shared" si="44"/>
        <v>142115.82</v>
      </c>
      <c r="U142" s="393"/>
    </row>
    <row r="143" spans="1:21">
      <c r="A143" s="378"/>
      <c r="B143" s="378"/>
      <c r="C143" s="378"/>
      <c r="D143" s="363" t="s">
        <v>1481</v>
      </c>
      <c r="E143" s="367">
        <v>139</v>
      </c>
      <c r="F143" s="393" t="s">
        <v>1437</v>
      </c>
      <c r="G143" s="393" t="s">
        <v>1482</v>
      </c>
      <c r="H143" s="351">
        <v>330000</v>
      </c>
      <c r="I143" s="351">
        <v>43989</v>
      </c>
      <c r="J143" s="349">
        <f t="shared" si="39"/>
        <v>373989</v>
      </c>
      <c r="K143" s="348">
        <v>50</v>
      </c>
      <c r="L143" s="380">
        <v>7479.78</v>
      </c>
      <c r="M143" s="394">
        <f>I143/50</f>
        <v>879.78</v>
      </c>
      <c r="N143" s="394">
        <f>H143/50</f>
        <v>6600</v>
      </c>
      <c r="O143" s="394">
        <f t="shared" si="40"/>
        <v>6158.46</v>
      </c>
      <c r="P143" s="394">
        <f t="shared" si="41"/>
        <v>37830.54</v>
      </c>
      <c r="Q143" s="348">
        <v>7</v>
      </c>
      <c r="R143" s="354">
        <f t="shared" si="42"/>
        <v>43</v>
      </c>
      <c r="S143" s="350">
        <f t="shared" si="43"/>
        <v>52358.46</v>
      </c>
      <c r="T143" s="350">
        <f t="shared" si="44"/>
        <v>321630.53999999998</v>
      </c>
      <c r="U143" s="393"/>
    </row>
    <row r="144" spans="1:21">
      <c r="A144" s="378"/>
      <c r="B144" s="378"/>
      <c r="C144" s="378"/>
      <c r="D144" s="364" t="s">
        <v>1385</v>
      </c>
      <c r="E144" s="367">
        <v>140</v>
      </c>
      <c r="F144" s="393" t="s">
        <v>1437</v>
      </c>
      <c r="G144" s="393" t="s">
        <v>1295</v>
      </c>
      <c r="H144" s="351">
        <v>330000</v>
      </c>
      <c r="I144" s="351">
        <v>43989</v>
      </c>
      <c r="J144" s="349">
        <f t="shared" si="39"/>
        <v>373989</v>
      </c>
      <c r="K144" s="348">
        <v>50</v>
      </c>
      <c r="L144" s="380">
        <v>7479.78</v>
      </c>
      <c r="M144" s="394">
        <f>I144/50</f>
        <v>879.78</v>
      </c>
      <c r="N144" s="394">
        <f>H144/50</f>
        <v>6600</v>
      </c>
      <c r="O144" s="394">
        <f t="shared" si="40"/>
        <v>16715.82</v>
      </c>
      <c r="P144" s="394">
        <f t="shared" si="41"/>
        <v>27273.18</v>
      </c>
      <c r="Q144" s="348">
        <v>19</v>
      </c>
      <c r="R144" s="354">
        <f t="shared" si="42"/>
        <v>31</v>
      </c>
      <c r="S144" s="350">
        <f t="shared" si="43"/>
        <v>142115.82</v>
      </c>
      <c r="T144" s="350">
        <f t="shared" si="44"/>
        <v>231873.18</v>
      </c>
      <c r="U144" s="393"/>
    </row>
    <row r="145" spans="1:21">
      <c r="A145" s="378"/>
      <c r="B145" s="378"/>
      <c r="C145" s="378"/>
      <c r="D145" s="363" t="s">
        <v>1128</v>
      </c>
      <c r="E145" s="367">
        <v>141</v>
      </c>
      <c r="F145" s="393" t="s">
        <v>1437</v>
      </c>
      <c r="G145" s="393" t="s">
        <v>462</v>
      </c>
      <c r="H145" s="351">
        <v>450000</v>
      </c>
      <c r="I145" s="351">
        <v>59985</v>
      </c>
      <c r="J145" s="349">
        <f t="shared" si="39"/>
        <v>509985</v>
      </c>
      <c r="K145" s="348">
        <v>50</v>
      </c>
      <c r="L145" s="380">
        <v>10199.700000000001</v>
      </c>
      <c r="M145" s="394">
        <f>I145/50</f>
        <v>1199.7</v>
      </c>
      <c r="N145" s="394">
        <f>H145/50</f>
        <v>9000</v>
      </c>
      <c r="O145" s="394">
        <f t="shared" si="40"/>
        <v>11997</v>
      </c>
      <c r="P145" s="394">
        <f t="shared" si="41"/>
        <v>47988</v>
      </c>
      <c r="Q145" s="348">
        <v>10</v>
      </c>
      <c r="R145" s="354">
        <f t="shared" si="42"/>
        <v>40</v>
      </c>
      <c r="S145" s="350">
        <f t="shared" si="43"/>
        <v>101997</v>
      </c>
      <c r="T145" s="350">
        <f t="shared" si="44"/>
        <v>407988</v>
      </c>
      <c r="U145" s="393"/>
    </row>
    <row r="146" spans="1:21">
      <c r="A146" s="378"/>
      <c r="B146" s="378"/>
      <c r="C146" s="378"/>
      <c r="D146" s="363" t="s">
        <v>1507</v>
      </c>
      <c r="E146" s="367">
        <v>142</v>
      </c>
      <c r="F146" s="393" t="s">
        <v>1437</v>
      </c>
      <c r="G146" s="393" t="s">
        <v>1508</v>
      </c>
      <c r="H146" s="380">
        <v>600000</v>
      </c>
      <c r="I146" s="380">
        <v>79980</v>
      </c>
      <c r="J146" s="380">
        <f t="shared" si="39"/>
        <v>679980</v>
      </c>
      <c r="K146" s="348">
        <v>60</v>
      </c>
      <c r="L146" s="380">
        <v>11333</v>
      </c>
      <c r="M146" s="394">
        <f>I146/60</f>
        <v>1333</v>
      </c>
      <c r="N146" s="394">
        <f>H146/60</f>
        <v>10000</v>
      </c>
      <c r="O146" s="394">
        <f t="shared" si="40"/>
        <v>5332</v>
      </c>
      <c r="P146" s="394">
        <f t="shared" si="41"/>
        <v>74648</v>
      </c>
      <c r="Q146" s="348">
        <v>4</v>
      </c>
      <c r="R146" s="348">
        <f t="shared" si="42"/>
        <v>56</v>
      </c>
      <c r="S146" s="380">
        <f t="shared" si="43"/>
        <v>45332</v>
      </c>
      <c r="T146" s="380">
        <f t="shared" si="44"/>
        <v>634648</v>
      </c>
      <c r="U146" s="393"/>
    </row>
    <row r="147" spans="1:21">
      <c r="A147" s="378"/>
      <c r="B147" s="378"/>
      <c r="C147" s="378"/>
      <c r="D147" s="364" t="s">
        <v>1004</v>
      </c>
      <c r="E147" s="367">
        <v>143</v>
      </c>
      <c r="F147" s="393" t="s">
        <v>1437</v>
      </c>
      <c r="G147" s="393" t="s">
        <v>107</v>
      </c>
      <c r="H147" s="351">
        <v>450000</v>
      </c>
      <c r="I147" s="351">
        <v>59985</v>
      </c>
      <c r="J147" s="349">
        <f t="shared" si="39"/>
        <v>509985</v>
      </c>
      <c r="K147" s="348">
        <v>50</v>
      </c>
      <c r="L147" s="380">
        <v>10199.700000000001</v>
      </c>
      <c r="M147" s="394">
        <f t="shared" ref="M147:M163" si="45">I147/50</f>
        <v>1199.7</v>
      </c>
      <c r="N147" s="394">
        <f t="shared" ref="N147:N163" si="46">H147/50</f>
        <v>9000</v>
      </c>
      <c r="O147" s="394">
        <f t="shared" si="40"/>
        <v>32391.9</v>
      </c>
      <c r="P147" s="394">
        <f t="shared" si="41"/>
        <v>27593.100000000002</v>
      </c>
      <c r="Q147" s="348">
        <v>27</v>
      </c>
      <c r="R147" s="354">
        <f t="shared" si="42"/>
        <v>23</v>
      </c>
      <c r="S147" s="350">
        <f t="shared" si="43"/>
        <v>275391.90000000002</v>
      </c>
      <c r="T147" s="350">
        <f t="shared" si="44"/>
        <v>234593.09999999998</v>
      </c>
      <c r="U147" s="393"/>
    </row>
    <row r="148" spans="1:21">
      <c r="A148" s="378"/>
      <c r="B148" s="378"/>
      <c r="C148" s="378"/>
      <c r="D148" s="363" t="s">
        <v>1452</v>
      </c>
      <c r="E148" s="367">
        <v>144</v>
      </c>
      <c r="F148" s="393" t="s">
        <v>1437</v>
      </c>
      <c r="G148" s="393" t="s">
        <v>1453</v>
      </c>
      <c r="H148" s="351">
        <v>500000</v>
      </c>
      <c r="I148" s="351">
        <v>66650</v>
      </c>
      <c r="J148" s="349">
        <f t="shared" si="39"/>
        <v>566650</v>
      </c>
      <c r="K148" s="348">
        <v>50</v>
      </c>
      <c r="L148" s="380">
        <v>11333</v>
      </c>
      <c r="M148" s="394">
        <f t="shared" si="45"/>
        <v>1333</v>
      </c>
      <c r="N148" s="394">
        <f t="shared" si="46"/>
        <v>10000</v>
      </c>
      <c r="O148" s="394">
        <f t="shared" si="40"/>
        <v>13330</v>
      </c>
      <c r="P148" s="394">
        <f t="shared" si="41"/>
        <v>53320</v>
      </c>
      <c r="Q148" s="348">
        <v>10</v>
      </c>
      <c r="R148" s="354">
        <f t="shared" si="42"/>
        <v>40</v>
      </c>
      <c r="S148" s="350">
        <f t="shared" si="43"/>
        <v>113330</v>
      </c>
      <c r="T148" s="350">
        <f t="shared" si="44"/>
        <v>453320</v>
      </c>
      <c r="U148" s="393"/>
    </row>
    <row r="149" spans="1:21">
      <c r="A149" s="378"/>
      <c r="B149" s="378"/>
      <c r="C149" s="378"/>
      <c r="D149" s="363" t="s">
        <v>1408</v>
      </c>
      <c r="E149" s="367">
        <v>145</v>
      </c>
      <c r="F149" s="393" t="s">
        <v>1437</v>
      </c>
      <c r="G149" s="393" t="s">
        <v>406</v>
      </c>
      <c r="H149" s="351">
        <v>500000</v>
      </c>
      <c r="I149" s="351">
        <v>66650</v>
      </c>
      <c r="J149" s="349">
        <f t="shared" si="39"/>
        <v>566650</v>
      </c>
      <c r="K149" s="348">
        <v>40</v>
      </c>
      <c r="L149" s="380">
        <v>13833</v>
      </c>
      <c r="M149" s="394">
        <f t="shared" si="45"/>
        <v>1333</v>
      </c>
      <c r="N149" s="394">
        <f t="shared" si="46"/>
        <v>10000</v>
      </c>
      <c r="O149" s="394">
        <f t="shared" si="40"/>
        <v>17329</v>
      </c>
      <c r="P149" s="394">
        <f t="shared" si="41"/>
        <v>35991</v>
      </c>
      <c r="Q149" s="348">
        <v>13</v>
      </c>
      <c r="R149" s="354">
        <f t="shared" si="42"/>
        <v>27</v>
      </c>
      <c r="S149" s="350">
        <f t="shared" si="43"/>
        <v>179829</v>
      </c>
      <c r="T149" s="350">
        <f t="shared" si="44"/>
        <v>386821</v>
      </c>
      <c r="U149" s="393"/>
    </row>
    <row r="150" spans="1:21">
      <c r="A150" s="378"/>
      <c r="B150" s="378"/>
      <c r="C150" s="378"/>
      <c r="D150" s="364" t="s">
        <v>1134</v>
      </c>
      <c r="E150" s="367">
        <v>146</v>
      </c>
      <c r="F150" s="393" t="s">
        <v>1437</v>
      </c>
      <c r="G150" s="393" t="s">
        <v>1135</v>
      </c>
      <c r="H150" s="351">
        <v>500000</v>
      </c>
      <c r="I150" s="351">
        <v>66650</v>
      </c>
      <c r="J150" s="349">
        <f t="shared" si="39"/>
        <v>566650</v>
      </c>
      <c r="K150" s="348">
        <v>50</v>
      </c>
      <c r="L150" s="380">
        <v>11333</v>
      </c>
      <c r="M150" s="394">
        <f t="shared" si="45"/>
        <v>1333</v>
      </c>
      <c r="N150" s="394">
        <f t="shared" si="46"/>
        <v>10000</v>
      </c>
      <c r="O150" s="394">
        <f t="shared" si="40"/>
        <v>35991</v>
      </c>
      <c r="P150" s="394">
        <f t="shared" si="41"/>
        <v>30659</v>
      </c>
      <c r="Q150" s="348">
        <v>27</v>
      </c>
      <c r="R150" s="354">
        <f t="shared" si="42"/>
        <v>23</v>
      </c>
      <c r="S150" s="350">
        <f t="shared" si="43"/>
        <v>305991</v>
      </c>
      <c r="T150" s="350">
        <f t="shared" si="44"/>
        <v>260659</v>
      </c>
      <c r="U150" s="393"/>
    </row>
    <row r="151" spans="1:21">
      <c r="A151" s="378"/>
      <c r="B151" s="378"/>
      <c r="C151" s="378"/>
      <c r="D151" s="115" t="s">
        <v>1048</v>
      </c>
      <c r="E151" s="367">
        <v>147</v>
      </c>
      <c r="F151" s="393" t="s">
        <v>1437</v>
      </c>
      <c r="G151" s="393" t="s">
        <v>1049</v>
      </c>
      <c r="H151" s="351">
        <v>450000</v>
      </c>
      <c r="I151" s="351">
        <v>59985</v>
      </c>
      <c r="J151" s="349">
        <f t="shared" si="39"/>
        <v>509985</v>
      </c>
      <c r="K151" s="348">
        <v>50</v>
      </c>
      <c r="L151" s="380">
        <v>10199.700000000001</v>
      </c>
      <c r="M151" s="394">
        <f t="shared" si="45"/>
        <v>1199.7</v>
      </c>
      <c r="N151" s="394">
        <f t="shared" si="46"/>
        <v>9000</v>
      </c>
      <c r="O151" s="394">
        <f t="shared" si="40"/>
        <v>59985</v>
      </c>
      <c r="P151" s="394">
        <f t="shared" si="41"/>
        <v>0</v>
      </c>
      <c r="Q151" s="348">
        <v>50</v>
      </c>
      <c r="R151" s="354">
        <f t="shared" si="42"/>
        <v>0</v>
      </c>
      <c r="S151" s="350">
        <f t="shared" si="43"/>
        <v>509985.00000000006</v>
      </c>
      <c r="T151" s="350">
        <f t="shared" si="44"/>
        <v>0</v>
      </c>
      <c r="U151" s="393"/>
    </row>
    <row r="152" spans="1:21">
      <c r="A152" s="378"/>
      <c r="B152" s="378"/>
      <c r="C152" s="378"/>
      <c r="D152" s="364" t="s">
        <v>1090</v>
      </c>
      <c r="E152" s="367">
        <v>148</v>
      </c>
      <c r="F152" s="393" t="s">
        <v>1437</v>
      </c>
      <c r="G152" s="393" t="s">
        <v>295</v>
      </c>
      <c r="H152" s="351">
        <v>500000</v>
      </c>
      <c r="I152" s="351">
        <v>66650</v>
      </c>
      <c r="J152" s="349">
        <f t="shared" si="39"/>
        <v>566650</v>
      </c>
      <c r="K152" s="348">
        <v>50</v>
      </c>
      <c r="L152" s="380">
        <v>11333</v>
      </c>
      <c r="M152" s="394">
        <f t="shared" si="45"/>
        <v>1333</v>
      </c>
      <c r="N152" s="394">
        <f t="shared" si="46"/>
        <v>10000</v>
      </c>
      <c r="O152" s="394">
        <f t="shared" si="40"/>
        <v>45322</v>
      </c>
      <c r="P152" s="394">
        <f t="shared" si="41"/>
        <v>21328</v>
      </c>
      <c r="Q152" s="348">
        <v>34</v>
      </c>
      <c r="R152" s="354">
        <f t="shared" si="42"/>
        <v>16</v>
      </c>
      <c r="S152" s="350">
        <f t="shared" si="43"/>
        <v>385322</v>
      </c>
      <c r="T152" s="350">
        <f t="shared" si="44"/>
        <v>181328</v>
      </c>
      <c r="U152" s="393"/>
    </row>
    <row r="153" spans="1:21">
      <c r="A153" s="378"/>
      <c r="B153" s="378"/>
      <c r="C153" s="378"/>
      <c r="D153" s="364" t="s">
        <v>1337</v>
      </c>
      <c r="E153" s="367">
        <v>149</v>
      </c>
      <c r="F153" s="393" t="s">
        <v>1437</v>
      </c>
      <c r="G153" s="393" t="s">
        <v>1280</v>
      </c>
      <c r="H153" s="351">
        <v>500000</v>
      </c>
      <c r="I153" s="351">
        <v>66650</v>
      </c>
      <c r="J153" s="349">
        <f t="shared" si="39"/>
        <v>566650</v>
      </c>
      <c r="K153" s="348">
        <v>50</v>
      </c>
      <c r="L153" s="380">
        <v>11333</v>
      </c>
      <c r="M153" s="394">
        <f t="shared" si="45"/>
        <v>1333</v>
      </c>
      <c r="N153" s="394">
        <f t="shared" si="46"/>
        <v>10000</v>
      </c>
      <c r="O153" s="394">
        <f t="shared" si="40"/>
        <v>25327</v>
      </c>
      <c r="P153" s="394">
        <f t="shared" si="41"/>
        <v>41323</v>
      </c>
      <c r="Q153" s="348">
        <v>19</v>
      </c>
      <c r="R153" s="354">
        <f t="shared" si="42"/>
        <v>31</v>
      </c>
      <c r="S153" s="350">
        <f t="shared" si="43"/>
        <v>215327</v>
      </c>
      <c r="T153" s="350">
        <f t="shared" si="44"/>
        <v>351323</v>
      </c>
      <c r="U153" s="393"/>
    </row>
    <row r="154" spans="1:21">
      <c r="A154" s="378"/>
      <c r="B154" s="378"/>
      <c r="C154" s="378"/>
      <c r="D154" s="363" t="s">
        <v>1415</v>
      </c>
      <c r="E154" s="367">
        <v>150</v>
      </c>
      <c r="F154" s="393" t="s">
        <v>1437</v>
      </c>
      <c r="G154" s="393" t="s">
        <v>1416</v>
      </c>
      <c r="H154" s="351">
        <v>500000</v>
      </c>
      <c r="I154" s="351">
        <v>66650</v>
      </c>
      <c r="J154" s="349">
        <f t="shared" si="39"/>
        <v>566650</v>
      </c>
      <c r="K154" s="348">
        <v>50</v>
      </c>
      <c r="L154" s="380">
        <v>11333</v>
      </c>
      <c r="M154" s="394">
        <f t="shared" si="45"/>
        <v>1333</v>
      </c>
      <c r="N154" s="394">
        <f t="shared" si="46"/>
        <v>10000</v>
      </c>
      <c r="O154" s="394">
        <f t="shared" si="40"/>
        <v>15996</v>
      </c>
      <c r="P154" s="394">
        <f t="shared" si="41"/>
        <v>50654</v>
      </c>
      <c r="Q154" s="348">
        <v>12</v>
      </c>
      <c r="R154" s="354">
        <f t="shared" si="42"/>
        <v>38</v>
      </c>
      <c r="S154" s="350">
        <f t="shared" si="43"/>
        <v>135996</v>
      </c>
      <c r="T154" s="350">
        <f t="shared" si="44"/>
        <v>430654</v>
      </c>
      <c r="U154" s="393"/>
    </row>
    <row r="155" spans="1:21">
      <c r="A155" s="378"/>
      <c r="B155" s="378"/>
      <c r="C155" s="378"/>
      <c r="D155" s="363" t="s">
        <v>968</v>
      </c>
      <c r="E155" s="367">
        <v>151</v>
      </c>
      <c r="F155" s="393" t="s">
        <v>1437</v>
      </c>
      <c r="G155" s="393" t="s">
        <v>490</v>
      </c>
      <c r="H155" s="351">
        <v>330000</v>
      </c>
      <c r="I155" s="351">
        <v>43989</v>
      </c>
      <c r="J155" s="349">
        <f t="shared" si="39"/>
        <v>373989</v>
      </c>
      <c r="K155" s="348">
        <v>50</v>
      </c>
      <c r="L155" s="380">
        <v>7479.78</v>
      </c>
      <c r="M155" s="394">
        <f t="shared" si="45"/>
        <v>879.78</v>
      </c>
      <c r="N155" s="394">
        <f t="shared" si="46"/>
        <v>6600</v>
      </c>
      <c r="O155" s="394">
        <f t="shared" si="40"/>
        <v>34311.42</v>
      </c>
      <c r="P155" s="394">
        <f t="shared" si="41"/>
        <v>9677.58</v>
      </c>
      <c r="Q155" s="348">
        <v>39</v>
      </c>
      <c r="R155" s="354">
        <f t="shared" si="42"/>
        <v>11</v>
      </c>
      <c r="S155" s="350">
        <f t="shared" si="43"/>
        <v>291711.42</v>
      </c>
      <c r="T155" s="350">
        <f t="shared" si="44"/>
        <v>82277.580000000016</v>
      </c>
      <c r="U155" s="393"/>
    </row>
    <row r="156" spans="1:21">
      <c r="A156" s="378"/>
      <c r="B156" s="378"/>
      <c r="C156" s="378"/>
      <c r="D156" s="115" t="s">
        <v>1036</v>
      </c>
      <c r="E156" s="367">
        <v>152</v>
      </c>
      <c r="F156" s="393" t="s">
        <v>1437</v>
      </c>
      <c r="G156" s="393" t="s">
        <v>216</v>
      </c>
      <c r="H156" s="351">
        <v>60000</v>
      </c>
      <c r="I156" s="351">
        <v>7998</v>
      </c>
      <c r="J156" s="349">
        <f t="shared" si="39"/>
        <v>67998</v>
      </c>
      <c r="K156" s="348">
        <v>40</v>
      </c>
      <c r="L156" s="380">
        <v>1699.95</v>
      </c>
      <c r="M156" s="394">
        <f t="shared" si="45"/>
        <v>159.96</v>
      </c>
      <c r="N156" s="394">
        <f t="shared" si="46"/>
        <v>1200</v>
      </c>
      <c r="O156" s="394">
        <f t="shared" si="40"/>
        <v>6398.4000000000005</v>
      </c>
      <c r="P156" s="394">
        <f t="shared" si="41"/>
        <v>0</v>
      </c>
      <c r="Q156" s="348">
        <v>40</v>
      </c>
      <c r="R156" s="354">
        <f t="shared" si="42"/>
        <v>0</v>
      </c>
      <c r="S156" s="350">
        <f t="shared" si="43"/>
        <v>67998</v>
      </c>
      <c r="T156" s="350">
        <f t="shared" si="44"/>
        <v>0</v>
      </c>
      <c r="U156" s="393"/>
    </row>
    <row r="157" spans="1:21">
      <c r="A157" s="378"/>
      <c r="B157" s="378"/>
      <c r="C157" s="378"/>
      <c r="D157" s="363" t="s">
        <v>1379</v>
      </c>
      <c r="E157" s="367">
        <v>153</v>
      </c>
      <c r="F157" s="393" t="s">
        <v>1437</v>
      </c>
      <c r="G157" s="393" t="s">
        <v>1380</v>
      </c>
      <c r="H157" s="351">
        <v>330000</v>
      </c>
      <c r="I157" s="351">
        <v>43989</v>
      </c>
      <c r="J157" s="349">
        <f t="shared" si="39"/>
        <v>373989</v>
      </c>
      <c r="K157" s="348">
        <v>50</v>
      </c>
      <c r="L157" s="380">
        <v>7479.78</v>
      </c>
      <c r="M157" s="394">
        <f t="shared" si="45"/>
        <v>879.78</v>
      </c>
      <c r="N157" s="394">
        <f t="shared" si="46"/>
        <v>6600</v>
      </c>
      <c r="O157" s="394">
        <f t="shared" si="40"/>
        <v>12316.92</v>
      </c>
      <c r="P157" s="394">
        <f t="shared" si="41"/>
        <v>31672.079999999998</v>
      </c>
      <c r="Q157" s="348">
        <v>14</v>
      </c>
      <c r="R157" s="354">
        <f t="shared" si="42"/>
        <v>36</v>
      </c>
      <c r="S157" s="350">
        <f t="shared" si="43"/>
        <v>104716.92</v>
      </c>
      <c r="T157" s="350">
        <f t="shared" si="44"/>
        <v>269272.08</v>
      </c>
      <c r="U157" s="393"/>
    </row>
    <row r="158" spans="1:21">
      <c r="A158" s="378"/>
      <c r="B158" s="378"/>
      <c r="C158" s="378"/>
      <c r="D158" s="364" t="s">
        <v>1372</v>
      </c>
      <c r="E158" s="367">
        <v>154</v>
      </c>
      <c r="F158" s="393" t="s">
        <v>1437</v>
      </c>
      <c r="G158" s="393" t="s">
        <v>1297</v>
      </c>
      <c r="H158" s="351">
        <v>330000</v>
      </c>
      <c r="I158" s="351">
        <v>43989</v>
      </c>
      <c r="J158" s="349">
        <f t="shared" si="39"/>
        <v>373989</v>
      </c>
      <c r="K158" s="348">
        <v>50</v>
      </c>
      <c r="L158" s="380">
        <v>7479.78</v>
      </c>
      <c r="M158" s="394">
        <f t="shared" si="45"/>
        <v>879.78</v>
      </c>
      <c r="N158" s="394">
        <f t="shared" si="46"/>
        <v>6600</v>
      </c>
      <c r="O158" s="394">
        <f t="shared" si="40"/>
        <v>21994.5</v>
      </c>
      <c r="P158" s="394">
        <f t="shared" si="41"/>
        <v>21994.5</v>
      </c>
      <c r="Q158" s="348">
        <v>25</v>
      </c>
      <c r="R158" s="354">
        <f t="shared" si="42"/>
        <v>25</v>
      </c>
      <c r="S158" s="350">
        <f t="shared" si="43"/>
        <v>186994.5</v>
      </c>
      <c r="T158" s="350">
        <f t="shared" si="44"/>
        <v>186994.5</v>
      </c>
      <c r="U158" s="393"/>
    </row>
    <row r="159" spans="1:21">
      <c r="A159" s="378"/>
      <c r="B159" s="378"/>
      <c r="C159" s="378"/>
      <c r="D159" s="363" t="s">
        <v>1447</v>
      </c>
      <c r="E159" s="367">
        <v>155</v>
      </c>
      <c r="F159" s="393" t="s">
        <v>1437</v>
      </c>
      <c r="G159" s="393" t="s">
        <v>1448</v>
      </c>
      <c r="H159" s="351">
        <v>450000</v>
      </c>
      <c r="I159" s="351">
        <v>59985</v>
      </c>
      <c r="J159" s="349">
        <f t="shared" si="39"/>
        <v>509985</v>
      </c>
      <c r="K159" s="348">
        <v>50</v>
      </c>
      <c r="L159" s="380">
        <v>10199.700000000001</v>
      </c>
      <c r="M159" s="394">
        <f t="shared" si="45"/>
        <v>1199.7</v>
      </c>
      <c r="N159" s="394">
        <f t="shared" si="46"/>
        <v>9000</v>
      </c>
      <c r="O159" s="394">
        <f t="shared" si="40"/>
        <v>11997</v>
      </c>
      <c r="P159" s="394">
        <f t="shared" si="41"/>
        <v>47988</v>
      </c>
      <c r="Q159" s="348">
        <v>10</v>
      </c>
      <c r="R159" s="354">
        <f t="shared" si="42"/>
        <v>40</v>
      </c>
      <c r="S159" s="350">
        <f t="shared" si="43"/>
        <v>101997</v>
      </c>
      <c r="T159" s="350">
        <f t="shared" si="44"/>
        <v>407988</v>
      </c>
      <c r="U159" s="393"/>
    </row>
    <row r="160" spans="1:21">
      <c r="A160" s="378"/>
      <c r="B160" s="378"/>
      <c r="C160" s="378"/>
      <c r="D160" s="115" t="s">
        <v>1373</v>
      </c>
      <c r="E160" s="367">
        <v>156</v>
      </c>
      <c r="F160" s="393" t="s">
        <v>1437</v>
      </c>
      <c r="G160" s="393" t="s">
        <v>1374</v>
      </c>
      <c r="H160" s="351">
        <v>330000</v>
      </c>
      <c r="I160" s="351">
        <v>43989</v>
      </c>
      <c r="J160" s="349">
        <f t="shared" si="39"/>
        <v>373989</v>
      </c>
      <c r="K160" s="348">
        <v>50</v>
      </c>
      <c r="L160" s="380">
        <v>7479.78</v>
      </c>
      <c r="M160" s="394">
        <f t="shared" si="45"/>
        <v>879.78</v>
      </c>
      <c r="N160" s="394">
        <f t="shared" si="46"/>
        <v>6600</v>
      </c>
      <c r="O160" s="394">
        <f t="shared" si="40"/>
        <v>12316.92</v>
      </c>
      <c r="P160" s="394">
        <f t="shared" si="41"/>
        <v>31672.079999999998</v>
      </c>
      <c r="Q160" s="348">
        <v>14</v>
      </c>
      <c r="R160" s="354">
        <f t="shared" si="42"/>
        <v>36</v>
      </c>
      <c r="S160" s="350">
        <f t="shared" si="43"/>
        <v>104716.92</v>
      </c>
      <c r="T160" s="350">
        <f t="shared" si="44"/>
        <v>269272.08</v>
      </c>
      <c r="U160" s="393"/>
    </row>
    <row r="161" spans="1:22">
      <c r="A161" s="378"/>
      <c r="B161" s="378"/>
      <c r="C161" s="378"/>
      <c r="D161" s="115" t="s">
        <v>1367</v>
      </c>
      <c r="E161" s="367">
        <v>157</v>
      </c>
      <c r="F161" s="393" t="s">
        <v>1437</v>
      </c>
      <c r="G161" s="393" t="s">
        <v>465</v>
      </c>
      <c r="H161" s="351">
        <v>450000</v>
      </c>
      <c r="I161" s="351">
        <v>59985</v>
      </c>
      <c r="J161" s="349">
        <f t="shared" si="39"/>
        <v>509985</v>
      </c>
      <c r="K161" s="348">
        <v>50</v>
      </c>
      <c r="L161" s="380">
        <v>10199.700000000001</v>
      </c>
      <c r="M161" s="394">
        <f t="shared" si="45"/>
        <v>1199.7</v>
      </c>
      <c r="N161" s="394">
        <f t="shared" si="46"/>
        <v>9000</v>
      </c>
      <c r="O161" s="394">
        <f t="shared" si="40"/>
        <v>40789.800000000003</v>
      </c>
      <c r="P161" s="394">
        <f t="shared" si="41"/>
        <v>19195.2</v>
      </c>
      <c r="Q161" s="348">
        <v>34</v>
      </c>
      <c r="R161" s="354">
        <f t="shared" si="42"/>
        <v>16</v>
      </c>
      <c r="S161" s="350">
        <f t="shared" si="43"/>
        <v>346789.80000000005</v>
      </c>
      <c r="T161" s="350">
        <f t="shared" si="44"/>
        <v>163195.19999999995</v>
      </c>
      <c r="U161" s="393"/>
      <c r="V161" s="392"/>
    </row>
    <row r="162" spans="1:22" s="392" customFormat="1">
      <c r="A162" s="378"/>
      <c r="B162" s="378"/>
      <c r="D162" s="363" t="s">
        <v>1530</v>
      </c>
      <c r="E162" s="367">
        <v>158</v>
      </c>
      <c r="F162" s="393" t="s">
        <v>1437</v>
      </c>
      <c r="G162" s="393" t="s">
        <v>1531</v>
      </c>
      <c r="H162" s="351">
        <v>500000</v>
      </c>
      <c r="I162" s="351">
        <v>66650</v>
      </c>
      <c r="J162" s="349">
        <f t="shared" si="39"/>
        <v>566650</v>
      </c>
      <c r="K162" s="348">
        <v>50</v>
      </c>
      <c r="L162" s="380">
        <v>11333</v>
      </c>
      <c r="M162" s="394">
        <f t="shared" si="45"/>
        <v>1333</v>
      </c>
      <c r="N162" s="394">
        <f t="shared" si="46"/>
        <v>10000</v>
      </c>
      <c r="O162" s="394">
        <f t="shared" si="40"/>
        <v>1333</v>
      </c>
      <c r="P162" s="394">
        <f t="shared" si="41"/>
        <v>65317</v>
      </c>
      <c r="Q162" s="348">
        <v>1</v>
      </c>
      <c r="R162" s="354">
        <f t="shared" ref="R162:R169" si="47">K162-Q162</f>
        <v>49</v>
      </c>
      <c r="S162" s="350">
        <f t="shared" ref="S162:S163" si="48">L162*Q162</f>
        <v>11333</v>
      </c>
      <c r="T162" s="350">
        <f t="shared" si="44"/>
        <v>555317</v>
      </c>
      <c r="U162" s="393"/>
      <c r="V162" s="336"/>
    </row>
    <row r="163" spans="1:22">
      <c r="A163" s="378"/>
      <c r="B163" s="378"/>
      <c r="D163" s="363" t="s">
        <v>1532</v>
      </c>
      <c r="E163" s="367">
        <v>159</v>
      </c>
      <c r="F163" s="393" t="s">
        <v>1437</v>
      </c>
      <c r="G163" s="393" t="s">
        <v>1533</v>
      </c>
      <c r="H163" s="351">
        <v>450000</v>
      </c>
      <c r="I163" s="351">
        <v>59985</v>
      </c>
      <c r="J163" s="349">
        <f t="shared" si="39"/>
        <v>509985</v>
      </c>
      <c r="K163" s="348">
        <v>50</v>
      </c>
      <c r="L163" s="380">
        <v>10200</v>
      </c>
      <c r="M163" s="394">
        <f t="shared" si="45"/>
        <v>1199.7</v>
      </c>
      <c r="N163" s="394">
        <f t="shared" si="46"/>
        <v>9000</v>
      </c>
      <c r="O163" s="394">
        <f t="shared" si="40"/>
        <v>1199.7</v>
      </c>
      <c r="P163" s="394">
        <f t="shared" si="41"/>
        <v>58785.3</v>
      </c>
      <c r="Q163" s="348">
        <v>1</v>
      </c>
      <c r="R163" s="354">
        <f t="shared" si="47"/>
        <v>49</v>
      </c>
      <c r="S163" s="350">
        <f t="shared" si="48"/>
        <v>10200</v>
      </c>
      <c r="T163" s="350">
        <f t="shared" si="44"/>
        <v>499785</v>
      </c>
      <c r="U163" s="393"/>
    </row>
    <row r="164" spans="1:22">
      <c r="A164" s="378"/>
      <c r="B164" s="378"/>
      <c r="D164" s="393" t="s">
        <v>1526</v>
      </c>
      <c r="E164" s="367">
        <v>160</v>
      </c>
      <c r="F164" s="393" t="s">
        <v>1437</v>
      </c>
      <c r="G164" s="393" t="s">
        <v>1527</v>
      </c>
      <c r="H164" s="380">
        <v>750000</v>
      </c>
      <c r="I164" s="380">
        <v>79980</v>
      </c>
      <c r="J164" s="380">
        <f t="shared" si="39"/>
        <v>829980</v>
      </c>
      <c r="K164" s="348">
        <v>60</v>
      </c>
      <c r="L164" s="351">
        <v>14166.25</v>
      </c>
      <c r="M164" s="394">
        <f>I164/60</f>
        <v>1333</v>
      </c>
      <c r="N164" s="394">
        <f>H164/60</f>
        <v>12500</v>
      </c>
      <c r="O164" s="394">
        <f t="shared" si="40"/>
        <v>1333</v>
      </c>
      <c r="P164" s="394">
        <f t="shared" si="41"/>
        <v>78647</v>
      </c>
      <c r="Q164" s="348">
        <v>1</v>
      </c>
      <c r="R164" s="354">
        <f t="shared" si="47"/>
        <v>59</v>
      </c>
      <c r="S164" s="350">
        <f t="shared" ref="S164:S169" si="49">L164*Q164</f>
        <v>14166.25</v>
      </c>
      <c r="T164" s="350">
        <f t="shared" si="44"/>
        <v>815813.75</v>
      </c>
      <c r="U164" s="393"/>
    </row>
    <row r="165" spans="1:22">
      <c r="A165" s="378"/>
      <c r="B165" s="378"/>
      <c r="D165" s="393" t="s">
        <v>1536</v>
      </c>
      <c r="E165" s="367">
        <v>161</v>
      </c>
      <c r="F165" s="393" t="s">
        <v>1437</v>
      </c>
      <c r="G165" s="393" t="s">
        <v>1537</v>
      </c>
      <c r="H165" s="351">
        <v>450000</v>
      </c>
      <c r="I165" s="351">
        <v>59985</v>
      </c>
      <c r="J165" s="349">
        <f t="shared" ref="J165:J173" si="50">SUM(H165:I165)</f>
        <v>509985</v>
      </c>
      <c r="K165" s="348">
        <v>60</v>
      </c>
      <c r="L165" s="351">
        <v>8499.75</v>
      </c>
      <c r="M165" s="394">
        <f>I165/60</f>
        <v>999.75</v>
      </c>
      <c r="N165" s="394">
        <f>H165/60</f>
        <v>7500</v>
      </c>
      <c r="O165" s="394">
        <f t="shared" ref="O165:O173" si="51">M165*Q165</f>
        <v>999.75</v>
      </c>
      <c r="P165" s="394">
        <f t="shared" ref="P165:P173" si="52">M165*R165</f>
        <v>58985.25</v>
      </c>
      <c r="Q165" s="348">
        <v>1</v>
      </c>
      <c r="R165" s="354">
        <f t="shared" si="47"/>
        <v>59</v>
      </c>
      <c r="S165" s="350">
        <f t="shared" si="49"/>
        <v>8499.75</v>
      </c>
      <c r="T165" s="350">
        <f t="shared" ref="T165:T173" si="53">J165-S165</f>
        <v>501485.25</v>
      </c>
      <c r="U165" s="393"/>
    </row>
    <row r="166" spans="1:22">
      <c r="A166" s="378"/>
      <c r="B166" s="378"/>
      <c r="D166" s="393" t="s">
        <v>1538</v>
      </c>
      <c r="E166" s="367">
        <v>162</v>
      </c>
      <c r="F166" s="393" t="s">
        <v>1437</v>
      </c>
      <c r="G166" s="393" t="s">
        <v>1539</v>
      </c>
      <c r="H166" s="351">
        <v>330000</v>
      </c>
      <c r="I166" s="351">
        <v>43989</v>
      </c>
      <c r="J166" s="349">
        <f t="shared" si="50"/>
        <v>373989</v>
      </c>
      <c r="K166" s="348">
        <v>50</v>
      </c>
      <c r="L166" s="351">
        <v>7479.78</v>
      </c>
      <c r="M166" s="394">
        <f>I166/50</f>
        <v>879.78</v>
      </c>
      <c r="N166" s="394">
        <f>H166/50</f>
        <v>6600</v>
      </c>
      <c r="O166" s="394">
        <f t="shared" si="51"/>
        <v>9677.58</v>
      </c>
      <c r="P166" s="394">
        <f t="shared" si="52"/>
        <v>34311.42</v>
      </c>
      <c r="Q166" s="348">
        <v>11</v>
      </c>
      <c r="R166" s="354">
        <f t="shared" si="47"/>
        <v>39</v>
      </c>
      <c r="S166" s="350">
        <f t="shared" si="49"/>
        <v>82277.58</v>
      </c>
      <c r="T166" s="350">
        <f t="shared" si="53"/>
        <v>291711.42</v>
      </c>
      <c r="U166" s="393"/>
    </row>
    <row r="167" spans="1:22">
      <c r="A167" s="378"/>
      <c r="B167" s="378"/>
      <c r="D167" s="393" t="s">
        <v>1528</v>
      </c>
      <c r="E167" s="367">
        <v>163</v>
      </c>
      <c r="F167" s="393" t="s">
        <v>1437</v>
      </c>
      <c r="G167" s="393" t="s">
        <v>1529</v>
      </c>
      <c r="H167" s="351">
        <v>500000</v>
      </c>
      <c r="I167" s="351">
        <v>66650</v>
      </c>
      <c r="J167" s="349">
        <f t="shared" si="50"/>
        <v>566650</v>
      </c>
      <c r="K167" s="348">
        <v>50</v>
      </c>
      <c r="L167" s="380">
        <v>11333</v>
      </c>
      <c r="M167" s="394">
        <f>I167/50</f>
        <v>1333</v>
      </c>
      <c r="N167" s="394">
        <f>H167/50</f>
        <v>10000</v>
      </c>
      <c r="O167" s="394">
        <f t="shared" si="51"/>
        <v>17329</v>
      </c>
      <c r="P167" s="394">
        <f t="shared" si="52"/>
        <v>49321</v>
      </c>
      <c r="Q167" s="348">
        <v>13</v>
      </c>
      <c r="R167" s="354">
        <f t="shared" si="47"/>
        <v>37</v>
      </c>
      <c r="S167" s="350">
        <f t="shared" si="49"/>
        <v>147329</v>
      </c>
      <c r="T167" s="350">
        <f t="shared" si="53"/>
        <v>419321</v>
      </c>
      <c r="U167" s="393"/>
    </row>
    <row r="168" spans="1:22">
      <c r="A168" s="378"/>
      <c r="B168" s="378"/>
      <c r="D168" s="393" t="s">
        <v>1534</v>
      </c>
      <c r="E168" s="367">
        <v>164</v>
      </c>
      <c r="F168" s="393" t="s">
        <v>1437</v>
      </c>
      <c r="G168" s="393" t="s">
        <v>1535</v>
      </c>
      <c r="H168" s="351">
        <v>450000</v>
      </c>
      <c r="I168" s="351">
        <v>59985</v>
      </c>
      <c r="J168" s="349">
        <f t="shared" si="50"/>
        <v>509985</v>
      </c>
      <c r="K168" s="348">
        <v>50</v>
      </c>
      <c r="L168" s="380">
        <v>10199.700000000001</v>
      </c>
      <c r="M168" s="394">
        <f>I168/50</f>
        <v>1199.7</v>
      </c>
      <c r="N168" s="394">
        <f>H168/50</f>
        <v>9000</v>
      </c>
      <c r="O168" s="394">
        <f t="shared" si="51"/>
        <v>1199.7</v>
      </c>
      <c r="P168" s="394">
        <f t="shared" si="52"/>
        <v>58785.3</v>
      </c>
      <c r="Q168" s="348">
        <v>1</v>
      </c>
      <c r="R168" s="354">
        <f t="shared" si="47"/>
        <v>49</v>
      </c>
      <c r="S168" s="350">
        <f t="shared" si="49"/>
        <v>10199.700000000001</v>
      </c>
      <c r="T168" s="350">
        <f t="shared" si="53"/>
        <v>499785.3</v>
      </c>
      <c r="U168" s="393"/>
    </row>
    <row r="169" spans="1:22">
      <c r="A169" s="378"/>
      <c r="B169" s="378"/>
      <c r="D169" s="393" t="s">
        <v>1525</v>
      </c>
      <c r="E169" s="367">
        <v>165</v>
      </c>
      <c r="F169" s="393" t="s">
        <v>1437</v>
      </c>
      <c r="G169" s="393" t="s">
        <v>387</v>
      </c>
      <c r="H169" s="380">
        <v>750000</v>
      </c>
      <c r="I169" s="380">
        <v>79980</v>
      </c>
      <c r="J169" s="380">
        <f t="shared" si="50"/>
        <v>829980</v>
      </c>
      <c r="K169" s="348">
        <v>60</v>
      </c>
      <c r="L169" s="351">
        <v>14166.25</v>
      </c>
      <c r="M169" s="394">
        <f>I169/60</f>
        <v>1333</v>
      </c>
      <c r="N169" s="394">
        <f>H169/60</f>
        <v>12500</v>
      </c>
      <c r="O169" s="394">
        <f t="shared" si="51"/>
        <v>1333</v>
      </c>
      <c r="P169" s="394">
        <f t="shared" si="52"/>
        <v>78647</v>
      </c>
      <c r="Q169" s="348">
        <v>1</v>
      </c>
      <c r="R169" s="354">
        <f t="shared" si="47"/>
        <v>59</v>
      </c>
      <c r="S169" s="350">
        <f t="shared" si="49"/>
        <v>14166.25</v>
      </c>
      <c r="T169" s="350">
        <f t="shared" si="53"/>
        <v>815813.75</v>
      </c>
      <c r="U169" s="393"/>
    </row>
    <row r="170" spans="1:22">
      <c r="A170" s="378"/>
      <c r="B170" s="378"/>
      <c r="D170" s="393"/>
      <c r="E170" s="367">
        <v>166</v>
      </c>
      <c r="F170" s="393" t="s">
        <v>1437</v>
      </c>
      <c r="G170" s="393" t="s">
        <v>1519</v>
      </c>
      <c r="H170" s="380">
        <v>750000</v>
      </c>
      <c r="I170" s="403">
        <v>49987.5</v>
      </c>
      <c r="J170" s="380">
        <f t="shared" si="50"/>
        <v>799987.5</v>
      </c>
      <c r="K170" s="348">
        <v>30</v>
      </c>
      <c r="L170" s="380">
        <v>26666.25</v>
      </c>
      <c r="M170" s="394">
        <f>I170/30</f>
        <v>1666.25</v>
      </c>
      <c r="N170" s="394">
        <f>H170/30</f>
        <v>25000</v>
      </c>
      <c r="O170" s="394">
        <f t="shared" si="51"/>
        <v>6665</v>
      </c>
      <c r="P170" s="394">
        <f t="shared" si="52"/>
        <v>43322.5</v>
      </c>
      <c r="Q170" s="348">
        <v>4</v>
      </c>
      <c r="R170" s="354">
        <f>K170-Q170</f>
        <v>26</v>
      </c>
      <c r="S170" s="350">
        <f>L170*Q170</f>
        <v>106665</v>
      </c>
      <c r="T170" s="350">
        <f t="shared" si="53"/>
        <v>693322.5</v>
      </c>
      <c r="U170" s="393"/>
    </row>
    <row r="171" spans="1:22">
      <c r="A171" s="378"/>
      <c r="B171" s="378"/>
      <c r="D171" s="393"/>
      <c r="E171" s="367">
        <v>167</v>
      </c>
      <c r="F171" s="393" t="s">
        <v>1437</v>
      </c>
      <c r="G171" s="393" t="s">
        <v>1268</v>
      </c>
      <c r="H171" s="351">
        <v>500000</v>
      </c>
      <c r="I171" s="351">
        <v>66650</v>
      </c>
      <c r="J171" s="349">
        <f t="shared" si="50"/>
        <v>566650</v>
      </c>
      <c r="K171" s="348">
        <v>50</v>
      </c>
      <c r="L171" s="380">
        <v>11749.67</v>
      </c>
      <c r="M171" s="394">
        <f>I171/50</f>
        <v>1333</v>
      </c>
      <c r="N171" s="394">
        <f>H171/50</f>
        <v>10000</v>
      </c>
      <c r="O171" s="394">
        <f t="shared" si="51"/>
        <v>51987</v>
      </c>
      <c r="P171" s="394">
        <f t="shared" si="52"/>
        <v>14663</v>
      </c>
      <c r="Q171" s="348">
        <v>39</v>
      </c>
      <c r="R171" s="354">
        <f>K171-Q171</f>
        <v>11</v>
      </c>
      <c r="S171" s="350">
        <f>L171*Q171</f>
        <v>458237.13</v>
      </c>
      <c r="T171" s="350">
        <f t="shared" si="53"/>
        <v>108412.87</v>
      </c>
      <c r="U171" s="393"/>
    </row>
    <row r="172" spans="1:22">
      <c r="A172" s="378"/>
      <c r="B172" s="378"/>
      <c r="D172" s="393"/>
      <c r="E172" s="367">
        <v>168</v>
      </c>
      <c r="F172" s="393" t="s">
        <v>1437</v>
      </c>
      <c r="G172" s="393" t="s">
        <v>1420</v>
      </c>
      <c r="H172" s="351">
        <v>450000</v>
      </c>
      <c r="I172" s="351">
        <v>59985</v>
      </c>
      <c r="J172" s="349">
        <f t="shared" si="50"/>
        <v>509985</v>
      </c>
      <c r="K172" s="348">
        <v>50</v>
      </c>
      <c r="L172" s="380">
        <v>10199.700000000001</v>
      </c>
      <c r="M172" s="394">
        <f>I172/50</f>
        <v>1199.7</v>
      </c>
      <c r="N172" s="394">
        <f>H172/50</f>
        <v>9000</v>
      </c>
      <c r="O172" s="394">
        <f t="shared" si="51"/>
        <v>16795.8</v>
      </c>
      <c r="P172" s="394">
        <f t="shared" si="52"/>
        <v>43189.200000000004</v>
      </c>
      <c r="Q172" s="348">
        <v>14</v>
      </c>
      <c r="R172" s="354">
        <f>K172-Q172</f>
        <v>36</v>
      </c>
      <c r="S172" s="350">
        <f>L172*Q172</f>
        <v>142795.80000000002</v>
      </c>
      <c r="T172" s="350">
        <f t="shared" si="53"/>
        <v>367189.19999999995</v>
      </c>
      <c r="U172" s="393"/>
    </row>
    <row r="173" spans="1:22">
      <c r="A173" s="378"/>
      <c r="B173" s="378"/>
      <c r="D173" s="393"/>
      <c r="E173" s="367">
        <v>169</v>
      </c>
      <c r="F173" s="393" t="s">
        <v>1437</v>
      </c>
      <c r="G173" s="393" t="s">
        <v>1269</v>
      </c>
      <c r="H173" s="380">
        <v>750000</v>
      </c>
      <c r="I173" s="380">
        <v>99925</v>
      </c>
      <c r="J173" s="380">
        <f t="shared" si="50"/>
        <v>849925</v>
      </c>
      <c r="K173" s="348">
        <v>60</v>
      </c>
      <c r="L173" s="351">
        <v>14166.25</v>
      </c>
      <c r="M173" s="394">
        <f>I173/60</f>
        <v>1665.4166666666667</v>
      </c>
      <c r="N173" s="394">
        <f>H173/60</f>
        <v>12500</v>
      </c>
      <c r="O173" s="394">
        <f t="shared" si="51"/>
        <v>6661.666666666667</v>
      </c>
      <c r="P173" s="394">
        <f t="shared" si="52"/>
        <v>93263.333333333343</v>
      </c>
      <c r="Q173" s="348">
        <v>4</v>
      </c>
      <c r="R173" s="354">
        <f>K173-Q173</f>
        <v>56</v>
      </c>
      <c r="S173" s="350">
        <f>L173*Q173</f>
        <v>56665</v>
      </c>
      <c r="T173" s="350">
        <f t="shared" si="53"/>
        <v>793260</v>
      </c>
      <c r="U173" s="393"/>
    </row>
    <row r="174" spans="1:22">
      <c r="A174" s="378"/>
      <c r="B174" s="378"/>
      <c r="D174" s="393"/>
      <c r="E174" s="393"/>
      <c r="F174" s="393"/>
      <c r="G174" s="393"/>
      <c r="H174" s="405">
        <f>SUM(H5:H173)</f>
        <v>76800000</v>
      </c>
      <c r="I174" s="405">
        <f t="shared" ref="I174:T174" si="54">SUM(I5:I173)</f>
        <v>9996550.0999999996</v>
      </c>
      <c r="J174" s="351">
        <f t="shared" si="54"/>
        <v>86796550.099999994</v>
      </c>
      <c r="K174" s="351"/>
      <c r="L174" s="351">
        <f>SUM(L5:L173)</f>
        <v>1753115.5999999999</v>
      </c>
      <c r="M174" s="351">
        <f>SUM(M5:M173)</f>
        <v>196475.0333333333</v>
      </c>
      <c r="N174" s="351">
        <f t="shared" si="54"/>
        <v>1500875</v>
      </c>
      <c r="O174" s="351">
        <f t="shared" si="54"/>
        <v>3602569.1233333326</v>
      </c>
      <c r="P174" s="351">
        <f t="shared" si="54"/>
        <v>6284408.3766666669</v>
      </c>
      <c r="Q174" s="351"/>
      <c r="R174" s="351"/>
      <c r="S174" s="405">
        <f t="shared" si="54"/>
        <v>31551413.600000009</v>
      </c>
      <c r="T174" s="405">
        <f t="shared" si="54"/>
        <v>55245136.499999985</v>
      </c>
      <c r="U174" s="351"/>
    </row>
    <row r="175" spans="1:22">
      <c r="A175" s="378"/>
      <c r="B175" s="378"/>
    </row>
    <row r="176" spans="1:22">
      <c r="A176" s="378"/>
      <c r="B176" s="378"/>
    </row>
  </sheetData>
  <mergeCells count="3">
    <mergeCell ref="E1:U1"/>
    <mergeCell ref="E2:U2"/>
    <mergeCell ref="E3:U3"/>
  </mergeCells>
  <conditionalFormatting sqref="D66">
    <cfRule type="duplicateValues" dxfId="7" priority="4"/>
  </conditionalFormatting>
  <conditionalFormatting sqref="D75">
    <cfRule type="duplicateValues" dxfId="6" priority="2"/>
  </conditionalFormatting>
  <conditionalFormatting sqref="D89:D98 D78:D83 D4:D62 D66 D143 D71:D73">
    <cfRule type="duplicateValues" dxfId="5" priority="27"/>
  </conditionalFormatting>
  <conditionalFormatting sqref="D100:D109 D89:D94 D81:D84 D5:D70 D75">
    <cfRule type="duplicateValues" dxfId="4" priority="33"/>
  </conditionalFormatting>
  <pageMargins left="0.2" right="0.2" top="0.25" bottom="0.25" header="0.3" footer="0.3"/>
  <pageSetup paperSize="9" scale="55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U176"/>
  <sheetViews>
    <sheetView tabSelected="1" topLeftCell="A137" zoomScale="90" zoomScaleNormal="90" workbookViewId="0">
      <selection activeCell="O152" sqref="O152"/>
    </sheetView>
  </sheetViews>
  <sheetFormatPr defaultRowHeight="15.75"/>
  <cols>
    <col min="1" max="2" width="14.5703125" style="336" customWidth="1"/>
    <col min="3" max="3" width="18.7109375" style="392" customWidth="1"/>
    <col min="4" max="4" width="5.42578125" style="392" customWidth="1"/>
    <col min="5" max="5" width="13.5703125" style="392" customWidth="1"/>
    <col min="6" max="6" width="36.5703125" style="392" customWidth="1"/>
    <col min="7" max="7" width="16.85546875" style="406" customWidth="1"/>
    <col min="8" max="8" width="16" style="406" customWidth="1"/>
    <col min="9" max="9" width="17.42578125" style="406" customWidth="1"/>
    <col min="10" max="10" width="8.28515625" style="407" customWidth="1"/>
    <col min="11" max="11" width="16.5703125" style="406" customWidth="1"/>
    <col min="12" max="12" width="14.140625" style="408" customWidth="1"/>
    <col min="13" max="13" width="16.85546875" style="408" customWidth="1"/>
    <col min="14" max="14" width="16.5703125" style="408" customWidth="1"/>
    <col min="15" max="15" width="15.85546875" style="408" customWidth="1"/>
    <col min="16" max="16" width="10.140625" style="396" customWidth="1"/>
    <col min="17" max="17" width="12.140625" style="396" customWidth="1"/>
    <col min="18" max="18" width="17" style="406" customWidth="1"/>
    <col min="19" max="19" width="16.85546875" style="406" customWidth="1"/>
    <col min="20" max="20" width="9.5703125" style="392" customWidth="1"/>
    <col min="21" max="16384" width="9.140625" style="336"/>
  </cols>
  <sheetData>
    <row r="1" spans="1:20" ht="22.5">
      <c r="D1" s="427" t="s">
        <v>1421</v>
      </c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  <c r="R1" s="427"/>
      <c r="S1" s="427"/>
      <c r="T1" s="427"/>
    </row>
    <row r="2" spans="1:20" customFormat="1" ht="20.25">
      <c r="C2" s="398"/>
      <c r="D2" s="428" t="s">
        <v>245</v>
      </c>
      <c r="E2" s="428"/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</row>
    <row r="3" spans="1:20" customFormat="1" ht="18">
      <c r="C3" s="398"/>
      <c r="D3" s="429" t="s">
        <v>1541</v>
      </c>
      <c r="E3" s="429"/>
      <c r="F3" s="429"/>
      <c r="G3" s="429"/>
      <c r="H3" s="429"/>
      <c r="I3" s="429"/>
      <c r="J3" s="429"/>
      <c r="K3" s="429"/>
      <c r="L3" s="429"/>
      <c r="M3" s="429"/>
      <c r="N3" s="429"/>
      <c r="O3" s="429"/>
      <c r="P3" s="429"/>
      <c r="Q3" s="429"/>
      <c r="R3" s="429"/>
      <c r="S3" s="429"/>
      <c r="T3" s="429"/>
    </row>
    <row r="4" spans="1:20" s="372" customFormat="1" ht="68.25" customHeight="1">
      <c r="C4" s="117" t="s">
        <v>869</v>
      </c>
      <c r="D4" s="369" t="s">
        <v>0</v>
      </c>
      <c r="E4" s="370" t="s">
        <v>1422</v>
      </c>
      <c r="F4" s="370" t="s">
        <v>292</v>
      </c>
      <c r="G4" s="370" t="s">
        <v>1423</v>
      </c>
      <c r="H4" s="369" t="s">
        <v>1424</v>
      </c>
      <c r="I4" s="370" t="s">
        <v>1425</v>
      </c>
      <c r="J4" s="370" t="s">
        <v>1426</v>
      </c>
      <c r="K4" s="370" t="s">
        <v>1427</v>
      </c>
      <c r="L4" s="371" t="s">
        <v>1428</v>
      </c>
      <c r="M4" s="371" t="s">
        <v>1429</v>
      </c>
      <c r="N4" s="371" t="s">
        <v>1430</v>
      </c>
      <c r="O4" s="371" t="s">
        <v>1431</v>
      </c>
      <c r="P4" s="368" t="s">
        <v>1432</v>
      </c>
      <c r="Q4" s="373" t="s">
        <v>1433</v>
      </c>
      <c r="R4" s="370" t="s">
        <v>1434</v>
      </c>
      <c r="S4" s="370" t="s">
        <v>1435</v>
      </c>
      <c r="T4" s="383" t="s">
        <v>1436</v>
      </c>
    </row>
    <row r="5" spans="1:20">
      <c r="A5" s="378"/>
      <c r="B5" s="378"/>
      <c r="C5" s="116" t="s">
        <v>1369</v>
      </c>
      <c r="D5" s="367">
        <v>1</v>
      </c>
      <c r="E5" s="393" t="s">
        <v>1437</v>
      </c>
      <c r="F5" s="399" t="s">
        <v>1282</v>
      </c>
      <c r="G5" s="350">
        <v>330000</v>
      </c>
      <c r="H5" s="350">
        <v>43989</v>
      </c>
      <c r="I5" s="349">
        <f t="shared" ref="I5:I36" si="0">SUM(G5:H5)</f>
        <v>373989</v>
      </c>
      <c r="J5" s="347">
        <v>50</v>
      </c>
      <c r="K5" s="379">
        <v>7479.78</v>
      </c>
      <c r="L5" s="394">
        <f>H5/50</f>
        <v>879.78</v>
      </c>
      <c r="M5" s="394">
        <f>G5/50</f>
        <v>6600</v>
      </c>
      <c r="N5" s="394">
        <f t="shared" ref="N5:N36" si="1">L5*P5</f>
        <v>17595.599999999999</v>
      </c>
      <c r="O5" s="394">
        <f t="shared" ref="O5:O36" si="2">L5*Q5</f>
        <v>26393.399999999998</v>
      </c>
      <c r="P5" s="352">
        <v>20</v>
      </c>
      <c r="Q5" s="354">
        <f t="shared" ref="Q5:Q36" si="3">J5-P5</f>
        <v>30</v>
      </c>
      <c r="R5" s="350">
        <f t="shared" ref="R5:R36" si="4">K5*P5</f>
        <v>149595.6</v>
      </c>
      <c r="S5" s="350">
        <f t="shared" ref="S5:S36" si="5">I5-R5</f>
        <v>224393.4</v>
      </c>
      <c r="T5" s="400"/>
    </row>
    <row r="6" spans="1:20">
      <c r="A6" s="378"/>
      <c r="B6" s="378"/>
      <c r="C6" s="116" t="s">
        <v>1396</v>
      </c>
      <c r="D6" s="367">
        <v>2</v>
      </c>
      <c r="E6" s="393" t="s">
        <v>1437</v>
      </c>
      <c r="F6" s="400" t="s">
        <v>1397</v>
      </c>
      <c r="G6" s="350">
        <v>150000</v>
      </c>
      <c r="H6" s="350">
        <v>19995</v>
      </c>
      <c r="I6" s="349">
        <f t="shared" si="0"/>
        <v>169995</v>
      </c>
      <c r="J6" s="347">
        <v>50</v>
      </c>
      <c r="K6" s="379">
        <v>3399.9</v>
      </c>
      <c r="L6" s="394">
        <f>H6/50</f>
        <v>399.9</v>
      </c>
      <c r="M6" s="394">
        <f>G6/50</f>
        <v>3000</v>
      </c>
      <c r="N6" s="394">
        <f t="shared" si="1"/>
        <v>8797.7999999999993</v>
      </c>
      <c r="O6" s="394">
        <f t="shared" si="2"/>
        <v>11197.199999999999</v>
      </c>
      <c r="P6" s="352">
        <v>22</v>
      </c>
      <c r="Q6" s="354">
        <f t="shared" si="3"/>
        <v>28</v>
      </c>
      <c r="R6" s="350">
        <f t="shared" si="4"/>
        <v>74797.8</v>
      </c>
      <c r="S6" s="350">
        <f t="shared" si="5"/>
        <v>95197.2</v>
      </c>
      <c r="T6" s="400"/>
    </row>
    <row r="7" spans="1:20">
      <c r="A7" s="378"/>
      <c r="B7" s="378"/>
      <c r="C7" s="363" t="s">
        <v>1412</v>
      </c>
      <c r="D7" s="367">
        <v>3</v>
      </c>
      <c r="E7" s="393" t="s">
        <v>1437</v>
      </c>
      <c r="F7" s="393" t="s">
        <v>468</v>
      </c>
      <c r="G7" s="351">
        <v>500000</v>
      </c>
      <c r="H7" s="351">
        <v>66650</v>
      </c>
      <c r="I7" s="349">
        <f t="shared" si="0"/>
        <v>566650</v>
      </c>
      <c r="J7" s="348">
        <v>50</v>
      </c>
      <c r="K7" s="380">
        <v>11333</v>
      </c>
      <c r="L7" s="394">
        <f>H7/50</f>
        <v>1333</v>
      </c>
      <c r="M7" s="394">
        <f>G7/50</f>
        <v>10000</v>
      </c>
      <c r="N7" s="394">
        <f t="shared" si="1"/>
        <v>17329</v>
      </c>
      <c r="O7" s="394">
        <f t="shared" si="2"/>
        <v>49321</v>
      </c>
      <c r="P7" s="348">
        <v>13</v>
      </c>
      <c r="Q7" s="354">
        <f t="shared" si="3"/>
        <v>37</v>
      </c>
      <c r="R7" s="350">
        <f t="shared" si="4"/>
        <v>147329</v>
      </c>
      <c r="S7" s="350">
        <f t="shared" si="5"/>
        <v>419321</v>
      </c>
      <c r="T7" s="393"/>
    </row>
    <row r="8" spans="1:20">
      <c r="A8" s="378"/>
      <c r="B8" s="378"/>
      <c r="C8" s="363" t="s">
        <v>1014</v>
      </c>
      <c r="D8" s="367">
        <v>4</v>
      </c>
      <c r="E8" s="393" t="s">
        <v>1437</v>
      </c>
      <c r="F8" s="393" t="s">
        <v>1015</v>
      </c>
      <c r="G8" s="380">
        <v>750000</v>
      </c>
      <c r="H8" s="380">
        <v>66650</v>
      </c>
      <c r="I8" s="380">
        <f t="shared" si="0"/>
        <v>816650</v>
      </c>
      <c r="J8" s="348">
        <v>40</v>
      </c>
      <c r="K8" s="380">
        <v>20416.25</v>
      </c>
      <c r="L8" s="394">
        <f>H8/40</f>
        <v>1666.25</v>
      </c>
      <c r="M8" s="394">
        <f>G8/40</f>
        <v>18750</v>
      </c>
      <c r="N8" s="394">
        <f t="shared" si="1"/>
        <v>8331.25</v>
      </c>
      <c r="O8" s="394">
        <f t="shared" si="2"/>
        <v>58318.75</v>
      </c>
      <c r="P8" s="348">
        <v>5</v>
      </c>
      <c r="Q8" s="348">
        <f t="shared" si="3"/>
        <v>35</v>
      </c>
      <c r="R8" s="380">
        <f t="shared" si="4"/>
        <v>102081.25</v>
      </c>
      <c r="S8" s="380">
        <f t="shared" si="5"/>
        <v>714568.75</v>
      </c>
      <c r="T8" s="393"/>
    </row>
    <row r="9" spans="1:20">
      <c r="A9" s="378"/>
      <c r="B9" s="378"/>
      <c r="C9" s="363" t="s">
        <v>1489</v>
      </c>
      <c r="D9" s="367">
        <v>5</v>
      </c>
      <c r="E9" s="393" t="s">
        <v>1437</v>
      </c>
      <c r="F9" s="393" t="s">
        <v>1490</v>
      </c>
      <c r="G9" s="351">
        <v>330000</v>
      </c>
      <c r="H9" s="351">
        <v>43989</v>
      </c>
      <c r="I9" s="349">
        <f t="shared" si="0"/>
        <v>373989</v>
      </c>
      <c r="J9" s="348">
        <v>50</v>
      </c>
      <c r="K9" s="380">
        <v>7479.78</v>
      </c>
      <c r="L9" s="394">
        <f>H9/50</f>
        <v>879.78</v>
      </c>
      <c r="M9" s="394">
        <f>G9/50</f>
        <v>6600</v>
      </c>
      <c r="N9" s="394">
        <f t="shared" si="1"/>
        <v>5278.68</v>
      </c>
      <c r="O9" s="394">
        <f t="shared" si="2"/>
        <v>38710.32</v>
      </c>
      <c r="P9" s="348">
        <v>6</v>
      </c>
      <c r="Q9" s="354">
        <f t="shared" si="3"/>
        <v>44</v>
      </c>
      <c r="R9" s="350">
        <f t="shared" si="4"/>
        <v>44878.68</v>
      </c>
      <c r="S9" s="350">
        <f t="shared" si="5"/>
        <v>329110.32</v>
      </c>
      <c r="T9" s="393"/>
    </row>
    <row r="10" spans="1:20">
      <c r="A10" s="378"/>
      <c r="B10" s="378"/>
      <c r="C10" s="363" t="s">
        <v>1460</v>
      </c>
      <c r="D10" s="367">
        <v>6</v>
      </c>
      <c r="E10" s="393" t="s">
        <v>1437</v>
      </c>
      <c r="F10" s="393" t="s">
        <v>1461</v>
      </c>
      <c r="G10" s="351">
        <v>500000</v>
      </c>
      <c r="H10" s="351">
        <v>66650</v>
      </c>
      <c r="I10" s="349">
        <f t="shared" si="0"/>
        <v>566650</v>
      </c>
      <c r="J10" s="348">
        <v>50</v>
      </c>
      <c r="K10" s="380">
        <v>11333</v>
      </c>
      <c r="L10" s="394">
        <f>H10/50</f>
        <v>1333</v>
      </c>
      <c r="M10" s="394">
        <f>G10/50</f>
        <v>10000</v>
      </c>
      <c r="N10" s="394">
        <f t="shared" si="1"/>
        <v>10664</v>
      </c>
      <c r="O10" s="394">
        <f t="shared" si="2"/>
        <v>55986</v>
      </c>
      <c r="P10" s="348">
        <v>8</v>
      </c>
      <c r="Q10" s="354">
        <f t="shared" si="3"/>
        <v>42</v>
      </c>
      <c r="R10" s="350">
        <f t="shared" si="4"/>
        <v>90664</v>
      </c>
      <c r="S10" s="350">
        <f t="shared" si="5"/>
        <v>475986</v>
      </c>
      <c r="T10" s="401"/>
    </row>
    <row r="11" spans="1:20">
      <c r="A11" s="378"/>
      <c r="B11" s="378"/>
      <c r="C11" s="393" t="s">
        <v>1534</v>
      </c>
      <c r="D11" s="367">
        <v>7</v>
      </c>
      <c r="E11" s="393" t="s">
        <v>1437</v>
      </c>
      <c r="F11" s="393" t="s">
        <v>1535</v>
      </c>
      <c r="G11" s="351">
        <v>450000</v>
      </c>
      <c r="H11" s="351">
        <v>59985</v>
      </c>
      <c r="I11" s="349">
        <f t="shared" si="0"/>
        <v>509985</v>
      </c>
      <c r="J11" s="348">
        <v>50</v>
      </c>
      <c r="K11" s="380">
        <v>10199.700000000001</v>
      </c>
      <c r="L11" s="394">
        <f>H11/50</f>
        <v>1199.7</v>
      </c>
      <c r="M11" s="394">
        <f>G11/50</f>
        <v>9000</v>
      </c>
      <c r="N11" s="394">
        <f t="shared" si="1"/>
        <v>2399.4</v>
      </c>
      <c r="O11" s="394">
        <f t="shared" si="2"/>
        <v>57585.600000000006</v>
      </c>
      <c r="P11" s="348">
        <v>2</v>
      </c>
      <c r="Q11" s="354">
        <f t="shared" si="3"/>
        <v>48</v>
      </c>
      <c r="R11" s="350">
        <f t="shared" si="4"/>
        <v>20399.400000000001</v>
      </c>
      <c r="S11" s="350">
        <f t="shared" si="5"/>
        <v>489585.6</v>
      </c>
      <c r="T11" s="393"/>
    </row>
    <row r="12" spans="1:20">
      <c r="A12" s="378"/>
      <c r="B12" s="378"/>
      <c r="C12" s="363" t="s">
        <v>1511</v>
      </c>
      <c r="D12" s="367">
        <v>8</v>
      </c>
      <c r="E12" s="393" t="s">
        <v>1437</v>
      </c>
      <c r="F12" s="393" t="s">
        <v>1512</v>
      </c>
      <c r="G12" s="380">
        <v>450000</v>
      </c>
      <c r="H12" s="380">
        <v>59985</v>
      </c>
      <c r="I12" s="380">
        <f t="shared" si="0"/>
        <v>509985</v>
      </c>
      <c r="J12" s="348">
        <v>60</v>
      </c>
      <c r="K12" s="380">
        <v>8499.75</v>
      </c>
      <c r="L12" s="394">
        <f>H12/60</f>
        <v>999.75</v>
      </c>
      <c r="M12" s="394">
        <f>G12/60</f>
        <v>7500</v>
      </c>
      <c r="N12" s="394">
        <f t="shared" si="1"/>
        <v>4998.75</v>
      </c>
      <c r="O12" s="394">
        <f t="shared" si="2"/>
        <v>54986.25</v>
      </c>
      <c r="P12" s="348">
        <v>5</v>
      </c>
      <c r="Q12" s="348">
        <f t="shared" si="3"/>
        <v>55</v>
      </c>
      <c r="R12" s="380">
        <f t="shared" si="4"/>
        <v>42498.75</v>
      </c>
      <c r="S12" s="380">
        <f t="shared" si="5"/>
        <v>467486.25</v>
      </c>
      <c r="T12" s="393"/>
    </row>
    <row r="13" spans="1:20">
      <c r="A13" s="378"/>
      <c r="B13" s="378"/>
      <c r="C13" s="363" t="s">
        <v>1418</v>
      </c>
      <c r="D13" s="367">
        <v>9</v>
      </c>
      <c r="E13" s="393" t="s">
        <v>1437</v>
      </c>
      <c r="F13" s="393" t="s">
        <v>455</v>
      </c>
      <c r="G13" s="351">
        <v>150000</v>
      </c>
      <c r="H13" s="351">
        <v>19995</v>
      </c>
      <c r="I13" s="349">
        <f t="shared" si="0"/>
        <v>169995</v>
      </c>
      <c r="J13" s="348">
        <v>50</v>
      </c>
      <c r="K13" s="380">
        <v>3399.9</v>
      </c>
      <c r="L13" s="394">
        <f>H13/50</f>
        <v>399.9</v>
      </c>
      <c r="M13" s="394">
        <f>G13/50</f>
        <v>3000</v>
      </c>
      <c r="N13" s="394">
        <f t="shared" si="1"/>
        <v>5198.7</v>
      </c>
      <c r="O13" s="394">
        <f t="shared" si="2"/>
        <v>14796.3</v>
      </c>
      <c r="P13" s="348">
        <v>13</v>
      </c>
      <c r="Q13" s="354">
        <f t="shared" si="3"/>
        <v>37</v>
      </c>
      <c r="R13" s="350">
        <f t="shared" si="4"/>
        <v>44198.700000000004</v>
      </c>
      <c r="S13" s="350">
        <f t="shared" si="5"/>
        <v>125796.29999999999</v>
      </c>
      <c r="T13" s="393"/>
    </row>
    <row r="14" spans="1:20">
      <c r="A14" s="378"/>
      <c r="B14" s="378"/>
      <c r="C14" s="363" t="s">
        <v>1034</v>
      </c>
      <c r="D14" s="367">
        <v>10</v>
      </c>
      <c r="E14" s="393" t="s">
        <v>1437</v>
      </c>
      <c r="F14" s="400" t="s">
        <v>1035</v>
      </c>
      <c r="G14" s="350">
        <v>500000</v>
      </c>
      <c r="H14" s="350">
        <v>66650</v>
      </c>
      <c r="I14" s="349">
        <f t="shared" si="0"/>
        <v>566650</v>
      </c>
      <c r="J14" s="347">
        <v>50</v>
      </c>
      <c r="K14" s="379">
        <v>11333</v>
      </c>
      <c r="L14" s="394">
        <f>H14/50</f>
        <v>1333</v>
      </c>
      <c r="M14" s="394">
        <f>G14/50</f>
        <v>10000</v>
      </c>
      <c r="N14" s="394">
        <f t="shared" si="1"/>
        <v>46655</v>
      </c>
      <c r="O14" s="394">
        <f t="shared" si="2"/>
        <v>19995</v>
      </c>
      <c r="P14" s="347">
        <v>35</v>
      </c>
      <c r="Q14" s="354">
        <f t="shared" si="3"/>
        <v>15</v>
      </c>
      <c r="R14" s="350">
        <f t="shared" si="4"/>
        <v>396655</v>
      </c>
      <c r="S14" s="350">
        <f t="shared" si="5"/>
        <v>169995</v>
      </c>
      <c r="T14" s="400"/>
    </row>
    <row r="15" spans="1:20">
      <c r="A15" s="378"/>
      <c r="B15" s="378"/>
      <c r="C15" s="363" t="s">
        <v>1462</v>
      </c>
      <c r="D15" s="367">
        <v>11</v>
      </c>
      <c r="E15" s="393" t="s">
        <v>1437</v>
      </c>
      <c r="F15" s="393" t="s">
        <v>458</v>
      </c>
      <c r="G15" s="351">
        <v>500000</v>
      </c>
      <c r="H15" s="351">
        <v>66650</v>
      </c>
      <c r="I15" s="349">
        <f t="shared" si="0"/>
        <v>566650</v>
      </c>
      <c r="J15" s="348">
        <v>50</v>
      </c>
      <c r="K15" s="380">
        <v>11333</v>
      </c>
      <c r="L15" s="394">
        <f>H15/50</f>
        <v>1333</v>
      </c>
      <c r="M15" s="394">
        <f>G15/50</f>
        <v>10000</v>
      </c>
      <c r="N15" s="394">
        <f t="shared" si="1"/>
        <v>10664</v>
      </c>
      <c r="O15" s="394">
        <f t="shared" si="2"/>
        <v>55986</v>
      </c>
      <c r="P15" s="348">
        <v>8</v>
      </c>
      <c r="Q15" s="354">
        <f t="shared" si="3"/>
        <v>42</v>
      </c>
      <c r="R15" s="350">
        <f t="shared" si="4"/>
        <v>90664</v>
      </c>
      <c r="S15" s="350">
        <f t="shared" si="5"/>
        <v>475986</v>
      </c>
      <c r="T15" s="393"/>
    </row>
    <row r="16" spans="1:20">
      <c r="A16" s="378"/>
      <c r="B16" s="378"/>
      <c r="C16" s="363" t="s">
        <v>1496</v>
      </c>
      <c r="D16" s="367">
        <v>12</v>
      </c>
      <c r="E16" s="393" t="s">
        <v>1437</v>
      </c>
      <c r="F16" s="393" t="s">
        <v>447</v>
      </c>
      <c r="G16" s="380">
        <v>750000</v>
      </c>
      <c r="H16" s="380">
        <v>99925</v>
      </c>
      <c r="I16" s="380">
        <f t="shared" si="0"/>
        <v>849925</v>
      </c>
      <c r="J16" s="348">
        <v>60</v>
      </c>
      <c r="K16" s="380">
        <v>14166.25</v>
      </c>
      <c r="L16" s="394">
        <f>H16/60</f>
        <v>1665.4166666666667</v>
      </c>
      <c r="M16" s="394">
        <f>G16/60</f>
        <v>12500</v>
      </c>
      <c r="N16" s="394">
        <f t="shared" si="1"/>
        <v>8327.0833333333339</v>
      </c>
      <c r="O16" s="394">
        <f t="shared" si="2"/>
        <v>91597.916666666672</v>
      </c>
      <c r="P16" s="348">
        <v>5</v>
      </c>
      <c r="Q16" s="348">
        <f t="shared" si="3"/>
        <v>55</v>
      </c>
      <c r="R16" s="380">
        <f t="shared" si="4"/>
        <v>70831.25</v>
      </c>
      <c r="S16" s="380">
        <f t="shared" si="5"/>
        <v>779093.75</v>
      </c>
      <c r="T16" s="393"/>
    </row>
    <row r="17" spans="1:20">
      <c r="A17" s="378"/>
      <c r="B17" s="378"/>
      <c r="C17" s="363" t="s">
        <v>1101</v>
      </c>
      <c r="D17" s="367">
        <v>13</v>
      </c>
      <c r="E17" s="393" t="s">
        <v>1437</v>
      </c>
      <c r="F17" s="393" t="s">
        <v>290</v>
      </c>
      <c r="G17" s="351">
        <v>330000</v>
      </c>
      <c r="H17" s="351">
        <v>43989</v>
      </c>
      <c r="I17" s="349">
        <f t="shared" si="0"/>
        <v>373989</v>
      </c>
      <c r="J17" s="348">
        <v>50</v>
      </c>
      <c r="K17" s="380">
        <v>7479.78</v>
      </c>
      <c r="L17" s="394">
        <f t="shared" ref="L17:L27" si="6">H17/50</f>
        <v>879.78</v>
      </c>
      <c r="M17" s="394">
        <f t="shared" ref="M17:M27" si="7">G17/50</f>
        <v>6600</v>
      </c>
      <c r="N17" s="394">
        <f t="shared" si="1"/>
        <v>7038.24</v>
      </c>
      <c r="O17" s="394">
        <f t="shared" si="2"/>
        <v>36950.76</v>
      </c>
      <c r="P17" s="348">
        <v>8</v>
      </c>
      <c r="Q17" s="354">
        <f t="shared" si="3"/>
        <v>42</v>
      </c>
      <c r="R17" s="350">
        <f t="shared" si="4"/>
        <v>59838.239999999998</v>
      </c>
      <c r="S17" s="350">
        <f t="shared" si="5"/>
        <v>314150.76</v>
      </c>
      <c r="T17" s="393"/>
    </row>
    <row r="18" spans="1:20">
      <c r="A18" s="378"/>
      <c r="B18" s="378"/>
      <c r="C18" s="364" t="s">
        <v>1382</v>
      </c>
      <c r="D18" s="367">
        <v>14</v>
      </c>
      <c r="E18" s="393" t="s">
        <v>1437</v>
      </c>
      <c r="F18" s="400" t="s">
        <v>1130</v>
      </c>
      <c r="G18" s="350">
        <v>330000</v>
      </c>
      <c r="H18" s="350">
        <v>43989</v>
      </c>
      <c r="I18" s="349">
        <f t="shared" si="0"/>
        <v>373989</v>
      </c>
      <c r="J18" s="347">
        <v>50</v>
      </c>
      <c r="K18" s="379">
        <v>7479.78</v>
      </c>
      <c r="L18" s="394">
        <f t="shared" si="6"/>
        <v>879.78</v>
      </c>
      <c r="M18" s="394">
        <f t="shared" si="7"/>
        <v>6600</v>
      </c>
      <c r="N18" s="394">
        <f t="shared" si="1"/>
        <v>23754.059999999998</v>
      </c>
      <c r="O18" s="394">
        <f t="shared" si="2"/>
        <v>20234.939999999999</v>
      </c>
      <c r="P18" s="353">
        <v>27</v>
      </c>
      <c r="Q18" s="354">
        <f t="shared" si="3"/>
        <v>23</v>
      </c>
      <c r="R18" s="350">
        <f t="shared" si="4"/>
        <v>201954.06</v>
      </c>
      <c r="S18" s="350">
        <f t="shared" si="5"/>
        <v>172034.94</v>
      </c>
      <c r="T18" s="400"/>
    </row>
    <row r="19" spans="1:20">
      <c r="A19" s="378"/>
      <c r="B19" s="378"/>
      <c r="C19" s="364" t="s">
        <v>1350</v>
      </c>
      <c r="D19" s="367">
        <v>15</v>
      </c>
      <c r="E19" s="393" t="s">
        <v>1437</v>
      </c>
      <c r="F19" s="399" t="s">
        <v>1117</v>
      </c>
      <c r="G19" s="350">
        <v>500000</v>
      </c>
      <c r="H19" s="350">
        <v>66650</v>
      </c>
      <c r="I19" s="349">
        <f t="shared" si="0"/>
        <v>566650</v>
      </c>
      <c r="J19" s="347">
        <v>50</v>
      </c>
      <c r="K19" s="379">
        <v>11333</v>
      </c>
      <c r="L19" s="394">
        <f t="shared" si="6"/>
        <v>1333</v>
      </c>
      <c r="M19" s="394">
        <f t="shared" si="7"/>
        <v>10000</v>
      </c>
      <c r="N19" s="394">
        <f t="shared" si="1"/>
        <v>35991</v>
      </c>
      <c r="O19" s="394">
        <f t="shared" si="2"/>
        <v>30659</v>
      </c>
      <c r="P19" s="352">
        <v>27</v>
      </c>
      <c r="Q19" s="354">
        <f t="shared" si="3"/>
        <v>23</v>
      </c>
      <c r="R19" s="350">
        <f t="shared" si="4"/>
        <v>305991</v>
      </c>
      <c r="S19" s="350">
        <f t="shared" si="5"/>
        <v>260659</v>
      </c>
      <c r="T19" s="400"/>
    </row>
    <row r="20" spans="1:20">
      <c r="A20" s="378"/>
      <c r="B20" s="378"/>
      <c r="C20" s="116" t="s">
        <v>1338</v>
      </c>
      <c r="D20" s="367">
        <v>16</v>
      </c>
      <c r="E20" s="393" t="s">
        <v>1437</v>
      </c>
      <c r="F20" s="400" t="s">
        <v>438</v>
      </c>
      <c r="G20" s="350">
        <v>500000</v>
      </c>
      <c r="H20" s="350">
        <v>66650</v>
      </c>
      <c r="I20" s="349">
        <f t="shared" si="0"/>
        <v>566650</v>
      </c>
      <c r="J20" s="347">
        <v>50</v>
      </c>
      <c r="K20" s="379">
        <v>11333</v>
      </c>
      <c r="L20" s="394">
        <f t="shared" si="6"/>
        <v>1333</v>
      </c>
      <c r="M20" s="394">
        <f t="shared" si="7"/>
        <v>10000</v>
      </c>
      <c r="N20" s="394">
        <f t="shared" si="1"/>
        <v>19995</v>
      </c>
      <c r="O20" s="394">
        <f t="shared" si="2"/>
        <v>46655</v>
      </c>
      <c r="P20" s="352">
        <v>15</v>
      </c>
      <c r="Q20" s="354">
        <f t="shared" si="3"/>
        <v>35</v>
      </c>
      <c r="R20" s="350">
        <f t="shared" si="4"/>
        <v>169995</v>
      </c>
      <c r="S20" s="350">
        <f t="shared" si="5"/>
        <v>396655</v>
      </c>
      <c r="T20" s="400"/>
    </row>
    <row r="21" spans="1:20">
      <c r="A21" s="378"/>
      <c r="B21" s="378"/>
      <c r="C21" s="363" t="s">
        <v>1413</v>
      </c>
      <c r="D21" s="367">
        <v>17</v>
      </c>
      <c r="E21" s="393" t="s">
        <v>1437</v>
      </c>
      <c r="F21" s="393" t="s">
        <v>454</v>
      </c>
      <c r="G21" s="351">
        <v>500000</v>
      </c>
      <c r="H21" s="351">
        <v>66650</v>
      </c>
      <c r="I21" s="349">
        <f t="shared" si="0"/>
        <v>566650</v>
      </c>
      <c r="J21" s="348">
        <v>50</v>
      </c>
      <c r="K21" s="380">
        <v>11333</v>
      </c>
      <c r="L21" s="394">
        <f t="shared" si="6"/>
        <v>1333</v>
      </c>
      <c r="M21" s="394">
        <f t="shared" si="7"/>
        <v>10000</v>
      </c>
      <c r="N21" s="394">
        <f t="shared" si="1"/>
        <v>17329</v>
      </c>
      <c r="O21" s="394">
        <f t="shared" si="2"/>
        <v>49321</v>
      </c>
      <c r="P21" s="348">
        <v>13</v>
      </c>
      <c r="Q21" s="354">
        <f t="shared" si="3"/>
        <v>37</v>
      </c>
      <c r="R21" s="350">
        <f t="shared" si="4"/>
        <v>147329</v>
      </c>
      <c r="S21" s="350">
        <f t="shared" si="5"/>
        <v>419321</v>
      </c>
      <c r="T21" s="393"/>
    </row>
    <row r="22" spans="1:20">
      <c r="A22" s="378"/>
      <c r="B22" s="378"/>
      <c r="C22" s="116" t="s">
        <v>1343</v>
      </c>
      <c r="D22" s="367">
        <v>18</v>
      </c>
      <c r="E22" s="393" t="s">
        <v>1437</v>
      </c>
      <c r="F22" s="400" t="s">
        <v>451</v>
      </c>
      <c r="G22" s="350">
        <v>500000</v>
      </c>
      <c r="H22" s="350">
        <v>66650</v>
      </c>
      <c r="I22" s="349">
        <f t="shared" si="0"/>
        <v>566650</v>
      </c>
      <c r="J22" s="347">
        <v>50</v>
      </c>
      <c r="K22" s="379">
        <v>11333</v>
      </c>
      <c r="L22" s="394">
        <f t="shared" si="6"/>
        <v>1333</v>
      </c>
      <c r="M22" s="394">
        <f t="shared" si="7"/>
        <v>10000</v>
      </c>
      <c r="N22" s="394">
        <f t="shared" si="1"/>
        <v>34658</v>
      </c>
      <c r="O22" s="394">
        <f t="shared" si="2"/>
        <v>31992</v>
      </c>
      <c r="P22" s="353">
        <v>26</v>
      </c>
      <c r="Q22" s="354">
        <f t="shared" si="3"/>
        <v>24</v>
      </c>
      <c r="R22" s="350">
        <f t="shared" si="4"/>
        <v>294658</v>
      </c>
      <c r="S22" s="350">
        <f t="shared" si="5"/>
        <v>271992</v>
      </c>
      <c r="T22" s="400"/>
    </row>
    <row r="23" spans="1:20">
      <c r="A23" s="378"/>
      <c r="B23" s="378"/>
      <c r="C23" s="363" t="s">
        <v>1463</v>
      </c>
      <c r="D23" s="367">
        <v>19</v>
      </c>
      <c r="E23" s="393" t="s">
        <v>1437</v>
      </c>
      <c r="F23" s="393" t="s">
        <v>472</v>
      </c>
      <c r="G23" s="351">
        <v>500000</v>
      </c>
      <c r="H23" s="351">
        <v>66650</v>
      </c>
      <c r="I23" s="349">
        <f t="shared" si="0"/>
        <v>566650</v>
      </c>
      <c r="J23" s="348">
        <v>50</v>
      </c>
      <c r="K23" s="380">
        <v>11333</v>
      </c>
      <c r="L23" s="394">
        <f t="shared" si="6"/>
        <v>1333</v>
      </c>
      <c r="M23" s="394">
        <f t="shared" si="7"/>
        <v>10000</v>
      </c>
      <c r="N23" s="394">
        <f t="shared" si="1"/>
        <v>10664</v>
      </c>
      <c r="O23" s="394">
        <f t="shared" si="2"/>
        <v>55986</v>
      </c>
      <c r="P23" s="348">
        <v>8</v>
      </c>
      <c r="Q23" s="354">
        <f t="shared" si="3"/>
        <v>42</v>
      </c>
      <c r="R23" s="350">
        <f t="shared" si="4"/>
        <v>90664</v>
      </c>
      <c r="S23" s="350">
        <f t="shared" si="5"/>
        <v>475986</v>
      </c>
      <c r="T23" s="393"/>
    </row>
    <row r="24" spans="1:20">
      <c r="A24" s="378"/>
      <c r="B24" s="378"/>
      <c r="C24" s="363" t="s">
        <v>1107</v>
      </c>
      <c r="D24" s="367">
        <v>20</v>
      </c>
      <c r="E24" s="393" t="s">
        <v>1437</v>
      </c>
      <c r="F24" s="400" t="s">
        <v>734</v>
      </c>
      <c r="G24" s="350">
        <v>500000</v>
      </c>
      <c r="H24" s="350">
        <v>66650</v>
      </c>
      <c r="I24" s="349">
        <f t="shared" si="0"/>
        <v>566650</v>
      </c>
      <c r="J24" s="347">
        <v>50</v>
      </c>
      <c r="K24" s="379">
        <v>11333</v>
      </c>
      <c r="L24" s="394">
        <f t="shared" si="6"/>
        <v>1333</v>
      </c>
      <c r="M24" s="394">
        <f t="shared" si="7"/>
        <v>10000</v>
      </c>
      <c r="N24" s="394">
        <f t="shared" si="1"/>
        <v>19995</v>
      </c>
      <c r="O24" s="394">
        <f t="shared" si="2"/>
        <v>46655</v>
      </c>
      <c r="P24" s="353">
        <v>15</v>
      </c>
      <c r="Q24" s="354">
        <f t="shared" si="3"/>
        <v>35</v>
      </c>
      <c r="R24" s="350">
        <f t="shared" si="4"/>
        <v>169995</v>
      </c>
      <c r="S24" s="350">
        <f t="shared" si="5"/>
        <v>396655</v>
      </c>
      <c r="T24" s="400"/>
    </row>
    <row r="25" spans="1:20">
      <c r="A25" s="378"/>
      <c r="B25" s="378"/>
      <c r="C25" s="363" t="s">
        <v>1344</v>
      </c>
      <c r="D25" s="367">
        <v>21</v>
      </c>
      <c r="E25" s="393" t="s">
        <v>1437</v>
      </c>
      <c r="F25" s="400" t="s">
        <v>1345</v>
      </c>
      <c r="G25" s="350">
        <v>500000</v>
      </c>
      <c r="H25" s="350">
        <v>66650</v>
      </c>
      <c r="I25" s="349">
        <f t="shared" si="0"/>
        <v>566650</v>
      </c>
      <c r="J25" s="347">
        <v>50</v>
      </c>
      <c r="K25" s="379">
        <v>11333</v>
      </c>
      <c r="L25" s="394">
        <f t="shared" si="6"/>
        <v>1333</v>
      </c>
      <c r="M25" s="394">
        <f t="shared" si="7"/>
        <v>10000</v>
      </c>
      <c r="N25" s="394">
        <f t="shared" si="1"/>
        <v>23994</v>
      </c>
      <c r="O25" s="394">
        <f t="shared" si="2"/>
        <v>42656</v>
      </c>
      <c r="P25" s="352">
        <v>18</v>
      </c>
      <c r="Q25" s="354">
        <f t="shared" si="3"/>
        <v>32</v>
      </c>
      <c r="R25" s="350">
        <f t="shared" si="4"/>
        <v>203994</v>
      </c>
      <c r="S25" s="350">
        <f t="shared" si="5"/>
        <v>362656</v>
      </c>
      <c r="T25" s="400"/>
    </row>
    <row r="26" spans="1:20">
      <c r="A26" s="378"/>
      <c r="B26" s="378"/>
      <c r="C26" s="364" t="s">
        <v>989</v>
      </c>
      <c r="D26" s="367">
        <v>22</v>
      </c>
      <c r="E26" s="393" t="s">
        <v>1437</v>
      </c>
      <c r="F26" s="399" t="s">
        <v>864</v>
      </c>
      <c r="G26" s="350">
        <v>500000</v>
      </c>
      <c r="H26" s="350">
        <v>66650</v>
      </c>
      <c r="I26" s="349">
        <f t="shared" si="0"/>
        <v>566650</v>
      </c>
      <c r="J26" s="347">
        <v>50</v>
      </c>
      <c r="K26" s="379">
        <v>11333</v>
      </c>
      <c r="L26" s="394">
        <f t="shared" si="6"/>
        <v>1333</v>
      </c>
      <c r="M26" s="394">
        <f t="shared" si="7"/>
        <v>10000</v>
      </c>
      <c r="N26" s="394">
        <f t="shared" si="1"/>
        <v>46655</v>
      </c>
      <c r="O26" s="394">
        <f t="shared" si="2"/>
        <v>19995</v>
      </c>
      <c r="P26" s="352">
        <v>35</v>
      </c>
      <c r="Q26" s="354">
        <f t="shared" si="3"/>
        <v>15</v>
      </c>
      <c r="R26" s="350">
        <f t="shared" si="4"/>
        <v>396655</v>
      </c>
      <c r="S26" s="350">
        <f t="shared" si="5"/>
        <v>169995</v>
      </c>
      <c r="T26" s="400"/>
    </row>
    <row r="27" spans="1:20">
      <c r="A27" s="378"/>
      <c r="B27" s="378"/>
      <c r="C27" s="363" t="s">
        <v>1038</v>
      </c>
      <c r="D27" s="367">
        <v>23</v>
      </c>
      <c r="E27" s="393" t="s">
        <v>1437</v>
      </c>
      <c r="F27" s="393" t="s">
        <v>375</v>
      </c>
      <c r="G27" s="351">
        <v>450000</v>
      </c>
      <c r="H27" s="351">
        <v>59985</v>
      </c>
      <c r="I27" s="349">
        <f t="shared" si="0"/>
        <v>509985</v>
      </c>
      <c r="J27" s="348">
        <v>50</v>
      </c>
      <c r="K27" s="380">
        <v>10199.700000000001</v>
      </c>
      <c r="L27" s="394">
        <f t="shared" si="6"/>
        <v>1199.7</v>
      </c>
      <c r="M27" s="394">
        <f t="shared" si="7"/>
        <v>9000</v>
      </c>
      <c r="N27" s="394">
        <f t="shared" si="1"/>
        <v>13196.7</v>
      </c>
      <c r="O27" s="394">
        <f t="shared" si="2"/>
        <v>46788.3</v>
      </c>
      <c r="P27" s="348">
        <v>11</v>
      </c>
      <c r="Q27" s="354">
        <f t="shared" si="3"/>
        <v>39</v>
      </c>
      <c r="R27" s="350">
        <f t="shared" si="4"/>
        <v>112196.70000000001</v>
      </c>
      <c r="S27" s="350">
        <f t="shared" si="5"/>
        <v>397788.3</v>
      </c>
      <c r="T27" s="393"/>
    </row>
    <row r="28" spans="1:20">
      <c r="A28" s="378"/>
      <c r="B28" s="378"/>
      <c r="C28" s="363" t="s">
        <v>1505</v>
      </c>
      <c r="D28" s="367">
        <v>24</v>
      </c>
      <c r="E28" s="393" t="s">
        <v>1437</v>
      </c>
      <c r="F28" s="393" t="s">
        <v>1506</v>
      </c>
      <c r="G28" s="380">
        <v>600000</v>
      </c>
      <c r="H28" s="380">
        <v>79980</v>
      </c>
      <c r="I28" s="380">
        <f t="shared" si="0"/>
        <v>679980</v>
      </c>
      <c r="J28" s="348">
        <v>60</v>
      </c>
      <c r="K28" s="380">
        <v>11333</v>
      </c>
      <c r="L28" s="394">
        <f>H28/60</f>
        <v>1333</v>
      </c>
      <c r="M28" s="394">
        <f>G28/60</f>
        <v>10000</v>
      </c>
      <c r="N28" s="394">
        <f t="shared" si="1"/>
        <v>6665</v>
      </c>
      <c r="O28" s="394">
        <f t="shared" si="2"/>
        <v>73315</v>
      </c>
      <c r="P28" s="348">
        <v>5</v>
      </c>
      <c r="Q28" s="348">
        <f t="shared" si="3"/>
        <v>55</v>
      </c>
      <c r="R28" s="380">
        <f t="shared" si="4"/>
        <v>56665</v>
      </c>
      <c r="S28" s="380">
        <f t="shared" si="5"/>
        <v>623315</v>
      </c>
      <c r="T28" s="393"/>
    </row>
    <row r="29" spans="1:20">
      <c r="A29" s="378"/>
      <c r="B29" s="378"/>
      <c r="C29" s="363" t="s">
        <v>1352</v>
      </c>
      <c r="D29" s="367">
        <v>25</v>
      </c>
      <c r="E29" s="393" t="s">
        <v>1437</v>
      </c>
      <c r="F29" s="400" t="s">
        <v>1353</v>
      </c>
      <c r="G29" s="350">
        <v>500000</v>
      </c>
      <c r="H29" s="350">
        <v>66650</v>
      </c>
      <c r="I29" s="349">
        <f t="shared" si="0"/>
        <v>566650</v>
      </c>
      <c r="J29" s="347">
        <v>50</v>
      </c>
      <c r="K29" s="379">
        <v>11333</v>
      </c>
      <c r="L29" s="394">
        <f>H29/50</f>
        <v>1333</v>
      </c>
      <c r="M29" s="394">
        <f>G29/50</f>
        <v>10000</v>
      </c>
      <c r="N29" s="394">
        <f t="shared" si="1"/>
        <v>19995</v>
      </c>
      <c r="O29" s="394">
        <f t="shared" si="2"/>
        <v>46655</v>
      </c>
      <c r="P29" s="347">
        <v>15</v>
      </c>
      <c r="Q29" s="354">
        <f t="shared" si="3"/>
        <v>35</v>
      </c>
      <c r="R29" s="350">
        <f t="shared" si="4"/>
        <v>169995</v>
      </c>
      <c r="S29" s="350">
        <f t="shared" si="5"/>
        <v>396655</v>
      </c>
      <c r="T29" s="400"/>
    </row>
    <row r="30" spans="1:20">
      <c r="A30" s="378"/>
      <c r="B30" s="378"/>
      <c r="C30" s="364" t="s">
        <v>1141</v>
      </c>
      <c r="D30" s="367">
        <v>26</v>
      </c>
      <c r="E30" s="393" t="s">
        <v>1437</v>
      </c>
      <c r="F30" s="399" t="s">
        <v>1142</v>
      </c>
      <c r="G30" s="350">
        <v>330000</v>
      </c>
      <c r="H30" s="350">
        <v>43989</v>
      </c>
      <c r="I30" s="349">
        <f t="shared" si="0"/>
        <v>373989</v>
      </c>
      <c r="J30" s="347">
        <v>50</v>
      </c>
      <c r="K30" s="379">
        <v>7479.78</v>
      </c>
      <c r="L30" s="394">
        <f>H30/50</f>
        <v>879.78</v>
      </c>
      <c r="M30" s="394">
        <f>G30/50</f>
        <v>6600</v>
      </c>
      <c r="N30" s="394">
        <f t="shared" si="1"/>
        <v>24633.84</v>
      </c>
      <c r="O30" s="394">
        <f t="shared" si="2"/>
        <v>19355.16</v>
      </c>
      <c r="P30" s="352">
        <v>28</v>
      </c>
      <c r="Q30" s="354">
        <f t="shared" si="3"/>
        <v>22</v>
      </c>
      <c r="R30" s="350">
        <f t="shared" si="4"/>
        <v>209433.84</v>
      </c>
      <c r="S30" s="350">
        <f t="shared" si="5"/>
        <v>164555.16</v>
      </c>
      <c r="T30" s="400"/>
    </row>
    <row r="31" spans="1:20" ht="31.5">
      <c r="A31" s="378"/>
      <c r="B31" s="378"/>
      <c r="C31" s="363" t="s">
        <v>972</v>
      </c>
      <c r="D31" s="367">
        <v>27</v>
      </c>
      <c r="E31" s="393" t="s">
        <v>1437</v>
      </c>
      <c r="F31" s="395" t="s">
        <v>312</v>
      </c>
      <c r="G31" s="380">
        <v>750000</v>
      </c>
      <c r="H31" s="380">
        <v>99925</v>
      </c>
      <c r="I31" s="380">
        <f t="shared" si="0"/>
        <v>849925</v>
      </c>
      <c r="J31" s="348">
        <v>60</v>
      </c>
      <c r="K31" s="380">
        <v>14166.25</v>
      </c>
      <c r="L31" s="394">
        <f>H31/60</f>
        <v>1665.4166666666667</v>
      </c>
      <c r="M31" s="394">
        <f>G31/60</f>
        <v>12500</v>
      </c>
      <c r="N31" s="394">
        <f t="shared" si="1"/>
        <v>8327.0833333333339</v>
      </c>
      <c r="O31" s="394">
        <f t="shared" si="2"/>
        <v>91597.916666666672</v>
      </c>
      <c r="P31" s="348">
        <v>5</v>
      </c>
      <c r="Q31" s="348">
        <f t="shared" si="3"/>
        <v>55</v>
      </c>
      <c r="R31" s="380">
        <f t="shared" si="4"/>
        <v>70831.25</v>
      </c>
      <c r="S31" s="380">
        <f t="shared" si="5"/>
        <v>779093.75</v>
      </c>
      <c r="T31" s="393"/>
    </row>
    <row r="32" spans="1:20">
      <c r="A32" s="378"/>
      <c r="B32" s="378"/>
      <c r="C32" s="363" t="s">
        <v>1509</v>
      </c>
      <c r="D32" s="367">
        <v>28</v>
      </c>
      <c r="E32" s="393" t="s">
        <v>1437</v>
      </c>
      <c r="F32" s="393" t="s">
        <v>1510</v>
      </c>
      <c r="G32" s="380">
        <v>450000</v>
      </c>
      <c r="H32" s="380">
        <v>59985</v>
      </c>
      <c r="I32" s="380">
        <f t="shared" si="0"/>
        <v>509985</v>
      </c>
      <c r="J32" s="348">
        <v>60</v>
      </c>
      <c r="K32" s="380">
        <v>8499.75</v>
      </c>
      <c r="L32" s="394">
        <f>H32/60</f>
        <v>999.75</v>
      </c>
      <c r="M32" s="394">
        <f>G32/60</f>
        <v>7500</v>
      </c>
      <c r="N32" s="394">
        <f t="shared" si="1"/>
        <v>4998.75</v>
      </c>
      <c r="O32" s="394">
        <f t="shared" si="2"/>
        <v>54986.25</v>
      </c>
      <c r="P32" s="348">
        <v>5</v>
      </c>
      <c r="Q32" s="348">
        <f t="shared" si="3"/>
        <v>55</v>
      </c>
      <c r="R32" s="380">
        <f t="shared" si="4"/>
        <v>42498.75</v>
      </c>
      <c r="S32" s="380">
        <f t="shared" si="5"/>
        <v>467486.25</v>
      </c>
      <c r="T32" s="393"/>
    </row>
    <row r="33" spans="1:20" ht="21">
      <c r="A33" s="378"/>
      <c r="B33" s="378"/>
      <c r="C33" s="363" t="s">
        <v>1521</v>
      </c>
      <c r="D33" s="367">
        <v>29</v>
      </c>
      <c r="E33" s="393" t="s">
        <v>1437</v>
      </c>
      <c r="F33" s="393" t="s">
        <v>481</v>
      </c>
      <c r="G33" s="380">
        <v>750000</v>
      </c>
      <c r="H33" s="380">
        <v>99925</v>
      </c>
      <c r="I33" s="380">
        <f t="shared" si="0"/>
        <v>849925</v>
      </c>
      <c r="J33" s="348">
        <v>60</v>
      </c>
      <c r="K33" s="380">
        <v>14166.25</v>
      </c>
      <c r="L33" s="394">
        <f>H33/60</f>
        <v>1665.4166666666667</v>
      </c>
      <c r="M33" s="394">
        <f>G33/60</f>
        <v>12500</v>
      </c>
      <c r="N33" s="394">
        <f t="shared" si="1"/>
        <v>8327.0833333333339</v>
      </c>
      <c r="O33" s="394">
        <f t="shared" si="2"/>
        <v>91597.916666666672</v>
      </c>
      <c r="P33" s="348">
        <v>5</v>
      </c>
      <c r="Q33" s="354">
        <f t="shared" si="3"/>
        <v>55</v>
      </c>
      <c r="R33" s="350">
        <f t="shared" si="4"/>
        <v>70831.25</v>
      </c>
      <c r="S33" s="350">
        <f t="shared" si="5"/>
        <v>779093.75</v>
      </c>
      <c r="T33" s="401" t="s">
        <v>1522</v>
      </c>
    </row>
    <row r="34" spans="1:20">
      <c r="A34" s="378"/>
      <c r="B34" s="378"/>
      <c r="C34" s="364" t="s">
        <v>993</v>
      </c>
      <c r="D34" s="367">
        <v>30</v>
      </c>
      <c r="E34" s="393" t="s">
        <v>1437</v>
      </c>
      <c r="F34" s="393" t="s">
        <v>994</v>
      </c>
      <c r="G34" s="351">
        <v>150000</v>
      </c>
      <c r="H34" s="351">
        <v>19995</v>
      </c>
      <c r="I34" s="349">
        <f t="shared" si="0"/>
        <v>169995</v>
      </c>
      <c r="J34" s="348">
        <v>50</v>
      </c>
      <c r="K34" s="380">
        <v>3399.9</v>
      </c>
      <c r="L34" s="394">
        <f>H34/50</f>
        <v>399.9</v>
      </c>
      <c r="M34" s="394">
        <f>G34/50</f>
        <v>3000</v>
      </c>
      <c r="N34" s="394">
        <f t="shared" si="1"/>
        <v>13996.5</v>
      </c>
      <c r="O34" s="394">
        <f t="shared" si="2"/>
        <v>5998.5</v>
      </c>
      <c r="P34" s="348">
        <v>35</v>
      </c>
      <c r="Q34" s="354">
        <f t="shared" si="3"/>
        <v>15</v>
      </c>
      <c r="R34" s="350">
        <f t="shared" si="4"/>
        <v>118996.5</v>
      </c>
      <c r="S34" s="350">
        <f t="shared" si="5"/>
        <v>50998.5</v>
      </c>
      <c r="T34" s="393"/>
    </row>
    <row r="35" spans="1:20">
      <c r="A35" s="378"/>
      <c r="B35" s="378"/>
      <c r="C35" s="364" t="s">
        <v>1099</v>
      </c>
      <c r="D35" s="367">
        <v>31</v>
      </c>
      <c r="E35" s="393" t="s">
        <v>1437</v>
      </c>
      <c r="F35" s="393" t="s">
        <v>487</v>
      </c>
      <c r="G35" s="351">
        <v>500000</v>
      </c>
      <c r="H35" s="351">
        <v>66650</v>
      </c>
      <c r="I35" s="349">
        <f t="shared" si="0"/>
        <v>566650</v>
      </c>
      <c r="J35" s="348">
        <v>50</v>
      </c>
      <c r="K35" s="380">
        <v>11333</v>
      </c>
      <c r="L35" s="394">
        <f>H35/50</f>
        <v>1333</v>
      </c>
      <c r="M35" s="394">
        <f>G35/50</f>
        <v>10000</v>
      </c>
      <c r="N35" s="394">
        <f t="shared" si="1"/>
        <v>53320</v>
      </c>
      <c r="O35" s="394">
        <f t="shared" si="2"/>
        <v>13330</v>
      </c>
      <c r="P35" s="348">
        <v>40</v>
      </c>
      <c r="Q35" s="354">
        <f t="shared" si="3"/>
        <v>10</v>
      </c>
      <c r="R35" s="350">
        <f t="shared" si="4"/>
        <v>453320</v>
      </c>
      <c r="S35" s="350">
        <f t="shared" si="5"/>
        <v>113330</v>
      </c>
      <c r="T35" s="393"/>
    </row>
    <row r="36" spans="1:20">
      <c r="A36" s="378"/>
      <c r="B36" s="378"/>
      <c r="C36" s="393" t="s">
        <v>1525</v>
      </c>
      <c r="D36" s="367">
        <v>32</v>
      </c>
      <c r="E36" s="393" t="s">
        <v>1437</v>
      </c>
      <c r="F36" s="393" t="s">
        <v>387</v>
      </c>
      <c r="G36" s="380">
        <v>750000</v>
      </c>
      <c r="H36" s="380">
        <v>79980</v>
      </c>
      <c r="I36" s="380">
        <f t="shared" si="0"/>
        <v>829980</v>
      </c>
      <c r="J36" s="348">
        <v>60</v>
      </c>
      <c r="K36" s="380">
        <v>14166.25</v>
      </c>
      <c r="L36" s="394">
        <f>H36/60</f>
        <v>1333</v>
      </c>
      <c r="M36" s="394">
        <f>G36/60</f>
        <v>12500</v>
      </c>
      <c r="N36" s="394">
        <f t="shared" si="1"/>
        <v>2666</v>
      </c>
      <c r="O36" s="394">
        <f t="shared" si="2"/>
        <v>77314</v>
      </c>
      <c r="P36" s="348">
        <v>2</v>
      </c>
      <c r="Q36" s="354">
        <f t="shared" si="3"/>
        <v>58</v>
      </c>
      <c r="R36" s="350">
        <f t="shared" si="4"/>
        <v>28332.5</v>
      </c>
      <c r="S36" s="350">
        <f t="shared" si="5"/>
        <v>801647.5</v>
      </c>
      <c r="T36" s="393"/>
    </row>
    <row r="37" spans="1:20">
      <c r="A37" s="378"/>
      <c r="B37" s="378"/>
      <c r="C37" s="363" t="s">
        <v>1445</v>
      </c>
      <c r="D37" s="367">
        <v>33</v>
      </c>
      <c r="E37" s="393" t="s">
        <v>1437</v>
      </c>
      <c r="F37" s="393" t="s">
        <v>1446</v>
      </c>
      <c r="G37" s="351">
        <v>500000</v>
      </c>
      <c r="H37" s="351">
        <v>66650</v>
      </c>
      <c r="I37" s="349">
        <f t="shared" ref="I37:I68" si="8">SUM(G37:H37)</f>
        <v>566650</v>
      </c>
      <c r="J37" s="348">
        <v>50</v>
      </c>
      <c r="K37" s="380">
        <v>11333</v>
      </c>
      <c r="L37" s="394">
        <f>H37/50</f>
        <v>1333</v>
      </c>
      <c r="M37" s="394">
        <f t="shared" ref="M37:M50" si="9">G37/50</f>
        <v>10000</v>
      </c>
      <c r="N37" s="394">
        <f t="shared" ref="N37:N68" si="10">L37*P37</f>
        <v>14663</v>
      </c>
      <c r="O37" s="394">
        <f t="shared" ref="O37:O68" si="11">L37*Q37</f>
        <v>51987</v>
      </c>
      <c r="P37" s="348">
        <v>11</v>
      </c>
      <c r="Q37" s="354">
        <f t="shared" ref="Q37:Q68" si="12">J37-P37</f>
        <v>39</v>
      </c>
      <c r="R37" s="350">
        <f t="shared" ref="R37:R68" si="13">K37*P37</f>
        <v>124663</v>
      </c>
      <c r="S37" s="350">
        <f t="shared" ref="S37:S68" si="14">I37-R37</f>
        <v>441987</v>
      </c>
      <c r="T37" s="393"/>
    </row>
    <row r="38" spans="1:20">
      <c r="A38" s="378"/>
      <c r="B38" s="378"/>
      <c r="C38" s="364" t="s">
        <v>1046</v>
      </c>
      <c r="D38" s="367">
        <v>34</v>
      </c>
      <c r="E38" s="393" t="s">
        <v>1437</v>
      </c>
      <c r="F38" s="393" t="s">
        <v>349</v>
      </c>
      <c r="G38" s="351">
        <v>500000</v>
      </c>
      <c r="H38" s="351">
        <v>66650</v>
      </c>
      <c r="I38" s="349">
        <f t="shared" si="8"/>
        <v>566650</v>
      </c>
      <c r="J38" s="348">
        <v>50</v>
      </c>
      <c r="K38" s="380">
        <v>11333</v>
      </c>
      <c r="L38" s="394">
        <f>H38/50</f>
        <v>1333</v>
      </c>
      <c r="M38" s="394">
        <f t="shared" si="9"/>
        <v>10000</v>
      </c>
      <c r="N38" s="394">
        <f t="shared" si="10"/>
        <v>58652</v>
      </c>
      <c r="O38" s="394">
        <f t="shared" si="11"/>
        <v>7998</v>
      </c>
      <c r="P38" s="348">
        <v>44</v>
      </c>
      <c r="Q38" s="354">
        <f t="shared" si="12"/>
        <v>6</v>
      </c>
      <c r="R38" s="350">
        <f t="shared" si="13"/>
        <v>498652</v>
      </c>
      <c r="S38" s="350">
        <f t="shared" si="14"/>
        <v>67998</v>
      </c>
      <c r="T38" s="393"/>
    </row>
    <row r="39" spans="1:20">
      <c r="A39" s="378"/>
      <c r="B39" s="378"/>
      <c r="C39" s="363" t="s">
        <v>1504</v>
      </c>
      <c r="D39" s="367">
        <v>35</v>
      </c>
      <c r="E39" s="393" t="s">
        <v>1437</v>
      </c>
      <c r="F39" s="393" t="s">
        <v>483</v>
      </c>
      <c r="G39" s="351">
        <v>500000</v>
      </c>
      <c r="H39" s="351">
        <v>66650</v>
      </c>
      <c r="I39" s="380">
        <f t="shared" si="8"/>
        <v>566650</v>
      </c>
      <c r="J39" s="348">
        <v>50</v>
      </c>
      <c r="K39" s="380">
        <v>11333</v>
      </c>
      <c r="L39" s="394">
        <f>H39/50</f>
        <v>1333</v>
      </c>
      <c r="M39" s="394">
        <f t="shared" si="9"/>
        <v>10000</v>
      </c>
      <c r="N39" s="394">
        <f t="shared" si="10"/>
        <v>17329</v>
      </c>
      <c r="O39" s="394">
        <f t="shared" si="11"/>
        <v>49321</v>
      </c>
      <c r="P39" s="348">
        <v>13</v>
      </c>
      <c r="Q39" s="354">
        <f t="shared" si="12"/>
        <v>37</v>
      </c>
      <c r="R39" s="350">
        <f t="shared" si="13"/>
        <v>147329</v>
      </c>
      <c r="S39" s="350">
        <f t="shared" si="14"/>
        <v>419321</v>
      </c>
      <c r="T39" s="393"/>
    </row>
    <row r="40" spans="1:20">
      <c r="A40" s="378"/>
      <c r="B40" s="378"/>
      <c r="C40" s="116" t="s">
        <v>1342</v>
      </c>
      <c r="D40" s="367">
        <v>36</v>
      </c>
      <c r="E40" s="393" t="s">
        <v>1437</v>
      </c>
      <c r="F40" s="393" t="s">
        <v>1290</v>
      </c>
      <c r="G40" s="351">
        <v>500000</v>
      </c>
      <c r="H40" s="351">
        <v>66650</v>
      </c>
      <c r="I40" s="349">
        <f t="shared" si="8"/>
        <v>566650</v>
      </c>
      <c r="J40" s="348">
        <v>50</v>
      </c>
      <c r="K40" s="380">
        <v>11333</v>
      </c>
      <c r="L40" s="394">
        <f>H40/50</f>
        <v>1333</v>
      </c>
      <c r="M40" s="394">
        <f t="shared" si="9"/>
        <v>10000</v>
      </c>
      <c r="N40" s="394">
        <f t="shared" si="10"/>
        <v>33325</v>
      </c>
      <c r="O40" s="394">
        <f t="shared" si="11"/>
        <v>33325</v>
      </c>
      <c r="P40" s="348">
        <v>25</v>
      </c>
      <c r="Q40" s="354">
        <f t="shared" si="12"/>
        <v>25</v>
      </c>
      <c r="R40" s="350">
        <f t="shared" si="13"/>
        <v>283325</v>
      </c>
      <c r="S40" s="350">
        <f t="shared" si="14"/>
        <v>283325</v>
      </c>
      <c r="T40" s="393"/>
    </row>
    <row r="41" spans="1:20">
      <c r="A41" s="378"/>
      <c r="B41" s="378"/>
      <c r="C41" s="364" t="s">
        <v>998</v>
      </c>
      <c r="D41" s="367">
        <v>37</v>
      </c>
      <c r="E41" s="393" t="s">
        <v>1437</v>
      </c>
      <c r="F41" s="393" t="s">
        <v>363</v>
      </c>
      <c r="G41" s="351">
        <v>450000</v>
      </c>
      <c r="H41" s="351">
        <v>59985</v>
      </c>
      <c r="I41" s="349">
        <f t="shared" si="8"/>
        <v>509985</v>
      </c>
      <c r="J41" s="348">
        <v>50</v>
      </c>
      <c r="K41" s="380">
        <v>10199.700000000001</v>
      </c>
      <c r="L41" s="394">
        <f>H41/50</f>
        <v>1199.7</v>
      </c>
      <c r="M41" s="394">
        <f t="shared" si="9"/>
        <v>9000</v>
      </c>
      <c r="N41" s="394">
        <f t="shared" si="10"/>
        <v>52786.8</v>
      </c>
      <c r="O41" s="394">
        <f t="shared" si="11"/>
        <v>7198.2000000000007</v>
      </c>
      <c r="P41" s="348">
        <v>44</v>
      </c>
      <c r="Q41" s="354">
        <f t="shared" si="12"/>
        <v>6</v>
      </c>
      <c r="R41" s="350">
        <f t="shared" si="13"/>
        <v>448786.80000000005</v>
      </c>
      <c r="S41" s="350">
        <f t="shared" si="14"/>
        <v>61198.199999999953</v>
      </c>
      <c r="T41" s="393"/>
    </row>
    <row r="42" spans="1:20">
      <c r="A42" s="378"/>
      <c r="B42" s="378"/>
      <c r="C42" s="363" t="s">
        <v>1079</v>
      </c>
      <c r="D42" s="367">
        <v>38</v>
      </c>
      <c r="E42" s="393" t="s">
        <v>1437</v>
      </c>
      <c r="F42" s="393" t="s">
        <v>302</v>
      </c>
      <c r="G42" s="351">
        <v>500000</v>
      </c>
      <c r="H42" s="351">
        <v>31992</v>
      </c>
      <c r="I42" s="349">
        <f t="shared" si="8"/>
        <v>531992</v>
      </c>
      <c r="J42" s="348">
        <v>24</v>
      </c>
      <c r="K42" s="380">
        <v>22166.34</v>
      </c>
      <c r="L42" s="394">
        <f>H42/24</f>
        <v>1333</v>
      </c>
      <c r="M42" s="394">
        <f t="shared" si="9"/>
        <v>10000</v>
      </c>
      <c r="N42" s="394">
        <f t="shared" si="10"/>
        <v>17329</v>
      </c>
      <c r="O42" s="394">
        <f t="shared" si="11"/>
        <v>14663</v>
      </c>
      <c r="P42" s="348">
        <v>13</v>
      </c>
      <c r="Q42" s="354">
        <f t="shared" si="12"/>
        <v>11</v>
      </c>
      <c r="R42" s="350">
        <f t="shared" si="13"/>
        <v>288162.42</v>
      </c>
      <c r="S42" s="350">
        <f t="shared" si="14"/>
        <v>243829.58000000002</v>
      </c>
      <c r="T42" s="393"/>
    </row>
    <row r="43" spans="1:20">
      <c r="A43" s="378"/>
      <c r="B43" s="378"/>
      <c r="C43" s="116" t="s">
        <v>1320</v>
      </c>
      <c r="D43" s="367">
        <v>39</v>
      </c>
      <c r="E43" s="393" t="s">
        <v>1437</v>
      </c>
      <c r="F43" s="393" t="s">
        <v>464</v>
      </c>
      <c r="G43" s="351">
        <v>500000</v>
      </c>
      <c r="H43" s="351">
        <v>66650</v>
      </c>
      <c r="I43" s="349">
        <f t="shared" si="8"/>
        <v>566650</v>
      </c>
      <c r="J43" s="348">
        <v>40</v>
      </c>
      <c r="K43" s="380">
        <v>13833</v>
      </c>
      <c r="L43" s="394">
        <f t="shared" ref="L43:L50" si="15">H43/50</f>
        <v>1333</v>
      </c>
      <c r="M43" s="394">
        <f t="shared" si="9"/>
        <v>10000</v>
      </c>
      <c r="N43" s="394">
        <f t="shared" si="10"/>
        <v>19995</v>
      </c>
      <c r="O43" s="394">
        <f t="shared" si="11"/>
        <v>33325</v>
      </c>
      <c r="P43" s="348">
        <v>15</v>
      </c>
      <c r="Q43" s="354">
        <f t="shared" si="12"/>
        <v>25</v>
      </c>
      <c r="R43" s="350">
        <f t="shared" si="13"/>
        <v>207495</v>
      </c>
      <c r="S43" s="350">
        <f t="shared" si="14"/>
        <v>359155</v>
      </c>
      <c r="T43" s="393"/>
    </row>
    <row r="44" spans="1:20">
      <c r="A44" s="378"/>
      <c r="B44" s="378"/>
      <c r="C44" s="363" t="s">
        <v>1348</v>
      </c>
      <c r="D44" s="367">
        <v>40</v>
      </c>
      <c r="E44" s="393" t="s">
        <v>1437</v>
      </c>
      <c r="F44" s="393" t="s">
        <v>1349</v>
      </c>
      <c r="G44" s="351">
        <v>500000</v>
      </c>
      <c r="H44" s="351">
        <v>66650</v>
      </c>
      <c r="I44" s="349">
        <f t="shared" si="8"/>
        <v>566650</v>
      </c>
      <c r="J44" s="348">
        <v>50</v>
      </c>
      <c r="K44" s="380">
        <v>11333</v>
      </c>
      <c r="L44" s="394">
        <f t="shared" si="15"/>
        <v>1333</v>
      </c>
      <c r="M44" s="394">
        <f t="shared" si="9"/>
        <v>10000</v>
      </c>
      <c r="N44" s="394">
        <f t="shared" si="10"/>
        <v>23994</v>
      </c>
      <c r="O44" s="394">
        <f t="shared" si="11"/>
        <v>42656</v>
      </c>
      <c r="P44" s="348">
        <v>18</v>
      </c>
      <c r="Q44" s="354">
        <f t="shared" si="12"/>
        <v>32</v>
      </c>
      <c r="R44" s="350">
        <f t="shared" si="13"/>
        <v>203994</v>
      </c>
      <c r="S44" s="350">
        <f t="shared" si="14"/>
        <v>362656</v>
      </c>
      <c r="T44" s="393"/>
    </row>
    <row r="45" spans="1:20">
      <c r="A45" s="378"/>
      <c r="B45" s="378"/>
      <c r="C45" s="364" t="s">
        <v>1012</v>
      </c>
      <c r="D45" s="367">
        <v>41</v>
      </c>
      <c r="E45" s="393" t="s">
        <v>1437</v>
      </c>
      <c r="F45" s="393" t="s">
        <v>852</v>
      </c>
      <c r="G45" s="351">
        <v>330000</v>
      </c>
      <c r="H45" s="351">
        <v>43989</v>
      </c>
      <c r="I45" s="349">
        <f t="shared" si="8"/>
        <v>373989</v>
      </c>
      <c r="J45" s="348">
        <v>50</v>
      </c>
      <c r="K45" s="380">
        <v>7479.78</v>
      </c>
      <c r="L45" s="394">
        <f t="shared" si="15"/>
        <v>879.78</v>
      </c>
      <c r="M45" s="394">
        <f t="shared" si="9"/>
        <v>6600</v>
      </c>
      <c r="N45" s="394">
        <f t="shared" si="10"/>
        <v>30792.3</v>
      </c>
      <c r="O45" s="394">
        <f t="shared" si="11"/>
        <v>13196.699999999999</v>
      </c>
      <c r="P45" s="348">
        <v>35</v>
      </c>
      <c r="Q45" s="354">
        <f t="shared" si="12"/>
        <v>15</v>
      </c>
      <c r="R45" s="350">
        <f t="shared" si="13"/>
        <v>261792.3</v>
      </c>
      <c r="S45" s="350">
        <f t="shared" si="14"/>
        <v>112196.70000000001</v>
      </c>
      <c r="T45" s="393"/>
    </row>
    <row r="46" spans="1:20">
      <c r="A46" s="378"/>
      <c r="B46" s="378"/>
      <c r="C46" s="363" t="s">
        <v>1065</v>
      </c>
      <c r="D46" s="367">
        <v>42</v>
      </c>
      <c r="E46" s="393" t="s">
        <v>1437</v>
      </c>
      <c r="F46" s="393" t="s">
        <v>1066</v>
      </c>
      <c r="G46" s="351">
        <v>330000</v>
      </c>
      <c r="H46" s="351">
        <v>43989</v>
      </c>
      <c r="I46" s="349">
        <f t="shared" si="8"/>
        <v>373989</v>
      </c>
      <c r="J46" s="348">
        <v>50</v>
      </c>
      <c r="K46" s="380">
        <v>7479.78</v>
      </c>
      <c r="L46" s="394">
        <f t="shared" si="15"/>
        <v>879.78</v>
      </c>
      <c r="M46" s="394">
        <f t="shared" si="9"/>
        <v>6600</v>
      </c>
      <c r="N46" s="394">
        <f t="shared" si="10"/>
        <v>28152.959999999999</v>
      </c>
      <c r="O46" s="394">
        <f t="shared" si="11"/>
        <v>15836.039999999999</v>
      </c>
      <c r="P46" s="348">
        <v>32</v>
      </c>
      <c r="Q46" s="354">
        <f t="shared" si="12"/>
        <v>18</v>
      </c>
      <c r="R46" s="350">
        <f t="shared" si="13"/>
        <v>239352.95999999999</v>
      </c>
      <c r="S46" s="350">
        <f t="shared" si="14"/>
        <v>134636.04</v>
      </c>
      <c r="T46" s="393"/>
    </row>
    <row r="47" spans="1:20">
      <c r="A47" s="378"/>
      <c r="B47" s="378"/>
      <c r="C47" s="363" t="s">
        <v>1449</v>
      </c>
      <c r="D47" s="367">
        <v>43</v>
      </c>
      <c r="E47" s="393" t="s">
        <v>1437</v>
      </c>
      <c r="F47" s="393" t="s">
        <v>389</v>
      </c>
      <c r="G47" s="351">
        <v>500000</v>
      </c>
      <c r="H47" s="351">
        <v>66650</v>
      </c>
      <c r="I47" s="349">
        <f t="shared" si="8"/>
        <v>566650</v>
      </c>
      <c r="J47" s="348">
        <v>50</v>
      </c>
      <c r="K47" s="380">
        <v>11333</v>
      </c>
      <c r="L47" s="394">
        <f t="shared" si="15"/>
        <v>1333</v>
      </c>
      <c r="M47" s="394">
        <f t="shared" si="9"/>
        <v>10000</v>
      </c>
      <c r="N47" s="394">
        <f t="shared" si="10"/>
        <v>14663</v>
      </c>
      <c r="O47" s="394">
        <f t="shared" si="11"/>
        <v>51987</v>
      </c>
      <c r="P47" s="348">
        <v>11</v>
      </c>
      <c r="Q47" s="354">
        <f t="shared" si="12"/>
        <v>39</v>
      </c>
      <c r="R47" s="350">
        <f t="shared" si="13"/>
        <v>124663</v>
      </c>
      <c r="S47" s="350">
        <f t="shared" si="14"/>
        <v>441987</v>
      </c>
      <c r="T47" s="393"/>
    </row>
    <row r="48" spans="1:20">
      <c r="A48" s="378"/>
      <c r="B48" s="378"/>
      <c r="C48" s="364" t="s">
        <v>1029</v>
      </c>
      <c r="D48" s="367">
        <v>44</v>
      </c>
      <c r="E48" s="393" t="s">
        <v>1437</v>
      </c>
      <c r="F48" s="393" t="s">
        <v>1030</v>
      </c>
      <c r="G48" s="351">
        <v>450000</v>
      </c>
      <c r="H48" s="351">
        <v>59985</v>
      </c>
      <c r="I48" s="349">
        <f t="shared" si="8"/>
        <v>509985</v>
      </c>
      <c r="J48" s="348">
        <v>50</v>
      </c>
      <c r="K48" s="380">
        <v>10199.700000000001</v>
      </c>
      <c r="L48" s="394">
        <f t="shared" si="15"/>
        <v>1199.7</v>
      </c>
      <c r="M48" s="394">
        <f t="shared" si="9"/>
        <v>9000</v>
      </c>
      <c r="N48" s="394">
        <f t="shared" si="10"/>
        <v>38390.400000000001</v>
      </c>
      <c r="O48" s="394">
        <f t="shared" si="11"/>
        <v>21594.600000000002</v>
      </c>
      <c r="P48" s="348">
        <v>32</v>
      </c>
      <c r="Q48" s="354">
        <f t="shared" si="12"/>
        <v>18</v>
      </c>
      <c r="R48" s="350">
        <f t="shared" si="13"/>
        <v>326390.40000000002</v>
      </c>
      <c r="S48" s="350">
        <f t="shared" si="14"/>
        <v>183594.59999999998</v>
      </c>
      <c r="T48" s="393"/>
    </row>
    <row r="49" spans="1:20">
      <c r="A49" s="378"/>
      <c r="B49" s="378"/>
      <c r="C49" s="393" t="s">
        <v>1538</v>
      </c>
      <c r="D49" s="367">
        <v>45</v>
      </c>
      <c r="E49" s="393" t="s">
        <v>1437</v>
      </c>
      <c r="F49" s="393" t="s">
        <v>1539</v>
      </c>
      <c r="G49" s="351">
        <v>330000</v>
      </c>
      <c r="H49" s="351">
        <v>43989</v>
      </c>
      <c r="I49" s="349">
        <f t="shared" si="8"/>
        <v>373989</v>
      </c>
      <c r="J49" s="348">
        <v>50</v>
      </c>
      <c r="K49" s="380">
        <v>7479.78</v>
      </c>
      <c r="L49" s="394">
        <f t="shared" si="15"/>
        <v>879.78</v>
      </c>
      <c r="M49" s="394">
        <f t="shared" si="9"/>
        <v>6600</v>
      </c>
      <c r="N49" s="394">
        <f t="shared" si="10"/>
        <v>10557.36</v>
      </c>
      <c r="O49" s="394">
        <f t="shared" si="11"/>
        <v>33431.64</v>
      </c>
      <c r="P49" s="348">
        <v>12</v>
      </c>
      <c r="Q49" s="354">
        <f t="shared" si="12"/>
        <v>38</v>
      </c>
      <c r="R49" s="350">
        <f t="shared" si="13"/>
        <v>89757.36</v>
      </c>
      <c r="S49" s="350">
        <f t="shared" si="14"/>
        <v>284231.64</v>
      </c>
      <c r="T49" s="393"/>
    </row>
    <row r="50" spans="1:20">
      <c r="A50" s="378"/>
      <c r="B50" s="378"/>
      <c r="C50" s="116" t="s">
        <v>1377</v>
      </c>
      <c r="D50" s="367">
        <v>46</v>
      </c>
      <c r="E50" s="393" t="s">
        <v>1437</v>
      </c>
      <c r="F50" s="393" t="s">
        <v>1378</v>
      </c>
      <c r="G50" s="351">
        <v>330000</v>
      </c>
      <c r="H50" s="351">
        <v>43989</v>
      </c>
      <c r="I50" s="349">
        <f t="shared" si="8"/>
        <v>373989</v>
      </c>
      <c r="J50" s="348">
        <v>50</v>
      </c>
      <c r="K50" s="380">
        <v>7479.78</v>
      </c>
      <c r="L50" s="394">
        <f t="shared" si="15"/>
        <v>879.78</v>
      </c>
      <c r="M50" s="394">
        <f t="shared" si="9"/>
        <v>6600</v>
      </c>
      <c r="N50" s="394">
        <f t="shared" si="10"/>
        <v>15836.039999999999</v>
      </c>
      <c r="O50" s="394">
        <f t="shared" si="11"/>
        <v>28152.959999999999</v>
      </c>
      <c r="P50" s="348">
        <v>18</v>
      </c>
      <c r="Q50" s="354">
        <f t="shared" si="12"/>
        <v>32</v>
      </c>
      <c r="R50" s="350">
        <f t="shared" si="13"/>
        <v>134636.04</v>
      </c>
      <c r="S50" s="350">
        <f t="shared" si="14"/>
        <v>239352.95999999999</v>
      </c>
      <c r="T50" s="393"/>
    </row>
    <row r="51" spans="1:20">
      <c r="A51" s="378"/>
      <c r="B51" s="378"/>
      <c r="C51" s="363" t="s">
        <v>1513</v>
      </c>
      <c r="D51" s="367">
        <v>47</v>
      </c>
      <c r="E51" s="393" t="s">
        <v>1437</v>
      </c>
      <c r="F51" s="393" t="s">
        <v>1514</v>
      </c>
      <c r="G51" s="380">
        <v>450000</v>
      </c>
      <c r="H51" s="380">
        <v>59985</v>
      </c>
      <c r="I51" s="380">
        <f t="shared" si="8"/>
        <v>509985</v>
      </c>
      <c r="J51" s="348">
        <v>60</v>
      </c>
      <c r="K51" s="380">
        <v>8499.75</v>
      </c>
      <c r="L51" s="394">
        <f>H51/60</f>
        <v>999.75</v>
      </c>
      <c r="M51" s="394">
        <f>G51/60</f>
        <v>7500</v>
      </c>
      <c r="N51" s="394">
        <f t="shared" si="10"/>
        <v>4998.75</v>
      </c>
      <c r="O51" s="394">
        <f t="shared" si="11"/>
        <v>54986.25</v>
      </c>
      <c r="P51" s="348">
        <v>5</v>
      </c>
      <c r="Q51" s="348">
        <f t="shared" si="12"/>
        <v>55</v>
      </c>
      <c r="R51" s="380">
        <f t="shared" si="13"/>
        <v>42498.75</v>
      </c>
      <c r="S51" s="380">
        <f t="shared" si="14"/>
        <v>467486.25</v>
      </c>
      <c r="T51" s="393"/>
    </row>
    <row r="52" spans="1:20">
      <c r="A52" s="378"/>
      <c r="B52" s="378"/>
      <c r="C52" s="116" t="s">
        <v>1339</v>
      </c>
      <c r="D52" s="367">
        <v>48</v>
      </c>
      <c r="E52" s="393" t="s">
        <v>1437</v>
      </c>
      <c r="F52" s="393" t="s">
        <v>408</v>
      </c>
      <c r="G52" s="351">
        <v>500000</v>
      </c>
      <c r="H52" s="351">
        <v>66650</v>
      </c>
      <c r="I52" s="349">
        <f t="shared" si="8"/>
        <v>566650</v>
      </c>
      <c r="J52" s="348">
        <v>50</v>
      </c>
      <c r="K52" s="380">
        <v>11333</v>
      </c>
      <c r="L52" s="394">
        <f>H52/50</f>
        <v>1333</v>
      </c>
      <c r="M52" s="394">
        <f>G52/50</f>
        <v>10000</v>
      </c>
      <c r="N52" s="394">
        <f t="shared" si="10"/>
        <v>19995</v>
      </c>
      <c r="O52" s="394">
        <f t="shared" si="11"/>
        <v>46655</v>
      </c>
      <c r="P52" s="348">
        <v>15</v>
      </c>
      <c r="Q52" s="354">
        <f t="shared" si="12"/>
        <v>35</v>
      </c>
      <c r="R52" s="350">
        <f t="shared" si="13"/>
        <v>169995</v>
      </c>
      <c r="S52" s="350">
        <f t="shared" si="14"/>
        <v>396655</v>
      </c>
      <c r="T52" s="393"/>
    </row>
    <row r="53" spans="1:20">
      <c r="A53" s="378"/>
      <c r="B53" s="378"/>
      <c r="C53" s="363" t="s">
        <v>1515</v>
      </c>
      <c r="D53" s="367">
        <v>49</v>
      </c>
      <c r="E53" s="393" t="s">
        <v>1437</v>
      </c>
      <c r="F53" s="393" t="s">
        <v>1516</v>
      </c>
      <c r="G53" s="380">
        <v>450000</v>
      </c>
      <c r="H53" s="380">
        <v>59985</v>
      </c>
      <c r="I53" s="380">
        <f t="shared" si="8"/>
        <v>509985</v>
      </c>
      <c r="J53" s="348">
        <v>60</v>
      </c>
      <c r="K53" s="380">
        <v>8499.75</v>
      </c>
      <c r="L53" s="394">
        <f>H53/60</f>
        <v>999.75</v>
      </c>
      <c r="M53" s="394">
        <f>G53/60</f>
        <v>7500</v>
      </c>
      <c r="N53" s="394">
        <f t="shared" si="10"/>
        <v>4998.75</v>
      </c>
      <c r="O53" s="394">
        <f t="shared" si="11"/>
        <v>54986.25</v>
      </c>
      <c r="P53" s="348">
        <v>5</v>
      </c>
      <c r="Q53" s="348">
        <f t="shared" si="12"/>
        <v>55</v>
      </c>
      <c r="R53" s="380">
        <f t="shared" si="13"/>
        <v>42498.75</v>
      </c>
      <c r="S53" s="380">
        <f t="shared" si="14"/>
        <v>467486.25</v>
      </c>
      <c r="T53" s="393"/>
    </row>
    <row r="54" spans="1:20">
      <c r="A54" s="378"/>
      <c r="B54" s="378"/>
      <c r="C54" s="363" t="s">
        <v>1473</v>
      </c>
      <c r="D54" s="367">
        <v>50</v>
      </c>
      <c r="E54" s="393" t="s">
        <v>1437</v>
      </c>
      <c r="F54" s="393" t="s">
        <v>1474</v>
      </c>
      <c r="G54" s="351">
        <v>330000</v>
      </c>
      <c r="H54" s="351">
        <v>43989</v>
      </c>
      <c r="I54" s="349">
        <f t="shared" si="8"/>
        <v>373989</v>
      </c>
      <c r="J54" s="348">
        <v>50</v>
      </c>
      <c r="K54" s="380">
        <v>7479.78</v>
      </c>
      <c r="L54" s="394">
        <f>H54/50</f>
        <v>879.78</v>
      </c>
      <c r="M54" s="394">
        <f>G54/50</f>
        <v>6600</v>
      </c>
      <c r="N54" s="394">
        <f t="shared" si="10"/>
        <v>7038.24</v>
      </c>
      <c r="O54" s="394">
        <f t="shared" si="11"/>
        <v>36950.76</v>
      </c>
      <c r="P54" s="348">
        <v>8</v>
      </c>
      <c r="Q54" s="354">
        <f t="shared" si="12"/>
        <v>42</v>
      </c>
      <c r="R54" s="350">
        <f t="shared" si="13"/>
        <v>59838.239999999998</v>
      </c>
      <c r="S54" s="350">
        <f t="shared" si="14"/>
        <v>314150.76</v>
      </c>
      <c r="T54" s="393"/>
    </row>
    <row r="55" spans="1:20">
      <c r="A55" s="378"/>
      <c r="B55" s="378"/>
      <c r="C55" s="363" t="s">
        <v>1475</v>
      </c>
      <c r="D55" s="367">
        <v>51</v>
      </c>
      <c r="E55" s="393" t="s">
        <v>1437</v>
      </c>
      <c r="F55" s="393" t="s">
        <v>1476</v>
      </c>
      <c r="G55" s="351">
        <v>330000</v>
      </c>
      <c r="H55" s="351">
        <v>43989</v>
      </c>
      <c r="I55" s="349">
        <f t="shared" si="8"/>
        <v>373989</v>
      </c>
      <c r="J55" s="348">
        <v>50</v>
      </c>
      <c r="K55" s="380">
        <v>7479.78</v>
      </c>
      <c r="L55" s="394">
        <f>H55/50</f>
        <v>879.78</v>
      </c>
      <c r="M55" s="394">
        <f>G55/50</f>
        <v>6600</v>
      </c>
      <c r="N55" s="394">
        <f t="shared" si="10"/>
        <v>7038.24</v>
      </c>
      <c r="O55" s="394">
        <f t="shared" si="11"/>
        <v>36950.76</v>
      </c>
      <c r="P55" s="348">
        <v>8</v>
      </c>
      <c r="Q55" s="354">
        <f t="shared" si="12"/>
        <v>42</v>
      </c>
      <c r="R55" s="350">
        <f t="shared" si="13"/>
        <v>59838.239999999998</v>
      </c>
      <c r="S55" s="350">
        <f t="shared" si="14"/>
        <v>314150.76</v>
      </c>
      <c r="T55" s="393"/>
    </row>
    <row r="56" spans="1:20">
      <c r="A56" s="378"/>
      <c r="B56" s="378"/>
      <c r="C56" s="363" t="s">
        <v>1383</v>
      </c>
      <c r="D56" s="367">
        <v>52</v>
      </c>
      <c r="E56" s="393" t="s">
        <v>1437</v>
      </c>
      <c r="F56" s="393" t="s">
        <v>1384</v>
      </c>
      <c r="G56" s="351">
        <v>330000</v>
      </c>
      <c r="H56" s="351">
        <v>43989</v>
      </c>
      <c r="I56" s="349">
        <f t="shared" si="8"/>
        <v>373989</v>
      </c>
      <c r="J56" s="348">
        <v>50</v>
      </c>
      <c r="K56" s="380">
        <v>7479.78</v>
      </c>
      <c r="L56" s="394">
        <f>H56/50</f>
        <v>879.78</v>
      </c>
      <c r="M56" s="394">
        <f>G56/50</f>
        <v>6600</v>
      </c>
      <c r="N56" s="394">
        <f t="shared" si="10"/>
        <v>13196.699999999999</v>
      </c>
      <c r="O56" s="394">
        <f t="shared" si="11"/>
        <v>30792.3</v>
      </c>
      <c r="P56" s="348">
        <v>15</v>
      </c>
      <c r="Q56" s="354">
        <f t="shared" si="12"/>
        <v>35</v>
      </c>
      <c r="R56" s="350">
        <f t="shared" si="13"/>
        <v>112196.7</v>
      </c>
      <c r="S56" s="350">
        <f t="shared" si="14"/>
        <v>261792.3</v>
      </c>
      <c r="T56" s="393"/>
    </row>
    <row r="57" spans="1:20">
      <c r="A57" s="378"/>
      <c r="B57" s="378"/>
      <c r="C57" s="363" t="s">
        <v>1517</v>
      </c>
      <c r="D57" s="367">
        <v>53</v>
      </c>
      <c r="E57" s="393" t="s">
        <v>1437</v>
      </c>
      <c r="F57" s="393" t="s">
        <v>1518</v>
      </c>
      <c r="G57" s="380">
        <v>450000</v>
      </c>
      <c r="H57" s="380">
        <v>59985</v>
      </c>
      <c r="I57" s="380">
        <f t="shared" si="8"/>
        <v>509985</v>
      </c>
      <c r="J57" s="348">
        <v>60</v>
      </c>
      <c r="K57" s="380">
        <v>8499.75</v>
      </c>
      <c r="L57" s="394">
        <f>H57/60</f>
        <v>999.75</v>
      </c>
      <c r="M57" s="394">
        <f>G57/60</f>
        <v>7500</v>
      </c>
      <c r="N57" s="394">
        <f t="shared" si="10"/>
        <v>4998.75</v>
      </c>
      <c r="O57" s="394">
        <f t="shared" si="11"/>
        <v>54986.25</v>
      </c>
      <c r="P57" s="348">
        <v>5</v>
      </c>
      <c r="Q57" s="348">
        <f t="shared" si="12"/>
        <v>55</v>
      </c>
      <c r="R57" s="380">
        <f t="shared" si="13"/>
        <v>42498.75</v>
      </c>
      <c r="S57" s="380">
        <f t="shared" si="14"/>
        <v>467486.25</v>
      </c>
      <c r="T57" s="393"/>
    </row>
    <row r="58" spans="1:20">
      <c r="A58" s="378"/>
      <c r="B58" s="378"/>
      <c r="C58" s="363" t="s">
        <v>1370</v>
      </c>
      <c r="D58" s="367">
        <v>54</v>
      </c>
      <c r="E58" s="393" t="s">
        <v>1437</v>
      </c>
      <c r="F58" s="393" t="s">
        <v>1371</v>
      </c>
      <c r="G58" s="351">
        <v>330000</v>
      </c>
      <c r="H58" s="351">
        <v>43989</v>
      </c>
      <c r="I58" s="349">
        <f t="shared" si="8"/>
        <v>373989</v>
      </c>
      <c r="J58" s="348">
        <v>50</v>
      </c>
      <c r="K58" s="380">
        <v>7479.78</v>
      </c>
      <c r="L58" s="394">
        <f>H58/50</f>
        <v>879.78</v>
      </c>
      <c r="M58" s="394">
        <f t="shared" ref="M58:M65" si="16">G58/50</f>
        <v>6600</v>
      </c>
      <c r="N58" s="394">
        <f t="shared" si="10"/>
        <v>15836.039999999999</v>
      </c>
      <c r="O58" s="394">
        <f t="shared" si="11"/>
        <v>28152.959999999999</v>
      </c>
      <c r="P58" s="348">
        <v>18</v>
      </c>
      <c r="Q58" s="354">
        <f t="shared" si="12"/>
        <v>32</v>
      </c>
      <c r="R58" s="350">
        <f t="shared" si="13"/>
        <v>134636.04</v>
      </c>
      <c r="S58" s="350">
        <f t="shared" si="14"/>
        <v>239352.95999999999</v>
      </c>
      <c r="T58" s="393"/>
    </row>
    <row r="59" spans="1:20">
      <c r="A59" s="378"/>
      <c r="B59" s="378"/>
      <c r="C59" s="116" t="s">
        <v>1313</v>
      </c>
      <c r="D59" s="367">
        <v>55</v>
      </c>
      <c r="E59" s="393" t="s">
        <v>1437</v>
      </c>
      <c r="F59" s="393" t="s">
        <v>1314</v>
      </c>
      <c r="G59" s="351">
        <v>450000</v>
      </c>
      <c r="H59" s="351">
        <v>28792.799999999999</v>
      </c>
      <c r="I59" s="349">
        <f t="shared" si="8"/>
        <v>478792.8</v>
      </c>
      <c r="J59" s="348">
        <v>24</v>
      </c>
      <c r="K59" s="380">
        <v>19949.7</v>
      </c>
      <c r="L59" s="394">
        <f>H59/24</f>
        <v>1199.7</v>
      </c>
      <c r="M59" s="394">
        <f t="shared" si="16"/>
        <v>9000</v>
      </c>
      <c r="N59" s="394">
        <f t="shared" si="10"/>
        <v>17995.5</v>
      </c>
      <c r="O59" s="394">
        <f t="shared" si="11"/>
        <v>10797.300000000001</v>
      </c>
      <c r="P59" s="348">
        <v>15</v>
      </c>
      <c r="Q59" s="354">
        <f t="shared" si="12"/>
        <v>9</v>
      </c>
      <c r="R59" s="350">
        <f t="shared" si="13"/>
        <v>299245.5</v>
      </c>
      <c r="S59" s="350">
        <f t="shared" si="14"/>
        <v>179547.3</v>
      </c>
      <c r="T59" s="393"/>
    </row>
    <row r="60" spans="1:20">
      <c r="A60" s="378"/>
      <c r="B60" s="378"/>
      <c r="C60" s="364" t="s">
        <v>1386</v>
      </c>
      <c r="D60" s="367">
        <v>56</v>
      </c>
      <c r="E60" s="393" t="s">
        <v>1437</v>
      </c>
      <c r="F60" s="393" t="s">
        <v>1387</v>
      </c>
      <c r="G60" s="351">
        <v>330000</v>
      </c>
      <c r="H60" s="351">
        <v>43989</v>
      </c>
      <c r="I60" s="349">
        <f t="shared" si="8"/>
        <v>373989</v>
      </c>
      <c r="J60" s="348">
        <v>50</v>
      </c>
      <c r="K60" s="380">
        <v>7479.78</v>
      </c>
      <c r="L60" s="394">
        <f t="shared" ref="L60:L65" si="17">H60/50</f>
        <v>879.78</v>
      </c>
      <c r="M60" s="394">
        <f t="shared" si="16"/>
        <v>6600</v>
      </c>
      <c r="N60" s="394">
        <f t="shared" si="10"/>
        <v>23754.059999999998</v>
      </c>
      <c r="O60" s="394">
        <f t="shared" si="11"/>
        <v>20234.939999999999</v>
      </c>
      <c r="P60" s="348">
        <v>27</v>
      </c>
      <c r="Q60" s="354">
        <f t="shared" si="12"/>
        <v>23</v>
      </c>
      <c r="R60" s="350">
        <f t="shared" si="13"/>
        <v>201954.06</v>
      </c>
      <c r="S60" s="350">
        <f t="shared" si="14"/>
        <v>172034.94</v>
      </c>
      <c r="T60" s="393"/>
    </row>
    <row r="61" spans="1:20" ht="31.5">
      <c r="A61" s="378"/>
      <c r="B61" s="378"/>
      <c r="C61" s="364" t="s">
        <v>975</v>
      </c>
      <c r="D61" s="367">
        <v>57</v>
      </c>
      <c r="E61" s="393" t="s">
        <v>1437</v>
      </c>
      <c r="F61" s="395" t="s">
        <v>875</v>
      </c>
      <c r="G61" s="351">
        <v>450000</v>
      </c>
      <c r="H61" s="351">
        <v>59985</v>
      </c>
      <c r="I61" s="349">
        <f t="shared" si="8"/>
        <v>509985</v>
      </c>
      <c r="J61" s="348">
        <v>50</v>
      </c>
      <c r="K61" s="380">
        <v>10199.700000000001</v>
      </c>
      <c r="L61" s="394">
        <f t="shared" si="17"/>
        <v>1199.7</v>
      </c>
      <c r="M61" s="394">
        <f t="shared" si="16"/>
        <v>9000</v>
      </c>
      <c r="N61" s="394">
        <f t="shared" si="10"/>
        <v>41989.5</v>
      </c>
      <c r="O61" s="394">
        <f t="shared" si="11"/>
        <v>17995.5</v>
      </c>
      <c r="P61" s="348">
        <v>35</v>
      </c>
      <c r="Q61" s="354">
        <f t="shared" si="12"/>
        <v>15</v>
      </c>
      <c r="R61" s="350">
        <f t="shared" si="13"/>
        <v>356989.5</v>
      </c>
      <c r="S61" s="350">
        <f t="shared" si="14"/>
        <v>152995.5</v>
      </c>
      <c r="T61" s="393"/>
    </row>
    <row r="62" spans="1:20">
      <c r="A62" s="378"/>
      <c r="B62" s="378"/>
      <c r="C62" s="364" t="s">
        <v>1357</v>
      </c>
      <c r="D62" s="367">
        <v>58</v>
      </c>
      <c r="E62" s="393" t="s">
        <v>1437</v>
      </c>
      <c r="F62" s="393" t="s">
        <v>858</v>
      </c>
      <c r="G62" s="351">
        <v>450000</v>
      </c>
      <c r="H62" s="351">
        <v>59985</v>
      </c>
      <c r="I62" s="349">
        <f t="shared" si="8"/>
        <v>509985</v>
      </c>
      <c r="J62" s="348">
        <v>50</v>
      </c>
      <c r="K62" s="380">
        <v>10199.700000000001</v>
      </c>
      <c r="L62" s="394">
        <f t="shared" si="17"/>
        <v>1199.7</v>
      </c>
      <c r="M62" s="394">
        <f t="shared" si="16"/>
        <v>9000</v>
      </c>
      <c r="N62" s="394">
        <f t="shared" si="10"/>
        <v>32391.9</v>
      </c>
      <c r="O62" s="394">
        <f t="shared" si="11"/>
        <v>27593.100000000002</v>
      </c>
      <c r="P62" s="348">
        <v>27</v>
      </c>
      <c r="Q62" s="354">
        <f t="shared" si="12"/>
        <v>23</v>
      </c>
      <c r="R62" s="350">
        <f t="shared" si="13"/>
        <v>275391.90000000002</v>
      </c>
      <c r="S62" s="350">
        <f t="shared" si="14"/>
        <v>234593.09999999998</v>
      </c>
      <c r="T62" s="393"/>
    </row>
    <row r="63" spans="1:20">
      <c r="A63" s="378"/>
      <c r="B63" s="378"/>
      <c r="C63" s="393" t="s">
        <v>1528</v>
      </c>
      <c r="D63" s="367">
        <v>59</v>
      </c>
      <c r="E63" s="393" t="s">
        <v>1437</v>
      </c>
      <c r="F63" s="393" t="s">
        <v>1529</v>
      </c>
      <c r="G63" s="351">
        <v>500000</v>
      </c>
      <c r="H63" s="351">
        <v>66650</v>
      </c>
      <c r="I63" s="349">
        <f t="shared" si="8"/>
        <v>566650</v>
      </c>
      <c r="J63" s="348">
        <v>50</v>
      </c>
      <c r="K63" s="380">
        <v>11333</v>
      </c>
      <c r="L63" s="394">
        <f t="shared" si="17"/>
        <v>1333</v>
      </c>
      <c r="M63" s="394">
        <f t="shared" si="16"/>
        <v>10000</v>
      </c>
      <c r="N63" s="394">
        <f t="shared" si="10"/>
        <v>18662</v>
      </c>
      <c r="O63" s="394">
        <f t="shared" si="11"/>
        <v>47988</v>
      </c>
      <c r="P63" s="348">
        <v>14</v>
      </c>
      <c r="Q63" s="354">
        <f t="shared" si="12"/>
        <v>36</v>
      </c>
      <c r="R63" s="350">
        <f t="shared" si="13"/>
        <v>158662</v>
      </c>
      <c r="S63" s="350">
        <f t="shared" si="14"/>
        <v>407988</v>
      </c>
      <c r="T63" s="393"/>
    </row>
    <row r="64" spans="1:20">
      <c r="A64" s="378"/>
      <c r="B64" s="378"/>
      <c r="C64" s="116" t="s">
        <v>1346</v>
      </c>
      <c r="D64" s="367">
        <v>60</v>
      </c>
      <c r="E64" s="393" t="s">
        <v>1437</v>
      </c>
      <c r="F64" s="393" t="s">
        <v>1347</v>
      </c>
      <c r="G64" s="351">
        <v>500000</v>
      </c>
      <c r="H64" s="351">
        <v>66650</v>
      </c>
      <c r="I64" s="349">
        <f t="shared" si="8"/>
        <v>566650</v>
      </c>
      <c r="J64" s="348">
        <v>50</v>
      </c>
      <c r="K64" s="380">
        <v>11333</v>
      </c>
      <c r="L64" s="394">
        <f t="shared" si="17"/>
        <v>1333</v>
      </c>
      <c r="M64" s="394">
        <f t="shared" si="16"/>
        <v>10000</v>
      </c>
      <c r="N64" s="394">
        <f t="shared" si="10"/>
        <v>26660</v>
      </c>
      <c r="O64" s="394">
        <f t="shared" si="11"/>
        <v>39990</v>
      </c>
      <c r="P64" s="348">
        <v>20</v>
      </c>
      <c r="Q64" s="354">
        <f t="shared" si="12"/>
        <v>30</v>
      </c>
      <c r="R64" s="350">
        <f t="shared" si="13"/>
        <v>226660</v>
      </c>
      <c r="S64" s="350">
        <f t="shared" si="14"/>
        <v>339990</v>
      </c>
      <c r="T64" s="393"/>
    </row>
    <row r="65" spans="1:20">
      <c r="A65" s="378"/>
      <c r="B65" s="378"/>
      <c r="C65" s="364" t="s">
        <v>1356</v>
      </c>
      <c r="D65" s="367">
        <v>61</v>
      </c>
      <c r="E65" s="393" t="s">
        <v>1437</v>
      </c>
      <c r="F65" s="393" t="s">
        <v>1286</v>
      </c>
      <c r="G65" s="351">
        <v>450000</v>
      </c>
      <c r="H65" s="351">
        <v>59985</v>
      </c>
      <c r="I65" s="349">
        <f t="shared" si="8"/>
        <v>509985</v>
      </c>
      <c r="J65" s="348">
        <v>50</v>
      </c>
      <c r="K65" s="380">
        <v>10199.700000000001</v>
      </c>
      <c r="L65" s="394">
        <f t="shared" si="17"/>
        <v>1199.7</v>
      </c>
      <c r="M65" s="394">
        <f t="shared" si="16"/>
        <v>9000</v>
      </c>
      <c r="N65" s="394">
        <f t="shared" si="10"/>
        <v>23994</v>
      </c>
      <c r="O65" s="394">
        <f t="shared" si="11"/>
        <v>35991</v>
      </c>
      <c r="P65" s="348">
        <v>20</v>
      </c>
      <c r="Q65" s="354">
        <f t="shared" si="12"/>
        <v>30</v>
      </c>
      <c r="R65" s="350">
        <f t="shared" si="13"/>
        <v>203994</v>
      </c>
      <c r="S65" s="350">
        <f t="shared" si="14"/>
        <v>305991</v>
      </c>
      <c r="T65" s="393"/>
    </row>
    <row r="66" spans="1:20">
      <c r="A66" s="378"/>
      <c r="B66" s="378"/>
      <c r="C66" s="363" t="s">
        <v>1501</v>
      </c>
      <c r="D66" s="367">
        <v>62</v>
      </c>
      <c r="E66" s="393" t="s">
        <v>1437</v>
      </c>
      <c r="F66" s="393" t="s">
        <v>484</v>
      </c>
      <c r="G66" s="380">
        <v>750000</v>
      </c>
      <c r="H66" s="380">
        <v>99925</v>
      </c>
      <c r="I66" s="380">
        <f t="shared" si="8"/>
        <v>849925</v>
      </c>
      <c r="J66" s="348">
        <v>60</v>
      </c>
      <c r="K66" s="380">
        <v>14166.25</v>
      </c>
      <c r="L66" s="394">
        <f>H66/60</f>
        <v>1665.4166666666667</v>
      </c>
      <c r="M66" s="394">
        <f>G66/60</f>
        <v>12500</v>
      </c>
      <c r="N66" s="394">
        <f t="shared" si="10"/>
        <v>8327.0833333333339</v>
      </c>
      <c r="O66" s="394">
        <f t="shared" si="11"/>
        <v>91597.916666666672</v>
      </c>
      <c r="P66" s="348">
        <v>5</v>
      </c>
      <c r="Q66" s="348">
        <f t="shared" si="12"/>
        <v>55</v>
      </c>
      <c r="R66" s="380">
        <f t="shared" si="13"/>
        <v>70831.25</v>
      </c>
      <c r="S66" s="380">
        <f t="shared" si="14"/>
        <v>779093.75</v>
      </c>
      <c r="T66" s="393"/>
    </row>
    <row r="67" spans="1:20">
      <c r="A67" s="378"/>
      <c r="B67" s="378"/>
      <c r="C67" s="364" t="s">
        <v>1043</v>
      </c>
      <c r="D67" s="367">
        <v>63</v>
      </c>
      <c r="E67" s="393" t="s">
        <v>1437</v>
      </c>
      <c r="F67" s="393" t="s">
        <v>444</v>
      </c>
      <c r="G67" s="351">
        <v>500000</v>
      </c>
      <c r="H67" s="351">
        <v>66650</v>
      </c>
      <c r="I67" s="349">
        <f t="shared" si="8"/>
        <v>566650</v>
      </c>
      <c r="J67" s="348">
        <v>50</v>
      </c>
      <c r="K67" s="380">
        <v>11333</v>
      </c>
      <c r="L67" s="394">
        <f t="shared" ref="L67:L72" si="18">H67/50</f>
        <v>1333</v>
      </c>
      <c r="M67" s="394">
        <f t="shared" ref="M67:M72" si="19">G67/50</f>
        <v>10000</v>
      </c>
      <c r="N67" s="394">
        <f t="shared" si="10"/>
        <v>53320</v>
      </c>
      <c r="O67" s="394">
        <f t="shared" si="11"/>
        <v>13330</v>
      </c>
      <c r="P67" s="348">
        <v>40</v>
      </c>
      <c r="Q67" s="354">
        <f t="shared" si="12"/>
        <v>10</v>
      </c>
      <c r="R67" s="350">
        <f t="shared" si="13"/>
        <v>453320</v>
      </c>
      <c r="S67" s="350">
        <f t="shared" si="14"/>
        <v>113330</v>
      </c>
      <c r="T67" s="393"/>
    </row>
    <row r="68" spans="1:20">
      <c r="A68" s="378"/>
      <c r="B68" s="378"/>
      <c r="C68" s="363" t="s">
        <v>1001</v>
      </c>
      <c r="D68" s="367">
        <v>64</v>
      </c>
      <c r="E68" s="393" t="s">
        <v>1437</v>
      </c>
      <c r="F68" s="393" t="s">
        <v>834</v>
      </c>
      <c r="G68" s="351">
        <v>330000</v>
      </c>
      <c r="H68" s="351">
        <v>43989</v>
      </c>
      <c r="I68" s="349">
        <f t="shared" si="8"/>
        <v>373989</v>
      </c>
      <c r="J68" s="348">
        <v>50</v>
      </c>
      <c r="K68" s="380">
        <v>7479.78</v>
      </c>
      <c r="L68" s="394">
        <f t="shared" si="18"/>
        <v>879.78</v>
      </c>
      <c r="M68" s="394">
        <f t="shared" si="19"/>
        <v>6600</v>
      </c>
      <c r="N68" s="394">
        <f t="shared" si="10"/>
        <v>35191.199999999997</v>
      </c>
      <c r="O68" s="394">
        <f t="shared" si="11"/>
        <v>8797.7999999999993</v>
      </c>
      <c r="P68" s="348">
        <v>40</v>
      </c>
      <c r="Q68" s="354">
        <f t="shared" si="12"/>
        <v>10</v>
      </c>
      <c r="R68" s="350">
        <f t="shared" si="13"/>
        <v>299191.2</v>
      </c>
      <c r="S68" s="350">
        <f t="shared" si="14"/>
        <v>74797.799999999988</v>
      </c>
      <c r="T68" s="393"/>
    </row>
    <row r="69" spans="1:20">
      <c r="A69" s="378"/>
      <c r="B69" s="378"/>
      <c r="C69" s="116" t="s">
        <v>996</v>
      </c>
      <c r="D69" s="367">
        <v>65</v>
      </c>
      <c r="E69" s="393" t="s">
        <v>1437</v>
      </c>
      <c r="F69" s="393" t="s">
        <v>338</v>
      </c>
      <c r="G69" s="351">
        <v>500000</v>
      </c>
      <c r="H69" s="351">
        <v>66650</v>
      </c>
      <c r="I69" s="349">
        <f t="shared" ref="I69:I100" si="20">SUM(G69:H69)</f>
        <v>566650</v>
      </c>
      <c r="J69" s="348">
        <v>40</v>
      </c>
      <c r="K69" s="380">
        <v>13833</v>
      </c>
      <c r="L69" s="394">
        <f t="shared" si="18"/>
        <v>1333</v>
      </c>
      <c r="M69" s="394">
        <f t="shared" si="19"/>
        <v>10000</v>
      </c>
      <c r="N69" s="394">
        <f t="shared" ref="N69:N100" si="21">L69*P69</f>
        <v>19995</v>
      </c>
      <c r="O69" s="394">
        <f t="shared" ref="O69:O100" si="22">L69*Q69</f>
        <v>33325</v>
      </c>
      <c r="P69" s="348">
        <v>15</v>
      </c>
      <c r="Q69" s="354">
        <f t="shared" ref="Q69:Q100" si="23">J69-P69</f>
        <v>25</v>
      </c>
      <c r="R69" s="350">
        <f t="shared" ref="R69:R100" si="24">K69*P69</f>
        <v>207495</v>
      </c>
      <c r="S69" s="350">
        <f t="shared" ref="S69:S100" si="25">I69-R69</f>
        <v>359155</v>
      </c>
      <c r="T69" s="393"/>
    </row>
    <row r="70" spans="1:20">
      <c r="A70" s="378"/>
      <c r="B70" s="378"/>
      <c r="C70" s="116" t="s">
        <v>1335</v>
      </c>
      <c r="D70" s="367">
        <v>66</v>
      </c>
      <c r="E70" s="393" t="s">
        <v>1437</v>
      </c>
      <c r="F70" s="393" t="s">
        <v>1336</v>
      </c>
      <c r="G70" s="351">
        <v>500000</v>
      </c>
      <c r="H70" s="351">
        <v>66650</v>
      </c>
      <c r="I70" s="349">
        <f t="shared" si="20"/>
        <v>566650</v>
      </c>
      <c r="J70" s="348">
        <v>50</v>
      </c>
      <c r="K70" s="380">
        <v>11333</v>
      </c>
      <c r="L70" s="394">
        <f t="shared" si="18"/>
        <v>1333</v>
      </c>
      <c r="M70" s="394">
        <f t="shared" si="19"/>
        <v>10000</v>
      </c>
      <c r="N70" s="394">
        <f t="shared" si="21"/>
        <v>29326</v>
      </c>
      <c r="O70" s="394">
        <f t="shared" si="22"/>
        <v>37324</v>
      </c>
      <c r="P70" s="348">
        <v>22</v>
      </c>
      <c r="Q70" s="354">
        <f t="shared" si="23"/>
        <v>28</v>
      </c>
      <c r="R70" s="350">
        <f t="shared" si="24"/>
        <v>249326</v>
      </c>
      <c r="S70" s="350">
        <f t="shared" si="25"/>
        <v>317324</v>
      </c>
      <c r="T70" s="393"/>
    </row>
    <row r="71" spans="1:20">
      <c r="A71" s="378"/>
      <c r="B71" s="378"/>
      <c r="C71" s="364" t="s">
        <v>1312</v>
      </c>
      <c r="D71" s="367">
        <v>67</v>
      </c>
      <c r="E71" s="393" t="s">
        <v>1437</v>
      </c>
      <c r="F71" s="393" t="s">
        <v>436</v>
      </c>
      <c r="G71" s="351">
        <v>500000</v>
      </c>
      <c r="H71" s="351">
        <v>66650</v>
      </c>
      <c r="I71" s="349">
        <f t="shared" si="20"/>
        <v>566650</v>
      </c>
      <c r="J71" s="348">
        <v>25</v>
      </c>
      <c r="K71" s="380">
        <v>21333</v>
      </c>
      <c r="L71" s="394">
        <f t="shared" si="18"/>
        <v>1333</v>
      </c>
      <c r="M71" s="394">
        <f t="shared" si="19"/>
        <v>10000</v>
      </c>
      <c r="N71" s="394">
        <f t="shared" si="21"/>
        <v>26660</v>
      </c>
      <c r="O71" s="394">
        <f t="shared" si="22"/>
        <v>6665</v>
      </c>
      <c r="P71" s="348">
        <v>20</v>
      </c>
      <c r="Q71" s="354">
        <f t="shared" si="23"/>
        <v>5</v>
      </c>
      <c r="R71" s="350">
        <f t="shared" si="24"/>
        <v>426660</v>
      </c>
      <c r="S71" s="350">
        <f t="shared" si="25"/>
        <v>139990</v>
      </c>
      <c r="T71" s="393"/>
    </row>
    <row r="72" spans="1:20">
      <c r="A72" s="378"/>
      <c r="B72" s="378"/>
      <c r="C72" s="116" t="s">
        <v>1044</v>
      </c>
      <c r="D72" s="367">
        <v>68</v>
      </c>
      <c r="E72" s="393" t="s">
        <v>1437</v>
      </c>
      <c r="F72" s="393" t="s">
        <v>844</v>
      </c>
      <c r="G72" s="351">
        <v>150000</v>
      </c>
      <c r="H72" s="351">
        <v>19995</v>
      </c>
      <c r="I72" s="349">
        <f t="shared" si="20"/>
        <v>169995</v>
      </c>
      <c r="J72" s="348">
        <v>50</v>
      </c>
      <c r="K72" s="380">
        <v>3399.9</v>
      </c>
      <c r="L72" s="394">
        <f t="shared" si="18"/>
        <v>399.9</v>
      </c>
      <c r="M72" s="394">
        <f t="shared" si="19"/>
        <v>3000</v>
      </c>
      <c r="N72" s="394">
        <f t="shared" si="21"/>
        <v>15996</v>
      </c>
      <c r="O72" s="394">
        <f t="shared" si="22"/>
        <v>3999</v>
      </c>
      <c r="P72" s="348">
        <v>40</v>
      </c>
      <c r="Q72" s="354">
        <f t="shared" si="23"/>
        <v>10</v>
      </c>
      <c r="R72" s="350">
        <f t="shared" si="24"/>
        <v>135996</v>
      </c>
      <c r="S72" s="350">
        <f t="shared" si="25"/>
        <v>33999</v>
      </c>
      <c r="T72" s="393"/>
    </row>
    <row r="73" spans="1:20">
      <c r="A73" s="378"/>
      <c r="B73" s="378"/>
      <c r="C73" s="363" t="s">
        <v>1494</v>
      </c>
      <c r="D73" s="367">
        <v>69</v>
      </c>
      <c r="E73" s="393" t="s">
        <v>1437</v>
      </c>
      <c r="F73" s="393" t="s">
        <v>1495</v>
      </c>
      <c r="G73" s="380">
        <v>750000</v>
      </c>
      <c r="H73" s="380">
        <v>99925</v>
      </c>
      <c r="I73" s="380">
        <f t="shared" si="20"/>
        <v>849925</v>
      </c>
      <c r="J73" s="348">
        <v>60</v>
      </c>
      <c r="K73" s="380">
        <v>14166.25</v>
      </c>
      <c r="L73" s="394">
        <f>H73/60</f>
        <v>1665.4166666666667</v>
      </c>
      <c r="M73" s="394">
        <f>G73/60</f>
        <v>12500</v>
      </c>
      <c r="N73" s="394">
        <f t="shared" si="21"/>
        <v>8327.0833333333339</v>
      </c>
      <c r="O73" s="394">
        <f t="shared" si="22"/>
        <v>91597.916666666672</v>
      </c>
      <c r="P73" s="348">
        <v>5</v>
      </c>
      <c r="Q73" s="348">
        <f t="shared" si="23"/>
        <v>55</v>
      </c>
      <c r="R73" s="380">
        <f t="shared" si="24"/>
        <v>70831.25</v>
      </c>
      <c r="S73" s="380">
        <f t="shared" si="25"/>
        <v>779093.75</v>
      </c>
      <c r="T73" s="393"/>
    </row>
    <row r="74" spans="1:20">
      <c r="A74" s="378"/>
      <c r="B74" s="378"/>
      <c r="C74" s="364" t="s">
        <v>1328</v>
      </c>
      <c r="D74" s="367">
        <v>70</v>
      </c>
      <c r="E74" s="393" t="s">
        <v>1437</v>
      </c>
      <c r="F74" s="393" t="s">
        <v>433</v>
      </c>
      <c r="G74" s="351">
        <v>500000</v>
      </c>
      <c r="H74" s="351">
        <v>66650</v>
      </c>
      <c r="I74" s="349">
        <f t="shared" si="20"/>
        <v>566650</v>
      </c>
      <c r="J74" s="348">
        <v>50</v>
      </c>
      <c r="K74" s="380">
        <v>11333</v>
      </c>
      <c r="L74" s="394">
        <f t="shared" ref="L74:L81" si="26">H74/50</f>
        <v>1333</v>
      </c>
      <c r="M74" s="394">
        <f t="shared" ref="M74:M81" si="27">G74/50</f>
        <v>10000</v>
      </c>
      <c r="N74" s="394">
        <f t="shared" si="21"/>
        <v>34658</v>
      </c>
      <c r="O74" s="394">
        <f t="shared" si="22"/>
        <v>31992</v>
      </c>
      <c r="P74" s="348">
        <v>26</v>
      </c>
      <c r="Q74" s="354">
        <f t="shared" si="23"/>
        <v>24</v>
      </c>
      <c r="R74" s="350">
        <f t="shared" si="24"/>
        <v>294658</v>
      </c>
      <c r="S74" s="350">
        <f t="shared" si="25"/>
        <v>271992</v>
      </c>
      <c r="T74" s="393"/>
    </row>
    <row r="75" spans="1:20">
      <c r="A75" s="378"/>
      <c r="B75" s="378"/>
      <c r="C75" s="364" t="s">
        <v>1322</v>
      </c>
      <c r="D75" s="367">
        <v>71</v>
      </c>
      <c r="E75" s="393" t="s">
        <v>1437</v>
      </c>
      <c r="F75" s="393" t="s">
        <v>1122</v>
      </c>
      <c r="G75" s="351">
        <v>500000</v>
      </c>
      <c r="H75" s="351">
        <v>66650</v>
      </c>
      <c r="I75" s="349">
        <f t="shared" si="20"/>
        <v>566650</v>
      </c>
      <c r="J75" s="348">
        <v>50</v>
      </c>
      <c r="K75" s="380">
        <v>11333</v>
      </c>
      <c r="L75" s="394">
        <f t="shared" si="26"/>
        <v>1333</v>
      </c>
      <c r="M75" s="394">
        <f t="shared" si="27"/>
        <v>10000</v>
      </c>
      <c r="N75" s="394">
        <f t="shared" si="21"/>
        <v>35991</v>
      </c>
      <c r="O75" s="394">
        <f t="shared" si="22"/>
        <v>30659</v>
      </c>
      <c r="P75" s="348">
        <v>27</v>
      </c>
      <c r="Q75" s="354">
        <f t="shared" si="23"/>
        <v>23</v>
      </c>
      <c r="R75" s="350">
        <f t="shared" si="24"/>
        <v>305991</v>
      </c>
      <c r="S75" s="350">
        <f t="shared" si="25"/>
        <v>260659</v>
      </c>
      <c r="T75" s="393"/>
    </row>
    <row r="76" spans="1:20">
      <c r="A76" s="378"/>
      <c r="B76" s="378"/>
      <c r="C76" s="363" t="s">
        <v>1464</v>
      </c>
      <c r="D76" s="367">
        <v>72</v>
      </c>
      <c r="E76" s="393" t="s">
        <v>1437</v>
      </c>
      <c r="F76" s="393" t="s">
        <v>445</v>
      </c>
      <c r="G76" s="351">
        <v>500000</v>
      </c>
      <c r="H76" s="351">
        <v>66650</v>
      </c>
      <c r="I76" s="349">
        <f t="shared" si="20"/>
        <v>566650</v>
      </c>
      <c r="J76" s="348">
        <v>50</v>
      </c>
      <c r="K76" s="380">
        <v>11333</v>
      </c>
      <c r="L76" s="394">
        <f t="shared" si="26"/>
        <v>1333</v>
      </c>
      <c r="M76" s="394">
        <f t="shared" si="27"/>
        <v>10000</v>
      </c>
      <c r="N76" s="394">
        <f t="shared" si="21"/>
        <v>10664</v>
      </c>
      <c r="O76" s="394">
        <f t="shared" si="22"/>
        <v>55986</v>
      </c>
      <c r="P76" s="348">
        <v>8</v>
      </c>
      <c r="Q76" s="354">
        <f t="shared" si="23"/>
        <v>42</v>
      </c>
      <c r="R76" s="350">
        <f t="shared" si="24"/>
        <v>90664</v>
      </c>
      <c r="S76" s="350">
        <f t="shared" si="25"/>
        <v>475986</v>
      </c>
      <c r="T76" s="393"/>
    </row>
    <row r="77" spans="1:20">
      <c r="A77" s="378"/>
      <c r="B77" s="378"/>
      <c r="C77" s="364" t="s">
        <v>1125</v>
      </c>
      <c r="D77" s="367">
        <v>73</v>
      </c>
      <c r="E77" s="393" t="s">
        <v>1437</v>
      </c>
      <c r="F77" s="393" t="s">
        <v>452</v>
      </c>
      <c r="G77" s="351">
        <v>500000</v>
      </c>
      <c r="H77" s="351">
        <v>66650</v>
      </c>
      <c r="I77" s="349">
        <f t="shared" si="20"/>
        <v>566650</v>
      </c>
      <c r="J77" s="348">
        <v>50</v>
      </c>
      <c r="K77" s="380">
        <v>11333</v>
      </c>
      <c r="L77" s="394">
        <f t="shared" si="26"/>
        <v>1333</v>
      </c>
      <c r="M77" s="394">
        <f t="shared" si="27"/>
        <v>10000</v>
      </c>
      <c r="N77" s="394">
        <f t="shared" si="21"/>
        <v>37324</v>
      </c>
      <c r="O77" s="394">
        <f t="shared" si="22"/>
        <v>29326</v>
      </c>
      <c r="P77" s="348">
        <v>28</v>
      </c>
      <c r="Q77" s="354">
        <f t="shared" si="23"/>
        <v>22</v>
      </c>
      <c r="R77" s="350">
        <f t="shared" si="24"/>
        <v>317324</v>
      </c>
      <c r="S77" s="350">
        <f t="shared" si="25"/>
        <v>249326</v>
      </c>
      <c r="T77" s="393"/>
    </row>
    <row r="78" spans="1:20">
      <c r="A78" s="378"/>
      <c r="B78" s="378"/>
      <c r="C78" s="364" t="s">
        <v>1390</v>
      </c>
      <c r="D78" s="367">
        <v>74</v>
      </c>
      <c r="E78" s="393" t="s">
        <v>1437</v>
      </c>
      <c r="F78" s="393" t="s">
        <v>1391</v>
      </c>
      <c r="G78" s="351">
        <v>150000</v>
      </c>
      <c r="H78" s="351">
        <v>19995</v>
      </c>
      <c r="I78" s="349">
        <f t="shared" si="20"/>
        <v>169995</v>
      </c>
      <c r="J78" s="348">
        <v>40</v>
      </c>
      <c r="K78" s="380">
        <v>4149.8999999999996</v>
      </c>
      <c r="L78" s="394">
        <f t="shared" si="26"/>
        <v>399.9</v>
      </c>
      <c r="M78" s="394">
        <f t="shared" si="27"/>
        <v>3000</v>
      </c>
      <c r="N78" s="394">
        <f t="shared" si="21"/>
        <v>10797.3</v>
      </c>
      <c r="O78" s="394">
        <f t="shared" si="22"/>
        <v>5198.7</v>
      </c>
      <c r="P78" s="348">
        <v>27</v>
      </c>
      <c r="Q78" s="354">
        <f t="shared" si="23"/>
        <v>13</v>
      </c>
      <c r="R78" s="350">
        <f t="shared" si="24"/>
        <v>112047.29999999999</v>
      </c>
      <c r="S78" s="350">
        <f t="shared" si="25"/>
        <v>57947.700000000012</v>
      </c>
      <c r="T78" s="393"/>
    </row>
    <row r="79" spans="1:20">
      <c r="A79" s="378"/>
      <c r="B79" s="378"/>
      <c r="C79" s="363" t="s">
        <v>1477</v>
      </c>
      <c r="D79" s="367">
        <v>75</v>
      </c>
      <c r="E79" s="393" t="s">
        <v>1437</v>
      </c>
      <c r="F79" s="393" t="s">
        <v>1478</v>
      </c>
      <c r="G79" s="351">
        <v>330000</v>
      </c>
      <c r="H79" s="351">
        <v>43989</v>
      </c>
      <c r="I79" s="349">
        <f t="shared" si="20"/>
        <v>373989</v>
      </c>
      <c r="J79" s="348">
        <v>50</v>
      </c>
      <c r="K79" s="380">
        <v>7479.78</v>
      </c>
      <c r="L79" s="394">
        <f t="shared" si="26"/>
        <v>879.78</v>
      </c>
      <c r="M79" s="394">
        <f t="shared" si="27"/>
        <v>6600</v>
      </c>
      <c r="N79" s="394">
        <f t="shared" si="21"/>
        <v>7038.24</v>
      </c>
      <c r="O79" s="394">
        <f t="shared" si="22"/>
        <v>36950.76</v>
      </c>
      <c r="P79" s="348">
        <v>8</v>
      </c>
      <c r="Q79" s="354">
        <f t="shared" si="23"/>
        <v>42</v>
      </c>
      <c r="R79" s="350">
        <f t="shared" si="24"/>
        <v>59838.239999999998</v>
      </c>
      <c r="S79" s="350">
        <f t="shared" si="25"/>
        <v>314150.76</v>
      </c>
      <c r="T79" s="393"/>
    </row>
    <row r="80" spans="1:20">
      <c r="A80" s="378"/>
      <c r="B80" s="378"/>
      <c r="C80" s="364" t="s">
        <v>1078</v>
      </c>
      <c r="D80" s="367">
        <v>76</v>
      </c>
      <c r="E80" s="393" t="s">
        <v>1437</v>
      </c>
      <c r="F80" s="393" t="s">
        <v>446</v>
      </c>
      <c r="G80" s="351">
        <v>330000</v>
      </c>
      <c r="H80" s="351">
        <v>43989</v>
      </c>
      <c r="I80" s="349">
        <f t="shared" si="20"/>
        <v>373989</v>
      </c>
      <c r="J80" s="348">
        <v>50</v>
      </c>
      <c r="K80" s="380">
        <v>7479.78</v>
      </c>
      <c r="L80" s="394">
        <f t="shared" si="26"/>
        <v>879.78</v>
      </c>
      <c r="M80" s="394">
        <f t="shared" si="27"/>
        <v>6600</v>
      </c>
      <c r="N80" s="394">
        <f t="shared" si="21"/>
        <v>30792.3</v>
      </c>
      <c r="O80" s="394">
        <f t="shared" si="22"/>
        <v>13196.699999999999</v>
      </c>
      <c r="P80" s="348">
        <v>35</v>
      </c>
      <c r="Q80" s="354">
        <f t="shared" si="23"/>
        <v>15</v>
      </c>
      <c r="R80" s="350">
        <f t="shared" si="24"/>
        <v>261792.3</v>
      </c>
      <c r="S80" s="350">
        <f t="shared" si="25"/>
        <v>112196.70000000001</v>
      </c>
      <c r="T80" s="393"/>
    </row>
    <row r="81" spans="1:20">
      <c r="A81" s="378"/>
      <c r="B81" s="378"/>
      <c r="C81" s="363" t="s">
        <v>971</v>
      </c>
      <c r="D81" s="367">
        <v>77</v>
      </c>
      <c r="E81" s="393" t="s">
        <v>1437</v>
      </c>
      <c r="F81" s="393" t="s">
        <v>112</v>
      </c>
      <c r="G81" s="351">
        <v>330000</v>
      </c>
      <c r="H81" s="351">
        <v>43989</v>
      </c>
      <c r="I81" s="349">
        <f t="shared" si="20"/>
        <v>373989</v>
      </c>
      <c r="J81" s="348">
        <v>50</v>
      </c>
      <c r="K81" s="380">
        <v>7479.78</v>
      </c>
      <c r="L81" s="394">
        <f t="shared" si="26"/>
        <v>879.78</v>
      </c>
      <c r="M81" s="394">
        <f t="shared" si="27"/>
        <v>6600</v>
      </c>
      <c r="N81" s="394">
        <f t="shared" si="21"/>
        <v>9677.58</v>
      </c>
      <c r="O81" s="394">
        <f t="shared" si="22"/>
        <v>34311.42</v>
      </c>
      <c r="P81" s="348">
        <v>11</v>
      </c>
      <c r="Q81" s="354">
        <f t="shared" si="23"/>
        <v>39</v>
      </c>
      <c r="R81" s="350">
        <f t="shared" si="24"/>
        <v>82277.58</v>
      </c>
      <c r="S81" s="350">
        <f t="shared" si="25"/>
        <v>291711.42</v>
      </c>
      <c r="T81" s="393"/>
    </row>
    <row r="82" spans="1:20">
      <c r="A82" s="378"/>
      <c r="B82" s="378"/>
      <c r="C82" s="393" t="s">
        <v>1536</v>
      </c>
      <c r="D82" s="367">
        <v>78</v>
      </c>
      <c r="E82" s="393" t="s">
        <v>1437</v>
      </c>
      <c r="F82" s="393" t="s">
        <v>1537</v>
      </c>
      <c r="G82" s="351">
        <v>450000</v>
      </c>
      <c r="H82" s="351">
        <v>59985</v>
      </c>
      <c r="I82" s="349">
        <f t="shared" si="20"/>
        <v>509985</v>
      </c>
      <c r="J82" s="348">
        <v>60</v>
      </c>
      <c r="K82" s="380">
        <v>8499.75</v>
      </c>
      <c r="L82" s="394">
        <f>H82/60</f>
        <v>999.75</v>
      </c>
      <c r="M82" s="394">
        <f>G82/60</f>
        <v>7500</v>
      </c>
      <c r="N82" s="394">
        <f t="shared" si="21"/>
        <v>1999.5</v>
      </c>
      <c r="O82" s="394">
        <f t="shared" si="22"/>
        <v>57985.5</v>
      </c>
      <c r="P82" s="348">
        <v>2</v>
      </c>
      <c r="Q82" s="354">
        <f t="shared" si="23"/>
        <v>58</v>
      </c>
      <c r="R82" s="350">
        <f t="shared" si="24"/>
        <v>16999.5</v>
      </c>
      <c r="S82" s="350">
        <f t="shared" si="25"/>
        <v>492985.5</v>
      </c>
      <c r="T82" s="393"/>
    </row>
    <row r="83" spans="1:20">
      <c r="A83" s="378"/>
      <c r="B83" s="378"/>
      <c r="C83" s="364" t="s">
        <v>1375</v>
      </c>
      <c r="D83" s="367">
        <v>79</v>
      </c>
      <c r="E83" s="393" t="s">
        <v>1437</v>
      </c>
      <c r="F83" s="393" t="s">
        <v>1376</v>
      </c>
      <c r="G83" s="351">
        <v>330000</v>
      </c>
      <c r="H83" s="351">
        <v>43989</v>
      </c>
      <c r="I83" s="349">
        <f t="shared" si="20"/>
        <v>373989</v>
      </c>
      <c r="J83" s="348">
        <v>50</v>
      </c>
      <c r="K83" s="380">
        <v>7479.78</v>
      </c>
      <c r="L83" s="394">
        <f t="shared" ref="L83:L98" si="28">H83/50</f>
        <v>879.78</v>
      </c>
      <c r="M83" s="394">
        <f t="shared" ref="M83:M105" si="29">G83/50</f>
        <v>6600</v>
      </c>
      <c r="N83" s="394">
        <f t="shared" si="21"/>
        <v>15836.039999999999</v>
      </c>
      <c r="O83" s="394">
        <f t="shared" si="22"/>
        <v>28152.959999999999</v>
      </c>
      <c r="P83" s="348">
        <v>18</v>
      </c>
      <c r="Q83" s="354">
        <f t="shared" si="23"/>
        <v>32</v>
      </c>
      <c r="R83" s="350">
        <f t="shared" si="24"/>
        <v>134636.04</v>
      </c>
      <c r="S83" s="350">
        <f t="shared" si="25"/>
        <v>239352.95999999999</v>
      </c>
      <c r="T83" s="393"/>
    </row>
    <row r="84" spans="1:20">
      <c r="A84" s="378"/>
      <c r="B84" s="378"/>
      <c r="C84" s="364" t="s">
        <v>1392</v>
      </c>
      <c r="D84" s="367">
        <v>80</v>
      </c>
      <c r="E84" s="393" t="s">
        <v>1437</v>
      </c>
      <c r="F84" s="393" t="s">
        <v>1393</v>
      </c>
      <c r="G84" s="351">
        <v>150000</v>
      </c>
      <c r="H84" s="351">
        <v>19995</v>
      </c>
      <c r="I84" s="349">
        <f t="shared" si="20"/>
        <v>169995</v>
      </c>
      <c r="J84" s="348">
        <v>40</v>
      </c>
      <c r="K84" s="380">
        <v>4149.8999999999996</v>
      </c>
      <c r="L84" s="394">
        <f t="shared" si="28"/>
        <v>399.9</v>
      </c>
      <c r="M84" s="394">
        <f t="shared" si="29"/>
        <v>3000</v>
      </c>
      <c r="N84" s="394">
        <f t="shared" si="21"/>
        <v>10797.3</v>
      </c>
      <c r="O84" s="394">
        <f t="shared" si="22"/>
        <v>5198.7</v>
      </c>
      <c r="P84" s="348">
        <v>27</v>
      </c>
      <c r="Q84" s="354">
        <f t="shared" si="23"/>
        <v>13</v>
      </c>
      <c r="R84" s="350">
        <f t="shared" si="24"/>
        <v>112047.29999999999</v>
      </c>
      <c r="S84" s="350">
        <f t="shared" si="25"/>
        <v>57947.700000000012</v>
      </c>
      <c r="T84" s="393"/>
    </row>
    <row r="85" spans="1:20">
      <c r="A85" s="378"/>
      <c r="B85" s="378"/>
      <c r="C85" s="363" t="s">
        <v>1438</v>
      </c>
      <c r="D85" s="367">
        <v>81</v>
      </c>
      <c r="E85" s="393" t="s">
        <v>1437</v>
      </c>
      <c r="F85" s="393" t="s">
        <v>1439</v>
      </c>
      <c r="G85" s="351">
        <v>450000</v>
      </c>
      <c r="H85" s="351">
        <v>59985</v>
      </c>
      <c r="I85" s="349">
        <f t="shared" si="20"/>
        <v>509985</v>
      </c>
      <c r="J85" s="348">
        <v>50</v>
      </c>
      <c r="K85" s="380">
        <v>10199.700000000001</v>
      </c>
      <c r="L85" s="394">
        <f t="shared" si="28"/>
        <v>1199.7</v>
      </c>
      <c r="M85" s="394">
        <f t="shared" si="29"/>
        <v>9000</v>
      </c>
      <c r="N85" s="394">
        <f t="shared" si="21"/>
        <v>58785.3</v>
      </c>
      <c r="O85" s="394">
        <f t="shared" si="22"/>
        <v>1199.7</v>
      </c>
      <c r="P85" s="348">
        <v>49</v>
      </c>
      <c r="Q85" s="354">
        <f t="shared" si="23"/>
        <v>1</v>
      </c>
      <c r="R85" s="350">
        <f t="shared" si="24"/>
        <v>499785.30000000005</v>
      </c>
      <c r="S85" s="350">
        <f t="shared" si="25"/>
        <v>10199.699999999953</v>
      </c>
      <c r="T85" s="402"/>
    </row>
    <row r="86" spans="1:20">
      <c r="A86" s="378"/>
      <c r="B86" s="378"/>
      <c r="C86" s="364" t="s">
        <v>982</v>
      </c>
      <c r="D86" s="367">
        <v>82</v>
      </c>
      <c r="E86" s="393" t="s">
        <v>1437</v>
      </c>
      <c r="F86" s="393" t="s">
        <v>350</v>
      </c>
      <c r="G86" s="351">
        <v>500000</v>
      </c>
      <c r="H86" s="351">
        <v>66650</v>
      </c>
      <c r="I86" s="349">
        <f t="shared" si="20"/>
        <v>566650</v>
      </c>
      <c r="J86" s="348">
        <v>50</v>
      </c>
      <c r="K86" s="380">
        <v>11333</v>
      </c>
      <c r="L86" s="394">
        <f t="shared" si="28"/>
        <v>1333</v>
      </c>
      <c r="M86" s="394">
        <f t="shared" si="29"/>
        <v>10000</v>
      </c>
      <c r="N86" s="394">
        <f t="shared" si="21"/>
        <v>58652</v>
      </c>
      <c r="O86" s="394">
        <f t="shared" si="22"/>
        <v>7998</v>
      </c>
      <c r="P86" s="348">
        <v>44</v>
      </c>
      <c r="Q86" s="354">
        <f t="shared" si="23"/>
        <v>6</v>
      </c>
      <c r="R86" s="350">
        <f t="shared" si="24"/>
        <v>498652</v>
      </c>
      <c r="S86" s="350">
        <f t="shared" si="25"/>
        <v>67998</v>
      </c>
      <c r="T86" s="393"/>
    </row>
    <row r="87" spans="1:20">
      <c r="A87" s="378"/>
      <c r="B87" s="378"/>
      <c r="C87" s="115" t="s">
        <v>1402</v>
      </c>
      <c r="D87" s="367">
        <v>83</v>
      </c>
      <c r="E87" s="393" t="s">
        <v>1437</v>
      </c>
      <c r="F87" s="393" t="s">
        <v>1403</v>
      </c>
      <c r="G87" s="351">
        <v>150000</v>
      </c>
      <c r="H87" s="351">
        <v>19995</v>
      </c>
      <c r="I87" s="349">
        <f t="shared" si="20"/>
        <v>169995</v>
      </c>
      <c r="J87" s="348">
        <v>50</v>
      </c>
      <c r="K87" s="380">
        <v>3399.9</v>
      </c>
      <c r="L87" s="394">
        <f t="shared" si="28"/>
        <v>399.9</v>
      </c>
      <c r="M87" s="394">
        <f t="shared" si="29"/>
        <v>3000</v>
      </c>
      <c r="N87" s="394">
        <f t="shared" si="21"/>
        <v>5998.5</v>
      </c>
      <c r="O87" s="394">
        <f t="shared" si="22"/>
        <v>13996.5</v>
      </c>
      <c r="P87" s="348">
        <v>15</v>
      </c>
      <c r="Q87" s="354">
        <f t="shared" si="23"/>
        <v>35</v>
      </c>
      <c r="R87" s="350">
        <f t="shared" si="24"/>
        <v>50998.5</v>
      </c>
      <c r="S87" s="350">
        <f t="shared" si="25"/>
        <v>118996.5</v>
      </c>
      <c r="T87" s="393"/>
    </row>
    <row r="88" spans="1:20">
      <c r="A88" s="378"/>
      <c r="B88" s="378"/>
      <c r="C88" s="116" t="s">
        <v>1355</v>
      </c>
      <c r="D88" s="367">
        <v>84</v>
      </c>
      <c r="E88" s="393" t="s">
        <v>1437</v>
      </c>
      <c r="F88" s="393" t="s">
        <v>1287</v>
      </c>
      <c r="G88" s="351">
        <v>450000</v>
      </c>
      <c r="H88" s="351">
        <v>59985</v>
      </c>
      <c r="I88" s="349">
        <f t="shared" si="20"/>
        <v>509985</v>
      </c>
      <c r="J88" s="348">
        <v>50</v>
      </c>
      <c r="K88" s="380">
        <v>10199.700000000001</v>
      </c>
      <c r="L88" s="394">
        <f t="shared" si="28"/>
        <v>1199.7</v>
      </c>
      <c r="M88" s="394">
        <f t="shared" si="29"/>
        <v>9000</v>
      </c>
      <c r="N88" s="394">
        <f t="shared" si="21"/>
        <v>23994</v>
      </c>
      <c r="O88" s="394">
        <f t="shared" si="22"/>
        <v>35991</v>
      </c>
      <c r="P88" s="348">
        <v>20</v>
      </c>
      <c r="Q88" s="354">
        <f t="shared" si="23"/>
        <v>30</v>
      </c>
      <c r="R88" s="350">
        <f t="shared" si="24"/>
        <v>203994</v>
      </c>
      <c r="S88" s="350">
        <f t="shared" si="25"/>
        <v>305991</v>
      </c>
      <c r="T88" s="393"/>
    </row>
    <row r="89" spans="1:20">
      <c r="A89" s="378"/>
      <c r="B89" s="378"/>
      <c r="C89" s="363" t="s">
        <v>1025</v>
      </c>
      <c r="D89" s="367">
        <v>85</v>
      </c>
      <c r="E89" s="393" t="s">
        <v>1437</v>
      </c>
      <c r="F89" s="393" t="s">
        <v>333</v>
      </c>
      <c r="G89" s="351">
        <v>500000</v>
      </c>
      <c r="H89" s="351">
        <v>66650</v>
      </c>
      <c r="I89" s="349">
        <f t="shared" si="20"/>
        <v>566650</v>
      </c>
      <c r="J89" s="348">
        <v>50</v>
      </c>
      <c r="K89" s="380">
        <v>11333</v>
      </c>
      <c r="L89" s="394">
        <f t="shared" si="28"/>
        <v>1333</v>
      </c>
      <c r="M89" s="394">
        <f t="shared" si="29"/>
        <v>10000</v>
      </c>
      <c r="N89" s="394">
        <f t="shared" si="21"/>
        <v>10664</v>
      </c>
      <c r="O89" s="394">
        <f t="shared" si="22"/>
        <v>55986</v>
      </c>
      <c r="P89" s="348">
        <v>8</v>
      </c>
      <c r="Q89" s="354">
        <f t="shared" si="23"/>
        <v>42</v>
      </c>
      <c r="R89" s="350">
        <f t="shared" si="24"/>
        <v>90664</v>
      </c>
      <c r="S89" s="350">
        <f t="shared" si="25"/>
        <v>475986</v>
      </c>
      <c r="T89" s="393"/>
    </row>
    <row r="90" spans="1:20">
      <c r="A90" s="378"/>
      <c r="B90" s="378"/>
      <c r="C90" s="363" t="s">
        <v>1465</v>
      </c>
      <c r="D90" s="367">
        <v>86</v>
      </c>
      <c r="E90" s="393" t="s">
        <v>1437</v>
      </c>
      <c r="F90" s="393" t="s">
        <v>1466</v>
      </c>
      <c r="G90" s="351">
        <v>500000</v>
      </c>
      <c r="H90" s="351">
        <v>66650</v>
      </c>
      <c r="I90" s="349">
        <f t="shared" si="20"/>
        <v>566650</v>
      </c>
      <c r="J90" s="348">
        <v>50</v>
      </c>
      <c r="K90" s="380">
        <v>11333</v>
      </c>
      <c r="L90" s="394">
        <f t="shared" si="28"/>
        <v>1333</v>
      </c>
      <c r="M90" s="394">
        <f t="shared" si="29"/>
        <v>10000</v>
      </c>
      <c r="N90" s="394">
        <f t="shared" si="21"/>
        <v>10664</v>
      </c>
      <c r="O90" s="394">
        <f t="shared" si="22"/>
        <v>55986</v>
      </c>
      <c r="P90" s="348">
        <v>8</v>
      </c>
      <c r="Q90" s="354">
        <f t="shared" si="23"/>
        <v>42</v>
      </c>
      <c r="R90" s="350">
        <f t="shared" si="24"/>
        <v>90664</v>
      </c>
      <c r="S90" s="350">
        <f t="shared" si="25"/>
        <v>475986</v>
      </c>
      <c r="T90" s="393"/>
    </row>
    <row r="91" spans="1:20">
      <c r="A91" s="378"/>
      <c r="B91" s="378"/>
      <c r="C91" s="364" t="s">
        <v>1351</v>
      </c>
      <c r="D91" s="367">
        <v>87</v>
      </c>
      <c r="E91" s="393" t="s">
        <v>1437</v>
      </c>
      <c r="F91" s="393" t="s">
        <v>1285</v>
      </c>
      <c r="G91" s="351">
        <v>500000</v>
      </c>
      <c r="H91" s="351">
        <v>66650</v>
      </c>
      <c r="I91" s="349">
        <f t="shared" si="20"/>
        <v>566650</v>
      </c>
      <c r="J91" s="348">
        <v>50</v>
      </c>
      <c r="K91" s="380">
        <v>11333</v>
      </c>
      <c r="L91" s="394">
        <f t="shared" si="28"/>
        <v>1333</v>
      </c>
      <c r="M91" s="394">
        <f t="shared" si="29"/>
        <v>10000</v>
      </c>
      <c r="N91" s="394">
        <f t="shared" si="21"/>
        <v>26660</v>
      </c>
      <c r="O91" s="394">
        <f t="shared" si="22"/>
        <v>39990</v>
      </c>
      <c r="P91" s="348">
        <v>20</v>
      </c>
      <c r="Q91" s="354">
        <f t="shared" si="23"/>
        <v>30</v>
      </c>
      <c r="R91" s="350">
        <f t="shared" si="24"/>
        <v>226660</v>
      </c>
      <c r="S91" s="350">
        <f t="shared" si="25"/>
        <v>339990</v>
      </c>
      <c r="T91" s="393"/>
    </row>
    <row r="92" spans="1:20">
      <c r="A92" s="378"/>
      <c r="B92" s="378"/>
      <c r="C92" s="364" t="s">
        <v>960</v>
      </c>
      <c r="D92" s="367">
        <v>88</v>
      </c>
      <c r="E92" s="393" t="s">
        <v>1437</v>
      </c>
      <c r="F92" s="393" t="s">
        <v>488</v>
      </c>
      <c r="G92" s="351">
        <v>500000</v>
      </c>
      <c r="H92" s="351">
        <v>66650</v>
      </c>
      <c r="I92" s="349">
        <f t="shared" si="20"/>
        <v>566650</v>
      </c>
      <c r="J92" s="348">
        <v>50</v>
      </c>
      <c r="K92" s="380">
        <v>11333</v>
      </c>
      <c r="L92" s="394">
        <f t="shared" si="28"/>
        <v>1333</v>
      </c>
      <c r="M92" s="394">
        <f t="shared" si="29"/>
        <v>10000</v>
      </c>
      <c r="N92" s="394">
        <f t="shared" si="21"/>
        <v>53320</v>
      </c>
      <c r="O92" s="394">
        <f t="shared" si="22"/>
        <v>13330</v>
      </c>
      <c r="P92" s="348">
        <v>40</v>
      </c>
      <c r="Q92" s="354">
        <f t="shared" si="23"/>
        <v>10</v>
      </c>
      <c r="R92" s="350">
        <f t="shared" si="24"/>
        <v>453320</v>
      </c>
      <c r="S92" s="350">
        <f t="shared" si="25"/>
        <v>113330</v>
      </c>
      <c r="T92" s="393"/>
    </row>
    <row r="93" spans="1:20">
      <c r="A93" s="378"/>
      <c r="B93" s="378"/>
      <c r="C93" s="363" t="s">
        <v>1011</v>
      </c>
      <c r="D93" s="367">
        <v>89</v>
      </c>
      <c r="E93" s="393" t="s">
        <v>1437</v>
      </c>
      <c r="F93" s="393" t="s">
        <v>863</v>
      </c>
      <c r="G93" s="351">
        <v>500000</v>
      </c>
      <c r="H93" s="351">
        <v>66650</v>
      </c>
      <c r="I93" s="349">
        <f t="shared" si="20"/>
        <v>566650</v>
      </c>
      <c r="J93" s="348">
        <v>50</v>
      </c>
      <c r="K93" s="380">
        <v>11333</v>
      </c>
      <c r="L93" s="394">
        <f t="shared" si="28"/>
        <v>1333</v>
      </c>
      <c r="M93" s="394">
        <f t="shared" si="29"/>
        <v>10000</v>
      </c>
      <c r="N93" s="394">
        <f t="shared" si="21"/>
        <v>46655</v>
      </c>
      <c r="O93" s="394">
        <f t="shared" si="22"/>
        <v>19995</v>
      </c>
      <c r="P93" s="348">
        <v>35</v>
      </c>
      <c r="Q93" s="354">
        <f t="shared" si="23"/>
        <v>15</v>
      </c>
      <c r="R93" s="350">
        <f t="shared" si="24"/>
        <v>396655</v>
      </c>
      <c r="S93" s="350">
        <f t="shared" si="25"/>
        <v>169995</v>
      </c>
      <c r="T93" s="393"/>
    </row>
    <row r="94" spans="1:20">
      <c r="A94" s="378"/>
      <c r="B94" s="378"/>
      <c r="C94" s="364" t="s">
        <v>1042</v>
      </c>
      <c r="D94" s="367">
        <v>90</v>
      </c>
      <c r="E94" s="393" t="s">
        <v>1437</v>
      </c>
      <c r="F94" s="393" t="s">
        <v>359</v>
      </c>
      <c r="G94" s="351">
        <v>500000</v>
      </c>
      <c r="H94" s="351">
        <v>66650</v>
      </c>
      <c r="I94" s="349">
        <f t="shared" si="20"/>
        <v>566650</v>
      </c>
      <c r="J94" s="348">
        <v>50</v>
      </c>
      <c r="K94" s="380">
        <v>11333</v>
      </c>
      <c r="L94" s="394">
        <f t="shared" si="28"/>
        <v>1333</v>
      </c>
      <c r="M94" s="394">
        <f t="shared" si="29"/>
        <v>10000</v>
      </c>
      <c r="N94" s="394">
        <f t="shared" si="21"/>
        <v>19995</v>
      </c>
      <c r="O94" s="394">
        <f t="shared" si="22"/>
        <v>46655</v>
      </c>
      <c r="P94" s="348">
        <v>15</v>
      </c>
      <c r="Q94" s="354">
        <f t="shared" si="23"/>
        <v>35</v>
      </c>
      <c r="R94" s="350">
        <f t="shared" si="24"/>
        <v>169995</v>
      </c>
      <c r="S94" s="350">
        <f t="shared" si="25"/>
        <v>396655</v>
      </c>
      <c r="T94" s="393"/>
    </row>
    <row r="95" spans="1:20">
      <c r="A95" s="378"/>
      <c r="B95" s="378"/>
      <c r="C95" s="116" t="s">
        <v>1045</v>
      </c>
      <c r="D95" s="367">
        <v>91</v>
      </c>
      <c r="E95" s="393" t="s">
        <v>1437</v>
      </c>
      <c r="F95" s="393" t="s">
        <v>867</v>
      </c>
      <c r="G95" s="351">
        <v>500000</v>
      </c>
      <c r="H95" s="351">
        <v>66650</v>
      </c>
      <c r="I95" s="349">
        <f t="shared" si="20"/>
        <v>566650</v>
      </c>
      <c r="J95" s="348">
        <v>50</v>
      </c>
      <c r="K95" s="380">
        <v>11333</v>
      </c>
      <c r="L95" s="394">
        <f t="shared" si="28"/>
        <v>1333</v>
      </c>
      <c r="M95" s="394">
        <f t="shared" si="29"/>
        <v>10000</v>
      </c>
      <c r="N95" s="394">
        <f t="shared" si="21"/>
        <v>47988</v>
      </c>
      <c r="O95" s="394">
        <f t="shared" si="22"/>
        <v>18662</v>
      </c>
      <c r="P95" s="348">
        <v>36</v>
      </c>
      <c r="Q95" s="354">
        <f t="shared" si="23"/>
        <v>14</v>
      </c>
      <c r="R95" s="350">
        <f t="shared" si="24"/>
        <v>407988</v>
      </c>
      <c r="S95" s="350">
        <f t="shared" si="25"/>
        <v>158662</v>
      </c>
      <c r="T95" s="393"/>
    </row>
    <row r="96" spans="1:20">
      <c r="A96" s="378"/>
      <c r="B96" s="378"/>
      <c r="C96" s="364" t="s">
        <v>1323</v>
      </c>
      <c r="D96" s="367">
        <v>92</v>
      </c>
      <c r="E96" s="393" t="s">
        <v>1437</v>
      </c>
      <c r="F96" s="393" t="s">
        <v>448</v>
      </c>
      <c r="G96" s="351">
        <v>500000</v>
      </c>
      <c r="H96" s="351">
        <v>66650</v>
      </c>
      <c r="I96" s="349">
        <f t="shared" si="20"/>
        <v>566650</v>
      </c>
      <c r="J96" s="348">
        <v>50</v>
      </c>
      <c r="K96" s="380">
        <v>11333</v>
      </c>
      <c r="L96" s="394">
        <f t="shared" si="28"/>
        <v>1333</v>
      </c>
      <c r="M96" s="394">
        <f t="shared" si="29"/>
        <v>10000</v>
      </c>
      <c r="N96" s="394">
        <f t="shared" si="21"/>
        <v>34658</v>
      </c>
      <c r="O96" s="394">
        <f t="shared" si="22"/>
        <v>31992</v>
      </c>
      <c r="P96" s="348">
        <v>26</v>
      </c>
      <c r="Q96" s="354">
        <f t="shared" si="23"/>
        <v>24</v>
      </c>
      <c r="R96" s="350">
        <f t="shared" si="24"/>
        <v>294658</v>
      </c>
      <c r="S96" s="350">
        <f t="shared" si="25"/>
        <v>271992</v>
      </c>
      <c r="T96" s="393"/>
    </row>
    <row r="97" spans="1:20">
      <c r="A97" s="378"/>
      <c r="B97" s="378"/>
      <c r="C97" s="363" t="s">
        <v>1483</v>
      </c>
      <c r="D97" s="367">
        <v>93</v>
      </c>
      <c r="E97" s="393" t="s">
        <v>1437</v>
      </c>
      <c r="F97" s="393" t="s">
        <v>1484</v>
      </c>
      <c r="G97" s="351">
        <v>150000</v>
      </c>
      <c r="H97" s="351">
        <v>19995</v>
      </c>
      <c r="I97" s="349">
        <f t="shared" si="20"/>
        <v>169995</v>
      </c>
      <c r="J97" s="348">
        <v>50</v>
      </c>
      <c r="K97" s="380">
        <v>3399.5</v>
      </c>
      <c r="L97" s="394">
        <f t="shared" si="28"/>
        <v>399.9</v>
      </c>
      <c r="M97" s="394">
        <f t="shared" si="29"/>
        <v>3000</v>
      </c>
      <c r="N97" s="394">
        <f t="shared" si="21"/>
        <v>9197.6999999999989</v>
      </c>
      <c r="O97" s="394">
        <f t="shared" si="22"/>
        <v>10797.3</v>
      </c>
      <c r="P97" s="348">
        <v>23</v>
      </c>
      <c r="Q97" s="354">
        <f t="shared" si="23"/>
        <v>27</v>
      </c>
      <c r="R97" s="350">
        <f t="shared" si="24"/>
        <v>78188.5</v>
      </c>
      <c r="S97" s="350">
        <f t="shared" si="25"/>
        <v>91806.5</v>
      </c>
      <c r="T97" s="401"/>
    </row>
    <row r="98" spans="1:20">
      <c r="A98" s="378"/>
      <c r="B98" s="378"/>
      <c r="C98" s="363" t="s">
        <v>1002</v>
      </c>
      <c r="D98" s="367">
        <v>94</v>
      </c>
      <c r="E98" s="393" t="s">
        <v>1437</v>
      </c>
      <c r="F98" s="393" t="s">
        <v>1003</v>
      </c>
      <c r="G98" s="351">
        <v>150000</v>
      </c>
      <c r="H98" s="351">
        <v>19995</v>
      </c>
      <c r="I98" s="349">
        <f t="shared" si="20"/>
        <v>169995</v>
      </c>
      <c r="J98" s="348">
        <v>50</v>
      </c>
      <c r="K98" s="380">
        <v>3399.9</v>
      </c>
      <c r="L98" s="394">
        <f t="shared" si="28"/>
        <v>399.9</v>
      </c>
      <c r="M98" s="394">
        <f t="shared" si="29"/>
        <v>3000</v>
      </c>
      <c r="N98" s="394">
        <f t="shared" si="21"/>
        <v>12796.8</v>
      </c>
      <c r="O98" s="394">
        <f t="shared" si="22"/>
        <v>7198.2</v>
      </c>
      <c r="P98" s="348">
        <v>32</v>
      </c>
      <c r="Q98" s="354">
        <f t="shared" si="23"/>
        <v>18</v>
      </c>
      <c r="R98" s="350">
        <f t="shared" si="24"/>
        <v>108796.8</v>
      </c>
      <c r="S98" s="350">
        <f t="shared" si="25"/>
        <v>61198.2</v>
      </c>
      <c r="T98" s="393"/>
    </row>
    <row r="99" spans="1:20">
      <c r="A99" s="378"/>
      <c r="B99" s="378"/>
      <c r="C99" s="363" t="s">
        <v>1315</v>
      </c>
      <c r="D99" s="367">
        <v>95</v>
      </c>
      <c r="E99" s="393" t="s">
        <v>1437</v>
      </c>
      <c r="F99" s="393" t="s">
        <v>1316</v>
      </c>
      <c r="G99" s="351">
        <v>450000</v>
      </c>
      <c r="H99" s="351">
        <v>28792.799999999999</v>
      </c>
      <c r="I99" s="349">
        <f t="shared" si="20"/>
        <v>478792.8</v>
      </c>
      <c r="J99" s="348">
        <v>24</v>
      </c>
      <c r="K99" s="380">
        <v>19949.7</v>
      </c>
      <c r="L99" s="394">
        <f>H99/24</f>
        <v>1199.7</v>
      </c>
      <c r="M99" s="394">
        <f t="shared" si="29"/>
        <v>9000</v>
      </c>
      <c r="N99" s="394">
        <f t="shared" si="21"/>
        <v>17995.5</v>
      </c>
      <c r="O99" s="394">
        <f t="shared" si="22"/>
        <v>10797.300000000001</v>
      </c>
      <c r="P99" s="348">
        <v>15</v>
      </c>
      <c r="Q99" s="354">
        <f t="shared" si="23"/>
        <v>9</v>
      </c>
      <c r="R99" s="350">
        <f t="shared" si="24"/>
        <v>299245.5</v>
      </c>
      <c r="S99" s="350">
        <f t="shared" si="25"/>
        <v>179547.3</v>
      </c>
      <c r="T99" s="393"/>
    </row>
    <row r="100" spans="1:20">
      <c r="A100" s="378"/>
      <c r="B100" s="378"/>
      <c r="C100" s="364" t="s">
        <v>1404</v>
      </c>
      <c r="D100" s="367">
        <v>96</v>
      </c>
      <c r="E100" s="393" t="s">
        <v>1437</v>
      </c>
      <c r="F100" s="393" t="s">
        <v>1405</v>
      </c>
      <c r="G100" s="351">
        <v>150000</v>
      </c>
      <c r="H100" s="351">
        <v>19995</v>
      </c>
      <c r="I100" s="349">
        <f t="shared" si="20"/>
        <v>169995</v>
      </c>
      <c r="J100" s="348">
        <v>50</v>
      </c>
      <c r="K100" s="380">
        <v>3399.9</v>
      </c>
      <c r="L100" s="394">
        <f t="shared" ref="L100:L105" si="30">H100/50</f>
        <v>399.9</v>
      </c>
      <c r="M100" s="394">
        <f t="shared" si="29"/>
        <v>3000</v>
      </c>
      <c r="N100" s="394">
        <f t="shared" si="21"/>
        <v>5998.5</v>
      </c>
      <c r="O100" s="394">
        <f t="shared" si="22"/>
        <v>13996.5</v>
      </c>
      <c r="P100" s="348">
        <v>15</v>
      </c>
      <c r="Q100" s="354">
        <f t="shared" si="23"/>
        <v>35</v>
      </c>
      <c r="R100" s="350">
        <f t="shared" si="24"/>
        <v>50998.5</v>
      </c>
      <c r="S100" s="350">
        <f t="shared" si="25"/>
        <v>118996.5</v>
      </c>
      <c r="T100" s="393"/>
    </row>
    <row r="101" spans="1:20">
      <c r="A101" s="378"/>
      <c r="B101" s="378"/>
      <c r="C101" s="363" t="s">
        <v>1381</v>
      </c>
      <c r="D101" s="367">
        <v>97</v>
      </c>
      <c r="E101" s="393" t="s">
        <v>1437</v>
      </c>
      <c r="F101" s="393" t="s">
        <v>1129</v>
      </c>
      <c r="G101" s="351">
        <v>330000</v>
      </c>
      <c r="H101" s="351">
        <v>43989</v>
      </c>
      <c r="I101" s="349">
        <f t="shared" ref="I101:I132" si="31">SUM(G101:H101)</f>
        <v>373989</v>
      </c>
      <c r="J101" s="348">
        <v>50</v>
      </c>
      <c r="K101" s="380">
        <v>7479.78</v>
      </c>
      <c r="L101" s="394">
        <f t="shared" si="30"/>
        <v>879.78</v>
      </c>
      <c r="M101" s="394">
        <f t="shared" si="29"/>
        <v>6600</v>
      </c>
      <c r="N101" s="394">
        <f t="shared" ref="N101:N132" si="32">L101*P101</f>
        <v>23754.059999999998</v>
      </c>
      <c r="O101" s="394">
        <f t="shared" ref="O101:O132" si="33">L101*Q101</f>
        <v>20234.939999999999</v>
      </c>
      <c r="P101" s="348">
        <v>27</v>
      </c>
      <c r="Q101" s="354">
        <f t="shared" ref="Q101:Q132" si="34">J101-P101</f>
        <v>23</v>
      </c>
      <c r="R101" s="350">
        <f t="shared" ref="R101:R132" si="35">K101*P101</f>
        <v>201954.06</v>
      </c>
      <c r="S101" s="350">
        <f t="shared" ref="S101:S132" si="36">I101-R101</f>
        <v>172034.94</v>
      </c>
      <c r="T101" s="393"/>
    </row>
    <row r="102" spans="1:20">
      <c r="A102" s="378"/>
      <c r="B102" s="378"/>
      <c r="C102" s="363" t="s">
        <v>1417</v>
      </c>
      <c r="D102" s="367">
        <v>98</v>
      </c>
      <c r="E102" s="393" t="s">
        <v>1437</v>
      </c>
      <c r="F102" s="393" t="s">
        <v>477</v>
      </c>
      <c r="G102" s="351">
        <v>330000</v>
      </c>
      <c r="H102" s="351">
        <v>43989</v>
      </c>
      <c r="I102" s="349">
        <f t="shared" si="31"/>
        <v>373989</v>
      </c>
      <c r="J102" s="348">
        <v>50</v>
      </c>
      <c r="K102" s="380">
        <v>7479.78</v>
      </c>
      <c r="L102" s="394">
        <f t="shared" si="30"/>
        <v>879.78</v>
      </c>
      <c r="M102" s="394">
        <f t="shared" si="29"/>
        <v>6600</v>
      </c>
      <c r="N102" s="394">
        <f t="shared" si="32"/>
        <v>11437.14</v>
      </c>
      <c r="O102" s="394">
        <f t="shared" si="33"/>
        <v>32551.86</v>
      </c>
      <c r="P102" s="348">
        <v>13</v>
      </c>
      <c r="Q102" s="354">
        <f t="shared" si="34"/>
        <v>37</v>
      </c>
      <c r="R102" s="350">
        <f t="shared" si="35"/>
        <v>97237.14</v>
      </c>
      <c r="S102" s="350">
        <f t="shared" si="36"/>
        <v>276751.86</v>
      </c>
      <c r="T102" s="393"/>
    </row>
    <row r="103" spans="1:20">
      <c r="A103" s="378"/>
      <c r="B103" s="378"/>
      <c r="C103" s="363" t="s">
        <v>1061</v>
      </c>
      <c r="D103" s="367">
        <v>99</v>
      </c>
      <c r="E103" s="393" t="s">
        <v>1437</v>
      </c>
      <c r="F103" s="393" t="s">
        <v>854</v>
      </c>
      <c r="G103" s="351">
        <v>330000</v>
      </c>
      <c r="H103" s="351">
        <v>43989</v>
      </c>
      <c r="I103" s="349">
        <f t="shared" si="31"/>
        <v>373989</v>
      </c>
      <c r="J103" s="348">
        <v>50</v>
      </c>
      <c r="K103" s="380">
        <v>7479.78</v>
      </c>
      <c r="L103" s="394">
        <f t="shared" si="30"/>
        <v>879.78</v>
      </c>
      <c r="M103" s="394">
        <f t="shared" si="29"/>
        <v>6600</v>
      </c>
      <c r="N103" s="394">
        <f t="shared" si="32"/>
        <v>29032.739999999998</v>
      </c>
      <c r="O103" s="394">
        <f t="shared" si="33"/>
        <v>14956.26</v>
      </c>
      <c r="P103" s="348">
        <v>33</v>
      </c>
      <c r="Q103" s="354">
        <f t="shared" si="34"/>
        <v>17</v>
      </c>
      <c r="R103" s="350">
        <f t="shared" si="35"/>
        <v>246832.74</v>
      </c>
      <c r="S103" s="350">
        <f t="shared" si="36"/>
        <v>127156.26000000001</v>
      </c>
      <c r="T103" s="393"/>
    </row>
    <row r="104" spans="1:20">
      <c r="A104" s="378"/>
      <c r="B104" s="378"/>
      <c r="C104" s="364" t="s">
        <v>969</v>
      </c>
      <c r="D104" s="367">
        <v>100</v>
      </c>
      <c r="E104" s="393" t="s">
        <v>1437</v>
      </c>
      <c r="F104" s="393" t="s">
        <v>851</v>
      </c>
      <c r="G104" s="351">
        <v>150000</v>
      </c>
      <c r="H104" s="351">
        <v>19995</v>
      </c>
      <c r="I104" s="349">
        <f t="shared" si="31"/>
        <v>169995</v>
      </c>
      <c r="J104" s="348">
        <v>50</v>
      </c>
      <c r="K104" s="380">
        <v>3399.9</v>
      </c>
      <c r="L104" s="394">
        <f t="shared" si="30"/>
        <v>399.9</v>
      </c>
      <c r="M104" s="394">
        <f t="shared" si="29"/>
        <v>3000</v>
      </c>
      <c r="N104" s="394">
        <f t="shared" si="32"/>
        <v>5998.5</v>
      </c>
      <c r="O104" s="394">
        <f t="shared" si="33"/>
        <v>13996.5</v>
      </c>
      <c r="P104" s="348">
        <v>15</v>
      </c>
      <c r="Q104" s="354">
        <f t="shared" si="34"/>
        <v>35</v>
      </c>
      <c r="R104" s="350">
        <f t="shared" si="35"/>
        <v>50998.5</v>
      </c>
      <c r="S104" s="350">
        <f t="shared" si="36"/>
        <v>118996.5</v>
      </c>
      <c r="T104" s="393"/>
    </row>
    <row r="105" spans="1:20">
      <c r="A105" s="378"/>
      <c r="B105" s="378"/>
      <c r="C105" s="363" t="s">
        <v>1341</v>
      </c>
      <c r="D105" s="367">
        <v>101</v>
      </c>
      <c r="E105" s="393" t="s">
        <v>1437</v>
      </c>
      <c r="F105" s="393" t="s">
        <v>1139</v>
      </c>
      <c r="G105" s="351">
        <v>500000</v>
      </c>
      <c r="H105" s="351">
        <v>66650</v>
      </c>
      <c r="I105" s="349">
        <f t="shared" si="31"/>
        <v>566650</v>
      </c>
      <c r="J105" s="348">
        <v>50</v>
      </c>
      <c r="K105" s="380">
        <v>11333</v>
      </c>
      <c r="L105" s="394">
        <f t="shared" si="30"/>
        <v>1333</v>
      </c>
      <c r="M105" s="394">
        <f t="shared" si="29"/>
        <v>10000</v>
      </c>
      <c r="N105" s="394">
        <f t="shared" si="32"/>
        <v>35991</v>
      </c>
      <c r="O105" s="394">
        <f t="shared" si="33"/>
        <v>30659</v>
      </c>
      <c r="P105" s="348">
        <v>27</v>
      </c>
      <c r="Q105" s="354">
        <f t="shared" si="34"/>
        <v>23</v>
      </c>
      <c r="R105" s="350">
        <f t="shared" si="35"/>
        <v>305991</v>
      </c>
      <c r="S105" s="350">
        <f t="shared" si="36"/>
        <v>260659</v>
      </c>
      <c r="T105" s="393"/>
    </row>
    <row r="106" spans="1:20">
      <c r="A106" s="378"/>
      <c r="B106" s="378"/>
      <c r="C106" s="363" t="s">
        <v>1497</v>
      </c>
      <c r="D106" s="367">
        <v>102</v>
      </c>
      <c r="E106" s="393" t="s">
        <v>1437</v>
      </c>
      <c r="F106" s="393" t="s">
        <v>442</v>
      </c>
      <c r="G106" s="380">
        <v>750000</v>
      </c>
      <c r="H106" s="380">
        <v>99925</v>
      </c>
      <c r="I106" s="380">
        <f t="shared" si="31"/>
        <v>849925</v>
      </c>
      <c r="J106" s="348">
        <v>60</v>
      </c>
      <c r="K106" s="380">
        <v>14166.25</v>
      </c>
      <c r="L106" s="394">
        <f>H106/60</f>
        <v>1665.4166666666667</v>
      </c>
      <c r="M106" s="394">
        <f>G106/60</f>
        <v>12500</v>
      </c>
      <c r="N106" s="394">
        <f t="shared" si="32"/>
        <v>8327.0833333333339</v>
      </c>
      <c r="O106" s="394">
        <f t="shared" si="33"/>
        <v>91597.916666666672</v>
      </c>
      <c r="P106" s="348">
        <v>5</v>
      </c>
      <c r="Q106" s="348">
        <f t="shared" si="34"/>
        <v>55</v>
      </c>
      <c r="R106" s="380">
        <f t="shared" si="35"/>
        <v>70831.25</v>
      </c>
      <c r="S106" s="380">
        <f t="shared" si="36"/>
        <v>779093.75</v>
      </c>
      <c r="T106" s="393"/>
    </row>
    <row r="107" spans="1:20">
      <c r="A107" s="378"/>
      <c r="B107" s="378"/>
      <c r="C107" s="364" t="s">
        <v>1398</v>
      </c>
      <c r="D107" s="367">
        <v>103</v>
      </c>
      <c r="E107" s="393" t="s">
        <v>1437</v>
      </c>
      <c r="F107" s="393" t="s">
        <v>1399</v>
      </c>
      <c r="G107" s="351">
        <v>150000</v>
      </c>
      <c r="H107" s="351">
        <v>19995</v>
      </c>
      <c r="I107" s="349">
        <f t="shared" si="31"/>
        <v>169995</v>
      </c>
      <c r="J107" s="348">
        <v>50</v>
      </c>
      <c r="K107" s="380">
        <v>3399.9</v>
      </c>
      <c r="L107" s="394">
        <f t="shared" ref="L107:L112" si="37">H107/50</f>
        <v>399.9</v>
      </c>
      <c r="M107" s="394">
        <f t="shared" ref="M107:M112" si="38">G107/50</f>
        <v>3000</v>
      </c>
      <c r="N107" s="394">
        <f t="shared" si="32"/>
        <v>5998.5</v>
      </c>
      <c r="O107" s="394">
        <f t="shared" si="33"/>
        <v>13996.5</v>
      </c>
      <c r="P107" s="348">
        <v>15</v>
      </c>
      <c r="Q107" s="354">
        <f t="shared" si="34"/>
        <v>35</v>
      </c>
      <c r="R107" s="350">
        <f t="shared" si="35"/>
        <v>50998.5</v>
      </c>
      <c r="S107" s="350">
        <f t="shared" si="36"/>
        <v>118996.5</v>
      </c>
      <c r="T107" s="393"/>
    </row>
    <row r="108" spans="1:20">
      <c r="A108" s="378"/>
      <c r="B108" s="378"/>
      <c r="C108" s="363" t="s">
        <v>1123</v>
      </c>
      <c r="D108" s="367">
        <v>104</v>
      </c>
      <c r="E108" s="393" t="s">
        <v>1437</v>
      </c>
      <c r="F108" s="393" t="s">
        <v>439</v>
      </c>
      <c r="G108" s="351">
        <v>330000</v>
      </c>
      <c r="H108" s="351">
        <v>43989</v>
      </c>
      <c r="I108" s="349">
        <f t="shared" si="31"/>
        <v>373989</v>
      </c>
      <c r="J108" s="348">
        <v>50</v>
      </c>
      <c r="K108" s="380">
        <v>7479.78</v>
      </c>
      <c r="L108" s="394">
        <f t="shared" si="37"/>
        <v>879.78</v>
      </c>
      <c r="M108" s="394">
        <f t="shared" si="38"/>
        <v>6600</v>
      </c>
      <c r="N108" s="394">
        <f t="shared" si="32"/>
        <v>24633.84</v>
      </c>
      <c r="O108" s="394">
        <f t="shared" si="33"/>
        <v>19355.16</v>
      </c>
      <c r="P108" s="348">
        <v>28</v>
      </c>
      <c r="Q108" s="354">
        <f t="shared" si="34"/>
        <v>22</v>
      </c>
      <c r="R108" s="350">
        <f t="shared" si="35"/>
        <v>209433.84</v>
      </c>
      <c r="S108" s="350">
        <f t="shared" si="36"/>
        <v>164555.16</v>
      </c>
      <c r="T108" s="393"/>
    </row>
    <row r="109" spans="1:20">
      <c r="A109" s="378"/>
      <c r="B109" s="378"/>
      <c r="C109" s="116" t="s">
        <v>1365</v>
      </c>
      <c r="D109" s="367">
        <v>105</v>
      </c>
      <c r="E109" s="393" t="s">
        <v>1437</v>
      </c>
      <c r="F109" s="393" t="s">
        <v>449</v>
      </c>
      <c r="G109" s="351">
        <v>450000</v>
      </c>
      <c r="H109" s="351">
        <v>59985</v>
      </c>
      <c r="I109" s="349">
        <f t="shared" si="31"/>
        <v>509985</v>
      </c>
      <c r="J109" s="348">
        <v>50</v>
      </c>
      <c r="K109" s="380">
        <v>10199.700000000001</v>
      </c>
      <c r="L109" s="394">
        <f t="shared" si="37"/>
        <v>1199.7</v>
      </c>
      <c r="M109" s="394">
        <f t="shared" si="38"/>
        <v>9000</v>
      </c>
      <c r="N109" s="394">
        <f t="shared" si="32"/>
        <v>23994</v>
      </c>
      <c r="O109" s="394">
        <f t="shared" si="33"/>
        <v>35991</v>
      </c>
      <c r="P109" s="348">
        <v>20</v>
      </c>
      <c r="Q109" s="354">
        <f t="shared" si="34"/>
        <v>30</v>
      </c>
      <c r="R109" s="350">
        <f t="shared" si="35"/>
        <v>203994</v>
      </c>
      <c r="S109" s="350">
        <f t="shared" si="36"/>
        <v>305991</v>
      </c>
      <c r="T109" s="393"/>
    </row>
    <row r="110" spans="1:20">
      <c r="A110" s="378"/>
      <c r="B110" s="378"/>
      <c r="C110" s="363" t="s">
        <v>987</v>
      </c>
      <c r="D110" s="367">
        <v>106</v>
      </c>
      <c r="E110" s="393" t="s">
        <v>1437</v>
      </c>
      <c r="F110" s="393" t="s">
        <v>866</v>
      </c>
      <c r="G110" s="351">
        <v>500000</v>
      </c>
      <c r="H110" s="351">
        <v>66650</v>
      </c>
      <c r="I110" s="349">
        <f t="shared" si="31"/>
        <v>566650</v>
      </c>
      <c r="J110" s="348">
        <v>50</v>
      </c>
      <c r="K110" s="380">
        <v>11333</v>
      </c>
      <c r="L110" s="394">
        <f t="shared" si="37"/>
        <v>1333</v>
      </c>
      <c r="M110" s="394">
        <f t="shared" si="38"/>
        <v>10000</v>
      </c>
      <c r="N110" s="394">
        <f t="shared" si="32"/>
        <v>26660</v>
      </c>
      <c r="O110" s="394">
        <f t="shared" si="33"/>
        <v>39990</v>
      </c>
      <c r="P110" s="348">
        <v>20</v>
      </c>
      <c r="Q110" s="354">
        <f t="shared" si="34"/>
        <v>30</v>
      </c>
      <c r="R110" s="350">
        <f t="shared" si="35"/>
        <v>226660</v>
      </c>
      <c r="S110" s="350">
        <f t="shared" si="36"/>
        <v>339990</v>
      </c>
      <c r="T110" s="393"/>
    </row>
    <row r="111" spans="1:20">
      <c r="A111" s="378"/>
      <c r="B111" s="378"/>
      <c r="C111" s="363" t="s">
        <v>1530</v>
      </c>
      <c r="D111" s="367">
        <v>107</v>
      </c>
      <c r="E111" s="393" t="s">
        <v>1437</v>
      </c>
      <c r="F111" s="393" t="s">
        <v>1531</v>
      </c>
      <c r="G111" s="351">
        <v>500000</v>
      </c>
      <c r="H111" s="351">
        <v>66650</v>
      </c>
      <c r="I111" s="349">
        <f t="shared" si="31"/>
        <v>566650</v>
      </c>
      <c r="J111" s="348">
        <v>50</v>
      </c>
      <c r="K111" s="380">
        <v>11333</v>
      </c>
      <c r="L111" s="394">
        <f t="shared" si="37"/>
        <v>1333</v>
      </c>
      <c r="M111" s="394">
        <f t="shared" si="38"/>
        <v>10000</v>
      </c>
      <c r="N111" s="394">
        <f t="shared" si="32"/>
        <v>2666</v>
      </c>
      <c r="O111" s="394">
        <f t="shared" si="33"/>
        <v>63984</v>
      </c>
      <c r="P111" s="348">
        <v>2</v>
      </c>
      <c r="Q111" s="354">
        <f t="shared" si="34"/>
        <v>48</v>
      </c>
      <c r="R111" s="350">
        <f t="shared" si="35"/>
        <v>22666</v>
      </c>
      <c r="S111" s="350">
        <f t="shared" si="36"/>
        <v>543984</v>
      </c>
      <c r="T111" s="393"/>
    </row>
    <row r="112" spans="1:20">
      <c r="A112" s="378"/>
      <c r="B112" s="378"/>
      <c r="C112" s="364" t="s">
        <v>1321</v>
      </c>
      <c r="D112" s="367">
        <v>108</v>
      </c>
      <c r="E112" s="393" t="s">
        <v>1437</v>
      </c>
      <c r="F112" s="393" t="s">
        <v>403</v>
      </c>
      <c r="G112" s="351">
        <v>500000</v>
      </c>
      <c r="H112" s="351">
        <v>66650</v>
      </c>
      <c r="I112" s="349">
        <f t="shared" si="31"/>
        <v>566650</v>
      </c>
      <c r="J112" s="348">
        <v>50</v>
      </c>
      <c r="K112" s="380">
        <v>11333</v>
      </c>
      <c r="L112" s="394">
        <f t="shared" si="37"/>
        <v>1333</v>
      </c>
      <c r="M112" s="394">
        <f t="shared" si="38"/>
        <v>10000</v>
      </c>
      <c r="N112" s="394">
        <f t="shared" si="32"/>
        <v>23994</v>
      </c>
      <c r="O112" s="394">
        <f t="shared" si="33"/>
        <v>42656</v>
      </c>
      <c r="P112" s="348">
        <v>18</v>
      </c>
      <c r="Q112" s="354">
        <f t="shared" si="34"/>
        <v>32</v>
      </c>
      <c r="R112" s="350">
        <f t="shared" si="35"/>
        <v>203994</v>
      </c>
      <c r="S112" s="350">
        <f t="shared" si="36"/>
        <v>362656</v>
      </c>
      <c r="T112" s="393"/>
    </row>
    <row r="113" spans="1:20">
      <c r="A113" s="378"/>
      <c r="B113" s="378"/>
      <c r="C113" s="393" t="s">
        <v>1526</v>
      </c>
      <c r="D113" s="367">
        <v>109</v>
      </c>
      <c r="E113" s="393" t="s">
        <v>1437</v>
      </c>
      <c r="F113" s="393" t="s">
        <v>1527</v>
      </c>
      <c r="G113" s="380">
        <v>750000</v>
      </c>
      <c r="H113" s="380">
        <v>79980</v>
      </c>
      <c r="I113" s="380">
        <f t="shared" si="31"/>
        <v>829980</v>
      </c>
      <c r="J113" s="348">
        <v>60</v>
      </c>
      <c r="K113" s="380">
        <v>14166.25</v>
      </c>
      <c r="L113" s="394">
        <f>H113/60</f>
        <v>1333</v>
      </c>
      <c r="M113" s="394">
        <f>G113/60</f>
        <v>12500</v>
      </c>
      <c r="N113" s="394">
        <f t="shared" si="32"/>
        <v>2666</v>
      </c>
      <c r="O113" s="394">
        <f t="shared" si="33"/>
        <v>77314</v>
      </c>
      <c r="P113" s="348">
        <v>2</v>
      </c>
      <c r="Q113" s="354">
        <f t="shared" si="34"/>
        <v>58</v>
      </c>
      <c r="R113" s="350">
        <f t="shared" si="35"/>
        <v>28332.5</v>
      </c>
      <c r="S113" s="350">
        <f t="shared" si="36"/>
        <v>801647.5</v>
      </c>
      <c r="T113" s="393"/>
    </row>
    <row r="114" spans="1:20">
      <c r="A114" s="378"/>
      <c r="B114" s="378"/>
      <c r="C114" s="363" t="s">
        <v>1467</v>
      </c>
      <c r="D114" s="367">
        <v>110</v>
      </c>
      <c r="E114" s="393" t="s">
        <v>1437</v>
      </c>
      <c r="F114" s="393" t="s">
        <v>1468</v>
      </c>
      <c r="G114" s="351">
        <v>500000</v>
      </c>
      <c r="H114" s="351">
        <v>66650</v>
      </c>
      <c r="I114" s="349">
        <f t="shared" si="31"/>
        <v>566650</v>
      </c>
      <c r="J114" s="348">
        <v>50</v>
      </c>
      <c r="K114" s="380">
        <v>11333</v>
      </c>
      <c r="L114" s="394">
        <f>H114/50</f>
        <v>1333</v>
      </c>
      <c r="M114" s="394">
        <f>G114/50</f>
        <v>10000</v>
      </c>
      <c r="N114" s="394">
        <f t="shared" si="32"/>
        <v>10664</v>
      </c>
      <c r="O114" s="394">
        <f t="shared" si="33"/>
        <v>55986</v>
      </c>
      <c r="P114" s="348">
        <v>8</v>
      </c>
      <c r="Q114" s="354">
        <f t="shared" si="34"/>
        <v>42</v>
      </c>
      <c r="R114" s="350">
        <f t="shared" si="35"/>
        <v>90664</v>
      </c>
      <c r="S114" s="350">
        <f t="shared" si="36"/>
        <v>475986</v>
      </c>
      <c r="T114" s="393"/>
    </row>
    <row r="115" spans="1:20">
      <c r="A115" s="378"/>
      <c r="B115" s="378"/>
      <c r="C115" s="363" t="s">
        <v>1486</v>
      </c>
      <c r="D115" s="367">
        <v>111</v>
      </c>
      <c r="E115" s="393" t="s">
        <v>1437</v>
      </c>
      <c r="F115" s="393" t="s">
        <v>1487</v>
      </c>
      <c r="G115" s="351">
        <v>150000</v>
      </c>
      <c r="H115" s="351">
        <v>19995</v>
      </c>
      <c r="I115" s="349">
        <f t="shared" si="31"/>
        <v>169995</v>
      </c>
      <c r="J115" s="348">
        <v>50</v>
      </c>
      <c r="K115" s="380">
        <v>3399.9</v>
      </c>
      <c r="L115" s="394">
        <f>H115/50</f>
        <v>399.9</v>
      </c>
      <c r="M115" s="394">
        <f>G115/50</f>
        <v>3000</v>
      </c>
      <c r="N115" s="394">
        <f t="shared" si="32"/>
        <v>19995</v>
      </c>
      <c r="O115" s="394">
        <f t="shared" si="33"/>
        <v>0</v>
      </c>
      <c r="P115" s="348">
        <v>50</v>
      </c>
      <c r="Q115" s="354">
        <f t="shared" si="34"/>
        <v>0</v>
      </c>
      <c r="R115" s="350">
        <f t="shared" si="35"/>
        <v>169995</v>
      </c>
      <c r="S115" s="350">
        <f t="shared" si="36"/>
        <v>0</v>
      </c>
      <c r="T115" s="393"/>
    </row>
    <row r="116" spans="1:20">
      <c r="A116" s="378"/>
      <c r="B116" s="378"/>
      <c r="C116" s="116" t="s">
        <v>1105</v>
      </c>
      <c r="D116" s="367">
        <v>112</v>
      </c>
      <c r="E116" s="393" t="s">
        <v>1437</v>
      </c>
      <c r="F116" s="393" t="s">
        <v>861</v>
      </c>
      <c r="G116" s="351">
        <v>500000</v>
      </c>
      <c r="H116" s="351">
        <v>66650</v>
      </c>
      <c r="I116" s="349">
        <f t="shared" si="31"/>
        <v>566650</v>
      </c>
      <c r="J116" s="348">
        <v>50</v>
      </c>
      <c r="K116" s="380">
        <v>11333</v>
      </c>
      <c r="L116" s="394">
        <f>H116/50</f>
        <v>1333</v>
      </c>
      <c r="M116" s="394">
        <f>G116/50</f>
        <v>10000</v>
      </c>
      <c r="N116" s="394">
        <f t="shared" si="32"/>
        <v>43989</v>
      </c>
      <c r="O116" s="394">
        <f t="shared" si="33"/>
        <v>22661</v>
      </c>
      <c r="P116" s="348">
        <v>33</v>
      </c>
      <c r="Q116" s="354">
        <f t="shared" si="34"/>
        <v>17</v>
      </c>
      <c r="R116" s="350">
        <f t="shared" si="35"/>
        <v>373989</v>
      </c>
      <c r="S116" s="350">
        <f t="shared" si="36"/>
        <v>192661</v>
      </c>
      <c r="T116" s="393"/>
    </row>
    <row r="117" spans="1:20">
      <c r="A117" s="378"/>
      <c r="B117" s="378"/>
      <c r="C117" s="363" t="s">
        <v>1063</v>
      </c>
      <c r="D117" s="367">
        <v>113</v>
      </c>
      <c r="E117" s="393" t="s">
        <v>1437</v>
      </c>
      <c r="F117" s="393" t="s">
        <v>1064</v>
      </c>
      <c r="G117" s="380">
        <v>600000</v>
      </c>
      <c r="H117" s="380">
        <v>79980</v>
      </c>
      <c r="I117" s="380">
        <f t="shared" si="31"/>
        <v>679980</v>
      </c>
      <c r="J117" s="348">
        <v>60</v>
      </c>
      <c r="K117" s="380">
        <v>11333</v>
      </c>
      <c r="L117" s="394">
        <f>H117/60</f>
        <v>1333</v>
      </c>
      <c r="M117" s="394">
        <f>G117/60</f>
        <v>10000</v>
      </c>
      <c r="N117" s="394">
        <f t="shared" si="32"/>
        <v>6665</v>
      </c>
      <c r="O117" s="394">
        <f t="shared" si="33"/>
        <v>73315</v>
      </c>
      <c r="P117" s="348">
        <v>5</v>
      </c>
      <c r="Q117" s="348">
        <f t="shared" si="34"/>
        <v>55</v>
      </c>
      <c r="R117" s="380">
        <f t="shared" si="35"/>
        <v>56665</v>
      </c>
      <c r="S117" s="380">
        <f t="shared" si="36"/>
        <v>623315</v>
      </c>
      <c r="T117" s="393"/>
    </row>
    <row r="118" spans="1:20">
      <c r="A118" s="378"/>
      <c r="B118" s="378"/>
      <c r="C118" s="364" t="s">
        <v>999</v>
      </c>
      <c r="D118" s="367">
        <v>114</v>
      </c>
      <c r="E118" s="393" t="s">
        <v>1437</v>
      </c>
      <c r="F118" s="393" t="s">
        <v>441</v>
      </c>
      <c r="G118" s="351">
        <v>500000</v>
      </c>
      <c r="H118" s="351">
        <v>66650</v>
      </c>
      <c r="I118" s="349">
        <f t="shared" si="31"/>
        <v>566650</v>
      </c>
      <c r="J118" s="348">
        <v>50</v>
      </c>
      <c r="K118" s="380">
        <v>11333</v>
      </c>
      <c r="L118" s="394">
        <f>H118/50</f>
        <v>1333</v>
      </c>
      <c r="M118" s="394">
        <f>G118/50</f>
        <v>10000</v>
      </c>
      <c r="N118" s="394">
        <f t="shared" si="32"/>
        <v>53320</v>
      </c>
      <c r="O118" s="394">
        <f t="shared" si="33"/>
        <v>13330</v>
      </c>
      <c r="P118" s="348">
        <v>40</v>
      </c>
      <c r="Q118" s="354">
        <f t="shared" si="34"/>
        <v>10</v>
      </c>
      <c r="R118" s="350">
        <f t="shared" si="35"/>
        <v>453320</v>
      </c>
      <c r="S118" s="350">
        <f t="shared" si="36"/>
        <v>113330</v>
      </c>
      <c r="T118" s="393"/>
    </row>
    <row r="119" spans="1:20">
      <c r="A119" s="378"/>
      <c r="B119" s="378"/>
      <c r="C119" s="363" t="s">
        <v>1479</v>
      </c>
      <c r="D119" s="367">
        <v>115</v>
      </c>
      <c r="E119" s="393" t="s">
        <v>1437</v>
      </c>
      <c r="F119" s="393" t="s">
        <v>1480</v>
      </c>
      <c r="G119" s="351">
        <v>330000</v>
      </c>
      <c r="H119" s="351">
        <v>43989</v>
      </c>
      <c r="I119" s="349">
        <f t="shared" si="31"/>
        <v>373989</v>
      </c>
      <c r="J119" s="348">
        <v>50</v>
      </c>
      <c r="K119" s="380">
        <v>7479.78</v>
      </c>
      <c r="L119" s="394">
        <f>H119/50</f>
        <v>879.78</v>
      </c>
      <c r="M119" s="394">
        <f>G119/50</f>
        <v>6600</v>
      </c>
      <c r="N119" s="394">
        <f t="shared" si="32"/>
        <v>7038.24</v>
      </c>
      <c r="O119" s="394">
        <f t="shared" si="33"/>
        <v>36950.76</v>
      </c>
      <c r="P119" s="348">
        <v>8</v>
      </c>
      <c r="Q119" s="354">
        <f t="shared" si="34"/>
        <v>42</v>
      </c>
      <c r="R119" s="350">
        <f t="shared" si="35"/>
        <v>59838.239999999998</v>
      </c>
      <c r="S119" s="350">
        <f t="shared" si="36"/>
        <v>314150.76</v>
      </c>
      <c r="T119" s="393"/>
    </row>
    <row r="120" spans="1:20">
      <c r="A120" s="378"/>
      <c r="B120" s="378"/>
      <c r="C120" s="364" t="s">
        <v>1332</v>
      </c>
      <c r="D120" s="367">
        <v>116</v>
      </c>
      <c r="E120" s="393" t="s">
        <v>1437</v>
      </c>
      <c r="F120" s="393" t="s">
        <v>1284</v>
      </c>
      <c r="G120" s="351">
        <v>500000</v>
      </c>
      <c r="H120" s="351">
        <v>66650</v>
      </c>
      <c r="I120" s="349">
        <f t="shared" si="31"/>
        <v>566650</v>
      </c>
      <c r="J120" s="348">
        <v>50</v>
      </c>
      <c r="K120" s="380">
        <v>11333</v>
      </c>
      <c r="L120" s="394">
        <f>H120/50</f>
        <v>1333</v>
      </c>
      <c r="M120" s="394">
        <f>G120/50</f>
        <v>10000</v>
      </c>
      <c r="N120" s="394">
        <f t="shared" si="32"/>
        <v>46655</v>
      </c>
      <c r="O120" s="394">
        <f t="shared" si="33"/>
        <v>19995</v>
      </c>
      <c r="P120" s="348">
        <v>35</v>
      </c>
      <c r="Q120" s="354">
        <f t="shared" si="34"/>
        <v>15</v>
      </c>
      <c r="R120" s="350">
        <f t="shared" si="35"/>
        <v>396655</v>
      </c>
      <c r="S120" s="350">
        <f t="shared" si="36"/>
        <v>169995</v>
      </c>
      <c r="T120" s="393"/>
    </row>
    <row r="121" spans="1:20">
      <c r="A121" s="378"/>
      <c r="B121" s="378"/>
      <c r="C121" s="363" t="s">
        <v>1502</v>
      </c>
      <c r="D121" s="367">
        <v>117</v>
      </c>
      <c r="E121" s="393" t="s">
        <v>1437</v>
      </c>
      <c r="F121" s="393" t="s">
        <v>1503</v>
      </c>
      <c r="G121" s="380">
        <v>750000</v>
      </c>
      <c r="H121" s="380">
        <v>99925</v>
      </c>
      <c r="I121" s="380">
        <f t="shared" si="31"/>
        <v>849925</v>
      </c>
      <c r="J121" s="348">
        <v>60</v>
      </c>
      <c r="K121" s="380">
        <v>14166.25</v>
      </c>
      <c r="L121" s="394">
        <f>H121/60</f>
        <v>1665.4166666666667</v>
      </c>
      <c r="M121" s="394">
        <f>G121/60</f>
        <v>12500</v>
      </c>
      <c r="N121" s="394">
        <f t="shared" si="32"/>
        <v>8327.0833333333339</v>
      </c>
      <c r="O121" s="394">
        <f t="shared" si="33"/>
        <v>91597.916666666672</v>
      </c>
      <c r="P121" s="348">
        <v>5</v>
      </c>
      <c r="Q121" s="348">
        <f t="shared" si="34"/>
        <v>55</v>
      </c>
      <c r="R121" s="380">
        <f t="shared" si="35"/>
        <v>70831.25</v>
      </c>
      <c r="S121" s="380">
        <f t="shared" si="36"/>
        <v>779093.75</v>
      </c>
      <c r="T121" s="393"/>
    </row>
    <row r="122" spans="1:20">
      <c r="A122" s="378"/>
      <c r="B122" s="378"/>
      <c r="C122" s="363" t="s">
        <v>1411</v>
      </c>
      <c r="D122" s="367">
        <v>118</v>
      </c>
      <c r="E122" s="393" t="s">
        <v>1437</v>
      </c>
      <c r="F122" s="393" t="s">
        <v>473</v>
      </c>
      <c r="G122" s="351">
        <v>500000</v>
      </c>
      <c r="H122" s="351">
        <v>66650</v>
      </c>
      <c r="I122" s="349">
        <f t="shared" si="31"/>
        <v>566650</v>
      </c>
      <c r="J122" s="348">
        <v>40</v>
      </c>
      <c r="K122" s="380">
        <v>13833</v>
      </c>
      <c r="L122" s="394">
        <f>H122/50</f>
        <v>1333</v>
      </c>
      <c r="M122" s="394">
        <f>G122/50</f>
        <v>10000</v>
      </c>
      <c r="N122" s="394">
        <f t="shared" si="32"/>
        <v>17329</v>
      </c>
      <c r="O122" s="394">
        <f t="shared" si="33"/>
        <v>35991</v>
      </c>
      <c r="P122" s="348">
        <v>13</v>
      </c>
      <c r="Q122" s="354">
        <f t="shared" si="34"/>
        <v>27</v>
      </c>
      <c r="R122" s="350">
        <f t="shared" si="35"/>
        <v>179829</v>
      </c>
      <c r="S122" s="350">
        <f t="shared" si="36"/>
        <v>386821</v>
      </c>
      <c r="T122" s="393"/>
    </row>
    <row r="123" spans="1:20">
      <c r="A123" s="378"/>
      <c r="B123" s="378"/>
      <c r="C123" s="363" t="s">
        <v>1329</v>
      </c>
      <c r="D123" s="367">
        <v>119</v>
      </c>
      <c r="E123" s="393" t="s">
        <v>1437</v>
      </c>
      <c r="F123" s="393" t="s">
        <v>463</v>
      </c>
      <c r="G123" s="351">
        <v>500000</v>
      </c>
      <c r="H123" s="351">
        <v>66650</v>
      </c>
      <c r="I123" s="349">
        <f t="shared" si="31"/>
        <v>566650</v>
      </c>
      <c r="J123" s="348">
        <v>50</v>
      </c>
      <c r="K123" s="380">
        <v>11333</v>
      </c>
      <c r="L123" s="394">
        <f>H123/50</f>
        <v>1333</v>
      </c>
      <c r="M123" s="394">
        <f>G123/50</f>
        <v>10000</v>
      </c>
      <c r="N123" s="394">
        <f t="shared" si="32"/>
        <v>33325</v>
      </c>
      <c r="O123" s="394">
        <f t="shared" si="33"/>
        <v>33325</v>
      </c>
      <c r="P123" s="348">
        <v>25</v>
      </c>
      <c r="Q123" s="354">
        <f t="shared" si="34"/>
        <v>25</v>
      </c>
      <c r="R123" s="350">
        <f t="shared" si="35"/>
        <v>283325</v>
      </c>
      <c r="S123" s="350">
        <f t="shared" si="36"/>
        <v>283325</v>
      </c>
      <c r="T123" s="393"/>
    </row>
    <row r="124" spans="1:20">
      <c r="A124" s="378"/>
      <c r="B124" s="378"/>
      <c r="C124" s="115" t="s">
        <v>1358</v>
      </c>
      <c r="D124" s="367">
        <v>120</v>
      </c>
      <c r="E124" s="393" t="s">
        <v>1437</v>
      </c>
      <c r="F124" s="393" t="s">
        <v>1359</v>
      </c>
      <c r="G124" s="351">
        <v>450000</v>
      </c>
      <c r="H124" s="351">
        <v>59985</v>
      </c>
      <c r="I124" s="349">
        <f t="shared" si="31"/>
        <v>509985</v>
      </c>
      <c r="J124" s="348">
        <v>50</v>
      </c>
      <c r="K124" s="380">
        <v>10199.700000000001</v>
      </c>
      <c r="L124" s="394">
        <f>H124/50</f>
        <v>1199.7</v>
      </c>
      <c r="M124" s="394">
        <f>G124/50</f>
        <v>9000</v>
      </c>
      <c r="N124" s="394">
        <f t="shared" si="32"/>
        <v>17995.5</v>
      </c>
      <c r="O124" s="394">
        <f t="shared" si="33"/>
        <v>41989.5</v>
      </c>
      <c r="P124" s="348">
        <v>15</v>
      </c>
      <c r="Q124" s="354">
        <f t="shared" si="34"/>
        <v>35</v>
      </c>
      <c r="R124" s="350">
        <f t="shared" si="35"/>
        <v>152995.5</v>
      </c>
      <c r="S124" s="350">
        <f t="shared" si="36"/>
        <v>356989.5</v>
      </c>
      <c r="T124" s="393"/>
    </row>
    <row r="125" spans="1:20">
      <c r="A125" s="378"/>
      <c r="B125" s="378"/>
      <c r="C125" s="363" t="s">
        <v>1334</v>
      </c>
      <c r="D125" s="367">
        <v>121</v>
      </c>
      <c r="E125" s="393" t="s">
        <v>1437</v>
      </c>
      <c r="F125" s="393" t="s">
        <v>1294</v>
      </c>
      <c r="G125" s="380">
        <v>600000</v>
      </c>
      <c r="H125" s="380">
        <v>79980</v>
      </c>
      <c r="I125" s="380">
        <f t="shared" si="31"/>
        <v>679980</v>
      </c>
      <c r="J125" s="348">
        <v>60</v>
      </c>
      <c r="K125" s="380">
        <v>11333</v>
      </c>
      <c r="L125" s="394">
        <f>H125/60</f>
        <v>1333</v>
      </c>
      <c r="M125" s="394">
        <f>G125/60</f>
        <v>10000</v>
      </c>
      <c r="N125" s="394">
        <f t="shared" si="32"/>
        <v>6665</v>
      </c>
      <c r="O125" s="394">
        <f t="shared" si="33"/>
        <v>73315</v>
      </c>
      <c r="P125" s="348">
        <v>5</v>
      </c>
      <c r="Q125" s="348">
        <f t="shared" si="34"/>
        <v>55</v>
      </c>
      <c r="R125" s="380">
        <f t="shared" si="35"/>
        <v>56665</v>
      </c>
      <c r="S125" s="380">
        <f t="shared" si="36"/>
        <v>623315</v>
      </c>
      <c r="T125" s="393"/>
    </row>
    <row r="126" spans="1:20">
      <c r="A126" s="378"/>
      <c r="B126" s="378"/>
      <c r="C126" s="116" t="s">
        <v>1319</v>
      </c>
      <c r="D126" s="367">
        <v>122</v>
      </c>
      <c r="E126" s="393" t="s">
        <v>1437</v>
      </c>
      <c r="F126" s="393" t="s">
        <v>305</v>
      </c>
      <c r="G126" s="351">
        <v>500000</v>
      </c>
      <c r="H126" s="351">
        <v>66650</v>
      </c>
      <c r="I126" s="349">
        <f t="shared" si="31"/>
        <v>566650</v>
      </c>
      <c r="J126" s="348">
        <v>40</v>
      </c>
      <c r="K126" s="380">
        <v>13833</v>
      </c>
      <c r="L126" s="394">
        <f>H126/50</f>
        <v>1333</v>
      </c>
      <c r="M126" s="394">
        <f>G126/50</f>
        <v>10000</v>
      </c>
      <c r="N126" s="394">
        <f t="shared" si="32"/>
        <v>19995</v>
      </c>
      <c r="O126" s="394">
        <f t="shared" si="33"/>
        <v>33325</v>
      </c>
      <c r="P126" s="348">
        <v>15</v>
      </c>
      <c r="Q126" s="354">
        <f t="shared" si="34"/>
        <v>25</v>
      </c>
      <c r="R126" s="350">
        <f t="shared" si="35"/>
        <v>207495</v>
      </c>
      <c r="S126" s="350">
        <f t="shared" si="36"/>
        <v>359155</v>
      </c>
      <c r="T126" s="393"/>
    </row>
    <row r="127" spans="1:20">
      <c r="A127" s="378"/>
      <c r="B127" s="378"/>
      <c r="C127" s="363" t="s">
        <v>988</v>
      </c>
      <c r="D127" s="367">
        <v>123</v>
      </c>
      <c r="E127" s="393" t="s">
        <v>1437</v>
      </c>
      <c r="F127" s="393" t="s">
        <v>296</v>
      </c>
      <c r="G127" s="351">
        <v>450000</v>
      </c>
      <c r="H127" s="351">
        <v>59985</v>
      </c>
      <c r="I127" s="349">
        <f t="shared" si="31"/>
        <v>509985</v>
      </c>
      <c r="J127" s="348">
        <v>50</v>
      </c>
      <c r="K127" s="380">
        <v>10199.700000000001</v>
      </c>
      <c r="L127" s="394">
        <f>H127/50</f>
        <v>1199.7</v>
      </c>
      <c r="M127" s="394">
        <f>G127/50</f>
        <v>9000</v>
      </c>
      <c r="N127" s="394">
        <f t="shared" si="32"/>
        <v>9597.6</v>
      </c>
      <c r="O127" s="394">
        <f t="shared" si="33"/>
        <v>50387.4</v>
      </c>
      <c r="P127" s="348">
        <v>8</v>
      </c>
      <c r="Q127" s="354">
        <f t="shared" si="34"/>
        <v>42</v>
      </c>
      <c r="R127" s="350">
        <f t="shared" si="35"/>
        <v>81597.600000000006</v>
      </c>
      <c r="S127" s="350">
        <f t="shared" si="36"/>
        <v>428387.4</v>
      </c>
      <c r="T127" s="393"/>
    </row>
    <row r="128" spans="1:20" ht="31.5">
      <c r="A128" s="378"/>
      <c r="B128" s="378"/>
      <c r="C128" s="363" t="s">
        <v>1498</v>
      </c>
      <c r="D128" s="367">
        <v>124</v>
      </c>
      <c r="E128" s="393" t="s">
        <v>1437</v>
      </c>
      <c r="F128" s="395" t="s">
        <v>1499</v>
      </c>
      <c r="G128" s="380">
        <v>750000</v>
      </c>
      <c r="H128" s="380">
        <v>99925</v>
      </c>
      <c r="I128" s="380">
        <f t="shared" si="31"/>
        <v>849925</v>
      </c>
      <c r="J128" s="348">
        <v>60</v>
      </c>
      <c r="K128" s="380">
        <v>14166.25</v>
      </c>
      <c r="L128" s="394">
        <f>H128/60</f>
        <v>1665.4166666666667</v>
      </c>
      <c r="M128" s="394">
        <f>G128/60</f>
        <v>12500</v>
      </c>
      <c r="N128" s="394">
        <f t="shared" si="32"/>
        <v>8327.0833333333339</v>
      </c>
      <c r="O128" s="394">
        <f t="shared" si="33"/>
        <v>91597.916666666672</v>
      </c>
      <c r="P128" s="348">
        <v>5</v>
      </c>
      <c r="Q128" s="348">
        <f t="shared" si="34"/>
        <v>55</v>
      </c>
      <c r="R128" s="380">
        <f t="shared" si="35"/>
        <v>70831.25</v>
      </c>
      <c r="S128" s="380">
        <f t="shared" si="36"/>
        <v>779093.75</v>
      </c>
      <c r="T128" s="393"/>
    </row>
    <row r="129" spans="1:20">
      <c r="A129" s="378"/>
      <c r="B129" s="378"/>
      <c r="C129" s="116" t="s">
        <v>1388</v>
      </c>
      <c r="D129" s="367">
        <v>125</v>
      </c>
      <c r="E129" s="393" t="s">
        <v>1437</v>
      </c>
      <c r="F129" s="393" t="s">
        <v>1389</v>
      </c>
      <c r="G129" s="351">
        <v>330000</v>
      </c>
      <c r="H129" s="351">
        <v>43989</v>
      </c>
      <c r="I129" s="349">
        <f t="shared" si="31"/>
        <v>373989</v>
      </c>
      <c r="J129" s="348">
        <v>50</v>
      </c>
      <c r="K129" s="380">
        <v>7479.78</v>
      </c>
      <c r="L129" s="394">
        <f t="shared" ref="L129:L137" si="39">H129/50</f>
        <v>879.78</v>
      </c>
      <c r="M129" s="394">
        <f t="shared" ref="M129:M137" si="40">G129/50</f>
        <v>6600</v>
      </c>
      <c r="N129" s="394">
        <f t="shared" si="32"/>
        <v>14956.26</v>
      </c>
      <c r="O129" s="394">
        <f t="shared" si="33"/>
        <v>29032.739999999998</v>
      </c>
      <c r="P129" s="348">
        <v>17</v>
      </c>
      <c r="Q129" s="354">
        <f t="shared" si="34"/>
        <v>33</v>
      </c>
      <c r="R129" s="350">
        <f t="shared" si="35"/>
        <v>127156.26</v>
      </c>
      <c r="S129" s="350">
        <f t="shared" si="36"/>
        <v>246832.74</v>
      </c>
      <c r="T129" s="393"/>
    </row>
    <row r="130" spans="1:20">
      <c r="A130" s="378"/>
      <c r="B130" s="378"/>
      <c r="C130" s="363" t="s">
        <v>1360</v>
      </c>
      <c r="D130" s="367">
        <v>126</v>
      </c>
      <c r="E130" s="393" t="s">
        <v>1437</v>
      </c>
      <c r="F130" s="393" t="s">
        <v>293</v>
      </c>
      <c r="G130" s="351">
        <v>450000</v>
      </c>
      <c r="H130" s="351">
        <v>59985</v>
      </c>
      <c r="I130" s="349">
        <f t="shared" si="31"/>
        <v>509985</v>
      </c>
      <c r="J130" s="348">
        <v>50</v>
      </c>
      <c r="K130" s="380">
        <v>10199.700000000001</v>
      </c>
      <c r="L130" s="394">
        <f t="shared" si="39"/>
        <v>1199.7</v>
      </c>
      <c r="M130" s="394">
        <f t="shared" si="40"/>
        <v>9000</v>
      </c>
      <c r="N130" s="394">
        <f t="shared" si="32"/>
        <v>32391.9</v>
      </c>
      <c r="O130" s="394">
        <f t="shared" si="33"/>
        <v>27593.100000000002</v>
      </c>
      <c r="P130" s="348">
        <v>27</v>
      </c>
      <c r="Q130" s="354">
        <f t="shared" si="34"/>
        <v>23</v>
      </c>
      <c r="R130" s="350">
        <f t="shared" si="35"/>
        <v>275391.90000000002</v>
      </c>
      <c r="S130" s="350">
        <f t="shared" si="36"/>
        <v>234593.09999999998</v>
      </c>
      <c r="T130" s="393"/>
    </row>
    <row r="131" spans="1:20">
      <c r="A131" s="378"/>
      <c r="B131" s="378"/>
      <c r="C131" s="363" t="s">
        <v>1450</v>
      </c>
      <c r="D131" s="367">
        <v>127</v>
      </c>
      <c r="E131" s="393" t="s">
        <v>1437</v>
      </c>
      <c r="F131" s="393" t="s">
        <v>1451</v>
      </c>
      <c r="G131" s="351">
        <v>450000</v>
      </c>
      <c r="H131" s="351">
        <v>59985</v>
      </c>
      <c r="I131" s="349">
        <f t="shared" si="31"/>
        <v>509985</v>
      </c>
      <c r="J131" s="348">
        <v>50</v>
      </c>
      <c r="K131" s="380">
        <v>10199.700000000001</v>
      </c>
      <c r="L131" s="394">
        <f t="shared" si="39"/>
        <v>1199.7</v>
      </c>
      <c r="M131" s="394">
        <f t="shared" si="40"/>
        <v>9000</v>
      </c>
      <c r="N131" s="394">
        <f t="shared" si="32"/>
        <v>13196.7</v>
      </c>
      <c r="O131" s="394">
        <f t="shared" si="33"/>
        <v>46788.3</v>
      </c>
      <c r="P131" s="348">
        <v>11</v>
      </c>
      <c r="Q131" s="354">
        <f t="shared" si="34"/>
        <v>39</v>
      </c>
      <c r="R131" s="350">
        <f t="shared" si="35"/>
        <v>112196.70000000001</v>
      </c>
      <c r="S131" s="350">
        <f t="shared" si="36"/>
        <v>397788.3</v>
      </c>
      <c r="T131" s="393"/>
    </row>
    <row r="132" spans="1:20">
      <c r="A132" s="378"/>
      <c r="B132" s="378"/>
      <c r="C132" s="364" t="s">
        <v>1094</v>
      </c>
      <c r="D132" s="367">
        <v>128</v>
      </c>
      <c r="E132" s="393" t="s">
        <v>1437</v>
      </c>
      <c r="F132" s="393" t="s">
        <v>1095</v>
      </c>
      <c r="G132" s="351">
        <v>500000</v>
      </c>
      <c r="H132" s="351">
        <v>66650</v>
      </c>
      <c r="I132" s="349">
        <f t="shared" si="31"/>
        <v>566650</v>
      </c>
      <c r="J132" s="348">
        <v>50</v>
      </c>
      <c r="K132" s="380">
        <v>11333</v>
      </c>
      <c r="L132" s="394">
        <f t="shared" si="39"/>
        <v>1333</v>
      </c>
      <c r="M132" s="394">
        <f t="shared" si="40"/>
        <v>10000</v>
      </c>
      <c r="N132" s="394">
        <f t="shared" si="32"/>
        <v>42656</v>
      </c>
      <c r="O132" s="394">
        <f t="shared" si="33"/>
        <v>23994</v>
      </c>
      <c r="P132" s="348">
        <v>32</v>
      </c>
      <c r="Q132" s="354">
        <f t="shared" si="34"/>
        <v>18</v>
      </c>
      <c r="R132" s="350">
        <f t="shared" si="35"/>
        <v>362656</v>
      </c>
      <c r="S132" s="350">
        <f t="shared" si="36"/>
        <v>203994</v>
      </c>
      <c r="T132" s="393"/>
    </row>
    <row r="133" spans="1:20">
      <c r="A133" s="378"/>
      <c r="B133" s="378"/>
      <c r="C133" s="115" t="s">
        <v>1330</v>
      </c>
      <c r="D133" s="367">
        <v>129</v>
      </c>
      <c r="E133" s="393" t="s">
        <v>1437</v>
      </c>
      <c r="F133" s="393" t="s">
        <v>1331</v>
      </c>
      <c r="G133" s="351">
        <v>500000</v>
      </c>
      <c r="H133" s="351">
        <v>66650</v>
      </c>
      <c r="I133" s="349">
        <f t="shared" ref="I133:I164" si="41">SUM(G133:H133)</f>
        <v>566650</v>
      </c>
      <c r="J133" s="348">
        <v>50</v>
      </c>
      <c r="K133" s="380">
        <v>11333</v>
      </c>
      <c r="L133" s="394">
        <f t="shared" si="39"/>
        <v>1333</v>
      </c>
      <c r="M133" s="394">
        <f t="shared" si="40"/>
        <v>10000</v>
      </c>
      <c r="N133" s="394">
        <f t="shared" ref="N133:N167" si="42">L133*P133</f>
        <v>35991</v>
      </c>
      <c r="O133" s="394">
        <f t="shared" ref="O133:O164" si="43">L133*Q133</f>
        <v>30659</v>
      </c>
      <c r="P133" s="348">
        <v>27</v>
      </c>
      <c r="Q133" s="354">
        <f t="shared" ref="Q133:Q164" si="44">J133-P133</f>
        <v>23</v>
      </c>
      <c r="R133" s="350">
        <f t="shared" ref="R133:R165" si="45">K133*P133</f>
        <v>305991</v>
      </c>
      <c r="S133" s="350">
        <f t="shared" ref="S133:S164" si="46">I133-R133</f>
        <v>260659</v>
      </c>
      <c r="T133" s="393"/>
    </row>
    <row r="134" spans="1:20">
      <c r="A134" s="378"/>
      <c r="B134" s="378"/>
      <c r="C134" s="364" t="s">
        <v>1368</v>
      </c>
      <c r="D134" s="367">
        <v>130</v>
      </c>
      <c r="E134" s="393" t="s">
        <v>1437</v>
      </c>
      <c r="F134" s="393" t="s">
        <v>443</v>
      </c>
      <c r="G134" s="351">
        <v>330000</v>
      </c>
      <c r="H134" s="351">
        <v>43989</v>
      </c>
      <c r="I134" s="349">
        <f t="shared" si="41"/>
        <v>373989</v>
      </c>
      <c r="J134" s="348">
        <v>50</v>
      </c>
      <c r="K134" s="380">
        <v>7479.78</v>
      </c>
      <c r="L134" s="394">
        <f t="shared" si="39"/>
        <v>879.78</v>
      </c>
      <c r="M134" s="394">
        <f t="shared" si="40"/>
        <v>6600</v>
      </c>
      <c r="N134" s="394">
        <f t="shared" si="42"/>
        <v>17595.599999999999</v>
      </c>
      <c r="O134" s="394">
        <f t="shared" si="43"/>
        <v>26393.399999999998</v>
      </c>
      <c r="P134" s="348">
        <v>20</v>
      </c>
      <c r="Q134" s="354">
        <f t="shared" si="44"/>
        <v>30</v>
      </c>
      <c r="R134" s="350">
        <f t="shared" si="45"/>
        <v>149595.6</v>
      </c>
      <c r="S134" s="350">
        <f t="shared" si="46"/>
        <v>224393.4</v>
      </c>
      <c r="T134" s="393"/>
    </row>
    <row r="135" spans="1:20">
      <c r="A135" s="378"/>
      <c r="B135" s="378"/>
      <c r="C135" s="363" t="s">
        <v>1469</v>
      </c>
      <c r="D135" s="367">
        <v>131</v>
      </c>
      <c r="E135" s="393" t="s">
        <v>1437</v>
      </c>
      <c r="F135" s="393" t="s">
        <v>1470</v>
      </c>
      <c r="G135" s="351">
        <v>500000</v>
      </c>
      <c r="H135" s="351">
        <v>66650</v>
      </c>
      <c r="I135" s="349">
        <f t="shared" si="41"/>
        <v>566650</v>
      </c>
      <c r="J135" s="348">
        <v>50</v>
      </c>
      <c r="K135" s="380">
        <v>11333</v>
      </c>
      <c r="L135" s="394">
        <f t="shared" si="39"/>
        <v>1333</v>
      </c>
      <c r="M135" s="394">
        <f t="shared" si="40"/>
        <v>10000</v>
      </c>
      <c r="N135" s="394">
        <f t="shared" si="42"/>
        <v>10664</v>
      </c>
      <c r="O135" s="394">
        <f t="shared" si="43"/>
        <v>55986</v>
      </c>
      <c r="P135" s="348">
        <v>8</v>
      </c>
      <c r="Q135" s="354">
        <f t="shared" si="44"/>
        <v>42</v>
      </c>
      <c r="R135" s="350">
        <f t="shared" si="45"/>
        <v>90664</v>
      </c>
      <c r="S135" s="350">
        <f t="shared" si="46"/>
        <v>475986</v>
      </c>
      <c r="T135" s="393"/>
    </row>
    <row r="136" spans="1:20">
      <c r="A136" s="378"/>
      <c r="B136" s="378"/>
      <c r="C136" s="364" t="s">
        <v>1006</v>
      </c>
      <c r="D136" s="367">
        <v>132</v>
      </c>
      <c r="E136" s="393" t="s">
        <v>1437</v>
      </c>
      <c r="F136" s="393" t="s">
        <v>865</v>
      </c>
      <c r="G136" s="351">
        <v>500000</v>
      </c>
      <c r="H136" s="351">
        <v>66650</v>
      </c>
      <c r="I136" s="349">
        <f t="shared" si="41"/>
        <v>566650</v>
      </c>
      <c r="J136" s="348">
        <v>50</v>
      </c>
      <c r="K136" s="380">
        <v>11333</v>
      </c>
      <c r="L136" s="394">
        <f t="shared" si="39"/>
        <v>1333</v>
      </c>
      <c r="M136" s="394">
        <f t="shared" si="40"/>
        <v>10000</v>
      </c>
      <c r="N136" s="394">
        <f t="shared" si="42"/>
        <v>87978</v>
      </c>
      <c r="O136" s="394">
        <f t="shared" si="43"/>
        <v>-21328</v>
      </c>
      <c r="P136" s="348">
        <v>66</v>
      </c>
      <c r="Q136" s="354">
        <f t="shared" si="44"/>
        <v>-16</v>
      </c>
      <c r="R136" s="350">
        <f t="shared" si="45"/>
        <v>747978</v>
      </c>
      <c r="S136" s="350">
        <f t="shared" si="46"/>
        <v>-181328</v>
      </c>
      <c r="T136" s="393"/>
    </row>
    <row r="137" spans="1:20">
      <c r="A137" s="378"/>
      <c r="B137" s="378"/>
      <c r="C137" s="363" t="s">
        <v>1414</v>
      </c>
      <c r="D137" s="367">
        <v>133</v>
      </c>
      <c r="E137" s="393" t="s">
        <v>1437</v>
      </c>
      <c r="F137" s="393" t="s">
        <v>459</v>
      </c>
      <c r="G137" s="351">
        <v>500000</v>
      </c>
      <c r="H137" s="351">
        <v>66650</v>
      </c>
      <c r="I137" s="349">
        <f t="shared" si="41"/>
        <v>566650</v>
      </c>
      <c r="J137" s="348">
        <v>50</v>
      </c>
      <c r="K137" s="380">
        <v>11333</v>
      </c>
      <c r="L137" s="394">
        <f t="shared" si="39"/>
        <v>1333</v>
      </c>
      <c r="M137" s="394">
        <f t="shared" si="40"/>
        <v>10000</v>
      </c>
      <c r="N137" s="394">
        <f t="shared" si="42"/>
        <v>17329</v>
      </c>
      <c r="O137" s="394">
        <f t="shared" si="43"/>
        <v>49321</v>
      </c>
      <c r="P137" s="348">
        <v>13</v>
      </c>
      <c r="Q137" s="354">
        <f t="shared" si="44"/>
        <v>37</v>
      </c>
      <c r="R137" s="350">
        <f t="shared" si="45"/>
        <v>147329</v>
      </c>
      <c r="S137" s="350">
        <f t="shared" si="46"/>
        <v>419321</v>
      </c>
      <c r="T137" s="393"/>
    </row>
    <row r="138" spans="1:20">
      <c r="A138" s="378"/>
      <c r="B138" s="378"/>
      <c r="C138" s="363" t="s">
        <v>1500</v>
      </c>
      <c r="D138" s="367">
        <v>134</v>
      </c>
      <c r="E138" s="393" t="s">
        <v>1437</v>
      </c>
      <c r="F138" s="393" t="s">
        <v>437</v>
      </c>
      <c r="G138" s="380">
        <v>750000</v>
      </c>
      <c r="H138" s="380">
        <v>99925</v>
      </c>
      <c r="I138" s="380">
        <f t="shared" si="41"/>
        <v>849925</v>
      </c>
      <c r="J138" s="348">
        <v>60</v>
      </c>
      <c r="K138" s="380">
        <v>14166.25</v>
      </c>
      <c r="L138" s="394">
        <f>H138/60</f>
        <v>1665.4166666666667</v>
      </c>
      <c r="M138" s="394">
        <f>G138/60</f>
        <v>12500</v>
      </c>
      <c r="N138" s="394">
        <f t="shared" si="42"/>
        <v>8327.0833333333339</v>
      </c>
      <c r="O138" s="394">
        <f t="shared" si="43"/>
        <v>91597.916666666672</v>
      </c>
      <c r="P138" s="348">
        <v>5</v>
      </c>
      <c r="Q138" s="348">
        <f t="shared" si="44"/>
        <v>55</v>
      </c>
      <c r="R138" s="380">
        <f t="shared" si="45"/>
        <v>70831.25</v>
      </c>
      <c r="S138" s="380">
        <f t="shared" si="46"/>
        <v>779093.75</v>
      </c>
      <c r="T138" s="393"/>
    </row>
    <row r="139" spans="1:20">
      <c r="A139" s="378"/>
      <c r="B139" s="378"/>
      <c r="C139" s="364" t="s">
        <v>1333</v>
      </c>
      <c r="D139" s="367">
        <v>135</v>
      </c>
      <c r="E139" s="393" t="s">
        <v>1437</v>
      </c>
      <c r="F139" s="393" t="s">
        <v>1281</v>
      </c>
      <c r="G139" s="351">
        <v>500000</v>
      </c>
      <c r="H139" s="351">
        <v>66650</v>
      </c>
      <c r="I139" s="349">
        <f t="shared" si="41"/>
        <v>566650</v>
      </c>
      <c r="J139" s="348">
        <v>50</v>
      </c>
      <c r="K139" s="380">
        <v>11333</v>
      </c>
      <c r="L139" s="394">
        <f>H139/50</f>
        <v>1333</v>
      </c>
      <c r="M139" s="394">
        <f>G139/50</f>
        <v>10000</v>
      </c>
      <c r="N139" s="394">
        <f t="shared" si="42"/>
        <v>26660</v>
      </c>
      <c r="O139" s="394">
        <f t="shared" si="43"/>
        <v>39990</v>
      </c>
      <c r="P139" s="348">
        <v>20</v>
      </c>
      <c r="Q139" s="354">
        <f t="shared" si="44"/>
        <v>30</v>
      </c>
      <c r="R139" s="350">
        <f t="shared" si="45"/>
        <v>226660</v>
      </c>
      <c r="S139" s="350">
        <f t="shared" si="46"/>
        <v>339990</v>
      </c>
      <c r="T139" s="393"/>
    </row>
    <row r="140" spans="1:20">
      <c r="A140" s="378"/>
      <c r="B140" s="378"/>
      <c r="C140" s="363" t="s">
        <v>1471</v>
      </c>
      <c r="D140" s="367">
        <v>136</v>
      </c>
      <c r="E140" s="393" t="s">
        <v>1437</v>
      </c>
      <c r="F140" s="393" t="s">
        <v>1472</v>
      </c>
      <c r="G140" s="351">
        <v>500000</v>
      </c>
      <c r="H140" s="351">
        <v>66650</v>
      </c>
      <c r="I140" s="349">
        <f t="shared" si="41"/>
        <v>566650</v>
      </c>
      <c r="J140" s="348">
        <v>50</v>
      </c>
      <c r="K140" s="380">
        <v>11333</v>
      </c>
      <c r="L140" s="394">
        <f>H140/50</f>
        <v>1333</v>
      </c>
      <c r="M140" s="394">
        <f>G140/50</f>
        <v>10000</v>
      </c>
      <c r="N140" s="394">
        <f t="shared" si="42"/>
        <v>10664</v>
      </c>
      <c r="O140" s="394">
        <f t="shared" si="43"/>
        <v>55986</v>
      </c>
      <c r="P140" s="348">
        <v>8</v>
      </c>
      <c r="Q140" s="354">
        <f t="shared" si="44"/>
        <v>42</v>
      </c>
      <c r="R140" s="350">
        <f t="shared" si="45"/>
        <v>90664</v>
      </c>
      <c r="S140" s="350">
        <f t="shared" si="46"/>
        <v>475986</v>
      </c>
      <c r="T140" s="393"/>
    </row>
    <row r="141" spans="1:20">
      <c r="A141" s="378"/>
      <c r="B141" s="378"/>
      <c r="C141" s="364" t="s">
        <v>1091</v>
      </c>
      <c r="D141" s="367">
        <v>137</v>
      </c>
      <c r="E141" s="393" t="s">
        <v>1437</v>
      </c>
      <c r="F141" s="393" t="s">
        <v>1092</v>
      </c>
      <c r="G141" s="351">
        <v>500000</v>
      </c>
      <c r="H141" s="351">
        <v>66650</v>
      </c>
      <c r="I141" s="349">
        <f t="shared" si="41"/>
        <v>566650</v>
      </c>
      <c r="J141" s="348">
        <v>50</v>
      </c>
      <c r="K141" s="380">
        <v>11333</v>
      </c>
      <c r="L141" s="394">
        <f>H141/50</f>
        <v>1333</v>
      </c>
      <c r="M141" s="394">
        <f>G141/50</f>
        <v>10000</v>
      </c>
      <c r="N141" s="394">
        <f t="shared" si="42"/>
        <v>86645</v>
      </c>
      <c r="O141" s="394">
        <f t="shared" si="43"/>
        <v>-19995</v>
      </c>
      <c r="P141" s="348">
        <v>65</v>
      </c>
      <c r="Q141" s="354">
        <f t="shared" si="44"/>
        <v>-15</v>
      </c>
      <c r="R141" s="350">
        <f t="shared" si="45"/>
        <v>736645</v>
      </c>
      <c r="S141" s="350">
        <f t="shared" si="46"/>
        <v>-169995</v>
      </c>
      <c r="T141" s="393"/>
    </row>
    <row r="142" spans="1:20">
      <c r="A142" s="378"/>
      <c r="B142" s="378"/>
      <c r="C142" s="363" t="s">
        <v>1493</v>
      </c>
      <c r="D142" s="367">
        <v>138</v>
      </c>
      <c r="E142" s="393" t="s">
        <v>1437</v>
      </c>
      <c r="F142" s="393" t="s">
        <v>461</v>
      </c>
      <c r="G142" s="380">
        <v>750000</v>
      </c>
      <c r="H142" s="380">
        <v>79980</v>
      </c>
      <c r="I142" s="380">
        <f t="shared" si="41"/>
        <v>829980</v>
      </c>
      <c r="J142" s="348">
        <v>48</v>
      </c>
      <c r="K142" s="380">
        <v>17291.25</v>
      </c>
      <c r="L142" s="394">
        <f>H142/48</f>
        <v>1666.25</v>
      </c>
      <c r="M142" s="394">
        <f>G142/48</f>
        <v>15625</v>
      </c>
      <c r="N142" s="394">
        <f t="shared" si="42"/>
        <v>8331.25</v>
      </c>
      <c r="O142" s="394">
        <f t="shared" si="43"/>
        <v>71648.75</v>
      </c>
      <c r="P142" s="348">
        <v>5</v>
      </c>
      <c r="Q142" s="348">
        <f t="shared" si="44"/>
        <v>43</v>
      </c>
      <c r="R142" s="380">
        <f t="shared" si="45"/>
        <v>86456.25</v>
      </c>
      <c r="S142" s="380">
        <f t="shared" si="46"/>
        <v>743523.75</v>
      </c>
      <c r="T142" s="393"/>
    </row>
    <row r="143" spans="1:20">
      <c r="A143" s="378"/>
      <c r="B143" s="378"/>
      <c r="C143" s="363" t="s">
        <v>1324</v>
      </c>
      <c r="D143" s="367">
        <v>139</v>
      </c>
      <c r="E143" s="393" t="s">
        <v>1437</v>
      </c>
      <c r="F143" s="393" t="s">
        <v>1325</v>
      </c>
      <c r="G143" s="351">
        <v>500000</v>
      </c>
      <c r="H143" s="351">
        <v>66650</v>
      </c>
      <c r="I143" s="349">
        <f t="shared" si="41"/>
        <v>566650</v>
      </c>
      <c r="J143" s="348">
        <v>50</v>
      </c>
      <c r="K143" s="380">
        <v>11333</v>
      </c>
      <c r="L143" s="394">
        <f>H143/50</f>
        <v>1333</v>
      </c>
      <c r="M143" s="394">
        <f>G143/50</f>
        <v>10000</v>
      </c>
      <c r="N143" s="394">
        <f t="shared" si="42"/>
        <v>23994</v>
      </c>
      <c r="O143" s="394">
        <f t="shared" si="43"/>
        <v>42656</v>
      </c>
      <c r="P143" s="348">
        <v>18</v>
      </c>
      <c r="Q143" s="354">
        <f t="shared" si="44"/>
        <v>32</v>
      </c>
      <c r="R143" s="350">
        <f t="shared" si="45"/>
        <v>203994</v>
      </c>
      <c r="S143" s="350">
        <f t="shared" si="46"/>
        <v>362656</v>
      </c>
      <c r="T143" s="393"/>
    </row>
    <row r="144" spans="1:20">
      <c r="A144" s="378"/>
      <c r="B144" s="378"/>
      <c r="C144" s="363" t="s">
        <v>1340</v>
      </c>
      <c r="D144" s="367">
        <v>140</v>
      </c>
      <c r="E144" s="393" t="s">
        <v>1437</v>
      </c>
      <c r="F144" s="393" t="s">
        <v>410</v>
      </c>
      <c r="G144" s="351">
        <v>500000</v>
      </c>
      <c r="H144" s="351">
        <v>66650</v>
      </c>
      <c r="I144" s="349">
        <f t="shared" si="41"/>
        <v>566650</v>
      </c>
      <c r="J144" s="348">
        <v>50</v>
      </c>
      <c r="K144" s="380">
        <v>11333</v>
      </c>
      <c r="L144" s="394">
        <f>H144/50</f>
        <v>1333</v>
      </c>
      <c r="M144" s="394">
        <f>G144/50</f>
        <v>10000</v>
      </c>
      <c r="N144" s="394">
        <f t="shared" si="42"/>
        <v>23994</v>
      </c>
      <c r="O144" s="394">
        <f t="shared" si="43"/>
        <v>42656</v>
      </c>
      <c r="P144" s="348">
        <v>18</v>
      </c>
      <c r="Q144" s="354">
        <f t="shared" si="44"/>
        <v>32</v>
      </c>
      <c r="R144" s="350">
        <f t="shared" si="45"/>
        <v>203994</v>
      </c>
      <c r="S144" s="350">
        <f t="shared" si="46"/>
        <v>362656</v>
      </c>
      <c r="T144" s="393"/>
    </row>
    <row r="145" spans="1:20">
      <c r="A145" s="378"/>
      <c r="B145" s="378"/>
      <c r="C145" s="363" t="s">
        <v>1085</v>
      </c>
      <c r="D145" s="367">
        <v>141</v>
      </c>
      <c r="E145" s="393" t="s">
        <v>1437</v>
      </c>
      <c r="F145" s="393" t="s">
        <v>1086</v>
      </c>
      <c r="G145" s="380">
        <v>750000</v>
      </c>
      <c r="H145" s="380">
        <v>99925</v>
      </c>
      <c r="I145" s="380">
        <f t="shared" si="41"/>
        <v>849925</v>
      </c>
      <c r="J145" s="348">
        <v>60</v>
      </c>
      <c r="K145" s="380">
        <v>14166.25</v>
      </c>
      <c r="L145" s="394">
        <f>H145/60</f>
        <v>1665.4166666666667</v>
      </c>
      <c r="M145" s="394">
        <f>G145/60</f>
        <v>12500</v>
      </c>
      <c r="N145" s="394">
        <f t="shared" si="42"/>
        <v>8327.0833333333339</v>
      </c>
      <c r="O145" s="394">
        <f t="shared" si="43"/>
        <v>91597.916666666672</v>
      </c>
      <c r="P145" s="348">
        <v>5</v>
      </c>
      <c r="Q145" s="348">
        <f t="shared" si="44"/>
        <v>55</v>
      </c>
      <c r="R145" s="380">
        <f t="shared" si="45"/>
        <v>70831.25</v>
      </c>
      <c r="S145" s="380">
        <f t="shared" si="46"/>
        <v>779093.75</v>
      </c>
      <c r="T145" s="393"/>
    </row>
    <row r="146" spans="1:20">
      <c r="A146" s="378"/>
      <c r="B146" s="378"/>
      <c r="C146" s="363" t="s">
        <v>1021</v>
      </c>
      <c r="D146" s="367">
        <v>142</v>
      </c>
      <c r="E146" s="393" t="s">
        <v>1437</v>
      </c>
      <c r="F146" s="393" t="s">
        <v>1022</v>
      </c>
      <c r="G146" s="351">
        <v>330000</v>
      </c>
      <c r="H146" s="351">
        <v>43989</v>
      </c>
      <c r="I146" s="349">
        <f t="shared" si="41"/>
        <v>373989</v>
      </c>
      <c r="J146" s="348">
        <v>50</v>
      </c>
      <c r="K146" s="380">
        <v>7479.78</v>
      </c>
      <c r="L146" s="394">
        <f>H146/50</f>
        <v>879.78</v>
      </c>
      <c r="M146" s="394">
        <f>G146/50</f>
        <v>6600</v>
      </c>
      <c r="N146" s="394">
        <f t="shared" si="42"/>
        <v>28152.959999999999</v>
      </c>
      <c r="O146" s="394">
        <f t="shared" si="43"/>
        <v>15836.039999999999</v>
      </c>
      <c r="P146" s="348">
        <v>32</v>
      </c>
      <c r="Q146" s="354">
        <f t="shared" si="44"/>
        <v>18</v>
      </c>
      <c r="R146" s="350">
        <f t="shared" si="45"/>
        <v>239352.95999999999</v>
      </c>
      <c r="S146" s="350">
        <f t="shared" si="46"/>
        <v>134636.04</v>
      </c>
      <c r="T146" s="393"/>
    </row>
    <row r="147" spans="1:20">
      <c r="A147" s="378"/>
      <c r="B147" s="378"/>
      <c r="C147" s="363" t="s">
        <v>1481</v>
      </c>
      <c r="D147" s="367">
        <v>143</v>
      </c>
      <c r="E147" s="393" t="s">
        <v>1437</v>
      </c>
      <c r="F147" s="393" t="s">
        <v>1482</v>
      </c>
      <c r="G147" s="351">
        <v>330000</v>
      </c>
      <c r="H147" s="351">
        <v>43989</v>
      </c>
      <c r="I147" s="349">
        <f t="shared" si="41"/>
        <v>373989</v>
      </c>
      <c r="J147" s="348">
        <v>50</v>
      </c>
      <c r="K147" s="380">
        <v>7479.78</v>
      </c>
      <c r="L147" s="394">
        <f>H147/50</f>
        <v>879.78</v>
      </c>
      <c r="M147" s="394">
        <f>G147/50</f>
        <v>6600</v>
      </c>
      <c r="N147" s="394">
        <f t="shared" si="42"/>
        <v>7038.24</v>
      </c>
      <c r="O147" s="394">
        <f t="shared" si="43"/>
        <v>36950.76</v>
      </c>
      <c r="P147" s="348">
        <v>8</v>
      </c>
      <c r="Q147" s="354">
        <f t="shared" si="44"/>
        <v>42</v>
      </c>
      <c r="R147" s="350">
        <f t="shared" si="45"/>
        <v>59838.239999999998</v>
      </c>
      <c r="S147" s="350">
        <f t="shared" si="46"/>
        <v>314150.76</v>
      </c>
      <c r="T147" s="393"/>
    </row>
    <row r="148" spans="1:20">
      <c r="A148" s="378"/>
      <c r="B148" s="378"/>
      <c r="C148" s="364" t="s">
        <v>1385</v>
      </c>
      <c r="D148" s="367">
        <v>144</v>
      </c>
      <c r="E148" s="393" t="s">
        <v>1437</v>
      </c>
      <c r="F148" s="393" t="s">
        <v>1295</v>
      </c>
      <c r="G148" s="351">
        <v>330000</v>
      </c>
      <c r="H148" s="351">
        <v>43989</v>
      </c>
      <c r="I148" s="349">
        <f t="shared" si="41"/>
        <v>373989</v>
      </c>
      <c r="J148" s="348">
        <v>50</v>
      </c>
      <c r="K148" s="380">
        <v>7479.78</v>
      </c>
      <c r="L148" s="394">
        <f>H148/50</f>
        <v>879.78</v>
      </c>
      <c r="M148" s="394">
        <f>G148/50</f>
        <v>6600</v>
      </c>
      <c r="N148" s="394">
        <f t="shared" si="42"/>
        <v>17595.599999999999</v>
      </c>
      <c r="O148" s="394">
        <f t="shared" si="43"/>
        <v>26393.399999999998</v>
      </c>
      <c r="P148" s="348">
        <v>20</v>
      </c>
      <c r="Q148" s="354">
        <f t="shared" si="44"/>
        <v>30</v>
      </c>
      <c r="R148" s="350">
        <f t="shared" si="45"/>
        <v>149595.6</v>
      </c>
      <c r="S148" s="350">
        <f t="shared" si="46"/>
        <v>224393.4</v>
      </c>
      <c r="T148" s="393"/>
    </row>
    <row r="149" spans="1:20">
      <c r="A149" s="378"/>
      <c r="B149" s="378"/>
      <c r="C149" s="363" t="s">
        <v>1128</v>
      </c>
      <c r="D149" s="367">
        <v>145</v>
      </c>
      <c r="E149" s="393" t="s">
        <v>1437</v>
      </c>
      <c r="F149" s="393" t="s">
        <v>462</v>
      </c>
      <c r="G149" s="351">
        <v>450000</v>
      </c>
      <c r="H149" s="351">
        <v>59985</v>
      </c>
      <c r="I149" s="349">
        <f t="shared" si="41"/>
        <v>509985</v>
      </c>
      <c r="J149" s="348">
        <v>50</v>
      </c>
      <c r="K149" s="380">
        <v>10199.700000000001</v>
      </c>
      <c r="L149" s="394">
        <f>H149/50</f>
        <v>1199.7</v>
      </c>
      <c r="M149" s="394">
        <f>G149/50</f>
        <v>9000</v>
      </c>
      <c r="N149" s="394">
        <f t="shared" si="42"/>
        <v>13196.7</v>
      </c>
      <c r="O149" s="394">
        <f t="shared" si="43"/>
        <v>46788.3</v>
      </c>
      <c r="P149" s="348">
        <v>11</v>
      </c>
      <c r="Q149" s="354">
        <f t="shared" si="44"/>
        <v>39</v>
      </c>
      <c r="R149" s="350">
        <f t="shared" si="45"/>
        <v>112196.70000000001</v>
      </c>
      <c r="S149" s="350">
        <f t="shared" si="46"/>
        <v>397788.3</v>
      </c>
      <c r="T149" s="393"/>
    </row>
    <row r="150" spans="1:20">
      <c r="A150" s="378"/>
      <c r="B150" s="378"/>
      <c r="C150" s="363" t="s">
        <v>1507</v>
      </c>
      <c r="D150" s="367">
        <v>146</v>
      </c>
      <c r="E150" s="393" t="s">
        <v>1437</v>
      </c>
      <c r="F150" s="393" t="s">
        <v>1508</v>
      </c>
      <c r="G150" s="380">
        <v>600000</v>
      </c>
      <c r="H150" s="380">
        <v>79980</v>
      </c>
      <c r="I150" s="380">
        <f t="shared" si="41"/>
        <v>679980</v>
      </c>
      <c r="J150" s="348">
        <v>60</v>
      </c>
      <c r="K150" s="380">
        <v>11333</v>
      </c>
      <c r="L150" s="394">
        <f>H150/60</f>
        <v>1333</v>
      </c>
      <c r="M150" s="394">
        <f>G150/60</f>
        <v>10000</v>
      </c>
      <c r="N150" s="394">
        <f t="shared" si="42"/>
        <v>6665</v>
      </c>
      <c r="O150" s="394">
        <f t="shared" si="43"/>
        <v>73315</v>
      </c>
      <c r="P150" s="348">
        <v>5</v>
      </c>
      <c r="Q150" s="348">
        <f t="shared" si="44"/>
        <v>55</v>
      </c>
      <c r="R150" s="380">
        <f t="shared" si="45"/>
        <v>56665</v>
      </c>
      <c r="S150" s="380">
        <f t="shared" si="46"/>
        <v>623315</v>
      </c>
      <c r="T150" s="393"/>
    </row>
    <row r="151" spans="1:20">
      <c r="A151" s="378"/>
      <c r="B151" s="378"/>
      <c r="C151" s="364" t="s">
        <v>1004</v>
      </c>
      <c r="D151" s="367">
        <v>147</v>
      </c>
      <c r="E151" s="393" t="s">
        <v>1437</v>
      </c>
      <c r="F151" s="393" t="s">
        <v>107</v>
      </c>
      <c r="G151" s="351">
        <v>450000</v>
      </c>
      <c r="H151" s="351">
        <v>59985</v>
      </c>
      <c r="I151" s="349">
        <f t="shared" si="41"/>
        <v>509985</v>
      </c>
      <c r="J151" s="348">
        <v>50</v>
      </c>
      <c r="K151" s="380">
        <v>10199.700000000001</v>
      </c>
      <c r="L151" s="394">
        <f t="shared" ref="L151:L165" si="47">H151/50</f>
        <v>1199.7</v>
      </c>
      <c r="M151" s="394">
        <f t="shared" ref="M151:M165" si="48">G151/50</f>
        <v>9000</v>
      </c>
      <c r="N151" s="394">
        <f t="shared" si="42"/>
        <v>33591.599999999999</v>
      </c>
      <c r="O151" s="394">
        <f t="shared" si="43"/>
        <v>26393.4</v>
      </c>
      <c r="P151" s="348">
        <v>28</v>
      </c>
      <c r="Q151" s="354">
        <f t="shared" si="44"/>
        <v>22</v>
      </c>
      <c r="R151" s="350">
        <f t="shared" si="45"/>
        <v>285591.60000000003</v>
      </c>
      <c r="S151" s="350">
        <f t="shared" si="46"/>
        <v>224393.39999999997</v>
      </c>
      <c r="T151" s="393"/>
    </row>
    <row r="152" spans="1:20">
      <c r="A152" s="378"/>
      <c r="B152" s="378"/>
      <c r="C152" s="363" t="s">
        <v>1452</v>
      </c>
      <c r="D152" s="367">
        <v>148</v>
      </c>
      <c r="E152" s="393" t="s">
        <v>1437</v>
      </c>
      <c r="F152" s="393" t="s">
        <v>1453</v>
      </c>
      <c r="G152" s="351">
        <v>500000</v>
      </c>
      <c r="H152" s="351">
        <v>66650</v>
      </c>
      <c r="I152" s="349">
        <f t="shared" si="41"/>
        <v>566650</v>
      </c>
      <c r="J152" s="348">
        <v>50</v>
      </c>
      <c r="K152" s="380">
        <v>11333</v>
      </c>
      <c r="L152" s="394">
        <f t="shared" si="47"/>
        <v>1333</v>
      </c>
      <c r="M152" s="394">
        <f t="shared" si="48"/>
        <v>10000</v>
      </c>
      <c r="N152" s="394">
        <f t="shared" si="42"/>
        <v>14663</v>
      </c>
      <c r="O152" s="394">
        <f t="shared" si="43"/>
        <v>51987</v>
      </c>
      <c r="P152" s="348">
        <v>11</v>
      </c>
      <c r="Q152" s="354">
        <f t="shared" si="44"/>
        <v>39</v>
      </c>
      <c r="R152" s="350">
        <f t="shared" si="45"/>
        <v>124663</v>
      </c>
      <c r="S152" s="350">
        <f t="shared" si="46"/>
        <v>441987</v>
      </c>
      <c r="T152" s="393"/>
    </row>
    <row r="153" spans="1:20">
      <c r="A153" s="378"/>
      <c r="B153" s="378"/>
      <c r="C153" s="363" t="s">
        <v>1408</v>
      </c>
      <c r="D153" s="367">
        <v>149</v>
      </c>
      <c r="E153" s="393" t="s">
        <v>1437</v>
      </c>
      <c r="F153" s="393" t="s">
        <v>406</v>
      </c>
      <c r="G153" s="351">
        <v>500000</v>
      </c>
      <c r="H153" s="351">
        <v>66650</v>
      </c>
      <c r="I153" s="349">
        <f t="shared" si="41"/>
        <v>566650</v>
      </c>
      <c r="J153" s="348">
        <v>40</v>
      </c>
      <c r="K153" s="380">
        <v>13833</v>
      </c>
      <c r="L153" s="394">
        <f t="shared" si="47"/>
        <v>1333</v>
      </c>
      <c r="M153" s="394">
        <f t="shared" si="48"/>
        <v>10000</v>
      </c>
      <c r="N153" s="394">
        <f t="shared" si="42"/>
        <v>18662</v>
      </c>
      <c r="O153" s="394">
        <f t="shared" si="43"/>
        <v>34658</v>
      </c>
      <c r="P153" s="348">
        <v>14</v>
      </c>
      <c r="Q153" s="354">
        <f t="shared" si="44"/>
        <v>26</v>
      </c>
      <c r="R153" s="350">
        <f t="shared" si="45"/>
        <v>193662</v>
      </c>
      <c r="S153" s="350">
        <f t="shared" si="46"/>
        <v>372988</v>
      </c>
      <c r="T153" s="393"/>
    </row>
    <row r="154" spans="1:20">
      <c r="A154" s="378"/>
      <c r="B154" s="378"/>
      <c r="C154" s="364" t="s">
        <v>1134</v>
      </c>
      <c r="D154" s="367">
        <v>150</v>
      </c>
      <c r="E154" s="393" t="s">
        <v>1437</v>
      </c>
      <c r="F154" s="393" t="s">
        <v>1135</v>
      </c>
      <c r="G154" s="351">
        <v>500000</v>
      </c>
      <c r="H154" s="351">
        <v>66650</v>
      </c>
      <c r="I154" s="349">
        <f t="shared" si="41"/>
        <v>566650</v>
      </c>
      <c r="J154" s="348">
        <v>50</v>
      </c>
      <c r="K154" s="380">
        <v>11333</v>
      </c>
      <c r="L154" s="394">
        <f t="shared" si="47"/>
        <v>1333</v>
      </c>
      <c r="M154" s="394">
        <f t="shared" si="48"/>
        <v>10000</v>
      </c>
      <c r="N154" s="394">
        <f t="shared" si="42"/>
        <v>37324</v>
      </c>
      <c r="O154" s="394">
        <f t="shared" si="43"/>
        <v>29326</v>
      </c>
      <c r="P154" s="348">
        <v>28</v>
      </c>
      <c r="Q154" s="354">
        <f t="shared" si="44"/>
        <v>22</v>
      </c>
      <c r="R154" s="350">
        <f t="shared" si="45"/>
        <v>317324</v>
      </c>
      <c r="S154" s="350">
        <f t="shared" si="46"/>
        <v>249326</v>
      </c>
      <c r="T154" s="393"/>
    </row>
    <row r="155" spans="1:20">
      <c r="A155" s="378"/>
      <c r="B155" s="378"/>
      <c r="C155" s="364" t="s">
        <v>1090</v>
      </c>
      <c r="D155" s="367">
        <v>151</v>
      </c>
      <c r="E155" s="393" t="s">
        <v>1437</v>
      </c>
      <c r="F155" s="393" t="s">
        <v>295</v>
      </c>
      <c r="G155" s="351">
        <v>500000</v>
      </c>
      <c r="H155" s="351">
        <v>66650</v>
      </c>
      <c r="I155" s="349">
        <f t="shared" si="41"/>
        <v>566650</v>
      </c>
      <c r="J155" s="348">
        <v>50</v>
      </c>
      <c r="K155" s="380">
        <v>11333</v>
      </c>
      <c r="L155" s="394">
        <f t="shared" si="47"/>
        <v>1333</v>
      </c>
      <c r="M155" s="394">
        <f t="shared" si="48"/>
        <v>10000</v>
      </c>
      <c r="N155" s="394">
        <f t="shared" si="42"/>
        <v>46655</v>
      </c>
      <c r="O155" s="394">
        <f t="shared" si="43"/>
        <v>19995</v>
      </c>
      <c r="P155" s="348">
        <v>35</v>
      </c>
      <c r="Q155" s="354">
        <f t="shared" si="44"/>
        <v>15</v>
      </c>
      <c r="R155" s="350">
        <f t="shared" si="45"/>
        <v>396655</v>
      </c>
      <c r="S155" s="350">
        <f t="shared" si="46"/>
        <v>169995</v>
      </c>
      <c r="T155" s="393"/>
    </row>
    <row r="156" spans="1:20">
      <c r="A156" s="378"/>
      <c r="B156" s="378"/>
      <c r="C156" s="364" t="s">
        <v>1337</v>
      </c>
      <c r="D156" s="367">
        <v>152</v>
      </c>
      <c r="E156" s="393" t="s">
        <v>1437</v>
      </c>
      <c r="F156" s="393" t="s">
        <v>1280</v>
      </c>
      <c r="G156" s="351">
        <v>500000</v>
      </c>
      <c r="H156" s="351">
        <v>66650</v>
      </c>
      <c r="I156" s="349">
        <f t="shared" si="41"/>
        <v>566650</v>
      </c>
      <c r="J156" s="348">
        <v>50</v>
      </c>
      <c r="K156" s="380">
        <v>11333</v>
      </c>
      <c r="L156" s="394">
        <f t="shared" si="47"/>
        <v>1333</v>
      </c>
      <c r="M156" s="394">
        <f t="shared" si="48"/>
        <v>10000</v>
      </c>
      <c r="N156" s="394">
        <f t="shared" si="42"/>
        <v>26660</v>
      </c>
      <c r="O156" s="394">
        <f t="shared" si="43"/>
        <v>39990</v>
      </c>
      <c r="P156" s="348">
        <v>20</v>
      </c>
      <c r="Q156" s="354">
        <f t="shared" si="44"/>
        <v>30</v>
      </c>
      <c r="R156" s="350">
        <f t="shared" si="45"/>
        <v>226660</v>
      </c>
      <c r="S156" s="350">
        <f t="shared" si="46"/>
        <v>339990</v>
      </c>
      <c r="T156" s="393"/>
    </row>
    <row r="157" spans="1:20">
      <c r="A157" s="378"/>
      <c r="B157" s="378"/>
      <c r="C157" s="363" t="s">
        <v>1415</v>
      </c>
      <c r="D157" s="367">
        <v>153</v>
      </c>
      <c r="E157" s="393" t="s">
        <v>1437</v>
      </c>
      <c r="F157" s="393" t="s">
        <v>1416</v>
      </c>
      <c r="G157" s="351">
        <v>500000</v>
      </c>
      <c r="H157" s="351">
        <v>66650</v>
      </c>
      <c r="I157" s="349">
        <f t="shared" si="41"/>
        <v>566650</v>
      </c>
      <c r="J157" s="348">
        <v>50</v>
      </c>
      <c r="K157" s="380">
        <v>11333</v>
      </c>
      <c r="L157" s="394">
        <f t="shared" si="47"/>
        <v>1333</v>
      </c>
      <c r="M157" s="394">
        <f t="shared" si="48"/>
        <v>10000</v>
      </c>
      <c r="N157" s="394">
        <f t="shared" si="42"/>
        <v>17329</v>
      </c>
      <c r="O157" s="394">
        <f t="shared" si="43"/>
        <v>49321</v>
      </c>
      <c r="P157" s="348">
        <v>13</v>
      </c>
      <c r="Q157" s="354">
        <f t="shared" si="44"/>
        <v>37</v>
      </c>
      <c r="R157" s="350">
        <f t="shared" si="45"/>
        <v>147329</v>
      </c>
      <c r="S157" s="350">
        <f t="shared" si="46"/>
        <v>419321</v>
      </c>
      <c r="T157" s="393"/>
    </row>
    <row r="158" spans="1:20">
      <c r="A158" s="378"/>
      <c r="B158" s="378"/>
      <c r="C158" s="363" t="s">
        <v>968</v>
      </c>
      <c r="D158" s="367">
        <v>154</v>
      </c>
      <c r="E158" s="393" t="s">
        <v>1437</v>
      </c>
      <c r="F158" s="393" t="s">
        <v>490</v>
      </c>
      <c r="G158" s="351">
        <v>330000</v>
      </c>
      <c r="H158" s="351">
        <v>43989</v>
      </c>
      <c r="I158" s="349">
        <f t="shared" si="41"/>
        <v>373989</v>
      </c>
      <c r="J158" s="348">
        <v>50</v>
      </c>
      <c r="K158" s="380">
        <v>7479.78</v>
      </c>
      <c r="L158" s="394">
        <f t="shared" si="47"/>
        <v>879.78</v>
      </c>
      <c r="M158" s="394">
        <f t="shared" si="48"/>
        <v>6600</v>
      </c>
      <c r="N158" s="394">
        <f t="shared" si="42"/>
        <v>35191.199999999997</v>
      </c>
      <c r="O158" s="394">
        <f t="shared" si="43"/>
        <v>8797.7999999999993</v>
      </c>
      <c r="P158" s="348">
        <v>40</v>
      </c>
      <c r="Q158" s="354">
        <f t="shared" si="44"/>
        <v>10</v>
      </c>
      <c r="R158" s="350">
        <f t="shared" si="45"/>
        <v>299191.2</v>
      </c>
      <c r="S158" s="350">
        <f t="shared" si="46"/>
        <v>74797.799999999988</v>
      </c>
      <c r="T158" s="393"/>
    </row>
    <row r="159" spans="1:20">
      <c r="A159" s="378"/>
      <c r="B159" s="378"/>
      <c r="C159" s="115" t="s">
        <v>1036</v>
      </c>
      <c r="D159" s="367">
        <v>155</v>
      </c>
      <c r="E159" s="393" t="s">
        <v>1437</v>
      </c>
      <c r="F159" s="393" t="s">
        <v>216</v>
      </c>
      <c r="G159" s="351">
        <v>60000</v>
      </c>
      <c r="H159" s="351">
        <v>7998</v>
      </c>
      <c r="I159" s="349">
        <f t="shared" si="41"/>
        <v>67998</v>
      </c>
      <c r="J159" s="348">
        <v>40</v>
      </c>
      <c r="K159" s="380">
        <v>1699.95</v>
      </c>
      <c r="L159" s="394">
        <f t="shared" si="47"/>
        <v>159.96</v>
      </c>
      <c r="M159" s="394">
        <f t="shared" si="48"/>
        <v>1200</v>
      </c>
      <c r="N159" s="394">
        <f t="shared" si="42"/>
        <v>6558.3600000000006</v>
      </c>
      <c r="O159" s="394">
        <f t="shared" si="43"/>
        <v>-159.96</v>
      </c>
      <c r="P159" s="348">
        <v>41</v>
      </c>
      <c r="Q159" s="354">
        <f t="shared" si="44"/>
        <v>-1</v>
      </c>
      <c r="R159" s="350">
        <f t="shared" si="45"/>
        <v>69697.95</v>
      </c>
      <c r="S159" s="350">
        <f t="shared" si="46"/>
        <v>-1699.9499999999971</v>
      </c>
      <c r="T159" s="393"/>
    </row>
    <row r="160" spans="1:20">
      <c r="A160" s="378"/>
      <c r="B160" s="378"/>
      <c r="C160" s="363" t="s">
        <v>1379</v>
      </c>
      <c r="D160" s="367">
        <v>156</v>
      </c>
      <c r="E160" s="393" t="s">
        <v>1437</v>
      </c>
      <c r="F160" s="393" t="s">
        <v>1380</v>
      </c>
      <c r="G160" s="351">
        <v>330000</v>
      </c>
      <c r="H160" s="351">
        <v>43989</v>
      </c>
      <c r="I160" s="349">
        <f t="shared" si="41"/>
        <v>373989</v>
      </c>
      <c r="J160" s="348">
        <v>50</v>
      </c>
      <c r="K160" s="380">
        <v>7479.78</v>
      </c>
      <c r="L160" s="394">
        <f t="shared" si="47"/>
        <v>879.78</v>
      </c>
      <c r="M160" s="394">
        <f t="shared" si="48"/>
        <v>6600</v>
      </c>
      <c r="N160" s="394">
        <f t="shared" si="42"/>
        <v>13196.699999999999</v>
      </c>
      <c r="O160" s="394">
        <f t="shared" si="43"/>
        <v>30792.3</v>
      </c>
      <c r="P160" s="348">
        <v>15</v>
      </c>
      <c r="Q160" s="354">
        <f t="shared" si="44"/>
        <v>35</v>
      </c>
      <c r="R160" s="350">
        <f t="shared" si="45"/>
        <v>112196.7</v>
      </c>
      <c r="S160" s="350">
        <f t="shared" si="46"/>
        <v>261792.3</v>
      </c>
      <c r="T160" s="393"/>
    </row>
    <row r="161" spans="1:21">
      <c r="A161" s="378"/>
      <c r="B161" s="378"/>
      <c r="C161" s="364" t="s">
        <v>1372</v>
      </c>
      <c r="D161" s="367">
        <v>157</v>
      </c>
      <c r="E161" s="393" t="s">
        <v>1437</v>
      </c>
      <c r="F161" s="393" t="s">
        <v>1297</v>
      </c>
      <c r="G161" s="351">
        <v>330000</v>
      </c>
      <c r="H161" s="351">
        <v>43989</v>
      </c>
      <c r="I161" s="349">
        <f t="shared" si="41"/>
        <v>373989</v>
      </c>
      <c r="J161" s="348">
        <v>50</v>
      </c>
      <c r="K161" s="380">
        <v>7479.78</v>
      </c>
      <c r="L161" s="394">
        <f t="shared" si="47"/>
        <v>879.78</v>
      </c>
      <c r="M161" s="394">
        <f t="shared" si="48"/>
        <v>6600</v>
      </c>
      <c r="N161" s="394">
        <f t="shared" si="42"/>
        <v>22874.28</v>
      </c>
      <c r="O161" s="394">
        <f t="shared" si="43"/>
        <v>21114.720000000001</v>
      </c>
      <c r="P161" s="348">
        <v>26</v>
      </c>
      <c r="Q161" s="354">
        <f t="shared" si="44"/>
        <v>24</v>
      </c>
      <c r="R161" s="350">
        <f t="shared" si="45"/>
        <v>194474.28</v>
      </c>
      <c r="S161" s="350">
        <f t="shared" si="46"/>
        <v>179514.72</v>
      </c>
      <c r="T161" s="393"/>
      <c r="U161" s="392"/>
    </row>
    <row r="162" spans="1:21" s="392" customFormat="1">
      <c r="A162" s="378"/>
      <c r="C162" s="363" t="s">
        <v>1447</v>
      </c>
      <c r="D162" s="367">
        <v>158</v>
      </c>
      <c r="E162" s="393" t="s">
        <v>1437</v>
      </c>
      <c r="F162" s="393" t="s">
        <v>1448</v>
      </c>
      <c r="G162" s="351">
        <v>450000</v>
      </c>
      <c r="H162" s="351">
        <v>59985</v>
      </c>
      <c r="I162" s="349">
        <f t="shared" si="41"/>
        <v>509985</v>
      </c>
      <c r="J162" s="348">
        <v>50</v>
      </c>
      <c r="K162" s="380">
        <v>10199.700000000001</v>
      </c>
      <c r="L162" s="394">
        <f t="shared" si="47"/>
        <v>1199.7</v>
      </c>
      <c r="M162" s="394">
        <f t="shared" si="48"/>
        <v>9000</v>
      </c>
      <c r="N162" s="394">
        <f t="shared" si="42"/>
        <v>13196.7</v>
      </c>
      <c r="O162" s="394">
        <f t="shared" si="43"/>
        <v>46788.3</v>
      </c>
      <c r="P162" s="348">
        <v>11</v>
      </c>
      <c r="Q162" s="354">
        <f t="shared" si="44"/>
        <v>39</v>
      </c>
      <c r="R162" s="350">
        <f t="shared" si="45"/>
        <v>112196.70000000001</v>
      </c>
      <c r="S162" s="350">
        <f t="shared" si="46"/>
        <v>397788.3</v>
      </c>
      <c r="T162" s="393"/>
      <c r="U162" s="336"/>
    </row>
    <row r="163" spans="1:21">
      <c r="A163" s="378"/>
      <c r="C163" s="363" t="s">
        <v>1532</v>
      </c>
      <c r="D163" s="367">
        <v>159</v>
      </c>
      <c r="E163" s="393" t="s">
        <v>1437</v>
      </c>
      <c r="F163" s="393" t="s">
        <v>1533</v>
      </c>
      <c r="G163" s="351">
        <v>450000</v>
      </c>
      <c r="H163" s="351">
        <v>59985</v>
      </c>
      <c r="I163" s="349">
        <f t="shared" si="41"/>
        <v>509985</v>
      </c>
      <c r="J163" s="348">
        <v>50</v>
      </c>
      <c r="K163" s="380">
        <v>10200</v>
      </c>
      <c r="L163" s="394">
        <f t="shared" si="47"/>
        <v>1199.7</v>
      </c>
      <c r="M163" s="394">
        <f t="shared" si="48"/>
        <v>9000</v>
      </c>
      <c r="N163" s="394">
        <f t="shared" si="42"/>
        <v>2399.4</v>
      </c>
      <c r="O163" s="394">
        <f t="shared" si="43"/>
        <v>57585.600000000006</v>
      </c>
      <c r="P163" s="348">
        <v>2</v>
      </c>
      <c r="Q163" s="354">
        <f t="shared" si="44"/>
        <v>48</v>
      </c>
      <c r="R163" s="350">
        <f t="shared" si="45"/>
        <v>20400</v>
      </c>
      <c r="S163" s="350">
        <f t="shared" si="46"/>
        <v>489585</v>
      </c>
      <c r="T163" s="393"/>
    </row>
    <row r="164" spans="1:21">
      <c r="A164" s="378"/>
      <c r="C164" s="115" t="s">
        <v>1373</v>
      </c>
      <c r="D164" s="367">
        <v>160</v>
      </c>
      <c r="E164" s="393" t="s">
        <v>1437</v>
      </c>
      <c r="F164" s="393" t="s">
        <v>1374</v>
      </c>
      <c r="G164" s="351">
        <v>330000</v>
      </c>
      <c r="H164" s="351">
        <v>43989</v>
      </c>
      <c r="I164" s="349">
        <f t="shared" si="41"/>
        <v>373989</v>
      </c>
      <c r="J164" s="348">
        <v>50</v>
      </c>
      <c r="K164" s="380">
        <v>7479.78</v>
      </c>
      <c r="L164" s="394">
        <f t="shared" si="47"/>
        <v>879.78</v>
      </c>
      <c r="M164" s="394">
        <f t="shared" si="48"/>
        <v>6600</v>
      </c>
      <c r="N164" s="394">
        <f t="shared" si="42"/>
        <v>13196.699999999999</v>
      </c>
      <c r="O164" s="394">
        <f t="shared" si="43"/>
        <v>30792.3</v>
      </c>
      <c r="P164" s="348">
        <v>15</v>
      </c>
      <c r="Q164" s="354">
        <f t="shared" si="44"/>
        <v>35</v>
      </c>
      <c r="R164" s="350">
        <f t="shared" si="45"/>
        <v>112196.7</v>
      </c>
      <c r="S164" s="350">
        <f t="shared" si="46"/>
        <v>261792.3</v>
      </c>
      <c r="T164" s="393"/>
    </row>
    <row r="165" spans="1:21">
      <c r="A165" s="378"/>
      <c r="C165" s="115" t="s">
        <v>1367</v>
      </c>
      <c r="D165" s="367">
        <v>161</v>
      </c>
      <c r="E165" s="363" t="s">
        <v>1437</v>
      </c>
      <c r="F165" s="363" t="s">
        <v>465</v>
      </c>
      <c r="G165" s="411">
        <v>450000</v>
      </c>
      <c r="H165" s="411">
        <v>59985</v>
      </c>
      <c r="I165" s="412">
        <f t="shared" ref="I165:I196" si="49">SUM(G165:H165)</f>
        <v>509985</v>
      </c>
      <c r="J165" s="267">
        <v>50</v>
      </c>
      <c r="K165" s="413">
        <v>10199.700000000001</v>
      </c>
      <c r="L165" s="414">
        <f t="shared" si="47"/>
        <v>1199.7</v>
      </c>
      <c r="M165" s="414">
        <f t="shared" si="48"/>
        <v>9000</v>
      </c>
      <c r="N165" s="414">
        <f t="shared" si="42"/>
        <v>41989.5</v>
      </c>
      <c r="O165" s="414">
        <f t="shared" ref="O165:O171" si="50">L165*Q165</f>
        <v>17995.5</v>
      </c>
      <c r="P165" s="267">
        <v>35</v>
      </c>
      <c r="Q165" s="415">
        <f t="shared" ref="Q165:Q196" si="51">J165-P165</f>
        <v>15</v>
      </c>
      <c r="R165" s="416">
        <f t="shared" si="45"/>
        <v>356989.5</v>
      </c>
      <c r="S165" s="416">
        <f t="shared" ref="S165:S196" si="52">I165-R165</f>
        <v>152995.5</v>
      </c>
      <c r="T165" s="410"/>
    </row>
    <row r="166" spans="1:21">
      <c r="A166" s="378"/>
      <c r="C166" s="363" t="s">
        <v>1540</v>
      </c>
      <c r="D166" s="367">
        <v>162</v>
      </c>
      <c r="E166" s="363" t="s">
        <v>1437</v>
      </c>
      <c r="F166" s="363" t="s">
        <v>440</v>
      </c>
      <c r="G166" s="380">
        <v>750000</v>
      </c>
      <c r="H166" s="380">
        <v>99925</v>
      </c>
      <c r="I166" s="380">
        <f t="shared" si="49"/>
        <v>849925</v>
      </c>
      <c r="J166" s="348">
        <v>60</v>
      </c>
      <c r="K166" s="380">
        <v>14166.25</v>
      </c>
      <c r="L166" s="394">
        <f>H166/60</f>
        <v>1665.4166666666667</v>
      </c>
      <c r="M166" s="394">
        <f>G166/60</f>
        <v>12500</v>
      </c>
      <c r="N166" s="394">
        <f t="shared" si="42"/>
        <v>1665.4166666666667</v>
      </c>
      <c r="O166" s="394">
        <f t="shared" si="50"/>
        <v>98259.583333333343</v>
      </c>
      <c r="P166" s="267">
        <v>1</v>
      </c>
      <c r="Q166" s="415">
        <f t="shared" ref="Q166:Q167" si="53">J166-P166</f>
        <v>59</v>
      </c>
      <c r="R166" s="416">
        <f t="shared" ref="R166:R167" si="54">K166*P166</f>
        <v>14166.25</v>
      </c>
      <c r="S166" s="416">
        <f t="shared" ref="S166:S167" si="55">I166-R166</f>
        <v>835758.75</v>
      </c>
      <c r="T166" s="410"/>
    </row>
    <row r="167" spans="1:21">
      <c r="A167" s="378"/>
      <c r="C167" s="363" t="s">
        <v>966</v>
      </c>
      <c r="D167" s="367">
        <v>163</v>
      </c>
      <c r="E167" s="363" t="s">
        <v>1437</v>
      </c>
      <c r="F167" s="363" t="s">
        <v>29</v>
      </c>
      <c r="G167" s="380">
        <v>600000</v>
      </c>
      <c r="H167" s="380">
        <v>79980</v>
      </c>
      <c r="I167" s="380">
        <f t="shared" si="49"/>
        <v>679980</v>
      </c>
      <c r="J167" s="348">
        <v>60</v>
      </c>
      <c r="K167" s="380">
        <v>11333</v>
      </c>
      <c r="L167" s="394">
        <f>H167/60</f>
        <v>1333</v>
      </c>
      <c r="M167" s="394">
        <f>G167/60</f>
        <v>10000</v>
      </c>
      <c r="N167" s="394">
        <f t="shared" si="42"/>
        <v>1333</v>
      </c>
      <c r="O167" s="394">
        <f t="shared" si="50"/>
        <v>78647</v>
      </c>
      <c r="P167" s="267">
        <v>1</v>
      </c>
      <c r="Q167" s="415">
        <f t="shared" si="53"/>
        <v>59</v>
      </c>
      <c r="R167" s="416">
        <f t="shared" si="54"/>
        <v>11333</v>
      </c>
      <c r="S167" s="416">
        <f t="shared" si="55"/>
        <v>668647</v>
      </c>
      <c r="T167" s="410"/>
    </row>
    <row r="168" spans="1:21">
      <c r="A168" s="378"/>
      <c r="C168" s="363"/>
      <c r="D168" s="367">
        <v>164</v>
      </c>
      <c r="E168" s="363" t="s">
        <v>1437</v>
      </c>
      <c r="F168" s="363" t="s">
        <v>1519</v>
      </c>
      <c r="G168" s="413">
        <v>750000</v>
      </c>
      <c r="H168" s="417">
        <v>49987.5</v>
      </c>
      <c r="I168" s="413">
        <f t="shared" ref="I168:I171" si="56">SUM(G168:H168)</f>
        <v>799987.5</v>
      </c>
      <c r="J168" s="267">
        <v>30</v>
      </c>
      <c r="K168" s="413">
        <v>26666.25</v>
      </c>
      <c r="L168" s="414">
        <f>H168/30</f>
        <v>1666.25</v>
      </c>
      <c r="M168" s="414">
        <f>G168/30</f>
        <v>25000</v>
      </c>
      <c r="N168" s="414">
        <f t="shared" ref="N168:N171" si="57">L168*P168</f>
        <v>8331.25</v>
      </c>
      <c r="O168" s="414">
        <f t="shared" si="50"/>
        <v>41656.25</v>
      </c>
      <c r="P168" s="267">
        <v>5</v>
      </c>
      <c r="Q168" s="415">
        <f>J168-P168</f>
        <v>25</v>
      </c>
      <c r="R168" s="416">
        <f>K168*P168</f>
        <v>133331.25</v>
      </c>
      <c r="S168" s="416">
        <f>I168-R168</f>
        <v>666656.25</v>
      </c>
      <c r="T168" s="410"/>
    </row>
    <row r="169" spans="1:21">
      <c r="A169" s="378"/>
      <c r="C169" s="363"/>
      <c r="D169" s="367">
        <v>165</v>
      </c>
      <c r="E169" s="363" t="s">
        <v>1437</v>
      </c>
      <c r="F169" s="363" t="s">
        <v>1268</v>
      </c>
      <c r="G169" s="411">
        <v>500000</v>
      </c>
      <c r="H169" s="411">
        <v>66650</v>
      </c>
      <c r="I169" s="412">
        <f t="shared" si="56"/>
        <v>566650</v>
      </c>
      <c r="J169" s="267">
        <v>50</v>
      </c>
      <c r="K169" s="413">
        <v>11749.67</v>
      </c>
      <c r="L169" s="414">
        <f>H169/50</f>
        <v>1333</v>
      </c>
      <c r="M169" s="414">
        <f>G169/50</f>
        <v>10000</v>
      </c>
      <c r="N169" s="414">
        <f t="shared" si="57"/>
        <v>53320</v>
      </c>
      <c r="O169" s="414">
        <f t="shared" si="50"/>
        <v>13330</v>
      </c>
      <c r="P169" s="267">
        <v>40</v>
      </c>
      <c r="Q169" s="415">
        <f>J169-P169</f>
        <v>10</v>
      </c>
      <c r="R169" s="416">
        <f>K169*P169</f>
        <v>469986.8</v>
      </c>
      <c r="S169" s="416">
        <f>I169-R169</f>
        <v>96663.200000000012</v>
      </c>
      <c r="T169" s="410"/>
    </row>
    <row r="170" spans="1:21">
      <c r="A170" s="378"/>
      <c r="C170" s="393"/>
      <c r="D170" s="367">
        <v>166</v>
      </c>
      <c r="E170" s="393" t="s">
        <v>1437</v>
      </c>
      <c r="F170" s="393" t="s">
        <v>1420</v>
      </c>
      <c r="G170" s="351">
        <v>450000</v>
      </c>
      <c r="H170" s="351">
        <v>59985</v>
      </c>
      <c r="I170" s="349">
        <f t="shared" si="56"/>
        <v>509985</v>
      </c>
      <c r="J170" s="348">
        <v>50</v>
      </c>
      <c r="K170" s="380">
        <v>10199.700000000001</v>
      </c>
      <c r="L170" s="394">
        <f>H170/50</f>
        <v>1199.7</v>
      </c>
      <c r="M170" s="394">
        <f>G170/50</f>
        <v>9000</v>
      </c>
      <c r="N170" s="394">
        <f t="shared" si="57"/>
        <v>17995.5</v>
      </c>
      <c r="O170" s="394">
        <f t="shared" si="50"/>
        <v>41989.5</v>
      </c>
      <c r="P170" s="348">
        <v>15</v>
      </c>
      <c r="Q170" s="354">
        <f>J170-P170</f>
        <v>35</v>
      </c>
      <c r="R170" s="350">
        <f>K170*P170</f>
        <v>152995.5</v>
      </c>
      <c r="S170" s="350">
        <f>I170-R170</f>
        <v>356989.5</v>
      </c>
      <c r="T170" s="393"/>
    </row>
    <row r="171" spans="1:21">
      <c r="A171" s="378"/>
      <c r="C171" s="393"/>
      <c r="D171" s="367">
        <v>167</v>
      </c>
      <c r="E171" s="393" t="s">
        <v>1437</v>
      </c>
      <c r="F171" s="393" t="s">
        <v>1269</v>
      </c>
      <c r="G171" s="380">
        <v>750000</v>
      </c>
      <c r="H171" s="380">
        <v>99925</v>
      </c>
      <c r="I171" s="380">
        <f t="shared" si="56"/>
        <v>849925</v>
      </c>
      <c r="J171" s="348">
        <v>60</v>
      </c>
      <c r="K171" s="351">
        <v>14166.25</v>
      </c>
      <c r="L171" s="394">
        <f>H171/60</f>
        <v>1665.4166666666667</v>
      </c>
      <c r="M171" s="394">
        <f>G171/60</f>
        <v>12500</v>
      </c>
      <c r="N171" s="394">
        <f t="shared" si="57"/>
        <v>8327.0833333333339</v>
      </c>
      <c r="O171" s="394">
        <f t="shared" si="50"/>
        <v>91597.916666666672</v>
      </c>
      <c r="P171" s="348">
        <v>5</v>
      </c>
      <c r="Q171" s="354">
        <f>J171-P171</f>
        <v>55</v>
      </c>
      <c r="R171" s="350">
        <f>K171*P171</f>
        <v>70831.25</v>
      </c>
      <c r="S171" s="350">
        <f>I171-R171</f>
        <v>779093.75</v>
      </c>
      <c r="T171" s="393"/>
    </row>
    <row r="172" spans="1:21">
      <c r="A172" s="378"/>
      <c r="C172" s="393"/>
      <c r="D172" s="393"/>
      <c r="E172" s="393"/>
      <c r="F172" s="393"/>
      <c r="G172" s="351">
        <f>SUM(G5:G171)</f>
        <v>76250000</v>
      </c>
      <c r="H172" s="351">
        <f>SUM(H5:H171)</f>
        <v>9923185.0999999996</v>
      </c>
      <c r="I172" s="351">
        <f>SUM(I5:I171)</f>
        <v>86173185.099999994</v>
      </c>
      <c r="J172" s="351"/>
      <c r="K172" s="351">
        <f>SUM(K5:K171)</f>
        <v>1735549.4500000002</v>
      </c>
      <c r="L172" s="351">
        <f>SUM(L5:L171)</f>
        <v>194408.04999999996</v>
      </c>
      <c r="M172" s="351">
        <f>SUM(M5:M171)</f>
        <v>1485375</v>
      </c>
      <c r="N172" s="351">
        <f>SUM(N5:N171)</f>
        <v>3541041.1733333352</v>
      </c>
      <c r="O172" s="351">
        <f>SUM(O5:O171)</f>
        <v>6272571.3266666662</v>
      </c>
      <c r="P172" s="351"/>
      <c r="Q172" s="351"/>
      <c r="R172" s="405">
        <f>SUM(R5:R171)</f>
        <v>31111027.050000001</v>
      </c>
      <c r="S172" s="405">
        <f>SUM(S5:S171)</f>
        <v>55062158.04999999</v>
      </c>
      <c r="T172" s="351">
        <f>SUM(T5:T171)</f>
        <v>0</v>
      </c>
    </row>
    <row r="173" spans="1:21">
      <c r="A173" s="378"/>
      <c r="K173" s="409"/>
    </row>
    <row r="174" spans="1:21">
      <c r="A174" s="378"/>
    </row>
    <row r="175" spans="1:21">
      <c r="A175" s="378"/>
    </row>
    <row r="176" spans="1:21">
      <c r="A176" s="378"/>
    </row>
  </sheetData>
  <mergeCells count="3">
    <mergeCell ref="D1:T1"/>
    <mergeCell ref="D2:T2"/>
    <mergeCell ref="D3:T3"/>
  </mergeCells>
  <conditionalFormatting sqref="C66">
    <cfRule type="duplicateValues" dxfId="3" priority="4"/>
  </conditionalFormatting>
  <conditionalFormatting sqref="C75">
    <cfRule type="duplicateValues" dxfId="2" priority="3"/>
  </conditionalFormatting>
  <conditionalFormatting sqref="C98:C107 C87:C92 C80:C83 C5:C70 C75">
    <cfRule type="duplicateValues" dxfId="1" priority="1"/>
  </conditionalFormatting>
  <conditionalFormatting sqref="C140 C87:C96 C78:C82 C4:C62 C66 C71:C73">
    <cfRule type="duplicateValues" dxfId="0" priority="7"/>
  </conditionalFormatting>
  <pageMargins left="0.2" right="0.2" top="0.25" bottom="0.25" header="0.3" footer="0.3"/>
  <pageSetup paperSize="9" scale="5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55</vt:i4>
      </vt:variant>
    </vt:vector>
  </HeadingPairs>
  <TitlesOfParts>
    <vt:vector size="110" baseType="lpstr">
      <vt:lpstr>JANUARY, 2016</vt:lpstr>
      <vt:lpstr>FEBRUARY, 2016</vt:lpstr>
      <vt:lpstr>MARCH, 2016.</vt:lpstr>
      <vt:lpstr>APRIL, 2016</vt:lpstr>
      <vt:lpstr>MAY, 2016</vt:lpstr>
      <vt:lpstr>JUNE, 2016</vt:lpstr>
      <vt:lpstr>JULY, 2016</vt:lpstr>
      <vt:lpstr>AUGUST, 2016</vt:lpstr>
      <vt:lpstr>SEPTEMBER, 2016</vt:lpstr>
      <vt:lpstr>OCTOBER, 2016</vt:lpstr>
      <vt:lpstr>NOVEMBER, 2016</vt:lpstr>
      <vt:lpstr>DECEMBER, 2016</vt:lpstr>
      <vt:lpstr>BVN 2</vt:lpstr>
      <vt:lpstr>JANUARY, 2017</vt:lpstr>
      <vt:lpstr>FEBRUARY, 2017</vt:lpstr>
      <vt:lpstr>MARCH, 2017</vt:lpstr>
      <vt:lpstr>APRIL, 2017</vt:lpstr>
      <vt:lpstr>MAY, 2017</vt:lpstr>
      <vt:lpstr>JUNE, 2017</vt:lpstr>
      <vt:lpstr>JUNE CORRECT, 2017</vt:lpstr>
      <vt:lpstr>JULY, 2017</vt:lpstr>
      <vt:lpstr>AUGUST, 2017</vt:lpstr>
      <vt:lpstr>SEPTEMBER, 2017</vt:lpstr>
      <vt:lpstr>OCTOBER, 2017</vt:lpstr>
      <vt:lpstr>NOVEMBER, 2017</vt:lpstr>
      <vt:lpstr>DECEMBER, 2017</vt:lpstr>
      <vt:lpstr>JANUARY, 2018</vt:lpstr>
      <vt:lpstr>FEBRUARY, 2018</vt:lpstr>
      <vt:lpstr>MARCH, 2018</vt:lpstr>
      <vt:lpstr>APRIL, 2018</vt:lpstr>
      <vt:lpstr>MAY, 2018</vt:lpstr>
      <vt:lpstr>JUNE, 2018</vt:lpstr>
      <vt:lpstr>JULY, 2018</vt:lpstr>
      <vt:lpstr>AUGUST, 2018</vt:lpstr>
      <vt:lpstr>SEPTEMBER, 2018</vt:lpstr>
      <vt:lpstr>OCTOBER, 2018</vt:lpstr>
      <vt:lpstr>NOVEMBER, 2018</vt:lpstr>
      <vt:lpstr>DECEMBER, 2018</vt:lpstr>
      <vt:lpstr>JANUARY, 2019</vt:lpstr>
      <vt:lpstr>FEBRUARY, 2019</vt:lpstr>
      <vt:lpstr>MARCH, 2019</vt:lpstr>
      <vt:lpstr>APRIL, 2019</vt:lpstr>
      <vt:lpstr>MAY, 2019</vt:lpstr>
      <vt:lpstr>JUNE, 2019</vt:lpstr>
      <vt:lpstr>JULY, 2019</vt:lpstr>
      <vt:lpstr>AUGUST, 2019</vt:lpstr>
      <vt:lpstr>SEPTEMBER, 2019</vt:lpstr>
      <vt:lpstr>OCTOMBER, 2019</vt:lpstr>
      <vt:lpstr>NOVEMBER, 2019</vt:lpstr>
      <vt:lpstr>DECEMBER, 2019</vt:lpstr>
      <vt:lpstr>JANUARY, 2020</vt:lpstr>
      <vt:lpstr>FEBRUARY, 2020</vt:lpstr>
      <vt:lpstr>MARCH, 2020</vt:lpstr>
      <vt:lpstr>APRIL, 2020</vt:lpstr>
      <vt:lpstr>MAY, 2020</vt:lpstr>
      <vt:lpstr>'APRIL, 2016'!Print_Area</vt:lpstr>
      <vt:lpstr>'APRIL, 2017'!Print_Area</vt:lpstr>
      <vt:lpstr>'APRIL, 2018'!Print_Area</vt:lpstr>
      <vt:lpstr>'APRIL, 2019'!Print_Area</vt:lpstr>
      <vt:lpstr>'APRIL, 2020'!Print_Area</vt:lpstr>
      <vt:lpstr>'AUGUST, 2016'!Print_Area</vt:lpstr>
      <vt:lpstr>'AUGUST, 2017'!Print_Area</vt:lpstr>
      <vt:lpstr>'AUGUST, 2018'!Print_Area</vt:lpstr>
      <vt:lpstr>'AUGUST, 2019'!Print_Area</vt:lpstr>
      <vt:lpstr>'BVN 2'!Print_Area</vt:lpstr>
      <vt:lpstr>'DECEMBER, 2016'!Print_Area</vt:lpstr>
      <vt:lpstr>'DECEMBER, 2017'!Print_Area</vt:lpstr>
      <vt:lpstr>'DECEMBER, 2018'!Print_Area</vt:lpstr>
      <vt:lpstr>'DECEMBER, 2019'!Print_Area</vt:lpstr>
      <vt:lpstr>'FEBRUARY, 2016'!Print_Area</vt:lpstr>
      <vt:lpstr>'FEBRUARY, 2017'!Print_Area</vt:lpstr>
      <vt:lpstr>'FEBRUARY, 2018'!Print_Area</vt:lpstr>
      <vt:lpstr>'FEBRUARY, 2019'!Print_Area</vt:lpstr>
      <vt:lpstr>'FEBRUARY, 2020'!Print_Area</vt:lpstr>
      <vt:lpstr>'JANUARY, 2016'!Print_Area</vt:lpstr>
      <vt:lpstr>'JANUARY, 2017'!Print_Area</vt:lpstr>
      <vt:lpstr>'JANUARY, 2018'!Print_Area</vt:lpstr>
      <vt:lpstr>'JANUARY, 2019'!Print_Area</vt:lpstr>
      <vt:lpstr>'JANUARY, 2020'!Print_Area</vt:lpstr>
      <vt:lpstr>'JULY, 2016'!Print_Area</vt:lpstr>
      <vt:lpstr>'JULY, 2017'!Print_Area</vt:lpstr>
      <vt:lpstr>'JULY, 2018'!Print_Area</vt:lpstr>
      <vt:lpstr>'JULY, 2019'!Print_Area</vt:lpstr>
      <vt:lpstr>'JUNE CORRECT, 2017'!Print_Area</vt:lpstr>
      <vt:lpstr>'JUNE, 2016'!Print_Area</vt:lpstr>
      <vt:lpstr>'JUNE, 2017'!Print_Area</vt:lpstr>
      <vt:lpstr>'JUNE, 2018'!Print_Area</vt:lpstr>
      <vt:lpstr>'JUNE, 2019'!Print_Area</vt:lpstr>
      <vt:lpstr>'MARCH, 2016.'!Print_Area</vt:lpstr>
      <vt:lpstr>'MARCH, 2017'!Print_Area</vt:lpstr>
      <vt:lpstr>'MARCH, 2018'!Print_Area</vt:lpstr>
      <vt:lpstr>'MARCH, 2019'!Print_Area</vt:lpstr>
      <vt:lpstr>'MARCH, 2020'!Print_Area</vt:lpstr>
      <vt:lpstr>'MAY, 2016'!Print_Area</vt:lpstr>
      <vt:lpstr>'MAY, 2017'!Print_Area</vt:lpstr>
      <vt:lpstr>'MAY, 2018'!Print_Area</vt:lpstr>
      <vt:lpstr>'MAY, 2019'!Print_Area</vt:lpstr>
      <vt:lpstr>'MAY, 2020'!Print_Area</vt:lpstr>
      <vt:lpstr>'NOVEMBER, 2016'!Print_Area</vt:lpstr>
      <vt:lpstr>'NOVEMBER, 2017'!Print_Area</vt:lpstr>
      <vt:lpstr>'NOVEMBER, 2018'!Print_Area</vt:lpstr>
      <vt:lpstr>'NOVEMBER, 2019'!Print_Area</vt:lpstr>
      <vt:lpstr>'OCTOBER, 2016'!Print_Area</vt:lpstr>
      <vt:lpstr>'OCTOBER, 2017'!Print_Area</vt:lpstr>
      <vt:lpstr>'OCTOBER, 2018'!Print_Area</vt:lpstr>
      <vt:lpstr>'OCTOMBER, 2019'!Print_Area</vt:lpstr>
      <vt:lpstr>'SEPTEMBER, 2016'!Print_Area</vt:lpstr>
      <vt:lpstr>'SEPTEMBER, 2017'!Print_Area</vt:lpstr>
      <vt:lpstr>'SEPTEMBER, 2018'!Print_Area</vt:lpstr>
      <vt:lpstr>'SEPTEMBER, 2019'!Print_Area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NIN.EDU</dc:creator>
  <cp:lastModifiedBy>NIN.EDU</cp:lastModifiedBy>
  <cp:lastPrinted>2002-01-01T01:53:50Z</cp:lastPrinted>
  <dcterms:created xsi:type="dcterms:W3CDTF">2018-03-17T04:06:24Z</dcterms:created>
  <dcterms:modified xsi:type="dcterms:W3CDTF">2002-01-01T02:16:45Z</dcterms:modified>
</cp:coreProperties>
</file>